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info\Dropbox\BRWG_updated\Projects\Integrated Water Management Plan\IWMP Data\"/>
    </mc:Choice>
  </mc:AlternateContent>
  <xr:revisionPtr revIDLastSave="0" documentId="13_ncr:1_{097CD3CF-4CEE-4909-A08E-4E9878211347}" xr6:coauthVersionLast="47" xr6:coauthVersionMax="47" xr10:uidLastSave="{00000000-0000-0000-0000-000000000000}"/>
  <bookViews>
    <workbookView xWindow="29490" yWindow="2325" windowWidth="17280" windowHeight="8880" firstSheet="1" activeTab="2" xr2:uid="{00000000-000D-0000-FFFF-FFFF00000000}"/>
  </bookViews>
  <sheets>
    <sheet name="Annual Summary" sheetId="2" r:id="rId1"/>
    <sheet name="station data 10.1.12 to 9.30.22" sheetId="1" r:id="rId2"/>
    <sheet name="station data 10.1.85-9.30.01" sheetId="5" r:id="rId3"/>
    <sheet name="station data 10.1.01-9.30.22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9" i="2" l="1"/>
  <c r="F7673" i="6"/>
  <c r="F7672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F324" i="6"/>
  <c r="F325" i="6"/>
  <c r="F326" i="6"/>
  <c r="F327" i="6"/>
  <c r="F328" i="6"/>
  <c r="F329" i="6"/>
  <c r="F330" i="6"/>
  <c r="F331" i="6"/>
  <c r="F332" i="6"/>
  <c r="F333" i="6"/>
  <c r="F334" i="6"/>
  <c r="F335" i="6"/>
  <c r="F336" i="6"/>
  <c r="F337" i="6"/>
  <c r="F338" i="6"/>
  <c r="F339" i="6"/>
  <c r="F340" i="6"/>
  <c r="F341" i="6"/>
  <c r="F342" i="6"/>
  <c r="F343" i="6"/>
  <c r="F344" i="6"/>
  <c r="F345" i="6"/>
  <c r="F346" i="6"/>
  <c r="F347" i="6"/>
  <c r="F348" i="6"/>
  <c r="F349" i="6"/>
  <c r="F350" i="6"/>
  <c r="F351" i="6"/>
  <c r="F352" i="6"/>
  <c r="F353" i="6"/>
  <c r="F354" i="6"/>
  <c r="F355" i="6"/>
  <c r="F356" i="6"/>
  <c r="F357" i="6"/>
  <c r="F358" i="6"/>
  <c r="F359" i="6"/>
  <c r="F360" i="6"/>
  <c r="F361" i="6"/>
  <c r="F362" i="6"/>
  <c r="F363" i="6"/>
  <c r="F364" i="6"/>
  <c r="F365" i="6"/>
  <c r="F366" i="6"/>
  <c r="F367" i="6"/>
  <c r="F368" i="6"/>
  <c r="F369" i="6"/>
  <c r="F370" i="6"/>
  <c r="F371" i="6"/>
  <c r="F372" i="6"/>
  <c r="F373" i="6"/>
  <c r="F374" i="6"/>
  <c r="F375" i="6"/>
  <c r="F376" i="6"/>
  <c r="F377" i="6"/>
  <c r="F378" i="6"/>
  <c r="F379" i="6"/>
  <c r="F380" i="6"/>
  <c r="F381" i="6"/>
  <c r="F382" i="6"/>
  <c r="F383" i="6"/>
  <c r="F384" i="6"/>
  <c r="F385" i="6"/>
  <c r="F386" i="6"/>
  <c r="F387" i="6"/>
  <c r="F388" i="6"/>
  <c r="F389" i="6"/>
  <c r="F390" i="6"/>
  <c r="F391" i="6"/>
  <c r="F392" i="6"/>
  <c r="F393" i="6"/>
  <c r="F394" i="6"/>
  <c r="F395" i="6"/>
  <c r="F396" i="6"/>
  <c r="F397" i="6"/>
  <c r="F398" i="6"/>
  <c r="F399" i="6"/>
  <c r="F400" i="6"/>
  <c r="F401" i="6"/>
  <c r="F402" i="6"/>
  <c r="F403" i="6"/>
  <c r="F404" i="6"/>
  <c r="F405" i="6"/>
  <c r="F406" i="6"/>
  <c r="F407" i="6"/>
  <c r="F408" i="6"/>
  <c r="F409" i="6"/>
  <c r="F410" i="6"/>
  <c r="F411" i="6"/>
  <c r="F412" i="6"/>
  <c r="F413" i="6"/>
  <c r="F414" i="6"/>
  <c r="F415" i="6"/>
  <c r="F416" i="6"/>
  <c r="F417" i="6"/>
  <c r="F418" i="6"/>
  <c r="F419" i="6"/>
  <c r="F420" i="6"/>
  <c r="F421" i="6"/>
  <c r="F422" i="6"/>
  <c r="F423" i="6"/>
  <c r="F424" i="6"/>
  <c r="F425" i="6"/>
  <c r="F426" i="6"/>
  <c r="F427" i="6"/>
  <c r="F428" i="6"/>
  <c r="F429" i="6"/>
  <c r="F430" i="6"/>
  <c r="F431" i="6"/>
  <c r="F432" i="6"/>
  <c r="F433" i="6"/>
  <c r="F434" i="6"/>
  <c r="F435" i="6"/>
  <c r="F436" i="6"/>
  <c r="F437" i="6"/>
  <c r="F438" i="6"/>
  <c r="F439" i="6"/>
  <c r="F440" i="6"/>
  <c r="F441" i="6"/>
  <c r="F442" i="6"/>
  <c r="F443" i="6"/>
  <c r="F444" i="6"/>
  <c r="F445" i="6"/>
  <c r="F446" i="6"/>
  <c r="F447" i="6"/>
  <c r="F448" i="6"/>
  <c r="F449" i="6"/>
  <c r="F450" i="6"/>
  <c r="F451" i="6"/>
  <c r="F452" i="6"/>
  <c r="F453" i="6"/>
  <c r="F454" i="6"/>
  <c r="F455" i="6"/>
  <c r="F456" i="6"/>
  <c r="F457" i="6"/>
  <c r="F458" i="6"/>
  <c r="F459" i="6"/>
  <c r="F460" i="6"/>
  <c r="F461" i="6"/>
  <c r="F462" i="6"/>
  <c r="F463" i="6"/>
  <c r="F464" i="6"/>
  <c r="F465" i="6"/>
  <c r="F466" i="6"/>
  <c r="F467" i="6"/>
  <c r="F468" i="6"/>
  <c r="F469" i="6"/>
  <c r="F470" i="6"/>
  <c r="F471" i="6"/>
  <c r="F472" i="6"/>
  <c r="F473" i="6"/>
  <c r="F474" i="6"/>
  <c r="F475" i="6"/>
  <c r="F476" i="6"/>
  <c r="F477" i="6"/>
  <c r="F478" i="6"/>
  <c r="F479" i="6"/>
  <c r="F480" i="6"/>
  <c r="F481" i="6"/>
  <c r="F482" i="6"/>
  <c r="F483" i="6"/>
  <c r="F484" i="6"/>
  <c r="F485" i="6"/>
  <c r="F486" i="6"/>
  <c r="F487" i="6"/>
  <c r="F488" i="6"/>
  <c r="F489" i="6"/>
  <c r="F490" i="6"/>
  <c r="F491" i="6"/>
  <c r="F492" i="6"/>
  <c r="F493" i="6"/>
  <c r="F494" i="6"/>
  <c r="F495" i="6"/>
  <c r="F496" i="6"/>
  <c r="F497" i="6"/>
  <c r="F498" i="6"/>
  <c r="F499" i="6"/>
  <c r="F500" i="6"/>
  <c r="F501" i="6"/>
  <c r="F502" i="6"/>
  <c r="F503" i="6"/>
  <c r="F504" i="6"/>
  <c r="F505" i="6"/>
  <c r="F506" i="6"/>
  <c r="F507" i="6"/>
  <c r="F508" i="6"/>
  <c r="F509" i="6"/>
  <c r="F510" i="6"/>
  <c r="F511" i="6"/>
  <c r="F512" i="6"/>
  <c r="F513" i="6"/>
  <c r="F514" i="6"/>
  <c r="F515" i="6"/>
  <c r="F516" i="6"/>
  <c r="F517" i="6"/>
  <c r="F518" i="6"/>
  <c r="F519" i="6"/>
  <c r="F520" i="6"/>
  <c r="F521" i="6"/>
  <c r="F522" i="6"/>
  <c r="F523" i="6"/>
  <c r="F524" i="6"/>
  <c r="F525" i="6"/>
  <c r="F526" i="6"/>
  <c r="F527" i="6"/>
  <c r="F528" i="6"/>
  <c r="F529" i="6"/>
  <c r="F530" i="6"/>
  <c r="F531" i="6"/>
  <c r="F532" i="6"/>
  <c r="F533" i="6"/>
  <c r="F534" i="6"/>
  <c r="F535" i="6"/>
  <c r="F536" i="6"/>
  <c r="F537" i="6"/>
  <c r="F538" i="6"/>
  <c r="F539" i="6"/>
  <c r="F540" i="6"/>
  <c r="F541" i="6"/>
  <c r="F542" i="6"/>
  <c r="F543" i="6"/>
  <c r="F544" i="6"/>
  <c r="F545" i="6"/>
  <c r="F546" i="6"/>
  <c r="F547" i="6"/>
  <c r="F548" i="6"/>
  <c r="F549" i="6"/>
  <c r="F550" i="6"/>
  <c r="F551" i="6"/>
  <c r="F552" i="6"/>
  <c r="F553" i="6"/>
  <c r="F554" i="6"/>
  <c r="F555" i="6"/>
  <c r="F556" i="6"/>
  <c r="F557" i="6"/>
  <c r="F558" i="6"/>
  <c r="F559" i="6"/>
  <c r="F560" i="6"/>
  <c r="F561" i="6"/>
  <c r="F562" i="6"/>
  <c r="F563" i="6"/>
  <c r="F564" i="6"/>
  <c r="F565" i="6"/>
  <c r="F566" i="6"/>
  <c r="F567" i="6"/>
  <c r="F568" i="6"/>
  <c r="F569" i="6"/>
  <c r="F570" i="6"/>
  <c r="F571" i="6"/>
  <c r="F572" i="6"/>
  <c r="F573" i="6"/>
  <c r="F574" i="6"/>
  <c r="F575" i="6"/>
  <c r="F576" i="6"/>
  <c r="F577" i="6"/>
  <c r="F578" i="6"/>
  <c r="F579" i="6"/>
  <c r="F580" i="6"/>
  <c r="F581" i="6"/>
  <c r="F582" i="6"/>
  <c r="F583" i="6"/>
  <c r="F584" i="6"/>
  <c r="F585" i="6"/>
  <c r="F586" i="6"/>
  <c r="F587" i="6"/>
  <c r="F588" i="6"/>
  <c r="F589" i="6"/>
  <c r="F590" i="6"/>
  <c r="F591" i="6"/>
  <c r="F592" i="6"/>
  <c r="F593" i="6"/>
  <c r="F594" i="6"/>
  <c r="F595" i="6"/>
  <c r="F596" i="6"/>
  <c r="F597" i="6"/>
  <c r="F598" i="6"/>
  <c r="F599" i="6"/>
  <c r="F600" i="6"/>
  <c r="F601" i="6"/>
  <c r="F602" i="6"/>
  <c r="F603" i="6"/>
  <c r="F604" i="6"/>
  <c r="F605" i="6"/>
  <c r="F606" i="6"/>
  <c r="F607" i="6"/>
  <c r="F608" i="6"/>
  <c r="F609" i="6"/>
  <c r="F610" i="6"/>
  <c r="F611" i="6"/>
  <c r="F612" i="6"/>
  <c r="F613" i="6"/>
  <c r="F614" i="6"/>
  <c r="F615" i="6"/>
  <c r="F616" i="6"/>
  <c r="F617" i="6"/>
  <c r="F618" i="6"/>
  <c r="F619" i="6"/>
  <c r="F620" i="6"/>
  <c r="F621" i="6"/>
  <c r="F622" i="6"/>
  <c r="F623" i="6"/>
  <c r="F624" i="6"/>
  <c r="F625" i="6"/>
  <c r="F626" i="6"/>
  <c r="F627" i="6"/>
  <c r="F628" i="6"/>
  <c r="F629" i="6"/>
  <c r="F630" i="6"/>
  <c r="F631" i="6"/>
  <c r="F632" i="6"/>
  <c r="F633" i="6"/>
  <c r="F634" i="6"/>
  <c r="F635" i="6"/>
  <c r="F636" i="6"/>
  <c r="F637" i="6"/>
  <c r="F638" i="6"/>
  <c r="F639" i="6"/>
  <c r="F640" i="6"/>
  <c r="F641" i="6"/>
  <c r="F642" i="6"/>
  <c r="F643" i="6"/>
  <c r="F644" i="6"/>
  <c r="F645" i="6"/>
  <c r="F646" i="6"/>
  <c r="F647" i="6"/>
  <c r="F648" i="6"/>
  <c r="F649" i="6"/>
  <c r="F650" i="6"/>
  <c r="F651" i="6"/>
  <c r="F652" i="6"/>
  <c r="F653" i="6"/>
  <c r="F654" i="6"/>
  <c r="F655" i="6"/>
  <c r="F656" i="6"/>
  <c r="F657" i="6"/>
  <c r="F658" i="6"/>
  <c r="F659" i="6"/>
  <c r="F660" i="6"/>
  <c r="F661" i="6"/>
  <c r="F662" i="6"/>
  <c r="F663" i="6"/>
  <c r="F664" i="6"/>
  <c r="F665" i="6"/>
  <c r="F666" i="6"/>
  <c r="F667" i="6"/>
  <c r="F668" i="6"/>
  <c r="F669" i="6"/>
  <c r="F670" i="6"/>
  <c r="F671" i="6"/>
  <c r="F672" i="6"/>
  <c r="F673" i="6"/>
  <c r="F674" i="6"/>
  <c r="F675" i="6"/>
  <c r="F676" i="6"/>
  <c r="F677" i="6"/>
  <c r="F678" i="6"/>
  <c r="F679" i="6"/>
  <c r="F680" i="6"/>
  <c r="F681" i="6"/>
  <c r="F682" i="6"/>
  <c r="F683" i="6"/>
  <c r="F684" i="6"/>
  <c r="F685" i="6"/>
  <c r="F686" i="6"/>
  <c r="F687" i="6"/>
  <c r="F688" i="6"/>
  <c r="F689" i="6"/>
  <c r="F690" i="6"/>
  <c r="F691" i="6"/>
  <c r="F692" i="6"/>
  <c r="F693" i="6"/>
  <c r="F694" i="6"/>
  <c r="F695" i="6"/>
  <c r="F696" i="6"/>
  <c r="F697" i="6"/>
  <c r="F698" i="6"/>
  <c r="F699" i="6"/>
  <c r="F700" i="6"/>
  <c r="F701" i="6"/>
  <c r="F702" i="6"/>
  <c r="F703" i="6"/>
  <c r="F704" i="6"/>
  <c r="F705" i="6"/>
  <c r="F706" i="6"/>
  <c r="F707" i="6"/>
  <c r="F708" i="6"/>
  <c r="F709" i="6"/>
  <c r="F710" i="6"/>
  <c r="F711" i="6"/>
  <c r="F712" i="6"/>
  <c r="F713" i="6"/>
  <c r="F714" i="6"/>
  <c r="F715" i="6"/>
  <c r="F716" i="6"/>
  <c r="F717" i="6"/>
  <c r="F718" i="6"/>
  <c r="F719" i="6"/>
  <c r="F720" i="6"/>
  <c r="F721" i="6"/>
  <c r="F722" i="6"/>
  <c r="F723" i="6"/>
  <c r="F724" i="6"/>
  <c r="F725" i="6"/>
  <c r="F726" i="6"/>
  <c r="F727" i="6"/>
  <c r="F728" i="6"/>
  <c r="F729" i="6"/>
  <c r="F730" i="6"/>
  <c r="F731" i="6"/>
  <c r="F732" i="6"/>
  <c r="F733" i="6"/>
  <c r="F734" i="6"/>
  <c r="F735" i="6"/>
  <c r="F736" i="6"/>
  <c r="F737" i="6"/>
  <c r="F738" i="6"/>
  <c r="F739" i="6"/>
  <c r="F740" i="6"/>
  <c r="F741" i="6"/>
  <c r="F742" i="6"/>
  <c r="F743" i="6"/>
  <c r="F744" i="6"/>
  <c r="F745" i="6"/>
  <c r="F746" i="6"/>
  <c r="F747" i="6"/>
  <c r="F748" i="6"/>
  <c r="F749" i="6"/>
  <c r="F750" i="6"/>
  <c r="F751" i="6"/>
  <c r="F752" i="6"/>
  <c r="F753" i="6"/>
  <c r="F754" i="6"/>
  <c r="F755" i="6"/>
  <c r="F756" i="6"/>
  <c r="F757" i="6"/>
  <c r="F758" i="6"/>
  <c r="F759" i="6"/>
  <c r="F760" i="6"/>
  <c r="F761" i="6"/>
  <c r="F762" i="6"/>
  <c r="F763" i="6"/>
  <c r="F764" i="6"/>
  <c r="F765" i="6"/>
  <c r="F766" i="6"/>
  <c r="F767" i="6"/>
  <c r="F768" i="6"/>
  <c r="F769" i="6"/>
  <c r="F770" i="6"/>
  <c r="F771" i="6"/>
  <c r="F772" i="6"/>
  <c r="F773" i="6"/>
  <c r="F774" i="6"/>
  <c r="F775" i="6"/>
  <c r="F776" i="6"/>
  <c r="F777" i="6"/>
  <c r="F778" i="6"/>
  <c r="F779" i="6"/>
  <c r="F780" i="6"/>
  <c r="F781" i="6"/>
  <c r="F782" i="6"/>
  <c r="F783" i="6"/>
  <c r="F784" i="6"/>
  <c r="F785" i="6"/>
  <c r="F786" i="6"/>
  <c r="F787" i="6"/>
  <c r="F788" i="6"/>
  <c r="F789" i="6"/>
  <c r="F790" i="6"/>
  <c r="F791" i="6"/>
  <c r="F792" i="6"/>
  <c r="F793" i="6"/>
  <c r="F794" i="6"/>
  <c r="F795" i="6"/>
  <c r="F796" i="6"/>
  <c r="F797" i="6"/>
  <c r="F798" i="6"/>
  <c r="F799" i="6"/>
  <c r="F800" i="6"/>
  <c r="F801" i="6"/>
  <c r="F802" i="6"/>
  <c r="F803" i="6"/>
  <c r="F804" i="6"/>
  <c r="F805" i="6"/>
  <c r="F806" i="6"/>
  <c r="F807" i="6"/>
  <c r="F808" i="6"/>
  <c r="F809" i="6"/>
  <c r="F810" i="6"/>
  <c r="F811" i="6"/>
  <c r="F812" i="6"/>
  <c r="F813" i="6"/>
  <c r="F814" i="6"/>
  <c r="F815" i="6"/>
  <c r="F816" i="6"/>
  <c r="F817" i="6"/>
  <c r="F818" i="6"/>
  <c r="F819" i="6"/>
  <c r="F820" i="6"/>
  <c r="F821" i="6"/>
  <c r="F822" i="6"/>
  <c r="F823" i="6"/>
  <c r="F824" i="6"/>
  <c r="F825" i="6"/>
  <c r="F826" i="6"/>
  <c r="F827" i="6"/>
  <c r="F828" i="6"/>
  <c r="F829" i="6"/>
  <c r="F830" i="6"/>
  <c r="F831" i="6"/>
  <c r="F832" i="6"/>
  <c r="F833" i="6"/>
  <c r="F834" i="6"/>
  <c r="F835" i="6"/>
  <c r="F836" i="6"/>
  <c r="F837" i="6"/>
  <c r="F838" i="6"/>
  <c r="F839" i="6"/>
  <c r="F840" i="6"/>
  <c r="F841" i="6"/>
  <c r="F842" i="6"/>
  <c r="F843" i="6"/>
  <c r="F844" i="6"/>
  <c r="F845" i="6"/>
  <c r="F846" i="6"/>
  <c r="F847" i="6"/>
  <c r="F848" i="6"/>
  <c r="F849" i="6"/>
  <c r="F850" i="6"/>
  <c r="F851" i="6"/>
  <c r="F852" i="6"/>
  <c r="F853" i="6"/>
  <c r="F854" i="6"/>
  <c r="F855" i="6"/>
  <c r="F856" i="6"/>
  <c r="F857" i="6"/>
  <c r="F858" i="6"/>
  <c r="F859" i="6"/>
  <c r="F860" i="6"/>
  <c r="F861" i="6"/>
  <c r="F862" i="6"/>
  <c r="F863" i="6"/>
  <c r="F864" i="6"/>
  <c r="F865" i="6"/>
  <c r="F866" i="6"/>
  <c r="F867" i="6"/>
  <c r="F868" i="6"/>
  <c r="F869" i="6"/>
  <c r="F870" i="6"/>
  <c r="F871" i="6"/>
  <c r="F872" i="6"/>
  <c r="F873" i="6"/>
  <c r="F874" i="6"/>
  <c r="F875" i="6"/>
  <c r="F876" i="6"/>
  <c r="F877" i="6"/>
  <c r="F878" i="6"/>
  <c r="F879" i="6"/>
  <c r="F880" i="6"/>
  <c r="F881" i="6"/>
  <c r="F882" i="6"/>
  <c r="F883" i="6"/>
  <c r="F884" i="6"/>
  <c r="F885" i="6"/>
  <c r="F886" i="6"/>
  <c r="F887" i="6"/>
  <c r="F888" i="6"/>
  <c r="F889" i="6"/>
  <c r="F890" i="6"/>
  <c r="F891" i="6"/>
  <c r="F892" i="6"/>
  <c r="F893" i="6"/>
  <c r="F894" i="6"/>
  <c r="F895" i="6"/>
  <c r="F896" i="6"/>
  <c r="F897" i="6"/>
  <c r="F898" i="6"/>
  <c r="F899" i="6"/>
  <c r="F900" i="6"/>
  <c r="F901" i="6"/>
  <c r="F902" i="6"/>
  <c r="F903" i="6"/>
  <c r="F904" i="6"/>
  <c r="F905" i="6"/>
  <c r="F906" i="6"/>
  <c r="F907" i="6"/>
  <c r="F908" i="6"/>
  <c r="F909" i="6"/>
  <c r="F910" i="6"/>
  <c r="F911" i="6"/>
  <c r="F912" i="6"/>
  <c r="F913" i="6"/>
  <c r="F914" i="6"/>
  <c r="F915" i="6"/>
  <c r="F916" i="6"/>
  <c r="F917" i="6"/>
  <c r="F918" i="6"/>
  <c r="F919" i="6"/>
  <c r="F920" i="6"/>
  <c r="F921" i="6"/>
  <c r="F922" i="6"/>
  <c r="F923" i="6"/>
  <c r="F924" i="6"/>
  <c r="F925" i="6"/>
  <c r="F926" i="6"/>
  <c r="F927" i="6"/>
  <c r="F928" i="6"/>
  <c r="F929" i="6"/>
  <c r="F930" i="6"/>
  <c r="F931" i="6"/>
  <c r="F932" i="6"/>
  <c r="F933" i="6"/>
  <c r="F934" i="6"/>
  <c r="F935" i="6"/>
  <c r="F936" i="6"/>
  <c r="F937" i="6"/>
  <c r="F938" i="6"/>
  <c r="F939" i="6"/>
  <c r="F940" i="6"/>
  <c r="F941" i="6"/>
  <c r="F942" i="6"/>
  <c r="F943" i="6"/>
  <c r="F944" i="6"/>
  <c r="F945" i="6"/>
  <c r="F946" i="6"/>
  <c r="F947" i="6"/>
  <c r="F948" i="6"/>
  <c r="F949" i="6"/>
  <c r="F950" i="6"/>
  <c r="F951" i="6"/>
  <c r="F952" i="6"/>
  <c r="F953" i="6"/>
  <c r="F954" i="6"/>
  <c r="F955" i="6"/>
  <c r="F956" i="6"/>
  <c r="F957" i="6"/>
  <c r="F958" i="6"/>
  <c r="F959" i="6"/>
  <c r="F960" i="6"/>
  <c r="F961" i="6"/>
  <c r="F962" i="6"/>
  <c r="F963" i="6"/>
  <c r="F964" i="6"/>
  <c r="F965" i="6"/>
  <c r="F966" i="6"/>
  <c r="F967" i="6"/>
  <c r="F968" i="6"/>
  <c r="F969" i="6"/>
  <c r="F970" i="6"/>
  <c r="F971" i="6"/>
  <c r="F972" i="6"/>
  <c r="F973" i="6"/>
  <c r="F974" i="6"/>
  <c r="F975" i="6"/>
  <c r="F976" i="6"/>
  <c r="F977" i="6"/>
  <c r="F978" i="6"/>
  <c r="F979" i="6"/>
  <c r="F980" i="6"/>
  <c r="F981" i="6"/>
  <c r="F982" i="6"/>
  <c r="F983" i="6"/>
  <c r="F984" i="6"/>
  <c r="F985" i="6"/>
  <c r="F986" i="6"/>
  <c r="F987" i="6"/>
  <c r="F988" i="6"/>
  <c r="F989" i="6"/>
  <c r="F990" i="6"/>
  <c r="F991" i="6"/>
  <c r="F992" i="6"/>
  <c r="F993" i="6"/>
  <c r="F994" i="6"/>
  <c r="F995" i="6"/>
  <c r="F996" i="6"/>
  <c r="F997" i="6"/>
  <c r="F998" i="6"/>
  <c r="F999" i="6"/>
  <c r="F1000" i="6"/>
  <c r="F1001" i="6"/>
  <c r="F1002" i="6"/>
  <c r="F1003" i="6"/>
  <c r="F1004" i="6"/>
  <c r="F1005" i="6"/>
  <c r="F1006" i="6"/>
  <c r="F1007" i="6"/>
  <c r="F1008" i="6"/>
  <c r="F1009" i="6"/>
  <c r="F1010" i="6"/>
  <c r="F1011" i="6"/>
  <c r="F1012" i="6"/>
  <c r="F1013" i="6"/>
  <c r="F1014" i="6"/>
  <c r="F1015" i="6"/>
  <c r="F1016" i="6"/>
  <c r="F1017" i="6"/>
  <c r="F1018" i="6"/>
  <c r="F1019" i="6"/>
  <c r="F1020" i="6"/>
  <c r="F1021" i="6"/>
  <c r="F1022" i="6"/>
  <c r="F1023" i="6"/>
  <c r="F1024" i="6"/>
  <c r="F1025" i="6"/>
  <c r="F1026" i="6"/>
  <c r="F1027" i="6"/>
  <c r="F1028" i="6"/>
  <c r="F1029" i="6"/>
  <c r="F1030" i="6"/>
  <c r="F1031" i="6"/>
  <c r="F1032" i="6"/>
  <c r="F1033" i="6"/>
  <c r="F1034" i="6"/>
  <c r="F1035" i="6"/>
  <c r="F1036" i="6"/>
  <c r="F1037" i="6"/>
  <c r="F1038" i="6"/>
  <c r="F1039" i="6"/>
  <c r="F1040" i="6"/>
  <c r="F1041" i="6"/>
  <c r="F1042" i="6"/>
  <c r="F1043" i="6"/>
  <c r="F1044" i="6"/>
  <c r="F1045" i="6"/>
  <c r="F1046" i="6"/>
  <c r="F1047" i="6"/>
  <c r="F1048" i="6"/>
  <c r="F1049" i="6"/>
  <c r="F1050" i="6"/>
  <c r="F1051" i="6"/>
  <c r="F1052" i="6"/>
  <c r="F1053" i="6"/>
  <c r="F1054" i="6"/>
  <c r="F1055" i="6"/>
  <c r="F1056" i="6"/>
  <c r="F1057" i="6"/>
  <c r="F1058" i="6"/>
  <c r="F1059" i="6"/>
  <c r="F1060" i="6"/>
  <c r="F1061" i="6"/>
  <c r="F1062" i="6"/>
  <c r="F1063" i="6"/>
  <c r="F1064" i="6"/>
  <c r="F1065" i="6"/>
  <c r="F1066" i="6"/>
  <c r="F1067" i="6"/>
  <c r="F1068" i="6"/>
  <c r="F1069" i="6"/>
  <c r="F1070" i="6"/>
  <c r="F1071" i="6"/>
  <c r="F1072" i="6"/>
  <c r="F1073" i="6"/>
  <c r="F1074" i="6"/>
  <c r="F1075" i="6"/>
  <c r="F1076" i="6"/>
  <c r="F1077" i="6"/>
  <c r="F1078" i="6"/>
  <c r="F1079" i="6"/>
  <c r="F1080" i="6"/>
  <c r="F1081" i="6"/>
  <c r="F1082" i="6"/>
  <c r="F1083" i="6"/>
  <c r="F1084" i="6"/>
  <c r="F1085" i="6"/>
  <c r="F1086" i="6"/>
  <c r="F1087" i="6"/>
  <c r="F1088" i="6"/>
  <c r="F1089" i="6"/>
  <c r="F1090" i="6"/>
  <c r="F1091" i="6"/>
  <c r="F1092" i="6"/>
  <c r="F1093" i="6"/>
  <c r="F1094" i="6"/>
  <c r="F1095" i="6"/>
  <c r="F1096" i="6"/>
  <c r="F1097" i="6"/>
  <c r="F1098" i="6"/>
  <c r="F1099" i="6"/>
  <c r="F1100" i="6"/>
  <c r="F1101" i="6"/>
  <c r="F1102" i="6"/>
  <c r="F1103" i="6"/>
  <c r="F1104" i="6"/>
  <c r="F1105" i="6"/>
  <c r="F1106" i="6"/>
  <c r="F1107" i="6"/>
  <c r="F1108" i="6"/>
  <c r="F1109" i="6"/>
  <c r="F1110" i="6"/>
  <c r="F1111" i="6"/>
  <c r="F1112" i="6"/>
  <c r="F1113" i="6"/>
  <c r="F1114" i="6"/>
  <c r="F1115" i="6"/>
  <c r="F1116" i="6"/>
  <c r="F1117" i="6"/>
  <c r="F1118" i="6"/>
  <c r="F1119" i="6"/>
  <c r="F1120" i="6"/>
  <c r="F1121" i="6"/>
  <c r="F1122" i="6"/>
  <c r="F1123" i="6"/>
  <c r="F1124" i="6"/>
  <c r="F1125" i="6"/>
  <c r="F1126" i="6"/>
  <c r="F1127" i="6"/>
  <c r="F1128" i="6"/>
  <c r="F1129" i="6"/>
  <c r="F1130" i="6"/>
  <c r="F1131" i="6"/>
  <c r="F1132" i="6"/>
  <c r="F1133" i="6"/>
  <c r="F1134" i="6"/>
  <c r="F1135" i="6"/>
  <c r="F1136" i="6"/>
  <c r="F1137" i="6"/>
  <c r="F1138" i="6"/>
  <c r="F1139" i="6"/>
  <c r="F1140" i="6"/>
  <c r="F1141" i="6"/>
  <c r="F1142" i="6"/>
  <c r="F1143" i="6"/>
  <c r="F1144" i="6"/>
  <c r="F1145" i="6"/>
  <c r="F1146" i="6"/>
  <c r="F1147" i="6"/>
  <c r="F1148" i="6"/>
  <c r="F1149" i="6"/>
  <c r="F1150" i="6"/>
  <c r="F1151" i="6"/>
  <c r="F1152" i="6"/>
  <c r="F1153" i="6"/>
  <c r="F1154" i="6"/>
  <c r="F1155" i="6"/>
  <c r="F1156" i="6"/>
  <c r="F1157" i="6"/>
  <c r="F1158" i="6"/>
  <c r="F1159" i="6"/>
  <c r="F1160" i="6"/>
  <c r="F1161" i="6"/>
  <c r="F1162" i="6"/>
  <c r="F1163" i="6"/>
  <c r="F1164" i="6"/>
  <c r="F1165" i="6"/>
  <c r="F1166" i="6"/>
  <c r="F1167" i="6"/>
  <c r="F1168" i="6"/>
  <c r="F1169" i="6"/>
  <c r="F1170" i="6"/>
  <c r="F1171" i="6"/>
  <c r="F1172" i="6"/>
  <c r="F1173" i="6"/>
  <c r="F1174" i="6"/>
  <c r="F1175" i="6"/>
  <c r="F1176" i="6"/>
  <c r="F1177" i="6"/>
  <c r="F1178" i="6"/>
  <c r="F1179" i="6"/>
  <c r="F1180" i="6"/>
  <c r="F1181" i="6"/>
  <c r="F1182" i="6"/>
  <c r="F1183" i="6"/>
  <c r="F1184" i="6"/>
  <c r="F1185" i="6"/>
  <c r="F1186" i="6"/>
  <c r="F1187" i="6"/>
  <c r="F1188" i="6"/>
  <c r="F1189" i="6"/>
  <c r="F1190" i="6"/>
  <c r="F1191" i="6"/>
  <c r="F1192" i="6"/>
  <c r="F1193" i="6"/>
  <c r="F1194" i="6"/>
  <c r="F1195" i="6"/>
  <c r="F1196" i="6"/>
  <c r="F1197" i="6"/>
  <c r="F1198" i="6"/>
  <c r="F1199" i="6"/>
  <c r="F1200" i="6"/>
  <c r="F1201" i="6"/>
  <c r="F1202" i="6"/>
  <c r="F1203" i="6"/>
  <c r="F1204" i="6"/>
  <c r="F1205" i="6"/>
  <c r="F1206" i="6"/>
  <c r="F1207" i="6"/>
  <c r="F1208" i="6"/>
  <c r="F1209" i="6"/>
  <c r="F1210" i="6"/>
  <c r="F1211" i="6"/>
  <c r="F1212" i="6"/>
  <c r="F1213" i="6"/>
  <c r="F1214" i="6"/>
  <c r="F1215" i="6"/>
  <c r="F1216" i="6"/>
  <c r="F1217" i="6"/>
  <c r="F1218" i="6"/>
  <c r="F1219" i="6"/>
  <c r="F1220" i="6"/>
  <c r="F1221" i="6"/>
  <c r="F1222" i="6"/>
  <c r="F1223" i="6"/>
  <c r="F1224" i="6"/>
  <c r="F1225" i="6"/>
  <c r="F1226" i="6"/>
  <c r="F1227" i="6"/>
  <c r="F1228" i="6"/>
  <c r="F1229" i="6"/>
  <c r="F1230" i="6"/>
  <c r="F1231" i="6"/>
  <c r="F1232" i="6"/>
  <c r="F1233" i="6"/>
  <c r="F1234" i="6"/>
  <c r="F1235" i="6"/>
  <c r="F1236" i="6"/>
  <c r="F1237" i="6"/>
  <c r="F1238" i="6"/>
  <c r="F1239" i="6"/>
  <c r="F1240" i="6"/>
  <c r="F1241" i="6"/>
  <c r="F1242" i="6"/>
  <c r="F1243" i="6"/>
  <c r="F1244" i="6"/>
  <c r="F1245" i="6"/>
  <c r="F1246" i="6"/>
  <c r="F1247" i="6"/>
  <c r="F1248" i="6"/>
  <c r="F1249" i="6"/>
  <c r="F1250" i="6"/>
  <c r="F1251" i="6"/>
  <c r="F1252" i="6"/>
  <c r="F1253" i="6"/>
  <c r="F1254" i="6"/>
  <c r="F1255" i="6"/>
  <c r="F1256" i="6"/>
  <c r="F1257" i="6"/>
  <c r="F1258" i="6"/>
  <c r="F1259" i="6"/>
  <c r="F1260" i="6"/>
  <c r="F1261" i="6"/>
  <c r="F1262" i="6"/>
  <c r="F1263" i="6"/>
  <c r="F1264" i="6"/>
  <c r="F1265" i="6"/>
  <c r="F1266" i="6"/>
  <c r="F1267" i="6"/>
  <c r="F1268" i="6"/>
  <c r="F1269" i="6"/>
  <c r="F1270" i="6"/>
  <c r="F1271" i="6"/>
  <c r="F1272" i="6"/>
  <c r="F1273" i="6"/>
  <c r="F1274" i="6"/>
  <c r="F1275" i="6"/>
  <c r="F1276" i="6"/>
  <c r="F1277" i="6"/>
  <c r="F1278" i="6"/>
  <c r="F1279" i="6"/>
  <c r="F1280" i="6"/>
  <c r="F1281" i="6"/>
  <c r="F1282" i="6"/>
  <c r="F1283" i="6"/>
  <c r="F1284" i="6"/>
  <c r="F1285" i="6"/>
  <c r="F1286" i="6"/>
  <c r="F1287" i="6"/>
  <c r="F1288" i="6"/>
  <c r="F1289" i="6"/>
  <c r="F1290" i="6"/>
  <c r="F1291" i="6"/>
  <c r="F1292" i="6"/>
  <c r="F1293" i="6"/>
  <c r="F1294" i="6"/>
  <c r="F1295" i="6"/>
  <c r="F1296" i="6"/>
  <c r="F1297" i="6"/>
  <c r="F1298" i="6"/>
  <c r="F1299" i="6"/>
  <c r="F1300" i="6"/>
  <c r="F1301" i="6"/>
  <c r="F1302" i="6"/>
  <c r="F1303" i="6"/>
  <c r="F1304" i="6"/>
  <c r="F1305" i="6"/>
  <c r="F1306" i="6"/>
  <c r="F1307" i="6"/>
  <c r="F1308" i="6"/>
  <c r="F1309" i="6"/>
  <c r="F1310" i="6"/>
  <c r="F1311" i="6"/>
  <c r="F1312" i="6"/>
  <c r="F1313" i="6"/>
  <c r="F1314" i="6"/>
  <c r="F1315" i="6"/>
  <c r="F1316" i="6"/>
  <c r="F1317" i="6"/>
  <c r="F1318" i="6"/>
  <c r="F1319" i="6"/>
  <c r="F1320" i="6"/>
  <c r="F1321" i="6"/>
  <c r="F1322" i="6"/>
  <c r="F1323" i="6"/>
  <c r="F1324" i="6"/>
  <c r="F1325" i="6"/>
  <c r="F1326" i="6"/>
  <c r="F1327" i="6"/>
  <c r="F1328" i="6"/>
  <c r="F1329" i="6"/>
  <c r="F1330" i="6"/>
  <c r="F1331" i="6"/>
  <c r="F1332" i="6"/>
  <c r="F1333" i="6"/>
  <c r="F1334" i="6"/>
  <c r="F1335" i="6"/>
  <c r="F1336" i="6"/>
  <c r="F1337" i="6"/>
  <c r="F1338" i="6"/>
  <c r="F1339" i="6"/>
  <c r="F1340" i="6"/>
  <c r="F1341" i="6"/>
  <c r="F1342" i="6"/>
  <c r="F1343" i="6"/>
  <c r="F1344" i="6"/>
  <c r="F1345" i="6"/>
  <c r="F1346" i="6"/>
  <c r="F1347" i="6"/>
  <c r="F1348" i="6"/>
  <c r="F1349" i="6"/>
  <c r="F1350" i="6"/>
  <c r="F1351" i="6"/>
  <c r="F1352" i="6"/>
  <c r="F1353" i="6"/>
  <c r="F1354" i="6"/>
  <c r="F1355" i="6"/>
  <c r="F1356" i="6"/>
  <c r="F1357" i="6"/>
  <c r="F1358" i="6"/>
  <c r="F1359" i="6"/>
  <c r="F1360" i="6"/>
  <c r="F1361" i="6"/>
  <c r="F1362" i="6"/>
  <c r="F1363" i="6"/>
  <c r="F1364" i="6"/>
  <c r="F1365" i="6"/>
  <c r="F1366" i="6"/>
  <c r="F1367" i="6"/>
  <c r="F1368" i="6"/>
  <c r="F1369" i="6"/>
  <c r="F1370" i="6"/>
  <c r="F1371" i="6"/>
  <c r="F1372" i="6"/>
  <c r="F1373" i="6"/>
  <c r="F1374" i="6"/>
  <c r="F1375" i="6"/>
  <c r="F1376" i="6"/>
  <c r="F1377" i="6"/>
  <c r="F1378" i="6"/>
  <c r="F1379" i="6"/>
  <c r="F1380" i="6"/>
  <c r="F1381" i="6"/>
  <c r="F1382" i="6"/>
  <c r="F1383" i="6"/>
  <c r="F1384" i="6"/>
  <c r="F1385" i="6"/>
  <c r="F1386" i="6"/>
  <c r="F1387" i="6"/>
  <c r="F1388" i="6"/>
  <c r="F1389" i="6"/>
  <c r="F1390" i="6"/>
  <c r="F1391" i="6"/>
  <c r="F1392" i="6"/>
  <c r="F1393" i="6"/>
  <c r="F1394" i="6"/>
  <c r="F1395" i="6"/>
  <c r="F1396" i="6"/>
  <c r="F1397" i="6"/>
  <c r="F1398" i="6"/>
  <c r="F1399" i="6"/>
  <c r="F1400" i="6"/>
  <c r="F1401" i="6"/>
  <c r="F1402" i="6"/>
  <c r="F1403" i="6"/>
  <c r="F1404" i="6"/>
  <c r="F1405" i="6"/>
  <c r="F1406" i="6"/>
  <c r="F1407" i="6"/>
  <c r="F1408" i="6"/>
  <c r="F1409" i="6"/>
  <c r="F1410" i="6"/>
  <c r="F1411" i="6"/>
  <c r="F1412" i="6"/>
  <c r="F1413" i="6"/>
  <c r="F1414" i="6"/>
  <c r="F1415" i="6"/>
  <c r="F1416" i="6"/>
  <c r="F1417" i="6"/>
  <c r="F1418" i="6"/>
  <c r="F1419" i="6"/>
  <c r="F1420" i="6"/>
  <c r="F1421" i="6"/>
  <c r="F1422" i="6"/>
  <c r="F1423" i="6"/>
  <c r="F1424" i="6"/>
  <c r="F1425" i="6"/>
  <c r="F1426" i="6"/>
  <c r="F1427" i="6"/>
  <c r="F1428" i="6"/>
  <c r="F1429" i="6"/>
  <c r="F1430" i="6"/>
  <c r="F1431" i="6"/>
  <c r="F1432" i="6"/>
  <c r="F1433" i="6"/>
  <c r="F1434" i="6"/>
  <c r="F1435" i="6"/>
  <c r="F1436" i="6"/>
  <c r="F1437" i="6"/>
  <c r="F1438" i="6"/>
  <c r="F1439" i="6"/>
  <c r="F1440" i="6"/>
  <c r="F1441" i="6"/>
  <c r="F1442" i="6"/>
  <c r="F1443" i="6"/>
  <c r="F1444" i="6"/>
  <c r="F1445" i="6"/>
  <c r="F1446" i="6"/>
  <c r="F1447" i="6"/>
  <c r="F1448" i="6"/>
  <c r="F1449" i="6"/>
  <c r="F1450" i="6"/>
  <c r="F1451" i="6"/>
  <c r="F1452" i="6"/>
  <c r="F1453" i="6"/>
  <c r="F1454" i="6"/>
  <c r="F1455" i="6"/>
  <c r="F1456" i="6"/>
  <c r="F1457" i="6"/>
  <c r="F1458" i="6"/>
  <c r="F1459" i="6"/>
  <c r="F1460" i="6"/>
  <c r="F1461" i="6"/>
  <c r="F1462" i="6"/>
  <c r="F1463" i="6"/>
  <c r="F1464" i="6"/>
  <c r="F1465" i="6"/>
  <c r="F1466" i="6"/>
  <c r="F1467" i="6"/>
  <c r="F1468" i="6"/>
  <c r="F1469" i="6"/>
  <c r="F1470" i="6"/>
  <c r="F1471" i="6"/>
  <c r="F1472" i="6"/>
  <c r="F1473" i="6"/>
  <c r="F1474" i="6"/>
  <c r="F1475" i="6"/>
  <c r="F1476" i="6"/>
  <c r="F1477" i="6"/>
  <c r="F1478" i="6"/>
  <c r="F1479" i="6"/>
  <c r="F1480" i="6"/>
  <c r="F1481" i="6"/>
  <c r="F1482" i="6"/>
  <c r="F1483" i="6"/>
  <c r="F1484" i="6"/>
  <c r="F1485" i="6"/>
  <c r="F1486" i="6"/>
  <c r="F1487" i="6"/>
  <c r="F1488" i="6"/>
  <c r="F1489" i="6"/>
  <c r="F1490" i="6"/>
  <c r="F1491" i="6"/>
  <c r="F1492" i="6"/>
  <c r="F1493" i="6"/>
  <c r="F1494" i="6"/>
  <c r="F1495" i="6"/>
  <c r="F1496" i="6"/>
  <c r="F1497" i="6"/>
  <c r="F1498" i="6"/>
  <c r="F1499" i="6"/>
  <c r="F1500" i="6"/>
  <c r="F1501" i="6"/>
  <c r="F1502" i="6"/>
  <c r="F1503" i="6"/>
  <c r="F1504" i="6"/>
  <c r="F1505" i="6"/>
  <c r="F1506" i="6"/>
  <c r="F1507" i="6"/>
  <c r="F1508" i="6"/>
  <c r="F1509" i="6"/>
  <c r="F1510" i="6"/>
  <c r="F1511" i="6"/>
  <c r="F1512" i="6"/>
  <c r="F1513" i="6"/>
  <c r="F1514" i="6"/>
  <c r="F1515" i="6"/>
  <c r="F1516" i="6"/>
  <c r="F1517" i="6"/>
  <c r="F1518" i="6"/>
  <c r="F1519" i="6"/>
  <c r="F1520" i="6"/>
  <c r="F1521" i="6"/>
  <c r="F1522" i="6"/>
  <c r="F1523" i="6"/>
  <c r="F1524" i="6"/>
  <c r="F1525" i="6"/>
  <c r="F1526" i="6"/>
  <c r="F1527" i="6"/>
  <c r="F1528" i="6"/>
  <c r="F1529" i="6"/>
  <c r="F1530" i="6"/>
  <c r="F1531" i="6"/>
  <c r="F1532" i="6"/>
  <c r="F1533" i="6"/>
  <c r="F1534" i="6"/>
  <c r="F1535" i="6"/>
  <c r="F1536" i="6"/>
  <c r="F1537" i="6"/>
  <c r="F1538" i="6"/>
  <c r="F1539" i="6"/>
  <c r="F1540" i="6"/>
  <c r="F1541" i="6"/>
  <c r="F1542" i="6"/>
  <c r="F1543" i="6"/>
  <c r="F1544" i="6"/>
  <c r="F1545" i="6"/>
  <c r="F1546" i="6"/>
  <c r="F1547" i="6"/>
  <c r="F1548" i="6"/>
  <c r="F1549" i="6"/>
  <c r="F1550" i="6"/>
  <c r="F1551" i="6"/>
  <c r="F1552" i="6"/>
  <c r="F1553" i="6"/>
  <c r="F1554" i="6"/>
  <c r="F1555" i="6"/>
  <c r="F1556" i="6"/>
  <c r="F1557" i="6"/>
  <c r="F1558" i="6"/>
  <c r="F1559" i="6"/>
  <c r="F1560" i="6"/>
  <c r="F1561" i="6"/>
  <c r="F1562" i="6"/>
  <c r="F1563" i="6"/>
  <c r="F1564" i="6"/>
  <c r="F1565" i="6"/>
  <c r="F1566" i="6"/>
  <c r="F1567" i="6"/>
  <c r="F1568" i="6"/>
  <c r="F1569" i="6"/>
  <c r="F1570" i="6"/>
  <c r="F1571" i="6"/>
  <c r="F1572" i="6"/>
  <c r="F1573" i="6"/>
  <c r="F1574" i="6"/>
  <c r="F1575" i="6"/>
  <c r="F1576" i="6"/>
  <c r="F1577" i="6"/>
  <c r="F1578" i="6"/>
  <c r="F1579" i="6"/>
  <c r="F1580" i="6"/>
  <c r="F1581" i="6"/>
  <c r="F1582" i="6"/>
  <c r="F1583" i="6"/>
  <c r="F1584" i="6"/>
  <c r="F1585" i="6"/>
  <c r="F1586" i="6"/>
  <c r="F1587" i="6"/>
  <c r="F1588" i="6"/>
  <c r="F1589" i="6"/>
  <c r="F1590" i="6"/>
  <c r="F1591" i="6"/>
  <c r="F1592" i="6"/>
  <c r="F1593" i="6"/>
  <c r="F1594" i="6"/>
  <c r="F1595" i="6"/>
  <c r="F1596" i="6"/>
  <c r="F1597" i="6"/>
  <c r="F1598" i="6"/>
  <c r="F1599" i="6"/>
  <c r="F1600" i="6"/>
  <c r="F1601" i="6"/>
  <c r="F1602" i="6"/>
  <c r="F1603" i="6"/>
  <c r="F1604" i="6"/>
  <c r="F1605" i="6"/>
  <c r="F1606" i="6"/>
  <c r="F1607" i="6"/>
  <c r="F1608" i="6"/>
  <c r="F1609" i="6"/>
  <c r="F1610" i="6"/>
  <c r="F1611" i="6"/>
  <c r="F1612" i="6"/>
  <c r="F1613" i="6"/>
  <c r="F1614" i="6"/>
  <c r="F1615" i="6"/>
  <c r="F1616" i="6"/>
  <c r="F1617" i="6"/>
  <c r="F1618" i="6"/>
  <c r="F1619" i="6"/>
  <c r="F1620" i="6"/>
  <c r="F1621" i="6"/>
  <c r="F1622" i="6"/>
  <c r="F1623" i="6"/>
  <c r="F1624" i="6"/>
  <c r="F1625" i="6"/>
  <c r="F1626" i="6"/>
  <c r="F1627" i="6"/>
  <c r="F1628" i="6"/>
  <c r="F1629" i="6"/>
  <c r="F1630" i="6"/>
  <c r="F1631" i="6"/>
  <c r="F1632" i="6"/>
  <c r="F1633" i="6"/>
  <c r="F1634" i="6"/>
  <c r="F1635" i="6"/>
  <c r="F1636" i="6"/>
  <c r="F1637" i="6"/>
  <c r="F1638" i="6"/>
  <c r="F1639" i="6"/>
  <c r="F1640" i="6"/>
  <c r="F1641" i="6"/>
  <c r="F1642" i="6"/>
  <c r="F1643" i="6"/>
  <c r="F1644" i="6"/>
  <c r="F1645" i="6"/>
  <c r="F1646" i="6"/>
  <c r="F1647" i="6"/>
  <c r="F1648" i="6"/>
  <c r="F1649" i="6"/>
  <c r="F1650" i="6"/>
  <c r="F1651" i="6"/>
  <c r="F1652" i="6"/>
  <c r="F1653" i="6"/>
  <c r="F1654" i="6"/>
  <c r="F1655" i="6"/>
  <c r="F1656" i="6"/>
  <c r="F1657" i="6"/>
  <c r="F1658" i="6"/>
  <c r="F1659" i="6"/>
  <c r="F1660" i="6"/>
  <c r="F1661" i="6"/>
  <c r="F1662" i="6"/>
  <c r="F1663" i="6"/>
  <c r="F1664" i="6"/>
  <c r="F1665" i="6"/>
  <c r="F1666" i="6"/>
  <c r="F1667" i="6"/>
  <c r="F1668" i="6"/>
  <c r="F1669" i="6"/>
  <c r="F1670" i="6"/>
  <c r="F1671" i="6"/>
  <c r="F1672" i="6"/>
  <c r="F1673" i="6"/>
  <c r="F1674" i="6"/>
  <c r="F1675" i="6"/>
  <c r="F1676" i="6"/>
  <c r="F1677" i="6"/>
  <c r="F1678" i="6"/>
  <c r="F1679" i="6"/>
  <c r="F1680" i="6"/>
  <c r="F1681" i="6"/>
  <c r="F1682" i="6"/>
  <c r="F1683" i="6"/>
  <c r="F1684" i="6"/>
  <c r="F1685" i="6"/>
  <c r="F1686" i="6"/>
  <c r="F1687" i="6"/>
  <c r="F1688" i="6"/>
  <c r="F1689" i="6"/>
  <c r="F1690" i="6"/>
  <c r="F1691" i="6"/>
  <c r="F1692" i="6"/>
  <c r="F1693" i="6"/>
  <c r="F1694" i="6"/>
  <c r="F1695" i="6"/>
  <c r="F1696" i="6"/>
  <c r="F1697" i="6"/>
  <c r="F1698" i="6"/>
  <c r="F1699" i="6"/>
  <c r="F1700" i="6"/>
  <c r="F1701" i="6"/>
  <c r="F1702" i="6"/>
  <c r="F1703" i="6"/>
  <c r="F1704" i="6"/>
  <c r="F1705" i="6"/>
  <c r="F1706" i="6"/>
  <c r="F1707" i="6"/>
  <c r="F1708" i="6"/>
  <c r="F1709" i="6"/>
  <c r="F1710" i="6"/>
  <c r="F1711" i="6"/>
  <c r="F1712" i="6"/>
  <c r="F1713" i="6"/>
  <c r="F1714" i="6"/>
  <c r="F1715" i="6"/>
  <c r="F1716" i="6"/>
  <c r="F1717" i="6"/>
  <c r="F1718" i="6"/>
  <c r="F1719" i="6"/>
  <c r="F1720" i="6"/>
  <c r="F1721" i="6"/>
  <c r="F1722" i="6"/>
  <c r="F1723" i="6"/>
  <c r="F1724" i="6"/>
  <c r="F1725" i="6"/>
  <c r="F1726" i="6"/>
  <c r="F1727" i="6"/>
  <c r="F1728" i="6"/>
  <c r="F1729" i="6"/>
  <c r="F1730" i="6"/>
  <c r="F1731" i="6"/>
  <c r="F1732" i="6"/>
  <c r="F1733" i="6"/>
  <c r="F1734" i="6"/>
  <c r="F1735" i="6"/>
  <c r="F1736" i="6"/>
  <c r="F1737" i="6"/>
  <c r="F1738" i="6"/>
  <c r="F1739" i="6"/>
  <c r="F1740" i="6"/>
  <c r="F1741" i="6"/>
  <c r="F1742" i="6"/>
  <c r="F1743" i="6"/>
  <c r="F1744" i="6"/>
  <c r="F1745" i="6"/>
  <c r="F1746" i="6"/>
  <c r="F1747" i="6"/>
  <c r="F1748" i="6"/>
  <c r="F1749" i="6"/>
  <c r="F1750" i="6"/>
  <c r="F1751" i="6"/>
  <c r="F1752" i="6"/>
  <c r="F1753" i="6"/>
  <c r="F1754" i="6"/>
  <c r="F1755" i="6"/>
  <c r="F1756" i="6"/>
  <c r="F1757" i="6"/>
  <c r="F1758" i="6"/>
  <c r="F1759" i="6"/>
  <c r="F1760" i="6"/>
  <c r="F1761" i="6"/>
  <c r="F1762" i="6"/>
  <c r="F1763" i="6"/>
  <c r="F1764" i="6"/>
  <c r="F1765" i="6"/>
  <c r="F1766" i="6"/>
  <c r="F1767" i="6"/>
  <c r="F1768" i="6"/>
  <c r="F1769" i="6"/>
  <c r="F1770" i="6"/>
  <c r="F1771" i="6"/>
  <c r="F1772" i="6"/>
  <c r="F1773" i="6"/>
  <c r="F1774" i="6"/>
  <c r="F1775" i="6"/>
  <c r="F1776" i="6"/>
  <c r="F1777" i="6"/>
  <c r="F1778" i="6"/>
  <c r="F1779" i="6"/>
  <c r="F1780" i="6"/>
  <c r="F1781" i="6"/>
  <c r="F1782" i="6"/>
  <c r="F1783" i="6"/>
  <c r="F1784" i="6"/>
  <c r="F1785" i="6"/>
  <c r="F1786" i="6"/>
  <c r="F1787" i="6"/>
  <c r="F1788" i="6"/>
  <c r="F1789" i="6"/>
  <c r="F1790" i="6"/>
  <c r="F1791" i="6"/>
  <c r="F1792" i="6"/>
  <c r="F1793" i="6"/>
  <c r="F1794" i="6"/>
  <c r="F1795" i="6"/>
  <c r="F1796" i="6"/>
  <c r="F1797" i="6"/>
  <c r="F1798" i="6"/>
  <c r="F1799" i="6"/>
  <c r="F1800" i="6"/>
  <c r="F1801" i="6"/>
  <c r="F1802" i="6"/>
  <c r="F1803" i="6"/>
  <c r="F1804" i="6"/>
  <c r="F1805" i="6"/>
  <c r="F1806" i="6"/>
  <c r="F1807" i="6"/>
  <c r="F1808" i="6"/>
  <c r="F1809" i="6"/>
  <c r="F1810" i="6"/>
  <c r="F1811" i="6"/>
  <c r="F1812" i="6"/>
  <c r="F1813" i="6"/>
  <c r="F1814" i="6"/>
  <c r="F1815" i="6"/>
  <c r="F1816" i="6"/>
  <c r="F1817" i="6"/>
  <c r="F1818" i="6"/>
  <c r="F1819" i="6"/>
  <c r="F1820" i="6"/>
  <c r="F1821" i="6"/>
  <c r="F1822" i="6"/>
  <c r="F1823" i="6"/>
  <c r="F1824" i="6"/>
  <c r="F1825" i="6"/>
  <c r="F1826" i="6"/>
  <c r="F1827" i="6"/>
  <c r="F1828" i="6"/>
  <c r="F1829" i="6"/>
  <c r="F1830" i="6"/>
  <c r="F1831" i="6"/>
  <c r="F1832" i="6"/>
  <c r="F1833" i="6"/>
  <c r="F1834" i="6"/>
  <c r="F1835" i="6"/>
  <c r="F1836" i="6"/>
  <c r="F1837" i="6"/>
  <c r="F1838" i="6"/>
  <c r="F1839" i="6"/>
  <c r="F1840" i="6"/>
  <c r="F1841" i="6"/>
  <c r="F1842" i="6"/>
  <c r="F1843" i="6"/>
  <c r="F1844" i="6"/>
  <c r="F1845" i="6"/>
  <c r="F1846" i="6"/>
  <c r="F1847" i="6"/>
  <c r="F1848" i="6"/>
  <c r="F1849" i="6"/>
  <c r="F1850" i="6"/>
  <c r="F1851" i="6"/>
  <c r="F1852" i="6"/>
  <c r="F1853" i="6"/>
  <c r="F1854" i="6"/>
  <c r="F1855" i="6"/>
  <c r="F1856" i="6"/>
  <c r="F1857" i="6"/>
  <c r="F1858" i="6"/>
  <c r="F1859" i="6"/>
  <c r="F1860" i="6"/>
  <c r="F1861" i="6"/>
  <c r="F1862" i="6"/>
  <c r="F1863" i="6"/>
  <c r="F1864" i="6"/>
  <c r="F1865" i="6"/>
  <c r="F1866" i="6"/>
  <c r="F1867" i="6"/>
  <c r="F1868" i="6"/>
  <c r="F1869" i="6"/>
  <c r="F1870" i="6"/>
  <c r="F1871" i="6"/>
  <c r="F1872" i="6"/>
  <c r="F1873" i="6"/>
  <c r="F1874" i="6"/>
  <c r="F1875" i="6"/>
  <c r="F1876" i="6"/>
  <c r="F1877" i="6"/>
  <c r="F1878" i="6"/>
  <c r="F1879" i="6"/>
  <c r="F1880" i="6"/>
  <c r="F1881" i="6"/>
  <c r="F1882" i="6"/>
  <c r="F1883" i="6"/>
  <c r="F1884" i="6"/>
  <c r="F1885" i="6"/>
  <c r="F1886" i="6"/>
  <c r="F1887" i="6"/>
  <c r="F1888" i="6"/>
  <c r="F1889" i="6"/>
  <c r="F1890" i="6"/>
  <c r="F1891" i="6"/>
  <c r="F1892" i="6"/>
  <c r="F1893" i="6"/>
  <c r="F1894" i="6"/>
  <c r="F1895" i="6"/>
  <c r="F1896" i="6"/>
  <c r="F1897" i="6"/>
  <c r="F1898" i="6"/>
  <c r="F1899" i="6"/>
  <c r="F1900" i="6"/>
  <c r="F1901" i="6"/>
  <c r="F1902" i="6"/>
  <c r="F1903" i="6"/>
  <c r="F1904" i="6"/>
  <c r="F1905" i="6"/>
  <c r="F1906" i="6"/>
  <c r="F1907" i="6"/>
  <c r="F1908" i="6"/>
  <c r="F1909" i="6"/>
  <c r="F1910" i="6"/>
  <c r="F1911" i="6"/>
  <c r="F1912" i="6"/>
  <c r="F1913" i="6"/>
  <c r="F1914" i="6"/>
  <c r="F1915" i="6"/>
  <c r="F1916" i="6"/>
  <c r="F1917" i="6"/>
  <c r="F1918" i="6"/>
  <c r="F1919" i="6"/>
  <c r="F1920" i="6"/>
  <c r="F1921" i="6"/>
  <c r="F1922" i="6"/>
  <c r="F1923" i="6"/>
  <c r="F1924" i="6"/>
  <c r="F1925" i="6"/>
  <c r="F1926" i="6"/>
  <c r="F1927" i="6"/>
  <c r="F1928" i="6"/>
  <c r="F1929" i="6"/>
  <c r="F1930" i="6"/>
  <c r="F1931" i="6"/>
  <c r="F1932" i="6"/>
  <c r="F1933" i="6"/>
  <c r="F1934" i="6"/>
  <c r="F1935" i="6"/>
  <c r="F1936" i="6"/>
  <c r="F1937" i="6"/>
  <c r="F1938" i="6"/>
  <c r="F1939" i="6"/>
  <c r="F1940" i="6"/>
  <c r="F1941" i="6"/>
  <c r="F1942" i="6"/>
  <c r="F1943" i="6"/>
  <c r="F1944" i="6"/>
  <c r="F1945" i="6"/>
  <c r="F1946" i="6"/>
  <c r="F1947" i="6"/>
  <c r="F1948" i="6"/>
  <c r="F1949" i="6"/>
  <c r="F1950" i="6"/>
  <c r="F1951" i="6"/>
  <c r="F1952" i="6"/>
  <c r="F1953" i="6"/>
  <c r="F1954" i="6"/>
  <c r="F1955" i="6"/>
  <c r="F1956" i="6"/>
  <c r="F1957" i="6"/>
  <c r="F1958" i="6"/>
  <c r="F1959" i="6"/>
  <c r="F1960" i="6"/>
  <c r="F1961" i="6"/>
  <c r="F1962" i="6"/>
  <c r="F1963" i="6"/>
  <c r="F1964" i="6"/>
  <c r="F1965" i="6"/>
  <c r="F1966" i="6"/>
  <c r="F1967" i="6"/>
  <c r="F1968" i="6"/>
  <c r="F1969" i="6"/>
  <c r="F1970" i="6"/>
  <c r="F1971" i="6"/>
  <c r="F1972" i="6"/>
  <c r="F1973" i="6"/>
  <c r="F1974" i="6"/>
  <c r="F1975" i="6"/>
  <c r="F1976" i="6"/>
  <c r="F1977" i="6"/>
  <c r="F1978" i="6"/>
  <c r="F1979" i="6"/>
  <c r="F1980" i="6"/>
  <c r="F1981" i="6"/>
  <c r="F1982" i="6"/>
  <c r="F1983" i="6"/>
  <c r="F1984" i="6"/>
  <c r="F1985" i="6"/>
  <c r="F1986" i="6"/>
  <c r="F1987" i="6"/>
  <c r="F1988" i="6"/>
  <c r="F1989" i="6"/>
  <c r="F1990" i="6"/>
  <c r="F1991" i="6"/>
  <c r="F1992" i="6"/>
  <c r="F1993" i="6"/>
  <c r="F1994" i="6"/>
  <c r="F1995" i="6"/>
  <c r="F1996" i="6"/>
  <c r="F1997" i="6"/>
  <c r="F1998" i="6"/>
  <c r="F1999" i="6"/>
  <c r="F2000" i="6"/>
  <c r="F2001" i="6"/>
  <c r="F2002" i="6"/>
  <c r="F2003" i="6"/>
  <c r="F2004" i="6"/>
  <c r="F2005" i="6"/>
  <c r="F2006" i="6"/>
  <c r="F2007" i="6"/>
  <c r="F2008" i="6"/>
  <c r="F2009" i="6"/>
  <c r="F2010" i="6"/>
  <c r="F2011" i="6"/>
  <c r="F2012" i="6"/>
  <c r="F2013" i="6"/>
  <c r="F2014" i="6"/>
  <c r="F2015" i="6"/>
  <c r="F2016" i="6"/>
  <c r="F2017" i="6"/>
  <c r="F2018" i="6"/>
  <c r="F2019" i="6"/>
  <c r="F2020" i="6"/>
  <c r="F2021" i="6"/>
  <c r="F2022" i="6"/>
  <c r="F2023" i="6"/>
  <c r="F2024" i="6"/>
  <c r="F2025" i="6"/>
  <c r="F2026" i="6"/>
  <c r="F2027" i="6"/>
  <c r="F2028" i="6"/>
  <c r="F2029" i="6"/>
  <c r="F2030" i="6"/>
  <c r="F2031" i="6"/>
  <c r="F2032" i="6"/>
  <c r="F2033" i="6"/>
  <c r="F2034" i="6"/>
  <c r="F2035" i="6"/>
  <c r="F2036" i="6"/>
  <c r="F2037" i="6"/>
  <c r="F2038" i="6"/>
  <c r="F2039" i="6"/>
  <c r="F2040" i="6"/>
  <c r="F2041" i="6"/>
  <c r="F2042" i="6"/>
  <c r="F2043" i="6"/>
  <c r="F2044" i="6"/>
  <c r="F2045" i="6"/>
  <c r="F2046" i="6"/>
  <c r="F2047" i="6"/>
  <c r="F2048" i="6"/>
  <c r="F2049" i="6"/>
  <c r="F2050" i="6"/>
  <c r="F2051" i="6"/>
  <c r="F2052" i="6"/>
  <c r="F2053" i="6"/>
  <c r="F2054" i="6"/>
  <c r="F2055" i="6"/>
  <c r="F2056" i="6"/>
  <c r="F2057" i="6"/>
  <c r="F2058" i="6"/>
  <c r="F2059" i="6"/>
  <c r="F2060" i="6"/>
  <c r="F2061" i="6"/>
  <c r="F2062" i="6"/>
  <c r="F2063" i="6"/>
  <c r="F2064" i="6"/>
  <c r="F2065" i="6"/>
  <c r="F2066" i="6"/>
  <c r="F2067" i="6"/>
  <c r="F2068" i="6"/>
  <c r="F2069" i="6"/>
  <c r="F2070" i="6"/>
  <c r="F2071" i="6"/>
  <c r="F2072" i="6"/>
  <c r="F2073" i="6"/>
  <c r="F2074" i="6"/>
  <c r="F2075" i="6"/>
  <c r="F2076" i="6"/>
  <c r="F2077" i="6"/>
  <c r="F2078" i="6"/>
  <c r="F2079" i="6"/>
  <c r="F2080" i="6"/>
  <c r="F2081" i="6"/>
  <c r="F2082" i="6"/>
  <c r="F2083" i="6"/>
  <c r="F2084" i="6"/>
  <c r="F2085" i="6"/>
  <c r="F2086" i="6"/>
  <c r="F2087" i="6"/>
  <c r="F2088" i="6"/>
  <c r="F2089" i="6"/>
  <c r="F2090" i="6"/>
  <c r="F2091" i="6"/>
  <c r="F2092" i="6"/>
  <c r="F2093" i="6"/>
  <c r="F2094" i="6"/>
  <c r="F2095" i="6"/>
  <c r="F2096" i="6"/>
  <c r="F2097" i="6"/>
  <c r="F2098" i="6"/>
  <c r="F2099" i="6"/>
  <c r="F2100" i="6"/>
  <c r="F2101" i="6"/>
  <c r="F2102" i="6"/>
  <c r="F2103" i="6"/>
  <c r="F2104" i="6"/>
  <c r="F2105" i="6"/>
  <c r="F2106" i="6"/>
  <c r="F2107" i="6"/>
  <c r="F2108" i="6"/>
  <c r="F2109" i="6"/>
  <c r="F2110" i="6"/>
  <c r="F2111" i="6"/>
  <c r="F2112" i="6"/>
  <c r="F2113" i="6"/>
  <c r="F2114" i="6"/>
  <c r="F2115" i="6"/>
  <c r="F2116" i="6"/>
  <c r="F2117" i="6"/>
  <c r="F2118" i="6"/>
  <c r="F2119" i="6"/>
  <c r="F2120" i="6"/>
  <c r="F2121" i="6"/>
  <c r="F2122" i="6"/>
  <c r="F2123" i="6"/>
  <c r="F2124" i="6"/>
  <c r="F2125" i="6"/>
  <c r="F2126" i="6"/>
  <c r="F2127" i="6"/>
  <c r="F2128" i="6"/>
  <c r="F2129" i="6"/>
  <c r="F2130" i="6"/>
  <c r="F2131" i="6"/>
  <c r="F2132" i="6"/>
  <c r="F2133" i="6"/>
  <c r="F2134" i="6"/>
  <c r="F2135" i="6"/>
  <c r="F2136" i="6"/>
  <c r="F2137" i="6"/>
  <c r="F2138" i="6"/>
  <c r="F2139" i="6"/>
  <c r="F2140" i="6"/>
  <c r="F2141" i="6"/>
  <c r="F2142" i="6"/>
  <c r="F2143" i="6"/>
  <c r="F2144" i="6"/>
  <c r="F2145" i="6"/>
  <c r="F2146" i="6"/>
  <c r="F2147" i="6"/>
  <c r="F2148" i="6"/>
  <c r="F2149" i="6"/>
  <c r="F2150" i="6"/>
  <c r="F2151" i="6"/>
  <c r="F2152" i="6"/>
  <c r="F2153" i="6"/>
  <c r="F2154" i="6"/>
  <c r="F2155" i="6"/>
  <c r="F2156" i="6"/>
  <c r="F2157" i="6"/>
  <c r="F2158" i="6"/>
  <c r="F2159" i="6"/>
  <c r="F2160" i="6"/>
  <c r="F2161" i="6"/>
  <c r="F2162" i="6"/>
  <c r="F2163" i="6"/>
  <c r="F2164" i="6"/>
  <c r="F2165" i="6"/>
  <c r="F2166" i="6"/>
  <c r="F2167" i="6"/>
  <c r="F2168" i="6"/>
  <c r="F2169" i="6"/>
  <c r="F2170" i="6"/>
  <c r="F2171" i="6"/>
  <c r="F2172" i="6"/>
  <c r="F2173" i="6"/>
  <c r="F2174" i="6"/>
  <c r="F2175" i="6"/>
  <c r="F2176" i="6"/>
  <c r="F2177" i="6"/>
  <c r="F2178" i="6"/>
  <c r="F2179" i="6"/>
  <c r="F2180" i="6"/>
  <c r="F2181" i="6"/>
  <c r="F2182" i="6"/>
  <c r="F2183" i="6"/>
  <c r="F2184" i="6"/>
  <c r="F2185" i="6"/>
  <c r="F2186" i="6"/>
  <c r="F2187" i="6"/>
  <c r="F2188" i="6"/>
  <c r="F2189" i="6"/>
  <c r="F2190" i="6"/>
  <c r="F2191" i="6"/>
  <c r="F2192" i="6"/>
  <c r="F2193" i="6"/>
  <c r="F2194" i="6"/>
  <c r="F2195" i="6"/>
  <c r="F2196" i="6"/>
  <c r="F2197" i="6"/>
  <c r="F2198" i="6"/>
  <c r="F2199" i="6"/>
  <c r="F2200" i="6"/>
  <c r="F2201" i="6"/>
  <c r="F2202" i="6"/>
  <c r="F2203" i="6"/>
  <c r="F2204" i="6"/>
  <c r="F2205" i="6"/>
  <c r="F2206" i="6"/>
  <c r="F2207" i="6"/>
  <c r="F2208" i="6"/>
  <c r="F2209" i="6"/>
  <c r="F2210" i="6"/>
  <c r="F2211" i="6"/>
  <c r="F2212" i="6"/>
  <c r="F2213" i="6"/>
  <c r="F2214" i="6"/>
  <c r="F2215" i="6"/>
  <c r="F2216" i="6"/>
  <c r="F2217" i="6"/>
  <c r="F2218" i="6"/>
  <c r="F2219" i="6"/>
  <c r="F2220" i="6"/>
  <c r="F2221" i="6"/>
  <c r="F2222" i="6"/>
  <c r="F2223" i="6"/>
  <c r="F2224" i="6"/>
  <c r="F2225" i="6"/>
  <c r="F2226" i="6"/>
  <c r="F2227" i="6"/>
  <c r="F2228" i="6"/>
  <c r="F2229" i="6"/>
  <c r="F2230" i="6"/>
  <c r="F2231" i="6"/>
  <c r="F2232" i="6"/>
  <c r="F2233" i="6"/>
  <c r="F2234" i="6"/>
  <c r="F2235" i="6"/>
  <c r="F2236" i="6"/>
  <c r="F2237" i="6"/>
  <c r="F2238" i="6"/>
  <c r="F2239" i="6"/>
  <c r="F2240" i="6"/>
  <c r="F2241" i="6"/>
  <c r="F2242" i="6"/>
  <c r="F2243" i="6"/>
  <c r="F2244" i="6"/>
  <c r="F2245" i="6"/>
  <c r="F2246" i="6"/>
  <c r="F2247" i="6"/>
  <c r="F2248" i="6"/>
  <c r="F2249" i="6"/>
  <c r="F2250" i="6"/>
  <c r="F2251" i="6"/>
  <c r="F2252" i="6"/>
  <c r="F2253" i="6"/>
  <c r="F2254" i="6"/>
  <c r="F2255" i="6"/>
  <c r="F2256" i="6"/>
  <c r="F2257" i="6"/>
  <c r="F2258" i="6"/>
  <c r="F2259" i="6"/>
  <c r="F2260" i="6"/>
  <c r="F2261" i="6"/>
  <c r="F2262" i="6"/>
  <c r="F2263" i="6"/>
  <c r="F2264" i="6"/>
  <c r="F2265" i="6"/>
  <c r="F2266" i="6"/>
  <c r="F2267" i="6"/>
  <c r="F2268" i="6"/>
  <c r="F2269" i="6"/>
  <c r="F2270" i="6"/>
  <c r="F2271" i="6"/>
  <c r="F2272" i="6"/>
  <c r="F2273" i="6"/>
  <c r="F2274" i="6"/>
  <c r="F2275" i="6"/>
  <c r="F2276" i="6"/>
  <c r="F2277" i="6"/>
  <c r="F2278" i="6"/>
  <c r="F2279" i="6"/>
  <c r="F2280" i="6"/>
  <c r="F2281" i="6"/>
  <c r="F2282" i="6"/>
  <c r="F2283" i="6"/>
  <c r="F2284" i="6"/>
  <c r="F2285" i="6"/>
  <c r="F2286" i="6"/>
  <c r="F2287" i="6"/>
  <c r="F2288" i="6"/>
  <c r="F2289" i="6"/>
  <c r="F2290" i="6"/>
  <c r="F2291" i="6"/>
  <c r="F2292" i="6"/>
  <c r="F2293" i="6"/>
  <c r="F2294" i="6"/>
  <c r="F2295" i="6"/>
  <c r="F2296" i="6"/>
  <c r="F2297" i="6"/>
  <c r="F2298" i="6"/>
  <c r="F2299" i="6"/>
  <c r="F2300" i="6"/>
  <c r="F2301" i="6"/>
  <c r="F2302" i="6"/>
  <c r="F2303" i="6"/>
  <c r="F2304" i="6"/>
  <c r="F2305" i="6"/>
  <c r="F2306" i="6"/>
  <c r="F2307" i="6"/>
  <c r="F2308" i="6"/>
  <c r="F2309" i="6"/>
  <c r="F2310" i="6"/>
  <c r="F2311" i="6"/>
  <c r="F2312" i="6"/>
  <c r="F2313" i="6"/>
  <c r="F2314" i="6"/>
  <c r="F2315" i="6"/>
  <c r="F2316" i="6"/>
  <c r="F2317" i="6"/>
  <c r="F2318" i="6"/>
  <c r="F2319" i="6"/>
  <c r="F2320" i="6"/>
  <c r="F2321" i="6"/>
  <c r="F2322" i="6"/>
  <c r="F2323" i="6"/>
  <c r="F2324" i="6"/>
  <c r="F2325" i="6"/>
  <c r="F2326" i="6"/>
  <c r="F2327" i="6"/>
  <c r="F2328" i="6"/>
  <c r="F2329" i="6"/>
  <c r="F2330" i="6"/>
  <c r="F2331" i="6"/>
  <c r="F2332" i="6"/>
  <c r="F2333" i="6"/>
  <c r="F2334" i="6"/>
  <c r="F2335" i="6"/>
  <c r="F2336" i="6"/>
  <c r="F2337" i="6"/>
  <c r="F2338" i="6"/>
  <c r="F2339" i="6"/>
  <c r="F2340" i="6"/>
  <c r="F2341" i="6"/>
  <c r="F2342" i="6"/>
  <c r="F2343" i="6"/>
  <c r="F2344" i="6"/>
  <c r="F2345" i="6"/>
  <c r="F2346" i="6"/>
  <c r="F2347" i="6"/>
  <c r="F2348" i="6"/>
  <c r="F2349" i="6"/>
  <c r="F2350" i="6"/>
  <c r="F2351" i="6"/>
  <c r="F2352" i="6"/>
  <c r="F2353" i="6"/>
  <c r="F2354" i="6"/>
  <c r="F2355" i="6"/>
  <c r="F2356" i="6"/>
  <c r="F2357" i="6"/>
  <c r="F2358" i="6"/>
  <c r="F2359" i="6"/>
  <c r="F2360" i="6"/>
  <c r="F2361" i="6"/>
  <c r="F2362" i="6"/>
  <c r="F2363" i="6"/>
  <c r="F2364" i="6"/>
  <c r="F2365" i="6"/>
  <c r="F2366" i="6"/>
  <c r="F2367" i="6"/>
  <c r="F2368" i="6"/>
  <c r="F2369" i="6"/>
  <c r="F2370" i="6"/>
  <c r="F2371" i="6"/>
  <c r="F2372" i="6"/>
  <c r="F2373" i="6"/>
  <c r="F2374" i="6"/>
  <c r="F2375" i="6"/>
  <c r="F2376" i="6"/>
  <c r="F2377" i="6"/>
  <c r="F2378" i="6"/>
  <c r="F2379" i="6"/>
  <c r="F2380" i="6"/>
  <c r="F2381" i="6"/>
  <c r="F2382" i="6"/>
  <c r="F2383" i="6"/>
  <c r="F2384" i="6"/>
  <c r="F2385" i="6"/>
  <c r="F2386" i="6"/>
  <c r="F2387" i="6"/>
  <c r="F2388" i="6"/>
  <c r="F2389" i="6"/>
  <c r="F2390" i="6"/>
  <c r="F2391" i="6"/>
  <c r="F2392" i="6"/>
  <c r="F2393" i="6"/>
  <c r="F2394" i="6"/>
  <c r="F2395" i="6"/>
  <c r="F2396" i="6"/>
  <c r="F2397" i="6"/>
  <c r="F2398" i="6"/>
  <c r="F2399" i="6"/>
  <c r="F2400" i="6"/>
  <c r="F2401" i="6"/>
  <c r="F2402" i="6"/>
  <c r="F2403" i="6"/>
  <c r="F2404" i="6"/>
  <c r="F2405" i="6"/>
  <c r="F2406" i="6"/>
  <c r="F2407" i="6"/>
  <c r="F2408" i="6"/>
  <c r="F2409" i="6"/>
  <c r="F2410" i="6"/>
  <c r="F2411" i="6"/>
  <c r="F2412" i="6"/>
  <c r="F2413" i="6"/>
  <c r="F2414" i="6"/>
  <c r="F2415" i="6"/>
  <c r="F2416" i="6"/>
  <c r="F2417" i="6"/>
  <c r="F2418" i="6"/>
  <c r="F2419" i="6"/>
  <c r="F2420" i="6"/>
  <c r="F2421" i="6"/>
  <c r="F2422" i="6"/>
  <c r="F2423" i="6"/>
  <c r="F2424" i="6"/>
  <c r="F2425" i="6"/>
  <c r="F2426" i="6"/>
  <c r="F2427" i="6"/>
  <c r="F2428" i="6"/>
  <c r="F2429" i="6"/>
  <c r="F2430" i="6"/>
  <c r="F2431" i="6"/>
  <c r="F2432" i="6"/>
  <c r="F2433" i="6"/>
  <c r="F2434" i="6"/>
  <c r="F2435" i="6"/>
  <c r="F2436" i="6"/>
  <c r="F2437" i="6"/>
  <c r="F2438" i="6"/>
  <c r="F2439" i="6"/>
  <c r="F2440" i="6"/>
  <c r="F2441" i="6"/>
  <c r="F2442" i="6"/>
  <c r="F2443" i="6"/>
  <c r="F2444" i="6"/>
  <c r="F2445" i="6"/>
  <c r="F2446" i="6"/>
  <c r="F2447" i="6"/>
  <c r="F2448" i="6"/>
  <c r="F2449" i="6"/>
  <c r="F2450" i="6"/>
  <c r="F2451" i="6"/>
  <c r="F2452" i="6"/>
  <c r="F2453" i="6"/>
  <c r="F2454" i="6"/>
  <c r="F2455" i="6"/>
  <c r="F2456" i="6"/>
  <c r="F2457" i="6"/>
  <c r="F2458" i="6"/>
  <c r="F2459" i="6"/>
  <c r="F2460" i="6"/>
  <c r="F2461" i="6"/>
  <c r="F2462" i="6"/>
  <c r="F2463" i="6"/>
  <c r="F2464" i="6"/>
  <c r="F2465" i="6"/>
  <c r="F2466" i="6"/>
  <c r="F2467" i="6"/>
  <c r="F2468" i="6"/>
  <c r="F2469" i="6"/>
  <c r="F2470" i="6"/>
  <c r="F2471" i="6"/>
  <c r="F2472" i="6"/>
  <c r="F2473" i="6"/>
  <c r="F2474" i="6"/>
  <c r="F2475" i="6"/>
  <c r="F2476" i="6"/>
  <c r="F2477" i="6"/>
  <c r="F2478" i="6"/>
  <c r="F2479" i="6"/>
  <c r="F2480" i="6"/>
  <c r="F2481" i="6"/>
  <c r="F2482" i="6"/>
  <c r="F2483" i="6"/>
  <c r="F2484" i="6"/>
  <c r="F2485" i="6"/>
  <c r="F2486" i="6"/>
  <c r="F2487" i="6"/>
  <c r="F2488" i="6"/>
  <c r="F2489" i="6"/>
  <c r="F2490" i="6"/>
  <c r="F2491" i="6"/>
  <c r="F2492" i="6"/>
  <c r="F2493" i="6"/>
  <c r="F2494" i="6"/>
  <c r="F2495" i="6"/>
  <c r="F2496" i="6"/>
  <c r="F2497" i="6"/>
  <c r="F2498" i="6"/>
  <c r="F2499" i="6"/>
  <c r="F2500" i="6"/>
  <c r="F2501" i="6"/>
  <c r="F2502" i="6"/>
  <c r="F2503" i="6"/>
  <c r="F2504" i="6"/>
  <c r="F2505" i="6"/>
  <c r="F2506" i="6"/>
  <c r="F2507" i="6"/>
  <c r="F2508" i="6"/>
  <c r="F2509" i="6"/>
  <c r="F2510" i="6"/>
  <c r="F2511" i="6"/>
  <c r="F2512" i="6"/>
  <c r="F2513" i="6"/>
  <c r="F2514" i="6"/>
  <c r="F2515" i="6"/>
  <c r="F2516" i="6"/>
  <c r="F2517" i="6"/>
  <c r="F2518" i="6"/>
  <c r="F2519" i="6"/>
  <c r="F2520" i="6"/>
  <c r="F2521" i="6"/>
  <c r="F2522" i="6"/>
  <c r="F2523" i="6"/>
  <c r="F2524" i="6"/>
  <c r="F2525" i="6"/>
  <c r="F2526" i="6"/>
  <c r="F2527" i="6"/>
  <c r="F2528" i="6"/>
  <c r="F2529" i="6"/>
  <c r="F2530" i="6"/>
  <c r="F2531" i="6"/>
  <c r="F2532" i="6"/>
  <c r="F2533" i="6"/>
  <c r="F2534" i="6"/>
  <c r="F2535" i="6"/>
  <c r="F2536" i="6"/>
  <c r="F2537" i="6"/>
  <c r="F2538" i="6"/>
  <c r="F2539" i="6"/>
  <c r="F2540" i="6"/>
  <c r="F2541" i="6"/>
  <c r="F2542" i="6"/>
  <c r="F2543" i="6"/>
  <c r="F2544" i="6"/>
  <c r="F2545" i="6"/>
  <c r="F2546" i="6"/>
  <c r="F2547" i="6"/>
  <c r="F2548" i="6"/>
  <c r="F2549" i="6"/>
  <c r="F2550" i="6"/>
  <c r="F2551" i="6"/>
  <c r="F2552" i="6"/>
  <c r="F2553" i="6"/>
  <c r="F2554" i="6"/>
  <c r="F2555" i="6"/>
  <c r="F2556" i="6"/>
  <c r="F2557" i="6"/>
  <c r="F2558" i="6"/>
  <c r="F2559" i="6"/>
  <c r="F2560" i="6"/>
  <c r="F2561" i="6"/>
  <c r="F2562" i="6"/>
  <c r="F2563" i="6"/>
  <c r="F2564" i="6"/>
  <c r="F2565" i="6"/>
  <c r="F2566" i="6"/>
  <c r="F2567" i="6"/>
  <c r="F2568" i="6"/>
  <c r="F2569" i="6"/>
  <c r="F2570" i="6"/>
  <c r="F2571" i="6"/>
  <c r="F2572" i="6"/>
  <c r="F2573" i="6"/>
  <c r="F2574" i="6"/>
  <c r="F2575" i="6"/>
  <c r="F2576" i="6"/>
  <c r="F2577" i="6"/>
  <c r="F2578" i="6"/>
  <c r="F2579" i="6"/>
  <c r="F2580" i="6"/>
  <c r="F2581" i="6"/>
  <c r="F2582" i="6"/>
  <c r="F2583" i="6"/>
  <c r="F2584" i="6"/>
  <c r="F2585" i="6"/>
  <c r="F2586" i="6"/>
  <c r="F2587" i="6"/>
  <c r="F2588" i="6"/>
  <c r="F2589" i="6"/>
  <c r="F2590" i="6"/>
  <c r="F2591" i="6"/>
  <c r="F2592" i="6"/>
  <c r="F2593" i="6"/>
  <c r="F2594" i="6"/>
  <c r="F2595" i="6"/>
  <c r="F2596" i="6"/>
  <c r="F2597" i="6"/>
  <c r="F2598" i="6"/>
  <c r="F2599" i="6"/>
  <c r="F2600" i="6"/>
  <c r="F2601" i="6"/>
  <c r="F2602" i="6"/>
  <c r="F2603" i="6"/>
  <c r="F2604" i="6"/>
  <c r="F2605" i="6"/>
  <c r="F2606" i="6"/>
  <c r="F2607" i="6"/>
  <c r="F2608" i="6"/>
  <c r="F2609" i="6"/>
  <c r="F2610" i="6"/>
  <c r="F2611" i="6"/>
  <c r="F2612" i="6"/>
  <c r="F2613" i="6"/>
  <c r="F2614" i="6"/>
  <c r="F2615" i="6"/>
  <c r="F2616" i="6"/>
  <c r="F2617" i="6"/>
  <c r="F2618" i="6"/>
  <c r="F2619" i="6"/>
  <c r="F2620" i="6"/>
  <c r="F2621" i="6"/>
  <c r="F2622" i="6"/>
  <c r="F2623" i="6"/>
  <c r="F2624" i="6"/>
  <c r="F2625" i="6"/>
  <c r="F2626" i="6"/>
  <c r="F2627" i="6"/>
  <c r="F2628" i="6"/>
  <c r="F2629" i="6"/>
  <c r="F2630" i="6"/>
  <c r="F2631" i="6"/>
  <c r="F2632" i="6"/>
  <c r="F2633" i="6"/>
  <c r="F2634" i="6"/>
  <c r="F2635" i="6"/>
  <c r="F2636" i="6"/>
  <c r="F2637" i="6"/>
  <c r="F2638" i="6"/>
  <c r="F2639" i="6"/>
  <c r="F2640" i="6"/>
  <c r="F2641" i="6"/>
  <c r="F2642" i="6"/>
  <c r="F2643" i="6"/>
  <c r="F2644" i="6"/>
  <c r="F2645" i="6"/>
  <c r="F2646" i="6"/>
  <c r="F2647" i="6"/>
  <c r="F2648" i="6"/>
  <c r="F2649" i="6"/>
  <c r="F2650" i="6"/>
  <c r="F2651" i="6"/>
  <c r="F2652" i="6"/>
  <c r="F2653" i="6"/>
  <c r="F2654" i="6"/>
  <c r="F2655" i="6"/>
  <c r="F2656" i="6"/>
  <c r="F2657" i="6"/>
  <c r="F2658" i="6"/>
  <c r="F2659" i="6"/>
  <c r="F2660" i="6"/>
  <c r="F2661" i="6"/>
  <c r="F2662" i="6"/>
  <c r="F2663" i="6"/>
  <c r="F2664" i="6"/>
  <c r="F2665" i="6"/>
  <c r="F2666" i="6"/>
  <c r="F2667" i="6"/>
  <c r="F2668" i="6"/>
  <c r="F2669" i="6"/>
  <c r="F2670" i="6"/>
  <c r="F2671" i="6"/>
  <c r="F2672" i="6"/>
  <c r="F2673" i="6"/>
  <c r="F2674" i="6"/>
  <c r="F2675" i="6"/>
  <c r="F2676" i="6"/>
  <c r="F2677" i="6"/>
  <c r="F2678" i="6"/>
  <c r="F2679" i="6"/>
  <c r="F2680" i="6"/>
  <c r="F2681" i="6"/>
  <c r="F2682" i="6"/>
  <c r="F2683" i="6"/>
  <c r="F2684" i="6"/>
  <c r="F2685" i="6"/>
  <c r="F2686" i="6"/>
  <c r="F2687" i="6"/>
  <c r="F2688" i="6"/>
  <c r="F2689" i="6"/>
  <c r="F2690" i="6"/>
  <c r="F2691" i="6"/>
  <c r="F2692" i="6"/>
  <c r="F2693" i="6"/>
  <c r="F2694" i="6"/>
  <c r="F2695" i="6"/>
  <c r="F2696" i="6"/>
  <c r="F2697" i="6"/>
  <c r="F2698" i="6"/>
  <c r="F2699" i="6"/>
  <c r="F2700" i="6"/>
  <c r="F2701" i="6"/>
  <c r="F2702" i="6"/>
  <c r="F2703" i="6"/>
  <c r="F2704" i="6"/>
  <c r="F2705" i="6"/>
  <c r="F2706" i="6"/>
  <c r="F2707" i="6"/>
  <c r="F2708" i="6"/>
  <c r="F2709" i="6"/>
  <c r="F2710" i="6"/>
  <c r="F2711" i="6"/>
  <c r="F2712" i="6"/>
  <c r="F2713" i="6"/>
  <c r="F2714" i="6"/>
  <c r="F2715" i="6"/>
  <c r="F2716" i="6"/>
  <c r="F2717" i="6"/>
  <c r="F2718" i="6"/>
  <c r="F2719" i="6"/>
  <c r="F2720" i="6"/>
  <c r="F2721" i="6"/>
  <c r="F2722" i="6"/>
  <c r="F2723" i="6"/>
  <c r="F2724" i="6"/>
  <c r="F2725" i="6"/>
  <c r="F2726" i="6"/>
  <c r="F2727" i="6"/>
  <c r="F2728" i="6"/>
  <c r="F2729" i="6"/>
  <c r="F2730" i="6"/>
  <c r="F2731" i="6"/>
  <c r="F2732" i="6"/>
  <c r="F2733" i="6"/>
  <c r="F2734" i="6"/>
  <c r="F2735" i="6"/>
  <c r="F2736" i="6"/>
  <c r="F2737" i="6"/>
  <c r="F2738" i="6"/>
  <c r="F2739" i="6"/>
  <c r="F2740" i="6"/>
  <c r="F2741" i="6"/>
  <c r="F2742" i="6"/>
  <c r="F2743" i="6"/>
  <c r="F2744" i="6"/>
  <c r="F2745" i="6"/>
  <c r="F2746" i="6"/>
  <c r="F2747" i="6"/>
  <c r="F2748" i="6"/>
  <c r="F2749" i="6"/>
  <c r="F2750" i="6"/>
  <c r="F2751" i="6"/>
  <c r="F2752" i="6"/>
  <c r="F2753" i="6"/>
  <c r="F2754" i="6"/>
  <c r="F2755" i="6"/>
  <c r="F2756" i="6"/>
  <c r="F2757" i="6"/>
  <c r="F2758" i="6"/>
  <c r="F2759" i="6"/>
  <c r="F2760" i="6"/>
  <c r="F2761" i="6"/>
  <c r="F2762" i="6"/>
  <c r="F2763" i="6"/>
  <c r="F2764" i="6"/>
  <c r="F2765" i="6"/>
  <c r="F2766" i="6"/>
  <c r="F2767" i="6"/>
  <c r="F2768" i="6"/>
  <c r="F2769" i="6"/>
  <c r="F2770" i="6"/>
  <c r="F2771" i="6"/>
  <c r="F2772" i="6"/>
  <c r="F2773" i="6"/>
  <c r="F2774" i="6"/>
  <c r="F2775" i="6"/>
  <c r="F2776" i="6"/>
  <c r="F2777" i="6"/>
  <c r="F2778" i="6"/>
  <c r="F2779" i="6"/>
  <c r="F2780" i="6"/>
  <c r="F2781" i="6"/>
  <c r="F2782" i="6"/>
  <c r="F2783" i="6"/>
  <c r="F2784" i="6"/>
  <c r="F2785" i="6"/>
  <c r="F2786" i="6"/>
  <c r="F2787" i="6"/>
  <c r="F2788" i="6"/>
  <c r="F2789" i="6"/>
  <c r="F2790" i="6"/>
  <c r="F2791" i="6"/>
  <c r="F2792" i="6"/>
  <c r="F2793" i="6"/>
  <c r="F2794" i="6"/>
  <c r="F2795" i="6"/>
  <c r="F2796" i="6"/>
  <c r="F2797" i="6"/>
  <c r="F2798" i="6"/>
  <c r="F2799" i="6"/>
  <c r="F2800" i="6"/>
  <c r="F2801" i="6"/>
  <c r="F2802" i="6"/>
  <c r="F2803" i="6"/>
  <c r="F2804" i="6"/>
  <c r="F2805" i="6"/>
  <c r="F2806" i="6"/>
  <c r="F2807" i="6"/>
  <c r="F2808" i="6"/>
  <c r="F2809" i="6"/>
  <c r="F2810" i="6"/>
  <c r="F2811" i="6"/>
  <c r="F2812" i="6"/>
  <c r="F2813" i="6"/>
  <c r="F2814" i="6"/>
  <c r="F2815" i="6"/>
  <c r="F2816" i="6"/>
  <c r="F2817" i="6"/>
  <c r="F2818" i="6"/>
  <c r="F2819" i="6"/>
  <c r="F2820" i="6"/>
  <c r="F2821" i="6"/>
  <c r="F2822" i="6"/>
  <c r="F2823" i="6"/>
  <c r="F2824" i="6"/>
  <c r="F2825" i="6"/>
  <c r="F2826" i="6"/>
  <c r="F2827" i="6"/>
  <c r="F2828" i="6"/>
  <c r="F2829" i="6"/>
  <c r="F2830" i="6"/>
  <c r="F2831" i="6"/>
  <c r="F2832" i="6"/>
  <c r="F2833" i="6"/>
  <c r="F2834" i="6"/>
  <c r="F2835" i="6"/>
  <c r="F2836" i="6"/>
  <c r="F2837" i="6"/>
  <c r="F2838" i="6"/>
  <c r="F2839" i="6"/>
  <c r="F2840" i="6"/>
  <c r="F2841" i="6"/>
  <c r="F2842" i="6"/>
  <c r="F2843" i="6"/>
  <c r="F2844" i="6"/>
  <c r="F2845" i="6"/>
  <c r="F2846" i="6"/>
  <c r="F2847" i="6"/>
  <c r="F2848" i="6"/>
  <c r="F2849" i="6"/>
  <c r="F2850" i="6"/>
  <c r="F2851" i="6"/>
  <c r="F2852" i="6"/>
  <c r="F2853" i="6"/>
  <c r="F2854" i="6"/>
  <c r="F2855" i="6"/>
  <c r="F2856" i="6"/>
  <c r="F2857" i="6"/>
  <c r="F2858" i="6"/>
  <c r="F2859" i="6"/>
  <c r="F2860" i="6"/>
  <c r="F2861" i="6"/>
  <c r="F2862" i="6"/>
  <c r="F2863" i="6"/>
  <c r="F2864" i="6"/>
  <c r="F2865" i="6"/>
  <c r="F2866" i="6"/>
  <c r="F2867" i="6"/>
  <c r="F2868" i="6"/>
  <c r="F2869" i="6"/>
  <c r="F2870" i="6"/>
  <c r="F2871" i="6"/>
  <c r="F2872" i="6"/>
  <c r="F2873" i="6"/>
  <c r="F2874" i="6"/>
  <c r="F2875" i="6"/>
  <c r="F2876" i="6"/>
  <c r="F2877" i="6"/>
  <c r="F2878" i="6"/>
  <c r="F2879" i="6"/>
  <c r="F2880" i="6"/>
  <c r="F2881" i="6"/>
  <c r="F2882" i="6"/>
  <c r="F2883" i="6"/>
  <c r="F2884" i="6"/>
  <c r="F2885" i="6"/>
  <c r="F2886" i="6"/>
  <c r="F2887" i="6"/>
  <c r="F2888" i="6"/>
  <c r="F2889" i="6"/>
  <c r="F2890" i="6"/>
  <c r="F2891" i="6"/>
  <c r="F2892" i="6"/>
  <c r="F2893" i="6"/>
  <c r="F2894" i="6"/>
  <c r="F2895" i="6"/>
  <c r="F2896" i="6"/>
  <c r="F2897" i="6"/>
  <c r="F2898" i="6"/>
  <c r="F2899" i="6"/>
  <c r="F2900" i="6"/>
  <c r="F2901" i="6"/>
  <c r="F2902" i="6"/>
  <c r="F2903" i="6"/>
  <c r="F2904" i="6"/>
  <c r="F2905" i="6"/>
  <c r="F2906" i="6"/>
  <c r="F2907" i="6"/>
  <c r="F2908" i="6"/>
  <c r="F2909" i="6"/>
  <c r="F2910" i="6"/>
  <c r="F2911" i="6"/>
  <c r="F2912" i="6"/>
  <c r="F2913" i="6"/>
  <c r="F2914" i="6"/>
  <c r="F2915" i="6"/>
  <c r="F2916" i="6"/>
  <c r="F2917" i="6"/>
  <c r="F2918" i="6"/>
  <c r="F2919" i="6"/>
  <c r="F2920" i="6"/>
  <c r="F2921" i="6"/>
  <c r="F2922" i="6"/>
  <c r="F2923" i="6"/>
  <c r="F2924" i="6"/>
  <c r="F2925" i="6"/>
  <c r="F2926" i="6"/>
  <c r="F2927" i="6"/>
  <c r="F2928" i="6"/>
  <c r="F2929" i="6"/>
  <c r="F2930" i="6"/>
  <c r="F2931" i="6"/>
  <c r="F2932" i="6"/>
  <c r="F2933" i="6"/>
  <c r="F2934" i="6"/>
  <c r="F2935" i="6"/>
  <c r="F2936" i="6"/>
  <c r="F2937" i="6"/>
  <c r="F2938" i="6"/>
  <c r="F2939" i="6"/>
  <c r="F2940" i="6"/>
  <c r="F2941" i="6"/>
  <c r="F2942" i="6"/>
  <c r="F2943" i="6"/>
  <c r="F2944" i="6"/>
  <c r="F2945" i="6"/>
  <c r="F2946" i="6"/>
  <c r="F2947" i="6"/>
  <c r="F2948" i="6"/>
  <c r="F2949" i="6"/>
  <c r="F2950" i="6"/>
  <c r="F2951" i="6"/>
  <c r="F2952" i="6"/>
  <c r="F2953" i="6"/>
  <c r="F2954" i="6"/>
  <c r="F2955" i="6"/>
  <c r="F2956" i="6"/>
  <c r="F2957" i="6"/>
  <c r="F2958" i="6"/>
  <c r="F2959" i="6"/>
  <c r="F2960" i="6"/>
  <c r="F2961" i="6"/>
  <c r="F2962" i="6"/>
  <c r="F2963" i="6"/>
  <c r="F2964" i="6"/>
  <c r="F2965" i="6"/>
  <c r="F2966" i="6"/>
  <c r="F2967" i="6"/>
  <c r="F2968" i="6"/>
  <c r="F2969" i="6"/>
  <c r="F2970" i="6"/>
  <c r="F2971" i="6"/>
  <c r="F2972" i="6"/>
  <c r="F2973" i="6"/>
  <c r="F2974" i="6"/>
  <c r="F2975" i="6"/>
  <c r="F2976" i="6"/>
  <c r="F2977" i="6"/>
  <c r="F2978" i="6"/>
  <c r="F2979" i="6"/>
  <c r="F2980" i="6"/>
  <c r="F2981" i="6"/>
  <c r="F2982" i="6"/>
  <c r="F2983" i="6"/>
  <c r="F2984" i="6"/>
  <c r="F2985" i="6"/>
  <c r="F2986" i="6"/>
  <c r="F2987" i="6"/>
  <c r="F2988" i="6"/>
  <c r="F2989" i="6"/>
  <c r="F2990" i="6"/>
  <c r="F2991" i="6"/>
  <c r="F2992" i="6"/>
  <c r="F2993" i="6"/>
  <c r="F2994" i="6"/>
  <c r="F2995" i="6"/>
  <c r="F2996" i="6"/>
  <c r="F2997" i="6"/>
  <c r="F2998" i="6"/>
  <c r="F2999" i="6"/>
  <c r="F3000" i="6"/>
  <c r="F3001" i="6"/>
  <c r="F3002" i="6"/>
  <c r="F3003" i="6"/>
  <c r="F3004" i="6"/>
  <c r="F3005" i="6"/>
  <c r="F3006" i="6"/>
  <c r="F3007" i="6"/>
  <c r="F3008" i="6"/>
  <c r="F3009" i="6"/>
  <c r="F3010" i="6"/>
  <c r="F3011" i="6"/>
  <c r="F3012" i="6"/>
  <c r="F3013" i="6"/>
  <c r="F3014" i="6"/>
  <c r="F3015" i="6"/>
  <c r="F3016" i="6"/>
  <c r="F3017" i="6"/>
  <c r="F3018" i="6"/>
  <c r="F3019" i="6"/>
  <c r="F3020" i="6"/>
  <c r="F3021" i="6"/>
  <c r="F3022" i="6"/>
  <c r="F3023" i="6"/>
  <c r="F3024" i="6"/>
  <c r="F3025" i="6"/>
  <c r="F3026" i="6"/>
  <c r="F3027" i="6"/>
  <c r="F3028" i="6"/>
  <c r="F3029" i="6"/>
  <c r="F3030" i="6"/>
  <c r="F3031" i="6"/>
  <c r="F3032" i="6"/>
  <c r="F3033" i="6"/>
  <c r="F3034" i="6"/>
  <c r="F3035" i="6"/>
  <c r="F3036" i="6"/>
  <c r="F3037" i="6"/>
  <c r="F3038" i="6"/>
  <c r="F3039" i="6"/>
  <c r="F3040" i="6"/>
  <c r="F3041" i="6"/>
  <c r="F3042" i="6"/>
  <c r="F3043" i="6"/>
  <c r="F3044" i="6"/>
  <c r="F3045" i="6"/>
  <c r="F3046" i="6"/>
  <c r="F3047" i="6"/>
  <c r="F3048" i="6"/>
  <c r="F3049" i="6"/>
  <c r="F3050" i="6"/>
  <c r="F3051" i="6"/>
  <c r="F3052" i="6"/>
  <c r="F3053" i="6"/>
  <c r="F3054" i="6"/>
  <c r="F3055" i="6"/>
  <c r="F3056" i="6"/>
  <c r="F3057" i="6"/>
  <c r="F3058" i="6"/>
  <c r="F3059" i="6"/>
  <c r="F3060" i="6"/>
  <c r="F3061" i="6"/>
  <c r="F3062" i="6"/>
  <c r="F3063" i="6"/>
  <c r="F3064" i="6"/>
  <c r="F3065" i="6"/>
  <c r="F3066" i="6"/>
  <c r="F3067" i="6"/>
  <c r="F3068" i="6"/>
  <c r="F3069" i="6"/>
  <c r="F3070" i="6"/>
  <c r="F3071" i="6"/>
  <c r="F3072" i="6"/>
  <c r="F3073" i="6"/>
  <c r="F3074" i="6"/>
  <c r="F3075" i="6"/>
  <c r="F3076" i="6"/>
  <c r="F3077" i="6"/>
  <c r="F3078" i="6"/>
  <c r="F3079" i="6"/>
  <c r="F3080" i="6"/>
  <c r="F3081" i="6"/>
  <c r="F3082" i="6"/>
  <c r="F3083" i="6"/>
  <c r="F3084" i="6"/>
  <c r="F3085" i="6"/>
  <c r="F3086" i="6"/>
  <c r="F3087" i="6"/>
  <c r="F3088" i="6"/>
  <c r="F3089" i="6"/>
  <c r="F3090" i="6"/>
  <c r="F3091" i="6"/>
  <c r="F3092" i="6"/>
  <c r="F3093" i="6"/>
  <c r="F3094" i="6"/>
  <c r="F3095" i="6"/>
  <c r="F3096" i="6"/>
  <c r="F3097" i="6"/>
  <c r="F3098" i="6"/>
  <c r="F3099" i="6"/>
  <c r="F3100" i="6"/>
  <c r="F3101" i="6"/>
  <c r="F3102" i="6"/>
  <c r="F3103" i="6"/>
  <c r="F3104" i="6"/>
  <c r="F3105" i="6"/>
  <c r="F3106" i="6"/>
  <c r="F3107" i="6"/>
  <c r="F3108" i="6"/>
  <c r="F3109" i="6"/>
  <c r="F3110" i="6"/>
  <c r="F3111" i="6"/>
  <c r="F3112" i="6"/>
  <c r="F3113" i="6"/>
  <c r="F3114" i="6"/>
  <c r="F3115" i="6"/>
  <c r="F3116" i="6"/>
  <c r="F3117" i="6"/>
  <c r="F3118" i="6"/>
  <c r="F3119" i="6"/>
  <c r="F3120" i="6"/>
  <c r="F3121" i="6"/>
  <c r="F3122" i="6"/>
  <c r="F3123" i="6"/>
  <c r="F3124" i="6"/>
  <c r="F3125" i="6"/>
  <c r="F3126" i="6"/>
  <c r="F3127" i="6"/>
  <c r="F3128" i="6"/>
  <c r="F3129" i="6"/>
  <c r="F3130" i="6"/>
  <c r="F3131" i="6"/>
  <c r="F3132" i="6"/>
  <c r="F3133" i="6"/>
  <c r="F3134" i="6"/>
  <c r="F3135" i="6"/>
  <c r="F3136" i="6"/>
  <c r="F3137" i="6"/>
  <c r="F3138" i="6"/>
  <c r="F3139" i="6"/>
  <c r="F3140" i="6"/>
  <c r="F3141" i="6"/>
  <c r="F3142" i="6"/>
  <c r="F3143" i="6"/>
  <c r="F3144" i="6"/>
  <c r="F3145" i="6"/>
  <c r="F3146" i="6"/>
  <c r="F3147" i="6"/>
  <c r="F3148" i="6"/>
  <c r="F3149" i="6"/>
  <c r="F3150" i="6"/>
  <c r="F3151" i="6"/>
  <c r="F3152" i="6"/>
  <c r="F3153" i="6"/>
  <c r="F3154" i="6"/>
  <c r="F3155" i="6"/>
  <c r="F3156" i="6"/>
  <c r="F3157" i="6"/>
  <c r="F3158" i="6"/>
  <c r="F3159" i="6"/>
  <c r="F3160" i="6"/>
  <c r="F3161" i="6"/>
  <c r="F3162" i="6"/>
  <c r="F3163" i="6"/>
  <c r="F3164" i="6"/>
  <c r="F3165" i="6"/>
  <c r="F3166" i="6"/>
  <c r="F3167" i="6"/>
  <c r="F3168" i="6"/>
  <c r="F3169" i="6"/>
  <c r="F3170" i="6"/>
  <c r="F3171" i="6"/>
  <c r="F3172" i="6"/>
  <c r="F3173" i="6"/>
  <c r="F3174" i="6"/>
  <c r="F3175" i="6"/>
  <c r="F3176" i="6"/>
  <c r="F3177" i="6"/>
  <c r="F3178" i="6"/>
  <c r="F3179" i="6"/>
  <c r="F3180" i="6"/>
  <c r="F3181" i="6"/>
  <c r="F3182" i="6"/>
  <c r="F3183" i="6"/>
  <c r="F3184" i="6"/>
  <c r="F3185" i="6"/>
  <c r="F3186" i="6"/>
  <c r="F3187" i="6"/>
  <c r="F3188" i="6"/>
  <c r="F3189" i="6"/>
  <c r="F3190" i="6"/>
  <c r="F3191" i="6"/>
  <c r="F3192" i="6"/>
  <c r="F3193" i="6"/>
  <c r="F3194" i="6"/>
  <c r="F3195" i="6"/>
  <c r="F3196" i="6"/>
  <c r="F3197" i="6"/>
  <c r="F3198" i="6"/>
  <c r="F3199" i="6"/>
  <c r="F3200" i="6"/>
  <c r="F3201" i="6"/>
  <c r="F3202" i="6"/>
  <c r="F3203" i="6"/>
  <c r="F3204" i="6"/>
  <c r="F3205" i="6"/>
  <c r="F3206" i="6"/>
  <c r="F3207" i="6"/>
  <c r="F3208" i="6"/>
  <c r="F3209" i="6"/>
  <c r="F3210" i="6"/>
  <c r="F3211" i="6"/>
  <c r="F3212" i="6"/>
  <c r="F3213" i="6"/>
  <c r="F3214" i="6"/>
  <c r="F3215" i="6"/>
  <c r="F3216" i="6"/>
  <c r="F3217" i="6"/>
  <c r="F3218" i="6"/>
  <c r="F3219" i="6"/>
  <c r="F3220" i="6"/>
  <c r="F3221" i="6"/>
  <c r="F3222" i="6"/>
  <c r="F3223" i="6"/>
  <c r="F3224" i="6"/>
  <c r="F3225" i="6"/>
  <c r="F3226" i="6"/>
  <c r="F3227" i="6"/>
  <c r="F3228" i="6"/>
  <c r="F3229" i="6"/>
  <c r="F3230" i="6"/>
  <c r="F3231" i="6"/>
  <c r="F3232" i="6"/>
  <c r="F3233" i="6"/>
  <c r="F3234" i="6"/>
  <c r="F3235" i="6"/>
  <c r="F3236" i="6"/>
  <c r="F3237" i="6"/>
  <c r="F3238" i="6"/>
  <c r="F3239" i="6"/>
  <c r="F3240" i="6"/>
  <c r="F3241" i="6"/>
  <c r="F3242" i="6"/>
  <c r="F3243" i="6"/>
  <c r="F3244" i="6"/>
  <c r="F3245" i="6"/>
  <c r="F3246" i="6"/>
  <c r="F3247" i="6"/>
  <c r="F3248" i="6"/>
  <c r="F3249" i="6"/>
  <c r="F3250" i="6"/>
  <c r="F3251" i="6"/>
  <c r="F3252" i="6"/>
  <c r="F3253" i="6"/>
  <c r="F3254" i="6"/>
  <c r="F3255" i="6"/>
  <c r="F3256" i="6"/>
  <c r="F3257" i="6"/>
  <c r="F3258" i="6"/>
  <c r="F3259" i="6"/>
  <c r="F3260" i="6"/>
  <c r="F3261" i="6"/>
  <c r="F3262" i="6"/>
  <c r="F3263" i="6"/>
  <c r="F3264" i="6"/>
  <c r="F3265" i="6"/>
  <c r="F3266" i="6"/>
  <c r="F3267" i="6"/>
  <c r="F3268" i="6"/>
  <c r="F3269" i="6"/>
  <c r="F3270" i="6"/>
  <c r="F3271" i="6"/>
  <c r="F3272" i="6"/>
  <c r="F3273" i="6"/>
  <c r="F3274" i="6"/>
  <c r="F3275" i="6"/>
  <c r="F3276" i="6"/>
  <c r="F3277" i="6"/>
  <c r="F3278" i="6"/>
  <c r="F3279" i="6"/>
  <c r="F3280" i="6"/>
  <c r="F3281" i="6"/>
  <c r="F3282" i="6"/>
  <c r="F3283" i="6"/>
  <c r="F3284" i="6"/>
  <c r="F3285" i="6"/>
  <c r="F3286" i="6"/>
  <c r="F3287" i="6"/>
  <c r="F3288" i="6"/>
  <c r="F3289" i="6"/>
  <c r="F3290" i="6"/>
  <c r="F3291" i="6"/>
  <c r="F3292" i="6"/>
  <c r="F3293" i="6"/>
  <c r="F3294" i="6"/>
  <c r="F3295" i="6"/>
  <c r="F3296" i="6"/>
  <c r="F3297" i="6"/>
  <c r="F3298" i="6"/>
  <c r="F3299" i="6"/>
  <c r="F3300" i="6"/>
  <c r="F3301" i="6"/>
  <c r="F3302" i="6"/>
  <c r="F3303" i="6"/>
  <c r="F3304" i="6"/>
  <c r="F3305" i="6"/>
  <c r="F3306" i="6"/>
  <c r="F3307" i="6"/>
  <c r="F3308" i="6"/>
  <c r="F3309" i="6"/>
  <c r="F3310" i="6"/>
  <c r="F3311" i="6"/>
  <c r="F3312" i="6"/>
  <c r="F3313" i="6"/>
  <c r="F3314" i="6"/>
  <c r="F3315" i="6"/>
  <c r="F3316" i="6"/>
  <c r="F3317" i="6"/>
  <c r="F3318" i="6"/>
  <c r="F3319" i="6"/>
  <c r="F3320" i="6"/>
  <c r="F3321" i="6"/>
  <c r="F3322" i="6"/>
  <c r="F3323" i="6"/>
  <c r="F3324" i="6"/>
  <c r="F3325" i="6"/>
  <c r="F3326" i="6"/>
  <c r="F3327" i="6"/>
  <c r="F3328" i="6"/>
  <c r="F3329" i="6"/>
  <c r="F3330" i="6"/>
  <c r="F3331" i="6"/>
  <c r="F3332" i="6"/>
  <c r="F3333" i="6"/>
  <c r="F3334" i="6"/>
  <c r="F3335" i="6"/>
  <c r="F3336" i="6"/>
  <c r="F3337" i="6"/>
  <c r="F3338" i="6"/>
  <c r="F3339" i="6"/>
  <c r="F3340" i="6"/>
  <c r="F3341" i="6"/>
  <c r="F3342" i="6"/>
  <c r="F3343" i="6"/>
  <c r="F3344" i="6"/>
  <c r="F3345" i="6"/>
  <c r="F3346" i="6"/>
  <c r="F3347" i="6"/>
  <c r="F3348" i="6"/>
  <c r="F3349" i="6"/>
  <c r="F3350" i="6"/>
  <c r="F3351" i="6"/>
  <c r="F3352" i="6"/>
  <c r="F3353" i="6"/>
  <c r="F3354" i="6"/>
  <c r="F3355" i="6"/>
  <c r="F3356" i="6"/>
  <c r="F3357" i="6"/>
  <c r="F3358" i="6"/>
  <c r="F3359" i="6"/>
  <c r="F3360" i="6"/>
  <c r="F3361" i="6"/>
  <c r="F3362" i="6"/>
  <c r="F3363" i="6"/>
  <c r="F3364" i="6"/>
  <c r="F3365" i="6"/>
  <c r="F3366" i="6"/>
  <c r="F3367" i="6"/>
  <c r="F3368" i="6"/>
  <c r="F3369" i="6"/>
  <c r="F3370" i="6"/>
  <c r="F3371" i="6"/>
  <c r="F3372" i="6"/>
  <c r="F3373" i="6"/>
  <c r="F3374" i="6"/>
  <c r="F3375" i="6"/>
  <c r="F3376" i="6"/>
  <c r="F3377" i="6"/>
  <c r="F3378" i="6"/>
  <c r="F3379" i="6"/>
  <c r="F3380" i="6"/>
  <c r="F3381" i="6"/>
  <c r="F3382" i="6"/>
  <c r="F3383" i="6"/>
  <c r="F3384" i="6"/>
  <c r="F3385" i="6"/>
  <c r="F3386" i="6"/>
  <c r="F3387" i="6"/>
  <c r="F3388" i="6"/>
  <c r="F3389" i="6"/>
  <c r="F3390" i="6"/>
  <c r="F3391" i="6"/>
  <c r="F3392" i="6"/>
  <c r="F3393" i="6"/>
  <c r="F3394" i="6"/>
  <c r="F3395" i="6"/>
  <c r="F3396" i="6"/>
  <c r="F3397" i="6"/>
  <c r="F3398" i="6"/>
  <c r="F3399" i="6"/>
  <c r="F3400" i="6"/>
  <c r="F3401" i="6"/>
  <c r="F3402" i="6"/>
  <c r="F3403" i="6"/>
  <c r="F3404" i="6"/>
  <c r="F3405" i="6"/>
  <c r="F3406" i="6"/>
  <c r="F3407" i="6"/>
  <c r="F3408" i="6"/>
  <c r="F3409" i="6"/>
  <c r="F3410" i="6"/>
  <c r="F3411" i="6"/>
  <c r="F3412" i="6"/>
  <c r="F3413" i="6"/>
  <c r="F3414" i="6"/>
  <c r="F3415" i="6"/>
  <c r="F3416" i="6"/>
  <c r="F3417" i="6"/>
  <c r="F3418" i="6"/>
  <c r="F3419" i="6"/>
  <c r="F3420" i="6"/>
  <c r="F3421" i="6"/>
  <c r="F3422" i="6"/>
  <c r="F3423" i="6"/>
  <c r="F3424" i="6"/>
  <c r="F3425" i="6"/>
  <c r="F3426" i="6"/>
  <c r="F3427" i="6"/>
  <c r="F3428" i="6"/>
  <c r="F3429" i="6"/>
  <c r="F3430" i="6"/>
  <c r="F3431" i="6"/>
  <c r="F3432" i="6"/>
  <c r="F3433" i="6"/>
  <c r="F3434" i="6"/>
  <c r="F3435" i="6"/>
  <c r="F3436" i="6"/>
  <c r="F3437" i="6"/>
  <c r="F3438" i="6"/>
  <c r="F3439" i="6"/>
  <c r="F3440" i="6"/>
  <c r="F3441" i="6"/>
  <c r="F3442" i="6"/>
  <c r="F3443" i="6"/>
  <c r="F3444" i="6"/>
  <c r="F3445" i="6"/>
  <c r="F3446" i="6"/>
  <c r="F3447" i="6"/>
  <c r="F3448" i="6"/>
  <c r="F3449" i="6"/>
  <c r="F3450" i="6"/>
  <c r="F3451" i="6"/>
  <c r="F3452" i="6"/>
  <c r="F3453" i="6"/>
  <c r="F3454" i="6"/>
  <c r="F3455" i="6"/>
  <c r="F3456" i="6"/>
  <c r="F3457" i="6"/>
  <c r="F3458" i="6"/>
  <c r="F3459" i="6"/>
  <c r="F3460" i="6"/>
  <c r="F3461" i="6"/>
  <c r="F3462" i="6"/>
  <c r="F3463" i="6"/>
  <c r="F3464" i="6"/>
  <c r="F3465" i="6"/>
  <c r="F3466" i="6"/>
  <c r="F3467" i="6"/>
  <c r="F3468" i="6"/>
  <c r="F3469" i="6"/>
  <c r="F3470" i="6"/>
  <c r="F3471" i="6"/>
  <c r="F3472" i="6"/>
  <c r="F3473" i="6"/>
  <c r="F3474" i="6"/>
  <c r="F3475" i="6"/>
  <c r="F3476" i="6"/>
  <c r="F3477" i="6"/>
  <c r="F3478" i="6"/>
  <c r="F3479" i="6"/>
  <c r="F3480" i="6"/>
  <c r="F3481" i="6"/>
  <c r="F3482" i="6"/>
  <c r="F3483" i="6"/>
  <c r="F3484" i="6"/>
  <c r="F3485" i="6"/>
  <c r="F3486" i="6"/>
  <c r="F3487" i="6"/>
  <c r="F3488" i="6"/>
  <c r="F3489" i="6"/>
  <c r="F3490" i="6"/>
  <c r="F3491" i="6"/>
  <c r="F3492" i="6"/>
  <c r="F3493" i="6"/>
  <c r="F3494" i="6"/>
  <c r="F3495" i="6"/>
  <c r="F3496" i="6"/>
  <c r="F3497" i="6"/>
  <c r="F3498" i="6"/>
  <c r="F3499" i="6"/>
  <c r="F3500" i="6"/>
  <c r="F3501" i="6"/>
  <c r="F3502" i="6"/>
  <c r="F3503" i="6"/>
  <c r="F3504" i="6"/>
  <c r="F3505" i="6"/>
  <c r="F3506" i="6"/>
  <c r="F3507" i="6"/>
  <c r="F3508" i="6"/>
  <c r="F3509" i="6"/>
  <c r="F3510" i="6"/>
  <c r="F3511" i="6"/>
  <c r="F3512" i="6"/>
  <c r="F3513" i="6"/>
  <c r="F3514" i="6"/>
  <c r="F3515" i="6"/>
  <c r="F3516" i="6"/>
  <c r="F3517" i="6"/>
  <c r="F3518" i="6"/>
  <c r="F3519" i="6"/>
  <c r="F3520" i="6"/>
  <c r="F3521" i="6"/>
  <c r="F3522" i="6"/>
  <c r="F3523" i="6"/>
  <c r="F3524" i="6"/>
  <c r="F3525" i="6"/>
  <c r="F3526" i="6"/>
  <c r="F3527" i="6"/>
  <c r="F3528" i="6"/>
  <c r="F3529" i="6"/>
  <c r="F3530" i="6"/>
  <c r="F3531" i="6"/>
  <c r="F3532" i="6"/>
  <c r="F3533" i="6"/>
  <c r="F3534" i="6"/>
  <c r="F3535" i="6"/>
  <c r="F3536" i="6"/>
  <c r="F3537" i="6"/>
  <c r="F3538" i="6"/>
  <c r="F3539" i="6"/>
  <c r="F3540" i="6"/>
  <c r="F3541" i="6"/>
  <c r="F3542" i="6"/>
  <c r="F3543" i="6"/>
  <c r="F3544" i="6"/>
  <c r="F3545" i="6"/>
  <c r="F3546" i="6"/>
  <c r="F3547" i="6"/>
  <c r="F3548" i="6"/>
  <c r="F3549" i="6"/>
  <c r="F3550" i="6"/>
  <c r="F3551" i="6"/>
  <c r="F3552" i="6"/>
  <c r="F3553" i="6"/>
  <c r="F3554" i="6"/>
  <c r="F3555" i="6"/>
  <c r="F3556" i="6"/>
  <c r="F3557" i="6"/>
  <c r="F3558" i="6"/>
  <c r="F3559" i="6"/>
  <c r="F3560" i="6"/>
  <c r="F3561" i="6"/>
  <c r="F3562" i="6"/>
  <c r="F3563" i="6"/>
  <c r="F3564" i="6"/>
  <c r="F3565" i="6"/>
  <c r="F3566" i="6"/>
  <c r="F3567" i="6"/>
  <c r="F3568" i="6"/>
  <c r="F3569" i="6"/>
  <c r="F3570" i="6"/>
  <c r="F3571" i="6"/>
  <c r="F3572" i="6"/>
  <c r="F3573" i="6"/>
  <c r="F3574" i="6"/>
  <c r="F3575" i="6"/>
  <c r="F3576" i="6"/>
  <c r="F3577" i="6"/>
  <c r="F3578" i="6"/>
  <c r="F3579" i="6"/>
  <c r="F3580" i="6"/>
  <c r="F3581" i="6"/>
  <c r="F3582" i="6"/>
  <c r="F3583" i="6"/>
  <c r="F3584" i="6"/>
  <c r="F3585" i="6"/>
  <c r="F3586" i="6"/>
  <c r="F3587" i="6"/>
  <c r="F3588" i="6"/>
  <c r="F3589" i="6"/>
  <c r="F3590" i="6"/>
  <c r="F3591" i="6"/>
  <c r="F3592" i="6"/>
  <c r="F3593" i="6"/>
  <c r="F3594" i="6"/>
  <c r="F3595" i="6"/>
  <c r="F3596" i="6"/>
  <c r="F3597" i="6"/>
  <c r="F3598" i="6"/>
  <c r="F3599" i="6"/>
  <c r="F3600" i="6"/>
  <c r="F3601" i="6"/>
  <c r="F3602" i="6"/>
  <c r="F3603" i="6"/>
  <c r="F3604" i="6"/>
  <c r="F3605" i="6"/>
  <c r="F3606" i="6"/>
  <c r="F3607" i="6"/>
  <c r="F3608" i="6"/>
  <c r="F3609" i="6"/>
  <c r="F3610" i="6"/>
  <c r="F3611" i="6"/>
  <c r="F3612" i="6"/>
  <c r="F3613" i="6"/>
  <c r="F3614" i="6"/>
  <c r="F3615" i="6"/>
  <c r="F3616" i="6"/>
  <c r="F3617" i="6"/>
  <c r="F3618" i="6"/>
  <c r="F3619" i="6"/>
  <c r="F3620" i="6"/>
  <c r="F3621" i="6"/>
  <c r="F3622" i="6"/>
  <c r="F3623" i="6"/>
  <c r="F3624" i="6"/>
  <c r="F3625" i="6"/>
  <c r="F3626" i="6"/>
  <c r="F3627" i="6"/>
  <c r="F3628" i="6"/>
  <c r="F3629" i="6"/>
  <c r="F3630" i="6"/>
  <c r="F3631" i="6"/>
  <c r="F3632" i="6"/>
  <c r="F3633" i="6"/>
  <c r="F3634" i="6"/>
  <c r="F3635" i="6"/>
  <c r="F3636" i="6"/>
  <c r="F3637" i="6"/>
  <c r="F3638" i="6"/>
  <c r="F3639" i="6"/>
  <c r="F3640" i="6"/>
  <c r="F3641" i="6"/>
  <c r="F3642" i="6"/>
  <c r="F3643" i="6"/>
  <c r="F3644" i="6"/>
  <c r="F3645" i="6"/>
  <c r="F3646" i="6"/>
  <c r="F3647" i="6"/>
  <c r="F3648" i="6"/>
  <c r="F3649" i="6"/>
  <c r="F3650" i="6"/>
  <c r="F3651" i="6"/>
  <c r="F3652" i="6"/>
  <c r="F3653" i="6"/>
  <c r="F3654" i="6"/>
  <c r="F3655" i="6"/>
  <c r="F3656" i="6"/>
  <c r="F3657" i="6"/>
  <c r="F3658" i="6"/>
  <c r="F3659" i="6"/>
  <c r="F3660" i="6"/>
  <c r="F3661" i="6"/>
  <c r="F3662" i="6"/>
  <c r="F3663" i="6"/>
  <c r="F3664" i="6"/>
  <c r="F3665" i="6"/>
  <c r="F3666" i="6"/>
  <c r="F3667" i="6"/>
  <c r="F3668" i="6"/>
  <c r="F3669" i="6"/>
  <c r="F3670" i="6"/>
  <c r="F3671" i="6"/>
  <c r="F3672" i="6"/>
  <c r="F3673" i="6"/>
  <c r="F3674" i="6"/>
  <c r="F3675" i="6"/>
  <c r="F3676" i="6"/>
  <c r="F3677" i="6"/>
  <c r="F3678" i="6"/>
  <c r="F3679" i="6"/>
  <c r="F3680" i="6"/>
  <c r="F3681" i="6"/>
  <c r="F3682" i="6"/>
  <c r="F3683" i="6"/>
  <c r="F3684" i="6"/>
  <c r="F3685" i="6"/>
  <c r="F3686" i="6"/>
  <c r="F3687" i="6"/>
  <c r="F3688" i="6"/>
  <c r="F3689" i="6"/>
  <c r="F3690" i="6"/>
  <c r="F3691" i="6"/>
  <c r="F3692" i="6"/>
  <c r="F3693" i="6"/>
  <c r="F3694" i="6"/>
  <c r="F3695" i="6"/>
  <c r="F3696" i="6"/>
  <c r="F3697" i="6"/>
  <c r="F3698" i="6"/>
  <c r="F3699" i="6"/>
  <c r="F3700" i="6"/>
  <c r="F3701" i="6"/>
  <c r="F3702" i="6"/>
  <c r="F3703" i="6"/>
  <c r="F3704" i="6"/>
  <c r="F3705" i="6"/>
  <c r="F3706" i="6"/>
  <c r="F3707" i="6"/>
  <c r="F3708" i="6"/>
  <c r="F3709" i="6"/>
  <c r="F3710" i="6"/>
  <c r="F3711" i="6"/>
  <c r="F3712" i="6"/>
  <c r="F3713" i="6"/>
  <c r="F3714" i="6"/>
  <c r="F3715" i="6"/>
  <c r="F3716" i="6"/>
  <c r="F3717" i="6"/>
  <c r="F3718" i="6"/>
  <c r="F3719" i="6"/>
  <c r="F3720" i="6"/>
  <c r="F3721" i="6"/>
  <c r="F3722" i="6"/>
  <c r="F3723" i="6"/>
  <c r="F3724" i="6"/>
  <c r="F3725" i="6"/>
  <c r="F3726" i="6"/>
  <c r="F3727" i="6"/>
  <c r="F3728" i="6"/>
  <c r="F3729" i="6"/>
  <c r="F3730" i="6"/>
  <c r="F3731" i="6"/>
  <c r="F3732" i="6"/>
  <c r="F3733" i="6"/>
  <c r="F3734" i="6"/>
  <c r="F3735" i="6"/>
  <c r="F3736" i="6"/>
  <c r="F3737" i="6"/>
  <c r="F3738" i="6"/>
  <c r="F3739" i="6"/>
  <c r="F3740" i="6"/>
  <c r="F3741" i="6"/>
  <c r="F3742" i="6"/>
  <c r="F3743" i="6"/>
  <c r="F3744" i="6"/>
  <c r="F3745" i="6"/>
  <c r="F3746" i="6"/>
  <c r="F3747" i="6"/>
  <c r="F3748" i="6"/>
  <c r="F3749" i="6"/>
  <c r="F3750" i="6"/>
  <c r="F3751" i="6"/>
  <c r="F3752" i="6"/>
  <c r="F3753" i="6"/>
  <c r="F3754" i="6"/>
  <c r="F3755" i="6"/>
  <c r="F3756" i="6"/>
  <c r="F3757" i="6"/>
  <c r="F3758" i="6"/>
  <c r="F3759" i="6"/>
  <c r="F3760" i="6"/>
  <c r="F3761" i="6"/>
  <c r="F3762" i="6"/>
  <c r="F3763" i="6"/>
  <c r="F3764" i="6"/>
  <c r="F3765" i="6"/>
  <c r="F3766" i="6"/>
  <c r="F3767" i="6"/>
  <c r="F3768" i="6"/>
  <c r="F3769" i="6"/>
  <c r="F3770" i="6"/>
  <c r="F3771" i="6"/>
  <c r="F3772" i="6"/>
  <c r="F3773" i="6"/>
  <c r="F3774" i="6"/>
  <c r="F3775" i="6"/>
  <c r="F3776" i="6"/>
  <c r="F3777" i="6"/>
  <c r="F3778" i="6"/>
  <c r="F3779" i="6"/>
  <c r="F3780" i="6"/>
  <c r="F3781" i="6"/>
  <c r="F3782" i="6"/>
  <c r="F3783" i="6"/>
  <c r="F3784" i="6"/>
  <c r="F3785" i="6"/>
  <c r="F3786" i="6"/>
  <c r="F3787" i="6"/>
  <c r="F3788" i="6"/>
  <c r="F3789" i="6"/>
  <c r="F3790" i="6"/>
  <c r="F3791" i="6"/>
  <c r="F3792" i="6"/>
  <c r="F3793" i="6"/>
  <c r="F3794" i="6"/>
  <c r="F3795" i="6"/>
  <c r="F3796" i="6"/>
  <c r="F3797" i="6"/>
  <c r="F3798" i="6"/>
  <c r="F3799" i="6"/>
  <c r="F3800" i="6"/>
  <c r="F3801" i="6"/>
  <c r="F3802" i="6"/>
  <c r="F3803" i="6"/>
  <c r="F3804" i="6"/>
  <c r="F3805" i="6"/>
  <c r="F3806" i="6"/>
  <c r="F3807" i="6"/>
  <c r="F3808" i="6"/>
  <c r="F3809" i="6"/>
  <c r="F3810" i="6"/>
  <c r="F3811" i="6"/>
  <c r="F3812" i="6"/>
  <c r="F3813" i="6"/>
  <c r="F3814" i="6"/>
  <c r="F3815" i="6"/>
  <c r="F3816" i="6"/>
  <c r="F3817" i="6"/>
  <c r="F3818" i="6"/>
  <c r="F3819" i="6"/>
  <c r="F3820" i="6"/>
  <c r="F3821" i="6"/>
  <c r="F3822" i="6"/>
  <c r="F3823" i="6"/>
  <c r="F3824" i="6"/>
  <c r="F3825" i="6"/>
  <c r="F3826" i="6"/>
  <c r="F3827" i="6"/>
  <c r="F3828" i="6"/>
  <c r="F3829" i="6"/>
  <c r="F3830" i="6"/>
  <c r="F3831" i="6"/>
  <c r="F3832" i="6"/>
  <c r="F3833" i="6"/>
  <c r="F3834" i="6"/>
  <c r="F3835" i="6"/>
  <c r="F3836" i="6"/>
  <c r="F3837" i="6"/>
  <c r="F3838" i="6"/>
  <c r="F3839" i="6"/>
  <c r="F3840" i="6"/>
  <c r="F3841" i="6"/>
  <c r="F3842" i="6"/>
  <c r="F3843" i="6"/>
  <c r="F3844" i="6"/>
  <c r="F3845" i="6"/>
  <c r="F3846" i="6"/>
  <c r="F3847" i="6"/>
  <c r="F3848" i="6"/>
  <c r="F3849" i="6"/>
  <c r="F3850" i="6"/>
  <c r="F3851" i="6"/>
  <c r="F3852" i="6"/>
  <c r="F3853" i="6"/>
  <c r="F3854" i="6"/>
  <c r="F3855" i="6"/>
  <c r="F3856" i="6"/>
  <c r="F3857" i="6"/>
  <c r="F3858" i="6"/>
  <c r="F3859" i="6"/>
  <c r="F3860" i="6"/>
  <c r="F3861" i="6"/>
  <c r="F3862" i="6"/>
  <c r="F3863" i="6"/>
  <c r="F3864" i="6"/>
  <c r="F3865" i="6"/>
  <c r="F3866" i="6"/>
  <c r="F3867" i="6"/>
  <c r="F3868" i="6"/>
  <c r="F3869" i="6"/>
  <c r="F3870" i="6"/>
  <c r="F3871" i="6"/>
  <c r="F3872" i="6"/>
  <c r="F3873" i="6"/>
  <c r="F3874" i="6"/>
  <c r="F3875" i="6"/>
  <c r="F3876" i="6"/>
  <c r="F3877" i="6"/>
  <c r="F3878" i="6"/>
  <c r="F3879" i="6"/>
  <c r="F3880" i="6"/>
  <c r="F3881" i="6"/>
  <c r="F3882" i="6"/>
  <c r="F3883" i="6"/>
  <c r="F3884" i="6"/>
  <c r="F3885" i="6"/>
  <c r="F3886" i="6"/>
  <c r="F3887" i="6"/>
  <c r="F3888" i="6"/>
  <c r="F3889" i="6"/>
  <c r="F3890" i="6"/>
  <c r="F3891" i="6"/>
  <c r="F3892" i="6"/>
  <c r="F3893" i="6"/>
  <c r="F3894" i="6"/>
  <c r="F3895" i="6"/>
  <c r="F3896" i="6"/>
  <c r="F3897" i="6"/>
  <c r="F3898" i="6"/>
  <c r="F3899" i="6"/>
  <c r="F3900" i="6"/>
  <c r="F3901" i="6"/>
  <c r="F3902" i="6"/>
  <c r="F3903" i="6"/>
  <c r="F3904" i="6"/>
  <c r="F3905" i="6"/>
  <c r="F3906" i="6"/>
  <c r="F3907" i="6"/>
  <c r="F3908" i="6"/>
  <c r="F3909" i="6"/>
  <c r="F3910" i="6"/>
  <c r="F3911" i="6"/>
  <c r="F3912" i="6"/>
  <c r="F3913" i="6"/>
  <c r="F3914" i="6"/>
  <c r="F3915" i="6"/>
  <c r="F3916" i="6"/>
  <c r="F3917" i="6"/>
  <c r="F3918" i="6"/>
  <c r="F3919" i="6"/>
  <c r="F3920" i="6"/>
  <c r="F3921" i="6"/>
  <c r="F3922" i="6"/>
  <c r="F3923" i="6"/>
  <c r="F3924" i="6"/>
  <c r="F3925" i="6"/>
  <c r="F3926" i="6"/>
  <c r="F3927" i="6"/>
  <c r="F3928" i="6"/>
  <c r="F3929" i="6"/>
  <c r="F3930" i="6"/>
  <c r="F3931" i="6"/>
  <c r="F3932" i="6"/>
  <c r="F3933" i="6"/>
  <c r="F3934" i="6"/>
  <c r="F3935" i="6"/>
  <c r="F3936" i="6"/>
  <c r="F3937" i="6"/>
  <c r="F3938" i="6"/>
  <c r="F3939" i="6"/>
  <c r="F3940" i="6"/>
  <c r="F3941" i="6"/>
  <c r="F3942" i="6"/>
  <c r="F3943" i="6"/>
  <c r="F3944" i="6"/>
  <c r="F3945" i="6"/>
  <c r="F3946" i="6"/>
  <c r="F3947" i="6"/>
  <c r="F3948" i="6"/>
  <c r="F3949" i="6"/>
  <c r="F3950" i="6"/>
  <c r="F3951" i="6"/>
  <c r="F3952" i="6"/>
  <c r="F3953" i="6"/>
  <c r="F3954" i="6"/>
  <c r="F3955" i="6"/>
  <c r="F3956" i="6"/>
  <c r="F3957" i="6"/>
  <c r="F3958" i="6"/>
  <c r="F3959" i="6"/>
  <c r="F3960" i="6"/>
  <c r="F3961" i="6"/>
  <c r="F3962" i="6"/>
  <c r="F3963" i="6"/>
  <c r="F3964" i="6"/>
  <c r="F3965" i="6"/>
  <c r="F3966" i="6"/>
  <c r="F3967" i="6"/>
  <c r="F3968" i="6"/>
  <c r="F3969" i="6"/>
  <c r="F3970" i="6"/>
  <c r="F3971" i="6"/>
  <c r="F3972" i="6"/>
  <c r="F3973" i="6"/>
  <c r="F3974" i="6"/>
  <c r="F3975" i="6"/>
  <c r="F3976" i="6"/>
  <c r="F3977" i="6"/>
  <c r="F3978" i="6"/>
  <c r="F3979" i="6"/>
  <c r="F3980" i="6"/>
  <c r="F3981" i="6"/>
  <c r="F3982" i="6"/>
  <c r="F3983" i="6"/>
  <c r="F3984" i="6"/>
  <c r="F3985" i="6"/>
  <c r="F3986" i="6"/>
  <c r="F3987" i="6"/>
  <c r="F3988" i="6"/>
  <c r="F3989" i="6"/>
  <c r="F3990" i="6"/>
  <c r="F3991" i="6"/>
  <c r="F3992" i="6"/>
  <c r="F3993" i="6"/>
  <c r="F3994" i="6"/>
  <c r="F3995" i="6"/>
  <c r="F3996" i="6"/>
  <c r="F3997" i="6"/>
  <c r="F3998" i="6"/>
  <c r="F3999" i="6"/>
  <c r="F4000" i="6"/>
  <c r="F4001" i="6"/>
  <c r="F4002" i="6"/>
  <c r="F4003" i="6"/>
  <c r="F4004" i="6"/>
  <c r="F4005" i="6"/>
  <c r="F4006" i="6"/>
  <c r="F4007" i="6"/>
  <c r="F4008" i="6"/>
  <c r="F4009" i="6"/>
  <c r="F4010" i="6"/>
  <c r="F4011" i="6"/>
  <c r="F4012" i="6"/>
  <c r="F4013" i="6"/>
  <c r="F4014" i="6"/>
  <c r="F4015" i="6"/>
  <c r="F4016" i="6"/>
  <c r="F4017" i="6"/>
  <c r="F4018" i="6"/>
  <c r="F4019" i="6"/>
  <c r="F4020" i="6"/>
  <c r="F4021" i="6"/>
  <c r="F4022" i="6"/>
  <c r="F4023" i="6"/>
  <c r="F4024" i="6"/>
  <c r="F4025" i="6"/>
  <c r="F4026" i="6"/>
  <c r="F4027" i="6"/>
  <c r="F4028" i="6"/>
  <c r="F4029" i="6"/>
  <c r="F4030" i="6"/>
  <c r="F4031" i="6"/>
  <c r="F4032" i="6"/>
  <c r="F4033" i="6"/>
  <c r="F4034" i="6"/>
  <c r="F4035" i="6"/>
  <c r="F4036" i="6"/>
  <c r="F4037" i="6"/>
  <c r="F4038" i="6"/>
  <c r="F4039" i="6"/>
  <c r="F4040" i="6"/>
  <c r="F4041" i="6"/>
  <c r="F4042" i="6"/>
  <c r="F4043" i="6"/>
  <c r="F4044" i="6"/>
  <c r="F4045" i="6"/>
  <c r="F4046" i="6"/>
  <c r="F4047" i="6"/>
  <c r="F4048" i="6"/>
  <c r="F4049" i="6"/>
  <c r="F4050" i="6"/>
  <c r="F4051" i="6"/>
  <c r="F4052" i="6"/>
  <c r="F4053" i="6"/>
  <c r="F4054" i="6"/>
  <c r="F4055" i="6"/>
  <c r="F4056" i="6"/>
  <c r="F4057" i="6"/>
  <c r="F4058" i="6"/>
  <c r="F4059" i="6"/>
  <c r="F4060" i="6"/>
  <c r="F4061" i="6"/>
  <c r="F4062" i="6"/>
  <c r="F4063" i="6"/>
  <c r="F4064" i="6"/>
  <c r="F4065" i="6"/>
  <c r="F4066" i="6"/>
  <c r="F4067" i="6"/>
  <c r="F4068" i="6"/>
  <c r="F4069" i="6"/>
  <c r="F4070" i="6"/>
  <c r="F4071" i="6"/>
  <c r="F4072" i="6"/>
  <c r="F4073" i="6"/>
  <c r="F4074" i="6"/>
  <c r="F4075" i="6"/>
  <c r="F4076" i="6"/>
  <c r="F4077" i="6"/>
  <c r="F4078" i="6"/>
  <c r="F4079" i="6"/>
  <c r="F4080" i="6"/>
  <c r="F4081" i="6"/>
  <c r="F4082" i="6"/>
  <c r="F4083" i="6"/>
  <c r="F4084" i="6"/>
  <c r="F4085" i="6"/>
  <c r="F4086" i="6"/>
  <c r="F4087" i="6"/>
  <c r="F4088" i="6"/>
  <c r="F4089" i="6"/>
  <c r="F4090" i="6"/>
  <c r="F4091" i="6"/>
  <c r="F4092" i="6"/>
  <c r="F4093" i="6"/>
  <c r="F4094" i="6"/>
  <c r="F4095" i="6"/>
  <c r="F4096" i="6"/>
  <c r="F4097" i="6"/>
  <c r="F4098" i="6"/>
  <c r="F4099" i="6"/>
  <c r="F4100" i="6"/>
  <c r="F4101" i="6"/>
  <c r="F4102" i="6"/>
  <c r="F4103" i="6"/>
  <c r="F4104" i="6"/>
  <c r="F4105" i="6"/>
  <c r="F4106" i="6"/>
  <c r="F4107" i="6"/>
  <c r="F4108" i="6"/>
  <c r="F4109" i="6"/>
  <c r="F4110" i="6"/>
  <c r="F4111" i="6"/>
  <c r="F4112" i="6"/>
  <c r="F4113" i="6"/>
  <c r="F4114" i="6"/>
  <c r="F4115" i="6"/>
  <c r="F4116" i="6"/>
  <c r="F4117" i="6"/>
  <c r="F4118" i="6"/>
  <c r="F4119" i="6"/>
  <c r="F4120" i="6"/>
  <c r="F4121" i="6"/>
  <c r="F4122" i="6"/>
  <c r="F4123" i="6"/>
  <c r="F4124" i="6"/>
  <c r="F4125" i="6"/>
  <c r="F4126" i="6"/>
  <c r="F4127" i="6"/>
  <c r="F4128" i="6"/>
  <c r="F4129" i="6"/>
  <c r="F4130" i="6"/>
  <c r="F4131" i="6"/>
  <c r="F4132" i="6"/>
  <c r="F4133" i="6"/>
  <c r="F4134" i="6"/>
  <c r="F4135" i="6"/>
  <c r="F4136" i="6"/>
  <c r="F4137" i="6"/>
  <c r="F4138" i="6"/>
  <c r="F4139" i="6"/>
  <c r="F4140" i="6"/>
  <c r="F4141" i="6"/>
  <c r="F4142" i="6"/>
  <c r="F4143" i="6"/>
  <c r="F4144" i="6"/>
  <c r="F4145" i="6"/>
  <c r="F4146" i="6"/>
  <c r="F4147" i="6"/>
  <c r="F4148" i="6"/>
  <c r="F4149" i="6"/>
  <c r="F4150" i="6"/>
  <c r="F4151" i="6"/>
  <c r="F4152" i="6"/>
  <c r="F4153" i="6"/>
  <c r="F4154" i="6"/>
  <c r="F4155" i="6"/>
  <c r="F4156" i="6"/>
  <c r="F4157" i="6"/>
  <c r="F4158" i="6"/>
  <c r="F4159" i="6"/>
  <c r="F4160" i="6"/>
  <c r="F4161" i="6"/>
  <c r="F4162" i="6"/>
  <c r="F4163" i="6"/>
  <c r="F4164" i="6"/>
  <c r="F4165" i="6"/>
  <c r="F4166" i="6"/>
  <c r="F4167" i="6"/>
  <c r="F4168" i="6"/>
  <c r="F4169" i="6"/>
  <c r="F4170" i="6"/>
  <c r="F4171" i="6"/>
  <c r="F4172" i="6"/>
  <c r="F4173" i="6"/>
  <c r="F4174" i="6"/>
  <c r="F4175" i="6"/>
  <c r="F4176" i="6"/>
  <c r="F4177" i="6"/>
  <c r="F4178" i="6"/>
  <c r="F4179" i="6"/>
  <c r="F4180" i="6"/>
  <c r="F4181" i="6"/>
  <c r="F4182" i="6"/>
  <c r="F4183" i="6"/>
  <c r="F4184" i="6"/>
  <c r="F4185" i="6"/>
  <c r="F4186" i="6"/>
  <c r="F4187" i="6"/>
  <c r="F4188" i="6"/>
  <c r="F4189" i="6"/>
  <c r="F4190" i="6"/>
  <c r="F4191" i="6"/>
  <c r="F4192" i="6"/>
  <c r="F4193" i="6"/>
  <c r="F4194" i="6"/>
  <c r="F4195" i="6"/>
  <c r="F4196" i="6"/>
  <c r="F4197" i="6"/>
  <c r="F4198" i="6"/>
  <c r="F4199" i="6"/>
  <c r="F4200" i="6"/>
  <c r="F4201" i="6"/>
  <c r="F4202" i="6"/>
  <c r="F4203" i="6"/>
  <c r="F4204" i="6"/>
  <c r="F4205" i="6"/>
  <c r="F4206" i="6"/>
  <c r="F4207" i="6"/>
  <c r="F4208" i="6"/>
  <c r="F4209" i="6"/>
  <c r="F4210" i="6"/>
  <c r="F4211" i="6"/>
  <c r="F4212" i="6"/>
  <c r="F4213" i="6"/>
  <c r="F4214" i="6"/>
  <c r="F4215" i="6"/>
  <c r="F4216" i="6"/>
  <c r="F4217" i="6"/>
  <c r="F4218" i="6"/>
  <c r="F4219" i="6"/>
  <c r="F4220" i="6"/>
  <c r="F4221" i="6"/>
  <c r="F4222" i="6"/>
  <c r="F4223" i="6"/>
  <c r="F4224" i="6"/>
  <c r="F4225" i="6"/>
  <c r="F4226" i="6"/>
  <c r="F4227" i="6"/>
  <c r="F4228" i="6"/>
  <c r="F4229" i="6"/>
  <c r="F4230" i="6"/>
  <c r="F4231" i="6"/>
  <c r="F4232" i="6"/>
  <c r="F4233" i="6"/>
  <c r="F4234" i="6"/>
  <c r="F4235" i="6"/>
  <c r="F4236" i="6"/>
  <c r="F4237" i="6"/>
  <c r="F4238" i="6"/>
  <c r="F4239" i="6"/>
  <c r="F4240" i="6"/>
  <c r="F4241" i="6"/>
  <c r="F4242" i="6"/>
  <c r="F4243" i="6"/>
  <c r="F4244" i="6"/>
  <c r="F4245" i="6"/>
  <c r="F4246" i="6"/>
  <c r="F4247" i="6"/>
  <c r="F4248" i="6"/>
  <c r="F4249" i="6"/>
  <c r="F4250" i="6"/>
  <c r="F4251" i="6"/>
  <c r="F4252" i="6"/>
  <c r="F4253" i="6"/>
  <c r="F4254" i="6"/>
  <c r="F4255" i="6"/>
  <c r="F4256" i="6"/>
  <c r="F4257" i="6"/>
  <c r="F4258" i="6"/>
  <c r="F4259" i="6"/>
  <c r="F4260" i="6"/>
  <c r="F4261" i="6"/>
  <c r="F4262" i="6"/>
  <c r="F4263" i="6"/>
  <c r="F4264" i="6"/>
  <c r="F4265" i="6"/>
  <c r="F4266" i="6"/>
  <c r="F4267" i="6"/>
  <c r="F4268" i="6"/>
  <c r="F4269" i="6"/>
  <c r="F4270" i="6"/>
  <c r="F4271" i="6"/>
  <c r="F4272" i="6"/>
  <c r="F4273" i="6"/>
  <c r="F4274" i="6"/>
  <c r="F4275" i="6"/>
  <c r="F4276" i="6"/>
  <c r="F4277" i="6"/>
  <c r="F4278" i="6"/>
  <c r="F4279" i="6"/>
  <c r="F4280" i="6"/>
  <c r="F4281" i="6"/>
  <c r="F4282" i="6"/>
  <c r="F4283" i="6"/>
  <c r="F4284" i="6"/>
  <c r="F4285" i="6"/>
  <c r="F4286" i="6"/>
  <c r="F4287" i="6"/>
  <c r="F4288" i="6"/>
  <c r="F4289" i="6"/>
  <c r="F4290" i="6"/>
  <c r="F4291" i="6"/>
  <c r="F4292" i="6"/>
  <c r="F4293" i="6"/>
  <c r="F4294" i="6"/>
  <c r="F4295" i="6"/>
  <c r="F4296" i="6"/>
  <c r="F4297" i="6"/>
  <c r="F4298" i="6"/>
  <c r="F4299" i="6"/>
  <c r="F4300" i="6"/>
  <c r="F4301" i="6"/>
  <c r="F4302" i="6"/>
  <c r="F4303" i="6"/>
  <c r="F4304" i="6"/>
  <c r="F4305" i="6"/>
  <c r="F4306" i="6"/>
  <c r="F4307" i="6"/>
  <c r="F4308" i="6"/>
  <c r="F4309" i="6"/>
  <c r="F4310" i="6"/>
  <c r="F4311" i="6"/>
  <c r="F4312" i="6"/>
  <c r="F4313" i="6"/>
  <c r="F4314" i="6"/>
  <c r="F4315" i="6"/>
  <c r="F4316" i="6"/>
  <c r="F4317" i="6"/>
  <c r="F4318" i="6"/>
  <c r="F4319" i="6"/>
  <c r="F4320" i="6"/>
  <c r="F4321" i="6"/>
  <c r="F4322" i="6"/>
  <c r="F4323" i="6"/>
  <c r="F4324" i="6"/>
  <c r="F4325" i="6"/>
  <c r="F4326" i="6"/>
  <c r="F4327" i="6"/>
  <c r="F4328" i="6"/>
  <c r="F4329" i="6"/>
  <c r="F4330" i="6"/>
  <c r="F4331" i="6"/>
  <c r="F4332" i="6"/>
  <c r="F4333" i="6"/>
  <c r="F4334" i="6"/>
  <c r="F4335" i="6"/>
  <c r="F4336" i="6"/>
  <c r="F4337" i="6"/>
  <c r="F4338" i="6"/>
  <c r="F4339" i="6"/>
  <c r="F4340" i="6"/>
  <c r="F4341" i="6"/>
  <c r="F4342" i="6"/>
  <c r="F4343" i="6"/>
  <c r="F4344" i="6"/>
  <c r="F4345" i="6"/>
  <c r="F4346" i="6"/>
  <c r="F4347" i="6"/>
  <c r="F4348" i="6"/>
  <c r="F4349" i="6"/>
  <c r="F4350" i="6"/>
  <c r="F4351" i="6"/>
  <c r="F4352" i="6"/>
  <c r="F4353" i="6"/>
  <c r="F4354" i="6"/>
  <c r="F4355" i="6"/>
  <c r="F4356" i="6"/>
  <c r="F4357" i="6"/>
  <c r="F4358" i="6"/>
  <c r="F4359" i="6"/>
  <c r="F4360" i="6"/>
  <c r="F4361" i="6"/>
  <c r="F4362" i="6"/>
  <c r="F4363" i="6"/>
  <c r="F4364" i="6"/>
  <c r="F4365" i="6"/>
  <c r="F4366" i="6"/>
  <c r="F4367" i="6"/>
  <c r="F4368" i="6"/>
  <c r="F4369" i="6"/>
  <c r="F4370" i="6"/>
  <c r="F4371" i="6"/>
  <c r="F4372" i="6"/>
  <c r="F4373" i="6"/>
  <c r="F4374" i="6"/>
  <c r="F4375" i="6"/>
  <c r="F4376" i="6"/>
  <c r="F4377" i="6"/>
  <c r="F4378" i="6"/>
  <c r="F4379" i="6"/>
  <c r="F4380" i="6"/>
  <c r="F4381" i="6"/>
  <c r="F4382" i="6"/>
  <c r="F4383" i="6"/>
  <c r="F4384" i="6"/>
  <c r="F4385" i="6"/>
  <c r="F4386" i="6"/>
  <c r="F4387" i="6"/>
  <c r="F4388" i="6"/>
  <c r="F4389" i="6"/>
  <c r="F4390" i="6"/>
  <c r="F4391" i="6"/>
  <c r="F4392" i="6"/>
  <c r="F4393" i="6"/>
  <c r="F4394" i="6"/>
  <c r="F4395" i="6"/>
  <c r="F4396" i="6"/>
  <c r="F4397" i="6"/>
  <c r="F4398" i="6"/>
  <c r="F4399" i="6"/>
  <c r="F4400" i="6"/>
  <c r="F4401" i="6"/>
  <c r="F4402" i="6"/>
  <c r="F4403" i="6"/>
  <c r="F4404" i="6"/>
  <c r="F4405" i="6"/>
  <c r="F4406" i="6"/>
  <c r="F4407" i="6"/>
  <c r="F4408" i="6"/>
  <c r="F4409" i="6"/>
  <c r="F4410" i="6"/>
  <c r="F4411" i="6"/>
  <c r="F4412" i="6"/>
  <c r="F4413" i="6"/>
  <c r="F4414" i="6"/>
  <c r="F4415" i="6"/>
  <c r="F4416" i="6"/>
  <c r="F4417" i="6"/>
  <c r="F4418" i="6"/>
  <c r="F4419" i="6"/>
  <c r="F4420" i="6"/>
  <c r="F4421" i="6"/>
  <c r="F4422" i="6"/>
  <c r="F4423" i="6"/>
  <c r="F4424" i="6"/>
  <c r="F4425" i="6"/>
  <c r="F4426" i="6"/>
  <c r="F4427" i="6"/>
  <c r="F4428" i="6"/>
  <c r="F4429" i="6"/>
  <c r="F4430" i="6"/>
  <c r="F4431" i="6"/>
  <c r="F4432" i="6"/>
  <c r="F4433" i="6"/>
  <c r="F4434" i="6"/>
  <c r="F4435" i="6"/>
  <c r="F4436" i="6"/>
  <c r="F4437" i="6"/>
  <c r="F4438" i="6"/>
  <c r="F4439" i="6"/>
  <c r="F4440" i="6"/>
  <c r="F4441" i="6"/>
  <c r="F4442" i="6"/>
  <c r="F4443" i="6"/>
  <c r="F4444" i="6"/>
  <c r="F4445" i="6"/>
  <c r="F4446" i="6"/>
  <c r="F4447" i="6"/>
  <c r="F4448" i="6"/>
  <c r="F4449" i="6"/>
  <c r="F4450" i="6"/>
  <c r="F4451" i="6"/>
  <c r="F4452" i="6"/>
  <c r="F4453" i="6"/>
  <c r="F4454" i="6"/>
  <c r="F4455" i="6"/>
  <c r="F4456" i="6"/>
  <c r="F4457" i="6"/>
  <c r="F4458" i="6"/>
  <c r="F4459" i="6"/>
  <c r="F4460" i="6"/>
  <c r="F4461" i="6"/>
  <c r="F4462" i="6"/>
  <c r="F4463" i="6"/>
  <c r="F4464" i="6"/>
  <c r="F4465" i="6"/>
  <c r="F4466" i="6"/>
  <c r="F4467" i="6"/>
  <c r="F4468" i="6"/>
  <c r="F4469" i="6"/>
  <c r="F4470" i="6"/>
  <c r="F4471" i="6"/>
  <c r="F4472" i="6"/>
  <c r="F4473" i="6"/>
  <c r="F4474" i="6"/>
  <c r="F4475" i="6"/>
  <c r="F4476" i="6"/>
  <c r="F4477" i="6"/>
  <c r="F4478" i="6"/>
  <c r="F4479" i="6"/>
  <c r="F4480" i="6"/>
  <c r="F4481" i="6"/>
  <c r="F4482" i="6"/>
  <c r="F4483" i="6"/>
  <c r="F4484" i="6"/>
  <c r="F4485" i="6"/>
  <c r="F4486" i="6"/>
  <c r="F4487" i="6"/>
  <c r="F4488" i="6"/>
  <c r="F4489" i="6"/>
  <c r="F4490" i="6"/>
  <c r="F4491" i="6"/>
  <c r="F4492" i="6"/>
  <c r="F4493" i="6"/>
  <c r="F4494" i="6"/>
  <c r="F4495" i="6"/>
  <c r="F4496" i="6"/>
  <c r="F4497" i="6"/>
  <c r="F4498" i="6"/>
  <c r="F4499" i="6"/>
  <c r="F4500" i="6"/>
  <c r="F4501" i="6"/>
  <c r="F4502" i="6"/>
  <c r="F4503" i="6"/>
  <c r="F4504" i="6"/>
  <c r="F4505" i="6"/>
  <c r="F4506" i="6"/>
  <c r="F4507" i="6"/>
  <c r="F4508" i="6"/>
  <c r="F4509" i="6"/>
  <c r="F4510" i="6"/>
  <c r="F4511" i="6"/>
  <c r="F4512" i="6"/>
  <c r="F4513" i="6"/>
  <c r="F4514" i="6"/>
  <c r="F4515" i="6"/>
  <c r="F4516" i="6"/>
  <c r="F4517" i="6"/>
  <c r="F4518" i="6"/>
  <c r="F4519" i="6"/>
  <c r="F4520" i="6"/>
  <c r="F4521" i="6"/>
  <c r="F4522" i="6"/>
  <c r="F4523" i="6"/>
  <c r="F4524" i="6"/>
  <c r="F4525" i="6"/>
  <c r="F4526" i="6"/>
  <c r="F4527" i="6"/>
  <c r="F4528" i="6"/>
  <c r="F4529" i="6"/>
  <c r="F4530" i="6"/>
  <c r="F4531" i="6"/>
  <c r="F4532" i="6"/>
  <c r="F4533" i="6"/>
  <c r="F4534" i="6"/>
  <c r="F4535" i="6"/>
  <c r="F4536" i="6"/>
  <c r="F4537" i="6"/>
  <c r="F4538" i="6"/>
  <c r="F4539" i="6"/>
  <c r="F4540" i="6"/>
  <c r="F4541" i="6"/>
  <c r="F4542" i="6"/>
  <c r="F4543" i="6"/>
  <c r="F4544" i="6"/>
  <c r="F4545" i="6"/>
  <c r="F4546" i="6"/>
  <c r="F4547" i="6"/>
  <c r="F4548" i="6"/>
  <c r="F4549" i="6"/>
  <c r="F4550" i="6"/>
  <c r="F4551" i="6"/>
  <c r="F4552" i="6"/>
  <c r="F4553" i="6"/>
  <c r="F4554" i="6"/>
  <c r="F4555" i="6"/>
  <c r="F4556" i="6"/>
  <c r="F4557" i="6"/>
  <c r="F4558" i="6"/>
  <c r="F4559" i="6"/>
  <c r="F4560" i="6"/>
  <c r="F4561" i="6"/>
  <c r="F4562" i="6"/>
  <c r="F4563" i="6"/>
  <c r="F4564" i="6"/>
  <c r="F4565" i="6"/>
  <c r="F4566" i="6"/>
  <c r="F4567" i="6"/>
  <c r="F4568" i="6"/>
  <c r="F4569" i="6"/>
  <c r="F4570" i="6"/>
  <c r="F4571" i="6"/>
  <c r="F4572" i="6"/>
  <c r="F4573" i="6"/>
  <c r="F4574" i="6"/>
  <c r="F4575" i="6"/>
  <c r="F4576" i="6"/>
  <c r="F4577" i="6"/>
  <c r="F4578" i="6"/>
  <c r="F4579" i="6"/>
  <c r="F4580" i="6"/>
  <c r="F4581" i="6"/>
  <c r="F4582" i="6"/>
  <c r="F4583" i="6"/>
  <c r="F4584" i="6"/>
  <c r="F4585" i="6"/>
  <c r="F4586" i="6"/>
  <c r="F4587" i="6"/>
  <c r="F4588" i="6"/>
  <c r="F4589" i="6"/>
  <c r="F4590" i="6"/>
  <c r="F4591" i="6"/>
  <c r="F4592" i="6"/>
  <c r="F4593" i="6"/>
  <c r="F4594" i="6"/>
  <c r="F4595" i="6"/>
  <c r="F4596" i="6"/>
  <c r="F4597" i="6"/>
  <c r="F4598" i="6"/>
  <c r="F4599" i="6"/>
  <c r="F4600" i="6"/>
  <c r="F4601" i="6"/>
  <c r="F4602" i="6"/>
  <c r="F4603" i="6"/>
  <c r="F4604" i="6"/>
  <c r="F4605" i="6"/>
  <c r="F4606" i="6"/>
  <c r="F4607" i="6"/>
  <c r="F4608" i="6"/>
  <c r="F4609" i="6"/>
  <c r="F4610" i="6"/>
  <c r="F4611" i="6"/>
  <c r="F4612" i="6"/>
  <c r="F4613" i="6"/>
  <c r="F4614" i="6"/>
  <c r="F4615" i="6"/>
  <c r="F4616" i="6"/>
  <c r="F4617" i="6"/>
  <c r="F4618" i="6"/>
  <c r="F4619" i="6"/>
  <c r="F4620" i="6"/>
  <c r="F4621" i="6"/>
  <c r="F4622" i="6"/>
  <c r="F4623" i="6"/>
  <c r="F4624" i="6"/>
  <c r="F4625" i="6"/>
  <c r="F4626" i="6"/>
  <c r="F4627" i="6"/>
  <c r="F4628" i="6"/>
  <c r="F4629" i="6"/>
  <c r="F4630" i="6"/>
  <c r="F4631" i="6"/>
  <c r="F4632" i="6"/>
  <c r="F4633" i="6"/>
  <c r="F4634" i="6"/>
  <c r="F4635" i="6"/>
  <c r="F4636" i="6"/>
  <c r="F4637" i="6"/>
  <c r="F4638" i="6"/>
  <c r="F4639" i="6"/>
  <c r="F4640" i="6"/>
  <c r="F4641" i="6"/>
  <c r="F4642" i="6"/>
  <c r="F4643" i="6"/>
  <c r="F4644" i="6"/>
  <c r="F4645" i="6"/>
  <c r="F4646" i="6"/>
  <c r="F4647" i="6"/>
  <c r="F4648" i="6"/>
  <c r="F4649" i="6"/>
  <c r="F4650" i="6"/>
  <c r="F4651" i="6"/>
  <c r="F4652" i="6"/>
  <c r="F4653" i="6"/>
  <c r="F4654" i="6"/>
  <c r="F4655" i="6"/>
  <c r="F4656" i="6"/>
  <c r="F4657" i="6"/>
  <c r="F4658" i="6"/>
  <c r="F4659" i="6"/>
  <c r="F4660" i="6"/>
  <c r="F4661" i="6"/>
  <c r="F4662" i="6"/>
  <c r="F4663" i="6"/>
  <c r="F4664" i="6"/>
  <c r="F4665" i="6"/>
  <c r="F4666" i="6"/>
  <c r="F4667" i="6"/>
  <c r="F4668" i="6"/>
  <c r="F4669" i="6"/>
  <c r="F4670" i="6"/>
  <c r="F4671" i="6"/>
  <c r="F4672" i="6"/>
  <c r="F4673" i="6"/>
  <c r="F4674" i="6"/>
  <c r="F4675" i="6"/>
  <c r="F4676" i="6"/>
  <c r="F4677" i="6"/>
  <c r="F4678" i="6"/>
  <c r="F4679" i="6"/>
  <c r="F4680" i="6"/>
  <c r="F4681" i="6"/>
  <c r="F4682" i="6"/>
  <c r="F4683" i="6"/>
  <c r="F4684" i="6"/>
  <c r="F4685" i="6"/>
  <c r="F4686" i="6"/>
  <c r="F4687" i="6"/>
  <c r="F4688" i="6"/>
  <c r="F4689" i="6"/>
  <c r="F4690" i="6"/>
  <c r="F4691" i="6"/>
  <c r="F4692" i="6"/>
  <c r="F4693" i="6"/>
  <c r="F4694" i="6"/>
  <c r="F4695" i="6"/>
  <c r="F4696" i="6"/>
  <c r="F4697" i="6"/>
  <c r="F4698" i="6"/>
  <c r="F4699" i="6"/>
  <c r="F4700" i="6"/>
  <c r="F4701" i="6"/>
  <c r="F4702" i="6"/>
  <c r="F4703" i="6"/>
  <c r="F4704" i="6"/>
  <c r="F4705" i="6"/>
  <c r="F4706" i="6"/>
  <c r="F4707" i="6"/>
  <c r="F4708" i="6"/>
  <c r="F4709" i="6"/>
  <c r="F4710" i="6"/>
  <c r="F4711" i="6"/>
  <c r="F4712" i="6"/>
  <c r="F4713" i="6"/>
  <c r="F4714" i="6"/>
  <c r="F4715" i="6"/>
  <c r="F4716" i="6"/>
  <c r="F4717" i="6"/>
  <c r="F4718" i="6"/>
  <c r="F4719" i="6"/>
  <c r="F4720" i="6"/>
  <c r="F4721" i="6"/>
  <c r="F4722" i="6"/>
  <c r="F4723" i="6"/>
  <c r="F4724" i="6"/>
  <c r="F4725" i="6"/>
  <c r="F4726" i="6"/>
  <c r="F4727" i="6"/>
  <c r="F4728" i="6"/>
  <c r="F4729" i="6"/>
  <c r="F4730" i="6"/>
  <c r="F4731" i="6"/>
  <c r="F4732" i="6"/>
  <c r="F4733" i="6"/>
  <c r="F4734" i="6"/>
  <c r="F4735" i="6"/>
  <c r="F4736" i="6"/>
  <c r="F4737" i="6"/>
  <c r="F4738" i="6"/>
  <c r="F4739" i="6"/>
  <c r="F4740" i="6"/>
  <c r="F4741" i="6"/>
  <c r="F4742" i="6"/>
  <c r="F4743" i="6"/>
  <c r="F4744" i="6"/>
  <c r="F4745" i="6"/>
  <c r="F4746" i="6"/>
  <c r="F4747" i="6"/>
  <c r="F4748" i="6"/>
  <c r="F4749" i="6"/>
  <c r="F4750" i="6"/>
  <c r="F4751" i="6"/>
  <c r="F4752" i="6"/>
  <c r="F4753" i="6"/>
  <c r="F4754" i="6"/>
  <c r="F4755" i="6"/>
  <c r="F4756" i="6"/>
  <c r="F4757" i="6"/>
  <c r="F4758" i="6"/>
  <c r="F4759" i="6"/>
  <c r="F4760" i="6"/>
  <c r="F4761" i="6"/>
  <c r="F4762" i="6"/>
  <c r="F4763" i="6"/>
  <c r="F4764" i="6"/>
  <c r="F4765" i="6"/>
  <c r="F4766" i="6"/>
  <c r="F4767" i="6"/>
  <c r="F4768" i="6"/>
  <c r="F4769" i="6"/>
  <c r="F4770" i="6"/>
  <c r="F4771" i="6"/>
  <c r="F4772" i="6"/>
  <c r="F4773" i="6"/>
  <c r="F4774" i="6"/>
  <c r="F4775" i="6"/>
  <c r="F4776" i="6"/>
  <c r="F4777" i="6"/>
  <c r="F4778" i="6"/>
  <c r="F4779" i="6"/>
  <c r="F4780" i="6"/>
  <c r="F4781" i="6"/>
  <c r="F4782" i="6"/>
  <c r="F4783" i="6"/>
  <c r="F4784" i="6"/>
  <c r="F4785" i="6"/>
  <c r="F4786" i="6"/>
  <c r="F4787" i="6"/>
  <c r="F4788" i="6"/>
  <c r="F4789" i="6"/>
  <c r="F4790" i="6"/>
  <c r="F4791" i="6"/>
  <c r="F4792" i="6"/>
  <c r="F4793" i="6"/>
  <c r="F4794" i="6"/>
  <c r="F4795" i="6"/>
  <c r="F4796" i="6"/>
  <c r="F4797" i="6"/>
  <c r="F4798" i="6"/>
  <c r="F4799" i="6"/>
  <c r="F4800" i="6"/>
  <c r="F4801" i="6"/>
  <c r="F4802" i="6"/>
  <c r="F4803" i="6"/>
  <c r="F4804" i="6"/>
  <c r="F4805" i="6"/>
  <c r="F4806" i="6"/>
  <c r="F4807" i="6"/>
  <c r="F4808" i="6"/>
  <c r="F4809" i="6"/>
  <c r="F4810" i="6"/>
  <c r="F4811" i="6"/>
  <c r="F4812" i="6"/>
  <c r="F4813" i="6"/>
  <c r="F4814" i="6"/>
  <c r="F4815" i="6"/>
  <c r="F4816" i="6"/>
  <c r="F4817" i="6"/>
  <c r="F4818" i="6"/>
  <c r="F4819" i="6"/>
  <c r="F4820" i="6"/>
  <c r="F4821" i="6"/>
  <c r="F4822" i="6"/>
  <c r="F4823" i="6"/>
  <c r="F4824" i="6"/>
  <c r="F4825" i="6"/>
  <c r="F4826" i="6"/>
  <c r="F4827" i="6"/>
  <c r="F4828" i="6"/>
  <c r="F4829" i="6"/>
  <c r="F4830" i="6"/>
  <c r="F4831" i="6"/>
  <c r="F4832" i="6"/>
  <c r="F4833" i="6"/>
  <c r="F4834" i="6"/>
  <c r="F4835" i="6"/>
  <c r="F4836" i="6"/>
  <c r="F4837" i="6"/>
  <c r="F4838" i="6"/>
  <c r="F4839" i="6"/>
  <c r="F4840" i="6"/>
  <c r="F4841" i="6"/>
  <c r="F4842" i="6"/>
  <c r="F4843" i="6"/>
  <c r="F4844" i="6"/>
  <c r="F4845" i="6"/>
  <c r="F4846" i="6"/>
  <c r="F4847" i="6"/>
  <c r="F4848" i="6"/>
  <c r="F4849" i="6"/>
  <c r="F4850" i="6"/>
  <c r="F4851" i="6"/>
  <c r="F4852" i="6"/>
  <c r="F4853" i="6"/>
  <c r="F4854" i="6"/>
  <c r="F4855" i="6"/>
  <c r="F4856" i="6"/>
  <c r="F4857" i="6"/>
  <c r="F4858" i="6"/>
  <c r="F4859" i="6"/>
  <c r="F4860" i="6"/>
  <c r="F4861" i="6"/>
  <c r="F4862" i="6"/>
  <c r="F4863" i="6"/>
  <c r="F4864" i="6"/>
  <c r="F4865" i="6"/>
  <c r="F4866" i="6"/>
  <c r="F4867" i="6"/>
  <c r="F4868" i="6"/>
  <c r="F4869" i="6"/>
  <c r="F4870" i="6"/>
  <c r="F4871" i="6"/>
  <c r="F4872" i="6"/>
  <c r="F4873" i="6"/>
  <c r="F4874" i="6"/>
  <c r="F4875" i="6"/>
  <c r="F4876" i="6"/>
  <c r="F4877" i="6"/>
  <c r="F4878" i="6"/>
  <c r="F4879" i="6"/>
  <c r="F4880" i="6"/>
  <c r="F4881" i="6"/>
  <c r="F4882" i="6"/>
  <c r="F4883" i="6"/>
  <c r="F4884" i="6"/>
  <c r="F4885" i="6"/>
  <c r="F4886" i="6"/>
  <c r="F4887" i="6"/>
  <c r="F4888" i="6"/>
  <c r="F4889" i="6"/>
  <c r="F4890" i="6"/>
  <c r="F4891" i="6"/>
  <c r="F4892" i="6"/>
  <c r="F4893" i="6"/>
  <c r="F4894" i="6"/>
  <c r="F4895" i="6"/>
  <c r="F4896" i="6"/>
  <c r="F4897" i="6"/>
  <c r="F4898" i="6"/>
  <c r="F4899" i="6"/>
  <c r="F4900" i="6"/>
  <c r="F4901" i="6"/>
  <c r="F4902" i="6"/>
  <c r="F4903" i="6"/>
  <c r="F4904" i="6"/>
  <c r="F4905" i="6"/>
  <c r="F4906" i="6"/>
  <c r="F4907" i="6"/>
  <c r="F4908" i="6"/>
  <c r="F4909" i="6"/>
  <c r="F4910" i="6"/>
  <c r="F4911" i="6"/>
  <c r="F4912" i="6"/>
  <c r="F4913" i="6"/>
  <c r="F4914" i="6"/>
  <c r="F4915" i="6"/>
  <c r="F4916" i="6"/>
  <c r="F4917" i="6"/>
  <c r="F4918" i="6"/>
  <c r="F4919" i="6"/>
  <c r="F4920" i="6"/>
  <c r="F4921" i="6"/>
  <c r="F4922" i="6"/>
  <c r="F4923" i="6"/>
  <c r="F4924" i="6"/>
  <c r="F4925" i="6"/>
  <c r="F4926" i="6"/>
  <c r="F4927" i="6"/>
  <c r="F4928" i="6"/>
  <c r="F4929" i="6"/>
  <c r="F4930" i="6"/>
  <c r="F4931" i="6"/>
  <c r="F4932" i="6"/>
  <c r="F4933" i="6"/>
  <c r="F4934" i="6"/>
  <c r="F4935" i="6"/>
  <c r="F4936" i="6"/>
  <c r="F4937" i="6"/>
  <c r="F4938" i="6"/>
  <c r="F4939" i="6"/>
  <c r="F4940" i="6"/>
  <c r="F4941" i="6"/>
  <c r="F4942" i="6"/>
  <c r="F4943" i="6"/>
  <c r="F4944" i="6"/>
  <c r="F4945" i="6"/>
  <c r="F4946" i="6"/>
  <c r="F4947" i="6"/>
  <c r="F4948" i="6"/>
  <c r="F4949" i="6"/>
  <c r="F4950" i="6"/>
  <c r="F4951" i="6"/>
  <c r="F4952" i="6"/>
  <c r="F4953" i="6"/>
  <c r="F4954" i="6"/>
  <c r="F4955" i="6"/>
  <c r="F4956" i="6"/>
  <c r="F4957" i="6"/>
  <c r="F4958" i="6"/>
  <c r="F4959" i="6"/>
  <c r="F4960" i="6"/>
  <c r="F4961" i="6"/>
  <c r="F4962" i="6"/>
  <c r="F4963" i="6"/>
  <c r="F4964" i="6"/>
  <c r="F4965" i="6"/>
  <c r="F4966" i="6"/>
  <c r="F4967" i="6"/>
  <c r="F4968" i="6"/>
  <c r="F4969" i="6"/>
  <c r="F4970" i="6"/>
  <c r="F4971" i="6"/>
  <c r="F4972" i="6"/>
  <c r="F4973" i="6"/>
  <c r="F4974" i="6"/>
  <c r="F4975" i="6"/>
  <c r="F4976" i="6"/>
  <c r="F4977" i="6"/>
  <c r="F4978" i="6"/>
  <c r="F4979" i="6"/>
  <c r="F4980" i="6"/>
  <c r="F4981" i="6"/>
  <c r="F4982" i="6"/>
  <c r="F4983" i="6"/>
  <c r="F4984" i="6"/>
  <c r="F4985" i="6"/>
  <c r="F4986" i="6"/>
  <c r="F4987" i="6"/>
  <c r="F4988" i="6"/>
  <c r="F4989" i="6"/>
  <c r="F4990" i="6"/>
  <c r="F4991" i="6"/>
  <c r="F4992" i="6"/>
  <c r="F4993" i="6"/>
  <c r="F4994" i="6"/>
  <c r="F4995" i="6"/>
  <c r="F4996" i="6"/>
  <c r="F4997" i="6"/>
  <c r="F4998" i="6"/>
  <c r="F4999" i="6"/>
  <c r="F5000" i="6"/>
  <c r="F5001" i="6"/>
  <c r="F5002" i="6"/>
  <c r="F5003" i="6"/>
  <c r="F5004" i="6"/>
  <c r="F5005" i="6"/>
  <c r="F5006" i="6"/>
  <c r="F5007" i="6"/>
  <c r="F5008" i="6"/>
  <c r="F5009" i="6"/>
  <c r="F5010" i="6"/>
  <c r="F5011" i="6"/>
  <c r="F5012" i="6"/>
  <c r="F5013" i="6"/>
  <c r="F5014" i="6"/>
  <c r="F5015" i="6"/>
  <c r="F5016" i="6"/>
  <c r="F5017" i="6"/>
  <c r="F5018" i="6"/>
  <c r="F5019" i="6"/>
  <c r="F5020" i="6"/>
  <c r="F5021" i="6"/>
  <c r="F5022" i="6"/>
  <c r="F5023" i="6"/>
  <c r="F5024" i="6"/>
  <c r="F5025" i="6"/>
  <c r="F5026" i="6"/>
  <c r="F5027" i="6"/>
  <c r="F5028" i="6"/>
  <c r="F5029" i="6"/>
  <c r="F5030" i="6"/>
  <c r="F5031" i="6"/>
  <c r="F5032" i="6"/>
  <c r="F5033" i="6"/>
  <c r="F5034" i="6"/>
  <c r="F5035" i="6"/>
  <c r="F5036" i="6"/>
  <c r="F5037" i="6"/>
  <c r="F5038" i="6"/>
  <c r="F5039" i="6"/>
  <c r="F5040" i="6"/>
  <c r="F5041" i="6"/>
  <c r="F5042" i="6"/>
  <c r="F5043" i="6"/>
  <c r="F5044" i="6"/>
  <c r="F5045" i="6"/>
  <c r="F5046" i="6"/>
  <c r="F5047" i="6"/>
  <c r="F5048" i="6"/>
  <c r="F5049" i="6"/>
  <c r="F5050" i="6"/>
  <c r="F5051" i="6"/>
  <c r="F5052" i="6"/>
  <c r="F5053" i="6"/>
  <c r="F5054" i="6"/>
  <c r="F5055" i="6"/>
  <c r="F5056" i="6"/>
  <c r="F5057" i="6"/>
  <c r="F5058" i="6"/>
  <c r="F5059" i="6"/>
  <c r="F5060" i="6"/>
  <c r="F5061" i="6"/>
  <c r="F5062" i="6"/>
  <c r="F5063" i="6"/>
  <c r="F5064" i="6"/>
  <c r="F5065" i="6"/>
  <c r="F5066" i="6"/>
  <c r="F5067" i="6"/>
  <c r="F5068" i="6"/>
  <c r="F5069" i="6"/>
  <c r="F5070" i="6"/>
  <c r="F5071" i="6"/>
  <c r="F5072" i="6"/>
  <c r="F5073" i="6"/>
  <c r="F5074" i="6"/>
  <c r="F5075" i="6"/>
  <c r="F5076" i="6"/>
  <c r="F5077" i="6"/>
  <c r="F5078" i="6"/>
  <c r="F5079" i="6"/>
  <c r="F5080" i="6"/>
  <c r="F5081" i="6"/>
  <c r="F5082" i="6"/>
  <c r="F5083" i="6"/>
  <c r="F5084" i="6"/>
  <c r="F5085" i="6"/>
  <c r="F5086" i="6"/>
  <c r="F5087" i="6"/>
  <c r="F5088" i="6"/>
  <c r="F5089" i="6"/>
  <c r="F5090" i="6"/>
  <c r="F5091" i="6"/>
  <c r="F5092" i="6"/>
  <c r="F5093" i="6"/>
  <c r="F5094" i="6"/>
  <c r="F5095" i="6"/>
  <c r="F5096" i="6"/>
  <c r="F5097" i="6"/>
  <c r="F5098" i="6"/>
  <c r="F5099" i="6"/>
  <c r="F5100" i="6"/>
  <c r="F5101" i="6"/>
  <c r="F5102" i="6"/>
  <c r="F5103" i="6"/>
  <c r="F5104" i="6"/>
  <c r="F5105" i="6"/>
  <c r="F5106" i="6"/>
  <c r="F5107" i="6"/>
  <c r="F5108" i="6"/>
  <c r="F5109" i="6"/>
  <c r="F5110" i="6"/>
  <c r="F5111" i="6"/>
  <c r="F5112" i="6"/>
  <c r="F5113" i="6"/>
  <c r="F5114" i="6"/>
  <c r="F5115" i="6"/>
  <c r="F5116" i="6"/>
  <c r="F5117" i="6"/>
  <c r="F5118" i="6"/>
  <c r="F5119" i="6"/>
  <c r="F5120" i="6"/>
  <c r="F5121" i="6"/>
  <c r="F5122" i="6"/>
  <c r="F5123" i="6"/>
  <c r="F5124" i="6"/>
  <c r="F5125" i="6"/>
  <c r="F5126" i="6"/>
  <c r="F5127" i="6"/>
  <c r="F5128" i="6"/>
  <c r="F5129" i="6"/>
  <c r="F5130" i="6"/>
  <c r="F5131" i="6"/>
  <c r="F5132" i="6"/>
  <c r="F5133" i="6"/>
  <c r="F5134" i="6"/>
  <c r="F5135" i="6"/>
  <c r="F5136" i="6"/>
  <c r="F5137" i="6"/>
  <c r="F5138" i="6"/>
  <c r="F5139" i="6"/>
  <c r="F5140" i="6"/>
  <c r="F5141" i="6"/>
  <c r="F5142" i="6"/>
  <c r="F5143" i="6"/>
  <c r="F5144" i="6"/>
  <c r="F5145" i="6"/>
  <c r="F5146" i="6"/>
  <c r="F5147" i="6"/>
  <c r="F5148" i="6"/>
  <c r="F5149" i="6"/>
  <c r="F5150" i="6"/>
  <c r="F5151" i="6"/>
  <c r="F5152" i="6"/>
  <c r="F5153" i="6"/>
  <c r="F5154" i="6"/>
  <c r="F5155" i="6"/>
  <c r="F5156" i="6"/>
  <c r="F5157" i="6"/>
  <c r="F5158" i="6"/>
  <c r="F5159" i="6"/>
  <c r="F5160" i="6"/>
  <c r="F5161" i="6"/>
  <c r="F5162" i="6"/>
  <c r="F5163" i="6"/>
  <c r="F5164" i="6"/>
  <c r="F5165" i="6"/>
  <c r="F5166" i="6"/>
  <c r="F5167" i="6"/>
  <c r="F5168" i="6"/>
  <c r="F5169" i="6"/>
  <c r="F5170" i="6"/>
  <c r="F5171" i="6"/>
  <c r="F5172" i="6"/>
  <c r="F5173" i="6"/>
  <c r="F5174" i="6"/>
  <c r="F5175" i="6"/>
  <c r="F5176" i="6"/>
  <c r="F5177" i="6"/>
  <c r="F5178" i="6"/>
  <c r="F5179" i="6"/>
  <c r="F5180" i="6"/>
  <c r="F5181" i="6"/>
  <c r="F5182" i="6"/>
  <c r="F5183" i="6"/>
  <c r="F5184" i="6"/>
  <c r="F5185" i="6"/>
  <c r="F5186" i="6"/>
  <c r="F5187" i="6"/>
  <c r="F5188" i="6"/>
  <c r="F5189" i="6"/>
  <c r="F5190" i="6"/>
  <c r="F5191" i="6"/>
  <c r="F5192" i="6"/>
  <c r="F5193" i="6"/>
  <c r="F5194" i="6"/>
  <c r="F5195" i="6"/>
  <c r="F5196" i="6"/>
  <c r="F5197" i="6"/>
  <c r="F5198" i="6"/>
  <c r="F5199" i="6"/>
  <c r="F5200" i="6"/>
  <c r="F5201" i="6"/>
  <c r="F5202" i="6"/>
  <c r="F5203" i="6"/>
  <c r="F5204" i="6"/>
  <c r="F5205" i="6"/>
  <c r="F5206" i="6"/>
  <c r="F5207" i="6"/>
  <c r="F5208" i="6"/>
  <c r="F5209" i="6"/>
  <c r="F5210" i="6"/>
  <c r="F5211" i="6"/>
  <c r="F5212" i="6"/>
  <c r="F5213" i="6"/>
  <c r="F5214" i="6"/>
  <c r="F5215" i="6"/>
  <c r="F5216" i="6"/>
  <c r="F5217" i="6"/>
  <c r="F5218" i="6"/>
  <c r="F5219" i="6"/>
  <c r="F5220" i="6"/>
  <c r="F5221" i="6"/>
  <c r="F5222" i="6"/>
  <c r="F5223" i="6"/>
  <c r="F5224" i="6"/>
  <c r="F5225" i="6"/>
  <c r="F5226" i="6"/>
  <c r="F5227" i="6"/>
  <c r="F5228" i="6"/>
  <c r="F5229" i="6"/>
  <c r="F5230" i="6"/>
  <c r="F5231" i="6"/>
  <c r="F5232" i="6"/>
  <c r="F5233" i="6"/>
  <c r="F5234" i="6"/>
  <c r="F5235" i="6"/>
  <c r="F5236" i="6"/>
  <c r="F5237" i="6"/>
  <c r="F5238" i="6"/>
  <c r="F5239" i="6"/>
  <c r="F5240" i="6"/>
  <c r="F5241" i="6"/>
  <c r="F5242" i="6"/>
  <c r="F5243" i="6"/>
  <c r="F5244" i="6"/>
  <c r="F5245" i="6"/>
  <c r="F5246" i="6"/>
  <c r="F5247" i="6"/>
  <c r="F5248" i="6"/>
  <c r="F5249" i="6"/>
  <c r="F5250" i="6"/>
  <c r="F5251" i="6"/>
  <c r="F5252" i="6"/>
  <c r="F5253" i="6"/>
  <c r="F5254" i="6"/>
  <c r="F5255" i="6"/>
  <c r="F5256" i="6"/>
  <c r="F5257" i="6"/>
  <c r="F5258" i="6"/>
  <c r="F5259" i="6"/>
  <c r="F5260" i="6"/>
  <c r="F5261" i="6"/>
  <c r="F5262" i="6"/>
  <c r="F5263" i="6"/>
  <c r="F5264" i="6"/>
  <c r="F5265" i="6"/>
  <c r="F5266" i="6"/>
  <c r="F5267" i="6"/>
  <c r="F5268" i="6"/>
  <c r="F5269" i="6"/>
  <c r="F5270" i="6"/>
  <c r="F5271" i="6"/>
  <c r="F5272" i="6"/>
  <c r="F5273" i="6"/>
  <c r="F5274" i="6"/>
  <c r="F5275" i="6"/>
  <c r="F5276" i="6"/>
  <c r="F5277" i="6"/>
  <c r="F5278" i="6"/>
  <c r="F5279" i="6"/>
  <c r="F5280" i="6"/>
  <c r="F5281" i="6"/>
  <c r="F5282" i="6"/>
  <c r="F5283" i="6"/>
  <c r="F5284" i="6"/>
  <c r="F5285" i="6"/>
  <c r="F5286" i="6"/>
  <c r="F5287" i="6"/>
  <c r="F5288" i="6"/>
  <c r="F5289" i="6"/>
  <c r="F5290" i="6"/>
  <c r="F5291" i="6"/>
  <c r="F5292" i="6"/>
  <c r="F5293" i="6"/>
  <c r="F5294" i="6"/>
  <c r="F5295" i="6"/>
  <c r="F5296" i="6"/>
  <c r="F5297" i="6"/>
  <c r="F5298" i="6"/>
  <c r="F5299" i="6"/>
  <c r="F5300" i="6"/>
  <c r="F5301" i="6"/>
  <c r="F5302" i="6"/>
  <c r="F5303" i="6"/>
  <c r="F5304" i="6"/>
  <c r="F5305" i="6"/>
  <c r="F5306" i="6"/>
  <c r="F5307" i="6"/>
  <c r="F5308" i="6"/>
  <c r="F5309" i="6"/>
  <c r="F5310" i="6"/>
  <c r="F5311" i="6"/>
  <c r="F5312" i="6"/>
  <c r="F5313" i="6"/>
  <c r="F5314" i="6"/>
  <c r="F5315" i="6"/>
  <c r="F5316" i="6"/>
  <c r="F5317" i="6"/>
  <c r="F5318" i="6"/>
  <c r="F5319" i="6"/>
  <c r="F5320" i="6"/>
  <c r="F5321" i="6"/>
  <c r="F5322" i="6"/>
  <c r="F5323" i="6"/>
  <c r="F5324" i="6"/>
  <c r="F5325" i="6"/>
  <c r="F5326" i="6"/>
  <c r="F5327" i="6"/>
  <c r="F5328" i="6"/>
  <c r="F5329" i="6"/>
  <c r="F5330" i="6"/>
  <c r="F5331" i="6"/>
  <c r="F5332" i="6"/>
  <c r="F5333" i="6"/>
  <c r="F5334" i="6"/>
  <c r="F5335" i="6"/>
  <c r="F5336" i="6"/>
  <c r="F5337" i="6"/>
  <c r="F5338" i="6"/>
  <c r="F5339" i="6"/>
  <c r="F5340" i="6"/>
  <c r="F5341" i="6"/>
  <c r="F5342" i="6"/>
  <c r="F5343" i="6"/>
  <c r="F5344" i="6"/>
  <c r="F5345" i="6"/>
  <c r="F5346" i="6"/>
  <c r="F5347" i="6"/>
  <c r="F5348" i="6"/>
  <c r="F5349" i="6"/>
  <c r="F5350" i="6"/>
  <c r="F5351" i="6"/>
  <c r="F5352" i="6"/>
  <c r="F5353" i="6"/>
  <c r="F5354" i="6"/>
  <c r="F5355" i="6"/>
  <c r="F5356" i="6"/>
  <c r="F5357" i="6"/>
  <c r="F5358" i="6"/>
  <c r="F5359" i="6"/>
  <c r="F5360" i="6"/>
  <c r="F5361" i="6"/>
  <c r="F5362" i="6"/>
  <c r="F5363" i="6"/>
  <c r="F5364" i="6"/>
  <c r="F5365" i="6"/>
  <c r="F5366" i="6"/>
  <c r="F5367" i="6"/>
  <c r="F5368" i="6"/>
  <c r="F5369" i="6"/>
  <c r="F5370" i="6"/>
  <c r="F5371" i="6"/>
  <c r="F5372" i="6"/>
  <c r="F5373" i="6"/>
  <c r="F5374" i="6"/>
  <c r="F5375" i="6"/>
  <c r="F5376" i="6"/>
  <c r="F5377" i="6"/>
  <c r="F5378" i="6"/>
  <c r="F5379" i="6"/>
  <c r="F5380" i="6"/>
  <c r="F5381" i="6"/>
  <c r="F5382" i="6"/>
  <c r="F5383" i="6"/>
  <c r="F5384" i="6"/>
  <c r="F5385" i="6"/>
  <c r="F5386" i="6"/>
  <c r="F5387" i="6"/>
  <c r="F5388" i="6"/>
  <c r="F5389" i="6"/>
  <c r="F5390" i="6"/>
  <c r="F5391" i="6"/>
  <c r="F5392" i="6"/>
  <c r="F5393" i="6"/>
  <c r="F5394" i="6"/>
  <c r="F5395" i="6"/>
  <c r="F5396" i="6"/>
  <c r="F5397" i="6"/>
  <c r="F5398" i="6"/>
  <c r="F5399" i="6"/>
  <c r="F5400" i="6"/>
  <c r="F5401" i="6"/>
  <c r="F5402" i="6"/>
  <c r="F5403" i="6"/>
  <c r="F5404" i="6"/>
  <c r="F5405" i="6"/>
  <c r="F5406" i="6"/>
  <c r="F5407" i="6"/>
  <c r="F5408" i="6"/>
  <c r="F5409" i="6"/>
  <c r="F5410" i="6"/>
  <c r="F5411" i="6"/>
  <c r="F5412" i="6"/>
  <c r="F5413" i="6"/>
  <c r="F5414" i="6"/>
  <c r="F5415" i="6"/>
  <c r="F5416" i="6"/>
  <c r="F5417" i="6"/>
  <c r="F5418" i="6"/>
  <c r="F5419" i="6"/>
  <c r="F5420" i="6"/>
  <c r="F5421" i="6"/>
  <c r="F5422" i="6"/>
  <c r="F5423" i="6"/>
  <c r="F5424" i="6"/>
  <c r="F5425" i="6"/>
  <c r="F5426" i="6"/>
  <c r="F5427" i="6"/>
  <c r="F5428" i="6"/>
  <c r="F5429" i="6"/>
  <c r="F5430" i="6"/>
  <c r="F5431" i="6"/>
  <c r="F5432" i="6"/>
  <c r="F5433" i="6"/>
  <c r="F5434" i="6"/>
  <c r="F5435" i="6"/>
  <c r="F5436" i="6"/>
  <c r="F5437" i="6"/>
  <c r="F5438" i="6"/>
  <c r="F5439" i="6"/>
  <c r="F5440" i="6"/>
  <c r="F5441" i="6"/>
  <c r="F5442" i="6"/>
  <c r="F5443" i="6"/>
  <c r="F5444" i="6"/>
  <c r="F5445" i="6"/>
  <c r="F5446" i="6"/>
  <c r="F5447" i="6"/>
  <c r="F5448" i="6"/>
  <c r="F5449" i="6"/>
  <c r="F5450" i="6"/>
  <c r="F5451" i="6"/>
  <c r="F5452" i="6"/>
  <c r="F5453" i="6"/>
  <c r="F5454" i="6"/>
  <c r="F5455" i="6"/>
  <c r="F5456" i="6"/>
  <c r="F5457" i="6"/>
  <c r="F5458" i="6"/>
  <c r="F5459" i="6"/>
  <c r="F5460" i="6"/>
  <c r="F5461" i="6"/>
  <c r="F5462" i="6"/>
  <c r="F5463" i="6"/>
  <c r="F5464" i="6"/>
  <c r="F5465" i="6"/>
  <c r="F5466" i="6"/>
  <c r="F5467" i="6"/>
  <c r="F5468" i="6"/>
  <c r="F5469" i="6"/>
  <c r="F5470" i="6"/>
  <c r="F5471" i="6"/>
  <c r="F5472" i="6"/>
  <c r="F5473" i="6"/>
  <c r="F5474" i="6"/>
  <c r="F5475" i="6"/>
  <c r="F5476" i="6"/>
  <c r="F5477" i="6"/>
  <c r="F5478" i="6"/>
  <c r="F5479" i="6"/>
  <c r="F5480" i="6"/>
  <c r="F5481" i="6"/>
  <c r="F5482" i="6"/>
  <c r="F5483" i="6"/>
  <c r="F5484" i="6"/>
  <c r="F5485" i="6"/>
  <c r="F5486" i="6"/>
  <c r="F5487" i="6"/>
  <c r="F5488" i="6"/>
  <c r="F5489" i="6"/>
  <c r="F5490" i="6"/>
  <c r="F5491" i="6"/>
  <c r="F5492" i="6"/>
  <c r="F5493" i="6"/>
  <c r="F5494" i="6"/>
  <c r="F5495" i="6"/>
  <c r="F5496" i="6"/>
  <c r="F5497" i="6"/>
  <c r="F5498" i="6"/>
  <c r="F5499" i="6"/>
  <c r="F5500" i="6"/>
  <c r="F5501" i="6"/>
  <c r="F5502" i="6"/>
  <c r="F5503" i="6"/>
  <c r="F5504" i="6"/>
  <c r="F5505" i="6"/>
  <c r="F5506" i="6"/>
  <c r="F5507" i="6"/>
  <c r="F5508" i="6"/>
  <c r="F5509" i="6"/>
  <c r="F5510" i="6"/>
  <c r="F5511" i="6"/>
  <c r="F5512" i="6"/>
  <c r="F5513" i="6"/>
  <c r="F5514" i="6"/>
  <c r="F5515" i="6"/>
  <c r="F5516" i="6"/>
  <c r="F5517" i="6"/>
  <c r="F5518" i="6"/>
  <c r="F5519" i="6"/>
  <c r="F5520" i="6"/>
  <c r="F5521" i="6"/>
  <c r="F5522" i="6"/>
  <c r="F5523" i="6"/>
  <c r="F5524" i="6"/>
  <c r="F5525" i="6"/>
  <c r="F5526" i="6"/>
  <c r="F5527" i="6"/>
  <c r="F5528" i="6"/>
  <c r="F5529" i="6"/>
  <c r="F5530" i="6"/>
  <c r="F5531" i="6"/>
  <c r="F5532" i="6"/>
  <c r="F5533" i="6"/>
  <c r="F5534" i="6"/>
  <c r="F5535" i="6"/>
  <c r="F5536" i="6"/>
  <c r="F5537" i="6"/>
  <c r="F5538" i="6"/>
  <c r="F5539" i="6"/>
  <c r="F5540" i="6"/>
  <c r="F5541" i="6"/>
  <c r="F5542" i="6"/>
  <c r="F5543" i="6"/>
  <c r="F5544" i="6"/>
  <c r="F5545" i="6"/>
  <c r="F5546" i="6"/>
  <c r="F5547" i="6"/>
  <c r="F5548" i="6"/>
  <c r="F5549" i="6"/>
  <c r="F5550" i="6"/>
  <c r="F5551" i="6"/>
  <c r="F5552" i="6"/>
  <c r="F5553" i="6"/>
  <c r="F5554" i="6"/>
  <c r="F5555" i="6"/>
  <c r="F5556" i="6"/>
  <c r="F5557" i="6"/>
  <c r="F5558" i="6"/>
  <c r="F5559" i="6"/>
  <c r="F5560" i="6"/>
  <c r="F5561" i="6"/>
  <c r="F5562" i="6"/>
  <c r="F5563" i="6"/>
  <c r="F5564" i="6"/>
  <c r="F5565" i="6"/>
  <c r="F5566" i="6"/>
  <c r="F5567" i="6"/>
  <c r="F5568" i="6"/>
  <c r="F5569" i="6"/>
  <c r="F5570" i="6"/>
  <c r="F5571" i="6"/>
  <c r="F5572" i="6"/>
  <c r="F5573" i="6"/>
  <c r="F5574" i="6"/>
  <c r="F5575" i="6"/>
  <c r="F5576" i="6"/>
  <c r="F5577" i="6"/>
  <c r="F5578" i="6"/>
  <c r="F5579" i="6"/>
  <c r="F5580" i="6"/>
  <c r="F5581" i="6"/>
  <c r="F5582" i="6"/>
  <c r="F5583" i="6"/>
  <c r="F5584" i="6"/>
  <c r="F5585" i="6"/>
  <c r="F5586" i="6"/>
  <c r="F5587" i="6"/>
  <c r="F5588" i="6"/>
  <c r="F5589" i="6"/>
  <c r="F5590" i="6"/>
  <c r="F5591" i="6"/>
  <c r="F5592" i="6"/>
  <c r="F5593" i="6"/>
  <c r="F5594" i="6"/>
  <c r="F5595" i="6"/>
  <c r="F5596" i="6"/>
  <c r="F5597" i="6"/>
  <c r="F5598" i="6"/>
  <c r="F5599" i="6"/>
  <c r="F5600" i="6"/>
  <c r="F5601" i="6"/>
  <c r="F5602" i="6"/>
  <c r="F5603" i="6"/>
  <c r="F5604" i="6"/>
  <c r="F5605" i="6"/>
  <c r="F5606" i="6"/>
  <c r="F5607" i="6"/>
  <c r="F5608" i="6"/>
  <c r="F5609" i="6"/>
  <c r="F5610" i="6"/>
  <c r="F5611" i="6"/>
  <c r="F5612" i="6"/>
  <c r="F5613" i="6"/>
  <c r="F5614" i="6"/>
  <c r="F5615" i="6"/>
  <c r="F5616" i="6"/>
  <c r="F5617" i="6"/>
  <c r="F5618" i="6"/>
  <c r="F5619" i="6"/>
  <c r="F5620" i="6"/>
  <c r="F5621" i="6"/>
  <c r="F5622" i="6"/>
  <c r="F5623" i="6"/>
  <c r="F5624" i="6"/>
  <c r="F5625" i="6"/>
  <c r="F5626" i="6"/>
  <c r="F5627" i="6"/>
  <c r="F5628" i="6"/>
  <c r="F5629" i="6"/>
  <c r="F5630" i="6"/>
  <c r="F5631" i="6"/>
  <c r="F5632" i="6"/>
  <c r="F5633" i="6"/>
  <c r="F5634" i="6"/>
  <c r="F5635" i="6"/>
  <c r="F5636" i="6"/>
  <c r="F5637" i="6"/>
  <c r="F5638" i="6"/>
  <c r="F5639" i="6"/>
  <c r="F5640" i="6"/>
  <c r="F5641" i="6"/>
  <c r="F5642" i="6"/>
  <c r="F5643" i="6"/>
  <c r="F5644" i="6"/>
  <c r="F5645" i="6"/>
  <c r="F5646" i="6"/>
  <c r="F5647" i="6"/>
  <c r="F5648" i="6"/>
  <c r="F5649" i="6"/>
  <c r="F5650" i="6"/>
  <c r="F5651" i="6"/>
  <c r="F5652" i="6"/>
  <c r="F5653" i="6"/>
  <c r="F5654" i="6"/>
  <c r="F5655" i="6"/>
  <c r="F5656" i="6"/>
  <c r="F5657" i="6"/>
  <c r="F5658" i="6"/>
  <c r="F5659" i="6"/>
  <c r="F5660" i="6"/>
  <c r="F5661" i="6"/>
  <c r="F5662" i="6"/>
  <c r="F5663" i="6"/>
  <c r="F5664" i="6"/>
  <c r="F5665" i="6"/>
  <c r="F5666" i="6"/>
  <c r="F5667" i="6"/>
  <c r="F5668" i="6"/>
  <c r="F5669" i="6"/>
  <c r="F5670" i="6"/>
  <c r="F5671" i="6"/>
  <c r="F5672" i="6"/>
  <c r="F5673" i="6"/>
  <c r="F5674" i="6"/>
  <c r="F5675" i="6"/>
  <c r="F5676" i="6"/>
  <c r="F5677" i="6"/>
  <c r="F5678" i="6"/>
  <c r="F5679" i="6"/>
  <c r="F5680" i="6"/>
  <c r="F5681" i="6"/>
  <c r="F5682" i="6"/>
  <c r="F5683" i="6"/>
  <c r="F5684" i="6"/>
  <c r="F5685" i="6"/>
  <c r="F5686" i="6"/>
  <c r="F5687" i="6"/>
  <c r="F5688" i="6"/>
  <c r="F5689" i="6"/>
  <c r="F5690" i="6"/>
  <c r="F5691" i="6"/>
  <c r="F5692" i="6"/>
  <c r="F5693" i="6"/>
  <c r="F5694" i="6"/>
  <c r="F5695" i="6"/>
  <c r="F5696" i="6"/>
  <c r="F5697" i="6"/>
  <c r="F5698" i="6"/>
  <c r="F5699" i="6"/>
  <c r="F5700" i="6"/>
  <c r="F5701" i="6"/>
  <c r="F5702" i="6"/>
  <c r="F5703" i="6"/>
  <c r="F5704" i="6"/>
  <c r="F5705" i="6"/>
  <c r="F5706" i="6"/>
  <c r="F5707" i="6"/>
  <c r="F5708" i="6"/>
  <c r="F5709" i="6"/>
  <c r="F5710" i="6"/>
  <c r="F5711" i="6"/>
  <c r="F5712" i="6"/>
  <c r="F5713" i="6"/>
  <c r="F5714" i="6"/>
  <c r="F5715" i="6"/>
  <c r="F5716" i="6"/>
  <c r="F5717" i="6"/>
  <c r="F5718" i="6"/>
  <c r="F5719" i="6"/>
  <c r="F5720" i="6"/>
  <c r="F5721" i="6"/>
  <c r="F5722" i="6"/>
  <c r="F5723" i="6"/>
  <c r="F5724" i="6"/>
  <c r="F5725" i="6"/>
  <c r="F5726" i="6"/>
  <c r="F5727" i="6"/>
  <c r="F5728" i="6"/>
  <c r="F5729" i="6"/>
  <c r="F5730" i="6"/>
  <c r="F5731" i="6"/>
  <c r="F5732" i="6"/>
  <c r="F5733" i="6"/>
  <c r="F5734" i="6"/>
  <c r="F5735" i="6"/>
  <c r="F5736" i="6"/>
  <c r="F5737" i="6"/>
  <c r="F5738" i="6"/>
  <c r="F5739" i="6"/>
  <c r="F5740" i="6"/>
  <c r="F5741" i="6"/>
  <c r="F5742" i="6"/>
  <c r="F5743" i="6"/>
  <c r="F5744" i="6"/>
  <c r="F5745" i="6"/>
  <c r="F5746" i="6"/>
  <c r="F5747" i="6"/>
  <c r="F5748" i="6"/>
  <c r="F5749" i="6"/>
  <c r="F5750" i="6"/>
  <c r="F5751" i="6"/>
  <c r="F5752" i="6"/>
  <c r="F5753" i="6"/>
  <c r="F5754" i="6"/>
  <c r="F5755" i="6"/>
  <c r="F5756" i="6"/>
  <c r="F5757" i="6"/>
  <c r="F5758" i="6"/>
  <c r="F5759" i="6"/>
  <c r="F5760" i="6"/>
  <c r="F5761" i="6"/>
  <c r="F5762" i="6"/>
  <c r="F5763" i="6"/>
  <c r="F5764" i="6"/>
  <c r="F5765" i="6"/>
  <c r="F5766" i="6"/>
  <c r="F5767" i="6"/>
  <c r="F5768" i="6"/>
  <c r="F5769" i="6"/>
  <c r="F5770" i="6"/>
  <c r="F5771" i="6"/>
  <c r="F5772" i="6"/>
  <c r="F5773" i="6"/>
  <c r="F5774" i="6"/>
  <c r="F5775" i="6"/>
  <c r="F5776" i="6"/>
  <c r="F5777" i="6"/>
  <c r="F5778" i="6"/>
  <c r="F5779" i="6"/>
  <c r="F5780" i="6"/>
  <c r="F5781" i="6"/>
  <c r="F5782" i="6"/>
  <c r="F5783" i="6"/>
  <c r="F5784" i="6"/>
  <c r="F5785" i="6"/>
  <c r="F5786" i="6"/>
  <c r="F5787" i="6"/>
  <c r="F5788" i="6"/>
  <c r="F5789" i="6"/>
  <c r="F5790" i="6"/>
  <c r="F5791" i="6"/>
  <c r="F5792" i="6"/>
  <c r="F5793" i="6"/>
  <c r="F5794" i="6"/>
  <c r="F5795" i="6"/>
  <c r="F5796" i="6"/>
  <c r="F5797" i="6"/>
  <c r="F5798" i="6"/>
  <c r="F5799" i="6"/>
  <c r="F5800" i="6"/>
  <c r="F5801" i="6"/>
  <c r="F5802" i="6"/>
  <c r="F5803" i="6"/>
  <c r="F5804" i="6"/>
  <c r="F5805" i="6"/>
  <c r="F5806" i="6"/>
  <c r="F5807" i="6"/>
  <c r="F5808" i="6"/>
  <c r="F5809" i="6"/>
  <c r="F5810" i="6"/>
  <c r="F5811" i="6"/>
  <c r="F5812" i="6"/>
  <c r="F5813" i="6"/>
  <c r="F5814" i="6"/>
  <c r="F5815" i="6"/>
  <c r="F5816" i="6"/>
  <c r="F5817" i="6"/>
  <c r="F5818" i="6"/>
  <c r="F5819" i="6"/>
  <c r="F5820" i="6"/>
  <c r="F5821" i="6"/>
  <c r="F5822" i="6"/>
  <c r="F5823" i="6"/>
  <c r="F5824" i="6"/>
  <c r="F5825" i="6"/>
  <c r="F5826" i="6"/>
  <c r="F5827" i="6"/>
  <c r="F5828" i="6"/>
  <c r="F5829" i="6"/>
  <c r="F5830" i="6"/>
  <c r="F5831" i="6"/>
  <c r="F5832" i="6"/>
  <c r="F5833" i="6"/>
  <c r="F5834" i="6"/>
  <c r="F5835" i="6"/>
  <c r="F5836" i="6"/>
  <c r="F5837" i="6"/>
  <c r="F5838" i="6"/>
  <c r="F5839" i="6"/>
  <c r="F5840" i="6"/>
  <c r="F5841" i="6"/>
  <c r="F5842" i="6"/>
  <c r="F5843" i="6"/>
  <c r="F5844" i="6"/>
  <c r="F5845" i="6"/>
  <c r="F5846" i="6"/>
  <c r="F5847" i="6"/>
  <c r="F5848" i="6"/>
  <c r="F5849" i="6"/>
  <c r="F5850" i="6"/>
  <c r="F5851" i="6"/>
  <c r="F5852" i="6"/>
  <c r="F5853" i="6"/>
  <c r="F5854" i="6"/>
  <c r="F5855" i="6"/>
  <c r="F5856" i="6"/>
  <c r="F5857" i="6"/>
  <c r="F5858" i="6"/>
  <c r="F5859" i="6"/>
  <c r="F5860" i="6"/>
  <c r="F5861" i="6"/>
  <c r="F5862" i="6"/>
  <c r="F5863" i="6"/>
  <c r="F5864" i="6"/>
  <c r="F5865" i="6"/>
  <c r="F5866" i="6"/>
  <c r="F5867" i="6"/>
  <c r="F5868" i="6"/>
  <c r="F5869" i="6"/>
  <c r="F5870" i="6"/>
  <c r="F5871" i="6"/>
  <c r="F5872" i="6"/>
  <c r="F5873" i="6"/>
  <c r="F5874" i="6"/>
  <c r="F5875" i="6"/>
  <c r="F5876" i="6"/>
  <c r="F5877" i="6"/>
  <c r="F5878" i="6"/>
  <c r="F5879" i="6"/>
  <c r="F5880" i="6"/>
  <c r="F5881" i="6"/>
  <c r="F5882" i="6"/>
  <c r="F5883" i="6"/>
  <c r="F5884" i="6"/>
  <c r="F5885" i="6"/>
  <c r="F5886" i="6"/>
  <c r="F5887" i="6"/>
  <c r="F5888" i="6"/>
  <c r="F5889" i="6"/>
  <c r="F5890" i="6"/>
  <c r="F5891" i="6"/>
  <c r="F5892" i="6"/>
  <c r="F5893" i="6"/>
  <c r="F5894" i="6"/>
  <c r="F5895" i="6"/>
  <c r="F5896" i="6"/>
  <c r="F5897" i="6"/>
  <c r="F5898" i="6"/>
  <c r="F5899" i="6"/>
  <c r="F5900" i="6"/>
  <c r="F5901" i="6"/>
  <c r="F5902" i="6"/>
  <c r="F5903" i="6"/>
  <c r="F5904" i="6"/>
  <c r="F5905" i="6"/>
  <c r="F5906" i="6"/>
  <c r="F5907" i="6"/>
  <c r="F5908" i="6"/>
  <c r="F5909" i="6"/>
  <c r="F5910" i="6"/>
  <c r="F5911" i="6"/>
  <c r="F5912" i="6"/>
  <c r="F5913" i="6"/>
  <c r="F5914" i="6"/>
  <c r="F5915" i="6"/>
  <c r="F5916" i="6"/>
  <c r="F5917" i="6"/>
  <c r="F5918" i="6"/>
  <c r="F5919" i="6"/>
  <c r="F5920" i="6"/>
  <c r="F5921" i="6"/>
  <c r="F5922" i="6"/>
  <c r="F5923" i="6"/>
  <c r="F5924" i="6"/>
  <c r="F5925" i="6"/>
  <c r="F5926" i="6"/>
  <c r="F5927" i="6"/>
  <c r="F5928" i="6"/>
  <c r="F5929" i="6"/>
  <c r="F5930" i="6"/>
  <c r="F5931" i="6"/>
  <c r="F5932" i="6"/>
  <c r="F5933" i="6"/>
  <c r="F5934" i="6"/>
  <c r="F5935" i="6"/>
  <c r="F5936" i="6"/>
  <c r="F5937" i="6"/>
  <c r="F5938" i="6"/>
  <c r="F5939" i="6"/>
  <c r="F5940" i="6"/>
  <c r="F5941" i="6"/>
  <c r="F5942" i="6"/>
  <c r="F5943" i="6"/>
  <c r="F5944" i="6"/>
  <c r="F5945" i="6"/>
  <c r="F5946" i="6"/>
  <c r="F5947" i="6"/>
  <c r="F5948" i="6"/>
  <c r="F5949" i="6"/>
  <c r="F5950" i="6"/>
  <c r="F5951" i="6"/>
  <c r="F5952" i="6"/>
  <c r="F5953" i="6"/>
  <c r="F5954" i="6"/>
  <c r="F5955" i="6"/>
  <c r="F5956" i="6"/>
  <c r="F5957" i="6"/>
  <c r="F5958" i="6"/>
  <c r="F5959" i="6"/>
  <c r="F5960" i="6"/>
  <c r="F5961" i="6"/>
  <c r="F5962" i="6"/>
  <c r="F5963" i="6"/>
  <c r="F5964" i="6"/>
  <c r="F5965" i="6"/>
  <c r="F5966" i="6"/>
  <c r="F5967" i="6"/>
  <c r="F5968" i="6"/>
  <c r="F5969" i="6"/>
  <c r="F5970" i="6"/>
  <c r="F5971" i="6"/>
  <c r="F5972" i="6"/>
  <c r="F5973" i="6"/>
  <c r="F5974" i="6"/>
  <c r="F5975" i="6"/>
  <c r="F5976" i="6"/>
  <c r="F5977" i="6"/>
  <c r="F5978" i="6"/>
  <c r="F5979" i="6"/>
  <c r="F5980" i="6"/>
  <c r="F5981" i="6"/>
  <c r="F5982" i="6"/>
  <c r="F5983" i="6"/>
  <c r="F5984" i="6"/>
  <c r="F5985" i="6"/>
  <c r="F5986" i="6"/>
  <c r="F5987" i="6"/>
  <c r="F5988" i="6"/>
  <c r="F5989" i="6"/>
  <c r="F5990" i="6"/>
  <c r="F5991" i="6"/>
  <c r="F5992" i="6"/>
  <c r="F5993" i="6"/>
  <c r="F5994" i="6"/>
  <c r="F5995" i="6"/>
  <c r="F5996" i="6"/>
  <c r="F5997" i="6"/>
  <c r="F5998" i="6"/>
  <c r="F5999" i="6"/>
  <c r="F6000" i="6"/>
  <c r="F6001" i="6"/>
  <c r="F6002" i="6"/>
  <c r="F6003" i="6"/>
  <c r="F6004" i="6"/>
  <c r="F6005" i="6"/>
  <c r="F6006" i="6"/>
  <c r="F6007" i="6"/>
  <c r="F6008" i="6"/>
  <c r="F6009" i="6"/>
  <c r="F6010" i="6"/>
  <c r="F6011" i="6"/>
  <c r="F6012" i="6"/>
  <c r="F6013" i="6"/>
  <c r="F6014" i="6"/>
  <c r="F6015" i="6"/>
  <c r="F6016" i="6"/>
  <c r="F6017" i="6"/>
  <c r="F6018" i="6"/>
  <c r="F6019" i="6"/>
  <c r="F6020" i="6"/>
  <c r="F6021" i="6"/>
  <c r="F6022" i="6"/>
  <c r="F6023" i="6"/>
  <c r="F6024" i="6"/>
  <c r="F6025" i="6"/>
  <c r="F6026" i="6"/>
  <c r="F6027" i="6"/>
  <c r="F6028" i="6"/>
  <c r="F6029" i="6"/>
  <c r="F6030" i="6"/>
  <c r="F6031" i="6"/>
  <c r="F6032" i="6"/>
  <c r="F6033" i="6"/>
  <c r="F6034" i="6"/>
  <c r="F6035" i="6"/>
  <c r="F6036" i="6"/>
  <c r="F6037" i="6"/>
  <c r="F6038" i="6"/>
  <c r="F6039" i="6"/>
  <c r="F6040" i="6"/>
  <c r="F6041" i="6"/>
  <c r="F6042" i="6"/>
  <c r="F6043" i="6"/>
  <c r="F6044" i="6"/>
  <c r="F6045" i="6"/>
  <c r="F6046" i="6"/>
  <c r="F6047" i="6"/>
  <c r="F6048" i="6"/>
  <c r="F6049" i="6"/>
  <c r="F6050" i="6"/>
  <c r="F6051" i="6"/>
  <c r="F6052" i="6"/>
  <c r="F6053" i="6"/>
  <c r="F6054" i="6"/>
  <c r="F6055" i="6"/>
  <c r="F6056" i="6"/>
  <c r="F6057" i="6"/>
  <c r="F6058" i="6"/>
  <c r="F6059" i="6"/>
  <c r="F6060" i="6"/>
  <c r="F6061" i="6"/>
  <c r="F6062" i="6"/>
  <c r="F6063" i="6"/>
  <c r="F6064" i="6"/>
  <c r="F6065" i="6"/>
  <c r="F6066" i="6"/>
  <c r="F6067" i="6"/>
  <c r="F6068" i="6"/>
  <c r="F6069" i="6"/>
  <c r="F6070" i="6"/>
  <c r="F6071" i="6"/>
  <c r="F6072" i="6"/>
  <c r="F6073" i="6"/>
  <c r="F6074" i="6"/>
  <c r="F6075" i="6"/>
  <c r="F6076" i="6"/>
  <c r="F6077" i="6"/>
  <c r="F6078" i="6"/>
  <c r="F6079" i="6"/>
  <c r="F6080" i="6"/>
  <c r="F6081" i="6"/>
  <c r="F6082" i="6"/>
  <c r="F6083" i="6"/>
  <c r="F6084" i="6"/>
  <c r="F6085" i="6"/>
  <c r="F6086" i="6"/>
  <c r="F6087" i="6"/>
  <c r="F6088" i="6"/>
  <c r="F6089" i="6"/>
  <c r="F6090" i="6"/>
  <c r="F6091" i="6"/>
  <c r="F6092" i="6"/>
  <c r="F6093" i="6"/>
  <c r="F6094" i="6"/>
  <c r="F6095" i="6"/>
  <c r="F6096" i="6"/>
  <c r="F6097" i="6"/>
  <c r="F6098" i="6"/>
  <c r="F6099" i="6"/>
  <c r="F6100" i="6"/>
  <c r="F6101" i="6"/>
  <c r="F6102" i="6"/>
  <c r="F6103" i="6"/>
  <c r="F6104" i="6"/>
  <c r="F6105" i="6"/>
  <c r="F6106" i="6"/>
  <c r="F6107" i="6"/>
  <c r="F6108" i="6"/>
  <c r="F6109" i="6"/>
  <c r="F6110" i="6"/>
  <c r="F6111" i="6"/>
  <c r="F6112" i="6"/>
  <c r="F6113" i="6"/>
  <c r="F6114" i="6"/>
  <c r="F6115" i="6"/>
  <c r="F6116" i="6"/>
  <c r="F6117" i="6"/>
  <c r="F6118" i="6"/>
  <c r="F6119" i="6"/>
  <c r="F6120" i="6"/>
  <c r="F6121" i="6"/>
  <c r="F6122" i="6"/>
  <c r="F6123" i="6"/>
  <c r="F6124" i="6"/>
  <c r="F6125" i="6"/>
  <c r="F6126" i="6"/>
  <c r="F6127" i="6"/>
  <c r="F6128" i="6"/>
  <c r="F6129" i="6"/>
  <c r="F6130" i="6"/>
  <c r="F6131" i="6"/>
  <c r="F6132" i="6"/>
  <c r="F6133" i="6"/>
  <c r="F6134" i="6"/>
  <c r="F6135" i="6"/>
  <c r="F6136" i="6"/>
  <c r="F6137" i="6"/>
  <c r="F6138" i="6"/>
  <c r="F6139" i="6"/>
  <c r="F6140" i="6"/>
  <c r="F6141" i="6"/>
  <c r="F6142" i="6"/>
  <c r="F6143" i="6"/>
  <c r="F6144" i="6"/>
  <c r="F6145" i="6"/>
  <c r="F6146" i="6"/>
  <c r="F6147" i="6"/>
  <c r="F6148" i="6"/>
  <c r="F6149" i="6"/>
  <c r="F6150" i="6"/>
  <c r="F6151" i="6"/>
  <c r="F6152" i="6"/>
  <c r="F6153" i="6"/>
  <c r="F6154" i="6"/>
  <c r="F6155" i="6"/>
  <c r="F6156" i="6"/>
  <c r="F6157" i="6"/>
  <c r="F6158" i="6"/>
  <c r="F6159" i="6"/>
  <c r="F6160" i="6"/>
  <c r="F6161" i="6"/>
  <c r="F6162" i="6"/>
  <c r="F6163" i="6"/>
  <c r="F6164" i="6"/>
  <c r="F6165" i="6"/>
  <c r="F6166" i="6"/>
  <c r="F6167" i="6"/>
  <c r="F6168" i="6"/>
  <c r="F6169" i="6"/>
  <c r="F6170" i="6"/>
  <c r="F6171" i="6"/>
  <c r="F6172" i="6"/>
  <c r="F6173" i="6"/>
  <c r="F6174" i="6"/>
  <c r="F6175" i="6"/>
  <c r="F6176" i="6"/>
  <c r="F6177" i="6"/>
  <c r="F6178" i="6"/>
  <c r="F6179" i="6"/>
  <c r="F6180" i="6"/>
  <c r="F6181" i="6"/>
  <c r="F6182" i="6"/>
  <c r="F6183" i="6"/>
  <c r="F6184" i="6"/>
  <c r="F6185" i="6"/>
  <c r="F6186" i="6"/>
  <c r="F6187" i="6"/>
  <c r="F6188" i="6"/>
  <c r="F6189" i="6"/>
  <c r="F6190" i="6"/>
  <c r="F6191" i="6"/>
  <c r="F6192" i="6"/>
  <c r="F6193" i="6"/>
  <c r="F6194" i="6"/>
  <c r="F6195" i="6"/>
  <c r="F6196" i="6"/>
  <c r="F6197" i="6"/>
  <c r="F6198" i="6"/>
  <c r="F6199" i="6"/>
  <c r="F6200" i="6"/>
  <c r="F6201" i="6"/>
  <c r="F6202" i="6"/>
  <c r="F6203" i="6"/>
  <c r="F6204" i="6"/>
  <c r="F6205" i="6"/>
  <c r="F6206" i="6"/>
  <c r="F6207" i="6"/>
  <c r="F6208" i="6"/>
  <c r="F6209" i="6"/>
  <c r="F6210" i="6"/>
  <c r="F6211" i="6"/>
  <c r="F6212" i="6"/>
  <c r="F6213" i="6"/>
  <c r="F6214" i="6"/>
  <c r="F6215" i="6"/>
  <c r="F6216" i="6"/>
  <c r="F6217" i="6"/>
  <c r="F6218" i="6"/>
  <c r="F6219" i="6"/>
  <c r="F6220" i="6"/>
  <c r="F6221" i="6"/>
  <c r="F6222" i="6"/>
  <c r="F6223" i="6"/>
  <c r="F6224" i="6"/>
  <c r="F6225" i="6"/>
  <c r="F6226" i="6"/>
  <c r="F6227" i="6"/>
  <c r="F6228" i="6"/>
  <c r="F6229" i="6"/>
  <c r="F6230" i="6"/>
  <c r="F6231" i="6"/>
  <c r="F6232" i="6"/>
  <c r="F6233" i="6"/>
  <c r="F6234" i="6"/>
  <c r="F6235" i="6"/>
  <c r="F6236" i="6"/>
  <c r="F6237" i="6"/>
  <c r="F6238" i="6"/>
  <c r="F6239" i="6"/>
  <c r="F6240" i="6"/>
  <c r="F6241" i="6"/>
  <c r="F6242" i="6"/>
  <c r="F6243" i="6"/>
  <c r="F6244" i="6"/>
  <c r="F6245" i="6"/>
  <c r="F6246" i="6"/>
  <c r="F6247" i="6"/>
  <c r="F6248" i="6"/>
  <c r="F6249" i="6"/>
  <c r="F6250" i="6"/>
  <c r="F6251" i="6"/>
  <c r="F6252" i="6"/>
  <c r="F6253" i="6"/>
  <c r="F6254" i="6"/>
  <c r="F6255" i="6"/>
  <c r="F6256" i="6"/>
  <c r="F6257" i="6"/>
  <c r="F6258" i="6"/>
  <c r="F6259" i="6"/>
  <c r="F6260" i="6"/>
  <c r="F6261" i="6"/>
  <c r="F6262" i="6"/>
  <c r="F6263" i="6"/>
  <c r="F6264" i="6"/>
  <c r="F6265" i="6"/>
  <c r="F6266" i="6"/>
  <c r="F6267" i="6"/>
  <c r="F6268" i="6"/>
  <c r="F6269" i="6"/>
  <c r="F6270" i="6"/>
  <c r="F6271" i="6"/>
  <c r="F6272" i="6"/>
  <c r="F6273" i="6"/>
  <c r="F6274" i="6"/>
  <c r="F6275" i="6"/>
  <c r="F6276" i="6"/>
  <c r="F6277" i="6"/>
  <c r="F6278" i="6"/>
  <c r="F6279" i="6"/>
  <c r="F6280" i="6"/>
  <c r="F6281" i="6"/>
  <c r="F6282" i="6"/>
  <c r="F6283" i="6"/>
  <c r="F6284" i="6"/>
  <c r="F6285" i="6"/>
  <c r="F6286" i="6"/>
  <c r="F6287" i="6"/>
  <c r="F6288" i="6"/>
  <c r="F6289" i="6"/>
  <c r="F6290" i="6"/>
  <c r="F6291" i="6"/>
  <c r="F6292" i="6"/>
  <c r="F6293" i="6"/>
  <c r="F6294" i="6"/>
  <c r="F6295" i="6"/>
  <c r="F6296" i="6"/>
  <c r="F6297" i="6"/>
  <c r="F6298" i="6"/>
  <c r="F6299" i="6"/>
  <c r="F6300" i="6"/>
  <c r="F6301" i="6"/>
  <c r="F6302" i="6"/>
  <c r="F6303" i="6"/>
  <c r="F6304" i="6"/>
  <c r="F6305" i="6"/>
  <c r="F6306" i="6"/>
  <c r="F6307" i="6"/>
  <c r="F6308" i="6"/>
  <c r="F6309" i="6"/>
  <c r="F6310" i="6"/>
  <c r="F6311" i="6"/>
  <c r="F6312" i="6"/>
  <c r="F6313" i="6"/>
  <c r="F6314" i="6"/>
  <c r="F6315" i="6"/>
  <c r="F6316" i="6"/>
  <c r="F6317" i="6"/>
  <c r="F6318" i="6"/>
  <c r="F6319" i="6"/>
  <c r="F6320" i="6"/>
  <c r="F6321" i="6"/>
  <c r="F6322" i="6"/>
  <c r="F6323" i="6"/>
  <c r="F6324" i="6"/>
  <c r="F6325" i="6"/>
  <c r="F6326" i="6"/>
  <c r="F6327" i="6"/>
  <c r="F6328" i="6"/>
  <c r="F6329" i="6"/>
  <c r="F6330" i="6"/>
  <c r="F6331" i="6"/>
  <c r="F6332" i="6"/>
  <c r="F6333" i="6"/>
  <c r="F6334" i="6"/>
  <c r="F6335" i="6"/>
  <c r="F6336" i="6"/>
  <c r="F6337" i="6"/>
  <c r="F6338" i="6"/>
  <c r="F6339" i="6"/>
  <c r="F6340" i="6"/>
  <c r="F6341" i="6"/>
  <c r="F6342" i="6"/>
  <c r="F6343" i="6"/>
  <c r="F6344" i="6"/>
  <c r="F6345" i="6"/>
  <c r="F6346" i="6"/>
  <c r="F6347" i="6"/>
  <c r="F6348" i="6"/>
  <c r="F6349" i="6"/>
  <c r="F6350" i="6"/>
  <c r="F6351" i="6"/>
  <c r="F6352" i="6"/>
  <c r="F6353" i="6"/>
  <c r="F6354" i="6"/>
  <c r="F6355" i="6"/>
  <c r="F6356" i="6"/>
  <c r="F6357" i="6"/>
  <c r="F6358" i="6"/>
  <c r="F6359" i="6"/>
  <c r="F6360" i="6"/>
  <c r="F6361" i="6"/>
  <c r="F6362" i="6"/>
  <c r="F6363" i="6"/>
  <c r="F6364" i="6"/>
  <c r="F6365" i="6"/>
  <c r="F6366" i="6"/>
  <c r="F6367" i="6"/>
  <c r="F6368" i="6"/>
  <c r="F6369" i="6"/>
  <c r="F6370" i="6"/>
  <c r="F6371" i="6"/>
  <c r="F6372" i="6"/>
  <c r="F6373" i="6"/>
  <c r="F6374" i="6"/>
  <c r="F6375" i="6"/>
  <c r="F6376" i="6"/>
  <c r="F6377" i="6"/>
  <c r="F6378" i="6"/>
  <c r="F6379" i="6"/>
  <c r="F6380" i="6"/>
  <c r="F6381" i="6"/>
  <c r="F6382" i="6"/>
  <c r="F6383" i="6"/>
  <c r="F6384" i="6"/>
  <c r="F6385" i="6"/>
  <c r="F6386" i="6"/>
  <c r="F6387" i="6"/>
  <c r="F6388" i="6"/>
  <c r="F6389" i="6"/>
  <c r="F6390" i="6"/>
  <c r="F6391" i="6"/>
  <c r="F6392" i="6"/>
  <c r="F6393" i="6"/>
  <c r="F6394" i="6"/>
  <c r="F6395" i="6"/>
  <c r="F6396" i="6"/>
  <c r="F6397" i="6"/>
  <c r="F6398" i="6"/>
  <c r="F6399" i="6"/>
  <c r="F6400" i="6"/>
  <c r="F6401" i="6"/>
  <c r="F6402" i="6"/>
  <c r="F6403" i="6"/>
  <c r="F6404" i="6"/>
  <c r="F6405" i="6"/>
  <c r="F6406" i="6"/>
  <c r="F6407" i="6"/>
  <c r="F6408" i="6"/>
  <c r="F6409" i="6"/>
  <c r="F6410" i="6"/>
  <c r="F6411" i="6"/>
  <c r="F6412" i="6"/>
  <c r="F6413" i="6"/>
  <c r="F6414" i="6"/>
  <c r="F6415" i="6"/>
  <c r="F6416" i="6"/>
  <c r="F6417" i="6"/>
  <c r="F6418" i="6"/>
  <c r="F6419" i="6"/>
  <c r="F6420" i="6"/>
  <c r="F6421" i="6"/>
  <c r="F6422" i="6"/>
  <c r="F6423" i="6"/>
  <c r="F6424" i="6"/>
  <c r="F6425" i="6"/>
  <c r="F6426" i="6"/>
  <c r="F6427" i="6"/>
  <c r="F6428" i="6"/>
  <c r="F6429" i="6"/>
  <c r="F6430" i="6"/>
  <c r="F6431" i="6"/>
  <c r="F6432" i="6"/>
  <c r="F6433" i="6"/>
  <c r="F6434" i="6"/>
  <c r="F6435" i="6"/>
  <c r="F6436" i="6"/>
  <c r="F6437" i="6"/>
  <c r="F6438" i="6"/>
  <c r="F6439" i="6"/>
  <c r="F6440" i="6"/>
  <c r="F6441" i="6"/>
  <c r="F6442" i="6"/>
  <c r="F6443" i="6"/>
  <c r="F6444" i="6"/>
  <c r="F6445" i="6"/>
  <c r="F6446" i="6"/>
  <c r="F6447" i="6"/>
  <c r="F6448" i="6"/>
  <c r="F6449" i="6"/>
  <c r="F6450" i="6"/>
  <c r="F6451" i="6"/>
  <c r="F6452" i="6"/>
  <c r="F6453" i="6"/>
  <c r="F6454" i="6"/>
  <c r="F6455" i="6"/>
  <c r="F6456" i="6"/>
  <c r="F6457" i="6"/>
  <c r="F6458" i="6"/>
  <c r="F6459" i="6"/>
  <c r="F6460" i="6"/>
  <c r="F6461" i="6"/>
  <c r="F6462" i="6"/>
  <c r="F6463" i="6"/>
  <c r="F6464" i="6"/>
  <c r="F6465" i="6"/>
  <c r="F6466" i="6"/>
  <c r="F6467" i="6"/>
  <c r="F6468" i="6"/>
  <c r="F6469" i="6"/>
  <c r="F6470" i="6"/>
  <c r="F6471" i="6"/>
  <c r="F6472" i="6"/>
  <c r="F6473" i="6"/>
  <c r="F6474" i="6"/>
  <c r="F6475" i="6"/>
  <c r="F6476" i="6"/>
  <c r="F6477" i="6"/>
  <c r="F6478" i="6"/>
  <c r="F6479" i="6"/>
  <c r="F6480" i="6"/>
  <c r="F6481" i="6"/>
  <c r="F6482" i="6"/>
  <c r="F6483" i="6"/>
  <c r="F6484" i="6"/>
  <c r="F6485" i="6"/>
  <c r="F6486" i="6"/>
  <c r="F6487" i="6"/>
  <c r="F6488" i="6"/>
  <c r="F6489" i="6"/>
  <c r="F6490" i="6"/>
  <c r="F6491" i="6"/>
  <c r="F6492" i="6"/>
  <c r="F6493" i="6"/>
  <c r="F6494" i="6"/>
  <c r="F6495" i="6"/>
  <c r="F6496" i="6"/>
  <c r="F6497" i="6"/>
  <c r="F6498" i="6"/>
  <c r="F6499" i="6"/>
  <c r="F6500" i="6"/>
  <c r="F6501" i="6"/>
  <c r="F6502" i="6"/>
  <c r="F6503" i="6"/>
  <c r="F6504" i="6"/>
  <c r="F6505" i="6"/>
  <c r="F6506" i="6"/>
  <c r="F6507" i="6"/>
  <c r="F6508" i="6"/>
  <c r="F6509" i="6"/>
  <c r="F6510" i="6"/>
  <c r="F6511" i="6"/>
  <c r="F6512" i="6"/>
  <c r="F6513" i="6"/>
  <c r="F6514" i="6"/>
  <c r="F6515" i="6"/>
  <c r="F6516" i="6"/>
  <c r="F6517" i="6"/>
  <c r="F6518" i="6"/>
  <c r="F6519" i="6"/>
  <c r="F6520" i="6"/>
  <c r="F6521" i="6"/>
  <c r="F6522" i="6"/>
  <c r="F6523" i="6"/>
  <c r="F6524" i="6"/>
  <c r="F6525" i="6"/>
  <c r="F6526" i="6"/>
  <c r="F6527" i="6"/>
  <c r="F6528" i="6"/>
  <c r="F6529" i="6"/>
  <c r="F6530" i="6"/>
  <c r="F6531" i="6"/>
  <c r="F6532" i="6"/>
  <c r="F6533" i="6"/>
  <c r="F6534" i="6"/>
  <c r="F6535" i="6"/>
  <c r="F6536" i="6"/>
  <c r="F6537" i="6"/>
  <c r="F6538" i="6"/>
  <c r="F6539" i="6"/>
  <c r="F6540" i="6"/>
  <c r="F6541" i="6"/>
  <c r="F6542" i="6"/>
  <c r="F6543" i="6"/>
  <c r="F6544" i="6"/>
  <c r="F6545" i="6"/>
  <c r="F6546" i="6"/>
  <c r="F6547" i="6"/>
  <c r="F6548" i="6"/>
  <c r="F6549" i="6"/>
  <c r="F6550" i="6"/>
  <c r="F6551" i="6"/>
  <c r="F6552" i="6"/>
  <c r="F6553" i="6"/>
  <c r="F6554" i="6"/>
  <c r="F6555" i="6"/>
  <c r="F6556" i="6"/>
  <c r="F6557" i="6"/>
  <c r="F6558" i="6"/>
  <c r="F6559" i="6"/>
  <c r="F6560" i="6"/>
  <c r="F6561" i="6"/>
  <c r="F6562" i="6"/>
  <c r="F6563" i="6"/>
  <c r="F6564" i="6"/>
  <c r="F6565" i="6"/>
  <c r="F6566" i="6"/>
  <c r="F6567" i="6"/>
  <c r="F6568" i="6"/>
  <c r="F6569" i="6"/>
  <c r="F6570" i="6"/>
  <c r="F6571" i="6"/>
  <c r="F6572" i="6"/>
  <c r="F6573" i="6"/>
  <c r="F6574" i="6"/>
  <c r="F6575" i="6"/>
  <c r="F6576" i="6"/>
  <c r="F6577" i="6"/>
  <c r="F6578" i="6"/>
  <c r="F6579" i="6"/>
  <c r="F6580" i="6"/>
  <c r="F6581" i="6"/>
  <c r="F6582" i="6"/>
  <c r="F6583" i="6"/>
  <c r="F6584" i="6"/>
  <c r="F6585" i="6"/>
  <c r="F6586" i="6"/>
  <c r="F6587" i="6"/>
  <c r="F6588" i="6"/>
  <c r="F6589" i="6"/>
  <c r="F6590" i="6"/>
  <c r="F6591" i="6"/>
  <c r="F6592" i="6"/>
  <c r="F6593" i="6"/>
  <c r="F6594" i="6"/>
  <c r="F6595" i="6"/>
  <c r="F6596" i="6"/>
  <c r="F6597" i="6"/>
  <c r="F6598" i="6"/>
  <c r="F6599" i="6"/>
  <c r="F6600" i="6"/>
  <c r="F6601" i="6"/>
  <c r="F6602" i="6"/>
  <c r="F6603" i="6"/>
  <c r="F6604" i="6"/>
  <c r="F6605" i="6"/>
  <c r="F6606" i="6"/>
  <c r="F6607" i="6"/>
  <c r="F6608" i="6"/>
  <c r="F6609" i="6"/>
  <c r="F6610" i="6"/>
  <c r="F6611" i="6"/>
  <c r="F6612" i="6"/>
  <c r="F6613" i="6"/>
  <c r="F6614" i="6"/>
  <c r="F6615" i="6"/>
  <c r="F6616" i="6"/>
  <c r="F6617" i="6"/>
  <c r="F6618" i="6"/>
  <c r="F6619" i="6"/>
  <c r="F6620" i="6"/>
  <c r="F6621" i="6"/>
  <c r="F6622" i="6"/>
  <c r="F6623" i="6"/>
  <c r="F6624" i="6"/>
  <c r="F6625" i="6"/>
  <c r="F6626" i="6"/>
  <c r="F6627" i="6"/>
  <c r="F6628" i="6"/>
  <c r="F6629" i="6"/>
  <c r="F6630" i="6"/>
  <c r="F6631" i="6"/>
  <c r="F6632" i="6"/>
  <c r="F6633" i="6"/>
  <c r="F6634" i="6"/>
  <c r="F6635" i="6"/>
  <c r="F6636" i="6"/>
  <c r="F6637" i="6"/>
  <c r="F6638" i="6"/>
  <c r="F6639" i="6"/>
  <c r="F6640" i="6"/>
  <c r="F6641" i="6"/>
  <c r="F6642" i="6"/>
  <c r="F6643" i="6"/>
  <c r="F6644" i="6"/>
  <c r="F6645" i="6"/>
  <c r="F6646" i="6"/>
  <c r="F6647" i="6"/>
  <c r="F6648" i="6"/>
  <c r="F6649" i="6"/>
  <c r="F6650" i="6"/>
  <c r="F6651" i="6"/>
  <c r="F6652" i="6"/>
  <c r="F6653" i="6"/>
  <c r="F6654" i="6"/>
  <c r="F6655" i="6"/>
  <c r="F6656" i="6"/>
  <c r="F6657" i="6"/>
  <c r="F6658" i="6"/>
  <c r="F6659" i="6"/>
  <c r="F6660" i="6"/>
  <c r="F6661" i="6"/>
  <c r="F6662" i="6"/>
  <c r="F6663" i="6"/>
  <c r="F6664" i="6"/>
  <c r="F6665" i="6"/>
  <c r="F6666" i="6"/>
  <c r="F6667" i="6"/>
  <c r="F6668" i="6"/>
  <c r="F6669" i="6"/>
  <c r="F6670" i="6"/>
  <c r="F6671" i="6"/>
  <c r="F6672" i="6"/>
  <c r="F6673" i="6"/>
  <c r="F6674" i="6"/>
  <c r="F6675" i="6"/>
  <c r="F6676" i="6"/>
  <c r="F6677" i="6"/>
  <c r="F6678" i="6"/>
  <c r="F6679" i="6"/>
  <c r="F6680" i="6"/>
  <c r="F6681" i="6"/>
  <c r="F6682" i="6"/>
  <c r="F6683" i="6"/>
  <c r="F6684" i="6"/>
  <c r="F6685" i="6"/>
  <c r="F6686" i="6"/>
  <c r="F6687" i="6"/>
  <c r="F6688" i="6"/>
  <c r="F6689" i="6"/>
  <c r="F6690" i="6"/>
  <c r="F6691" i="6"/>
  <c r="F6692" i="6"/>
  <c r="F6693" i="6"/>
  <c r="F6694" i="6"/>
  <c r="F6695" i="6"/>
  <c r="F6696" i="6"/>
  <c r="F6697" i="6"/>
  <c r="F6698" i="6"/>
  <c r="F6699" i="6"/>
  <c r="F6700" i="6"/>
  <c r="F6701" i="6"/>
  <c r="F6702" i="6"/>
  <c r="F6703" i="6"/>
  <c r="F6704" i="6"/>
  <c r="F6705" i="6"/>
  <c r="F6706" i="6"/>
  <c r="F6707" i="6"/>
  <c r="F6708" i="6"/>
  <c r="F6709" i="6"/>
  <c r="F6710" i="6"/>
  <c r="F6711" i="6"/>
  <c r="F6712" i="6"/>
  <c r="F6713" i="6"/>
  <c r="F6714" i="6"/>
  <c r="F6715" i="6"/>
  <c r="F6716" i="6"/>
  <c r="F6717" i="6"/>
  <c r="F6718" i="6"/>
  <c r="F6719" i="6"/>
  <c r="F6720" i="6"/>
  <c r="F6721" i="6"/>
  <c r="F6722" i="6"/>
  <c r="F6723" i="6"/>
  <c r="F6724" i="6"/>
  <c r="F6725" i="6"/>
  <c r="F6726" i="6"/>
  <c r="F6727" i="6"/>
  <c r="F6728" i="6"/>
  <c r="F6729" i="6"/>
  <c r="F6730" i="6"/>
  <c r="F6731" i="6"/>
  <c r="F6732" i="6"/>
  <c r="F6733" i="6"/>
  <c r="F6734" i="6"/>
  <c r="F6735" i="6"/>
  <c r="F6736" i="6"/>
  <c r="F6737" i="6"/>
  <c r="F6738" i="6"/>
  <c r="F6739" i="6"/>
  <c r="F6740" i="6"/>
  <c r="F6741" i="6"/>
  <c r="F6742" i="6"/>
  <c r="F6743" i="6"/>
  <c r="F6744" i="6"/>
  <c r="F6745" i="6"/>
  <c r="F6746" i="6"/>
  <c r="F6747" i="6"/>
  <c r="F6748" i="6"/>
  <c r="F6749" i="6"/>
  <c r="F6750" i="6"/>
  <c r="F6751" i="6"/>
  <c r="F6752" i="6"/>
  <c r="F6753" i="6"/>
  <c r="F6754" i="6"/>
  <c r="F6755" i="6"/>
  <c r="F6756" i="6"/>
  <c r="F6757" i="6"/>
  <c r="F6758" i="6"/>
  <c r="F6759" i="6"/>
  <c r="F6760" i="6"/>
  <c r="F6761" i="6"/>
  <c r="F6762" i="6"/>
  <c r="F6763" i="6"/>
  <c r="F6764" i="6"/>
  <c r="F6765" i="6"/>
  <c r="F6766" i="6"/>
  <c r="F6767" i="6"/>
  <c r="F6768" i="6"/>
  <c r="F6769" i="6"/>
  <c r="F6770" i="6"/>
  <c r="F6771" i="6"/>
  <c r="F6772" i="6"/>
  <c r="F6773" i="6"/>
  <c r="F6774" i="6"/>
  <c r="F6775" i="6"/>
  <c r="F6776" i="6"/>
  <c r="F6777" i="6"/>
  <c r="F6778" i="6"/>
  <c r="F6779" i="6"/>
  <c r="F6780" i="6"/>
  <c r="F6781" i="6"/>
  <c r="F6782" i="6"/>
  <c r="F6783" i="6"/>
  <c r="F6784" i="6"/>
  <c r="F6785" i="6"/>
  <c r="F6786" i="6"/>
  <c r="F6787" i="6"/>
  <c r="F6788" i="6"/>
  <c r="F6789" i="6"/>
  <c r="F6790" i="6"/>
  <c r="F6791" i="6"/>
  <c r="F6792" i="6"/>
  <c r="F6793" i="6"/>
  <c r="F6794" i="6"/>
  <c r="F6795" i="6"/>
  <c r="F6796" i="6"/>
  <c r="F6797" i="6"/>
  <c r="F6798" i="6"/>
  <c r="F6799" i="6"/>
  <c r="F6800" i="6"/>
  <c r="F6801" i="6"/>
  <c r="F6802" i="6"/>
  <c r="F6803" i="6"/>
  <c r="F6804" i="6"/>
  <c r="F6805" i="6"/>
  <c r="F6806" i="6"/>
  <c r="F6807" i="6"/>
  <c r="F6808" i="6"/>
  <c r="F6809" i="6"/>
  <c r="F6810" i="6"/>
  <c r="F6811" i="6"/>
  <c r="F6812" i="6"/>
  <c r="F6813" i="6"/>
  <c r="F6814" i="6"/>
  <c r="F6815" i="6"/>
  <c r="F6816" i="6"/>
  <c r="F6817" i="6"/>
  <c r="F6818" i="6"/>
  <c r="F6819" i="6"/>
  <c r="F6820" i="6"/>
  <c r="F6821" i="6"/>
  <c r="F6822" i="6"/>
  <c r="F6823" i="6"/>
  <c r="F6824" i="6"/>
  <c r="F6825" i="6"/>
  <c r="F6826" i="6"/>
  <c r="F6827" i="6"/>
  <c r="F6828" i="6"/>
  <c r="F6829" i="6"/>
  <c r="F6830" i="6"/>
  <c r="F6831" i="6"/>
  <c r="F6832" i="6"/>
  <c r="F6833" i="6"/>
  <c r="F6834" i="6"/>
  <c r="F6835" i="6"/>
  <c r="F6836" i="6"/>
  <c r="F6837" i="6"/>
  <c r="F6838" i="6"/>
  <c r="F6839" i="6"/>
  <c r="F6840" i="6"/>
  <c r="F6841" i="6"/>
  <c r="F6842" i="6"/>
  <c r="F6843" i="6"/>
  <c r="F6844" i="6"/>
  <c r="F6845" i="6"/>
  <c r="F6846" i="6"/>
  <c r="F6847" i="6"/>
  <c r="F6848" i="6"/>
  <c r="F6849" i="6"/>
  <c r="F6850" i="6"/>
  <c r="F6851" i="6"/>
  <c r="F6852" i="6"/>
  <c r="F6853" i="6"/>
  <c r="F6854" i="6"/>
  <c r="F6855" i="6"/>
  <c r="F6856" i="6"/>
  <c r="F6857" i="6"/>
  <c r="F6858" i="6"/>
  <c r="F6859" i="6"/>
  <c r="F6860" i="6"/>
  <c r="F6861" i="6"/>
  <c r="F6862" i="6"/>
  <c r="F6863" i="6"/>
  <c r="F6864" i="6"/>
  <c r="F6865" i="6"/>
  <c r="F6866" i="6"/>
  <c r="F6867" i="6"/>
  <c r="F6868" i="6"/>
  <c r="F6869" i="6"/>
  <c r="F6870" i="6"/>
  <c r="F6871" i="6"/>
  <c r="F6872" i="6"/>
  <c r="F6873" i="6"/>
  <c r="F6874" i="6"/>
  <c r="F6875" i="6"/>
  <c r="F6876" i="6"/>
  <c r="F6877" i="6"/>
  <c r="F6878" i="6"/>
  <c r="F6879" i="6"/>
  <c r="F6880" i="6"/>
  <c r="F6881" i="6"/>
  <c r="F6882" i="6"/>
  <c r="F6883" i="6"/>
  <c r="F6884" i="6"/>
  <c r="F6885" i="6"/>
  <c r="F6886" i="6"/>
  <c r="F6887" i="6"/>
  <c r="F6888" i="6"/>
  <c r="F6889" i="6"/>
  <c r="F6890" i="6"/>
  <c r="F6891" i="6"/>
  <c r="F6892" i="6"/>
  <c r="F6893" i="6"/>
  <c r="F6894" i="6"/>
  <c r="F6895" i="6"/>
  <c r="F6896" i="6"/>
  <c r="F6897" i="6"/>
  <c r="F6898" i="6"/>
  <c r="F6899" i="6"/>
  <c r="F6900" i="6"/>
  <c r="F6901" i="6"/>
  <c r="F6902" i="6"/>
  <c r="F6903" i="6"/>
  <c r="F6904" i="6"/>
  <c r="F6905" i="6"/>
  <c r="F6906" i="6"/>
  <c r="F6907" i="6"/>
  <c r="F6908" i="6"/>
  <c r="F6909" i="6"/>
  <c r="F6910" i="6"/>
  <c r="F6911" i="6"/>
  <c r="F6912" i="6"/>
  <c r="F6913" i="6"/>
  <c r="F6914" i="6"/>
  <c r="F6915" i="6"/>
  <c r="F6916" i="6"/>
  <c r="F6917" i="6"/>
  <c r="F6918" i="6"/>
  <c r="F6919" i="6"/>
  <c r="F6920" i="6"/>
  <c r="F6921" i="6"/>
  <c r="F6922" i="6"/>
  <c r="F6923" i="6"/>
  <c r="F6924" i="6"/>
  <c r="F6925" i="6"/>
  <c r="F6926" i="6"/>
  <c r="F6927" i="6"/>
  <c r="F6928" i="6"/>
  <c r="F6929" i="6"/>
  <c r="F6930" i="6"/>
  <c r="F6931" i="6"/>
  <c r="F6932" i="6"/>
  <c r="F6933" i="6"/>
  <c r="F6934" i="6"/>
  <c r="F6935" i="6"/>
  <c r="F6936" i="6"/>
  <c r="F6937" i="6"/>
  <c r="F6938" i="6"/>
  <c r="F6939" i="6"/>
  <c r="F6940" i="6"/>
  <c r="F6941" i="6"/>
  <c r="F6942" i="6"/>
  <c r="F6943" i="6"/>
  <c r="F6944" i="6"/>
  <c r="F6945" i="6"/>
  <c r="F6946" i="6"/>
  <c r="F6947" i="6"/>
  <c r="F6948" i="6"/>
  <c r="F6949" i="6"/>
  <c r="F6950" i="6"/>
  <c r="F6951" i="6"/>
  <c r="F6952" i="6"/>
  <c r="F6953" i="6"/>
  <c r="F6954" i="6"/>
  <c r="F6955" i="6"/>
  <c r="F6956" i="6"/>
  <c r="F6957" i="6"/>
  <c r="F6958" i="6"/>
  <c r="F6959" i="6"/>
  <c r="F6960" i="6"/>
  <c r="F6961" i="6"/>
  <c r="F6962" i="6"/>
  <c r="F6963" i="6"/>
  <c r="F6964" i="6"/>
  <c r="F6965" i="6"/>
  <c r="F6966" i="6"/>
  <c r="F6967" i="6"/>
  <c r="F6968" i="6"/>
  <c r="F6969" i="6"/>
  <c r="F6970" i="6"/>
  <c r="F6971" i="6"/>
  <c r="F6972" i="6"/>
  <c r="F6973" i="6"/>
  <c r="F6974" i="6"/>
  <c r="F6975" i="6"/>
  <c r="F6976" i="6"/>
  <c r="F6977" i="6"/>
  <c r="F6978" i="6"/>
  <c r="F6979" i="6"/>
  <c r="F6980" i="6"/>
  <c r="F6981" i="6"/>
  <c r="F6982" i="6"/>
  <c r="F6983" i="6"/>
  <c r="F6984" i="6"/>
  <c r="F6985" i="6"/>
  <c r="F6986" i="6"/>
  <c r="F6987" i="6"/>
  <c r="F6988" i="6"/>
  <c r="F6989" i="6"/>
  <c r="F6990" i="6"/>
  <c r="F6991" i="6"/>
  <c r="F6992" i="6"/>
  <c r="F6993" i="6"/>
  <c r="F6994" i="6"/>
  <c r="F6995" i="6"/>
  <c r="F6996" i="6"/>
  <c r="F6997" i="6"/>
  <c r="F6998" i="6"/>
  <c r="F6999" i="6"/>
  <c r="F7000" i="6"/>
  <c r="F7001" i="6"/>
  <c r="F7002" i="6"/>
  <c r="F7003" i="6"/>
  <c r="F7004" i="6"/>
  <c r="F7005" i="6"/>
  <c r="F7006" i="6"/>
  <c r="F7007" i="6"/>
  <c r="F7008" i="6"/>
  <c r="F7009" i="6"/>
  <c r="F7010" i="6"/>
  <c r="F7011" i="6"/>
  <c r="F7012" i="6"/>
  <c r="F7013" i="6"/>
  <c r="F7014" i="6"/>
  <c r="F7015" i="6"/>
  <c r="F7016" i="6"/>
  <c r="F7017" i="6"/>
  <c r="F7018" i="6"/>
  <c r="F7019" i="6"/>
  <c r="F7020" i="6"/>
  <c r="F7021" i="6"/>
  <c r="F7022" i="6"/>
  <c r="F7023" i="6"/>
  <c r="F7024" i="6"/>
  <c r="F7025" i="6"/>
  <c r="F7026" i="6"/>
  <c r="F7027" i="6"/>
  <c r="F7028" i="6"/>
  <c r="F7029" i="6"/>
  <c r="F7030" i="6"/>
  <c r="F7031" i="6"/>
  <c r="F7032" i="6"/>
  <c r="F7033" i="6"/>
  <c r="F7034" i="6"/>
  <c r="F7035" i="6"/>
  <c r="F7036" i="6"/>
  <c r="F7037" i="6"/>
  <c r="F7038" i="6"/>
  <c r="F7039" i="6"/>
  <c r="F7040" i="6"/>
  <c r="F7041" i="6"/>
  <c r="F7042" i="6"/>
  <c r="F7043" i="6"/>
  <c r="F7044" i="6"/>
  <c r="F7045" i="6"/>
  <c r="F7046" i="6"/>
  <c r="F7047" i="6"/>
  <c r="F7048" i="6"/>
  <c r="F7049" i="6"/>
  <c r="F7050" i="6"/>
  <c r="F7051" i="6"/>
  <c r="F7052" i="6"/>
  <c r="F7053" i="6"/>
  <c r="F7054" i="6"/>
  <c r="F7055" i="6"/>
  <c r="F7056" i="6"/>
  <c r="F7057" i="6"/>
  <c r="F7058" i="6"/>
  <c r="F7059" i="6"/>
  <c r="F7060" i="6"/>
  <c r="F7061" i="6"/>
  <c r="F7062" i="6"/>
  <c r="F7063" i="6"/>
  <c r="F7064" i="6"/>
  <c r="F7065" i="6"/>
  <c r="F7066" i="6"/>
  <c r="F7067" i="6"/>
  <c r="F7068" i="6"/>
  <c r="F7069" i="6"/>
  <c r="F7070" i="6"/>
  <c r="F7071" i="6"/>
  <c r="F7072" i="6"/>
  <c r="F7073" i="6"/>
  <c r="F7074" i="6"/>
  <c r="F7075" i="6"/>
  <c r="F7076" i="6"/>
  <c r="F7077" i="6"/>
  <c r="F7078" i="6"/>
  <c r="F7079" i="6"/>
  <c r="F7080" i="6"/>
  <c r="F7081" i="6"/>
  <c r="F7082" i="6"/>
  <c r="F7083" i="6"/>
  <c r="F7084" i="6"/>
  <c r="F7085" i="6"/>
  <c r="F7086" i="6"/>
  <c r="F7087" i="6"/>
  <c r="F7088" i="6"/>
  <c r="F7089" i="6"/>
  <c r="F7090" i="6"/>
  <c r="F7091" i="6"/>
  <c r="F7092" i="6"/>
  <c r="F7093" i="6"/>
  <c r="F7094" i="6"/>
  <c r="F7095" i="6"/>
  <c r="F7096" i="6"/>
  <c r="F7097" i="6"/>
  <c r="F7098" i="6"/>
  <c r="F7099" i="6"/>
  <c r="F7100" i="6"/>
  <c r="F7101" i="6"/>
  <c r="F7102" i="6"/>
  <c r="F7103" i="6"/>
  <c r="F7104" i="6"/>
  <c r="F7105" i="6"/>
  <c r="F7106" i="6"/>
  <c r="F7107" i="6"/>
  <c r="F7108" i="6"/>
  <c r="F7109" i="6"/>
  <c r="F7110" i="6"/>
  <c r="F7111" i="6"/>
  <c r="F7112" i="6"/>
  <c r="F7113" i="6"/>
  <c r="F7114" i="6"/>
  <c r="F7115" i="6"/>
  <c r="F7116" i="6"/>
  <c r="F7117" i="6"/>
  <c r="F7118" i="6"/>
  <c r="F7119" i="6"/>
  <c r="F7120" i="6"/>
  <c r="F7121" i="6"/>
  <c r="F7122" i="6"/>
  <c r="F7123" i="6"/>
  <c r="F7124" i="6"/>
  <c r="F7125" i="6"/>
  <c r="F7126" i="6"/>
  <c r="F7127" i="6"/>
  <c r="F7128" i="6"/>
  <c r="F7129" i="6"/>
  <c r="F7130" i="6"/>
  <c r="F7131" i="6"/>
  <c r="F7132" i="6"/>
  <c r="F7133" i="6"/>
  <c r="F7134" i="6"/>
  <c r="F7135" i="6"/>
  <c r="F7136" i="6"/>
  <c r="F7137" i="6"/>
  <c r="F7138" i="6"/>
  <c r="F7139" i="6"/>
  <c r="F7140" i="6"/>
  <c r="F7141" i="6"/>
  <c r="F7142" i="6"/>
  <c r="F7143" i="6"/>
  <c r="F7144" i="6"/>
  <c r="F7145" i="6"/>
  <c r="F7146" i="6"/>
  <c r="F7147" i="6"/>
  <c r="F7148" i="6"/>
  <c r="F7149" i="6"/>
  <c r="F7150" i="6"/>
  <c r="F7151" i="6"/>
  <c r="F7152" i="6"/>
  <c r="F7153" i="6"/>
  <c r="F7154" i="6"/>
  <c r="F7155" i="6"/>
  <c r="F7156" i="6"/>
  <c r="F7157" i="6"/>
  <c r="F7158" i="6"/>
  <c r="F7159" i="6"/>
  <c r="F7160" i="6"/>
  <c r="F7161" i="6"/>
  <c r="F7162" i="6"/>
  <c r="F7163" i="6"/>
  <c r="F7164" i="6"/>
  <c r="F7165" i="6"/>
  <c r="F7166" i="6"/>
  <c r="F7167" i="6"/>
  <c r="F7168" i="6"/>
  <c r="F7169" i="6"/>
  <c r="F7170" i="6"/>
  <c r="F7171" i="6"/>
  <c r="F7172" i="6"/>
  <c r="F7173" i="6"/>
  <c r="F7174" i="6"/>
  <c r="F7175" i="6"/>
  <c r="F7176" i="6"/>
  <c r="F7177" i="6"/>
  <c r="F7178" i="6"/>
  <c r="F7179" i="6"/>
  <c r="F7180" i="6"/>
  <c r="F7181" i="6"/>
  <c r="F7182" i="6"/>
  <c r="F7183" i="6"/>
  <c r="F7184" i="6"/>
  <c r="F7185" i="6"/>
  <c r="F7186" i="6"/>
  <c r="F7187" i="6"/>
  <c r="F7188" i="6"/>
  <c r="F7189" i="6"/>
  <c r="F7190" i="6"/>
  <c r="F7191" i="6"/>
  <c r="F7192" i="6"/>
  <c r="F7193" i="6"/>
  <c r="F7194" i="6"/>
  <c r="F7195" i="6"/>
  <c r="F7196" i="6"/>
  <c r="F7197" i="6"/>
  <c r="F7198" i="6"/>
  <c r="F7199" i="6"/>
  <c r="F7200" i="6"/>
  <c r="F7201" i="6"/>
  <c r="F7202" i="6"/>
  <c r="F7203" i="6"/>
  <c r="F7204" i="6"/>
  <c r="F7205" i="6"/>
  <c r="F7206" i="6"/>
  <c r="F7207" i="6"/>
  <c r="F7208" i="6"/>
  <c r="F7209" i="6"/>
  <c r="F7210" i="6"/>
  <c r="F7211" i="6"/>
  <c r="F7212" i="6"/>
  <c r="F7213" i="6"/>
  <c r="F7214" i="6"/>
  <c r="F7215" i="6"/>
  <c r="F7216" i="6"/>
  <c r="F7217" i="6"/>
  <c r="F7218" i="6"/>
  <c r="F7219" i="6"/>
  <c r="F7220" i="6"/>
  <c r="F7221" i="6"/>
  <c r="F7222" i="6"/>
  <c r="F7223" i="6"/>
  <c r="F7224" i="6"/>
  <c r="F7225" i="6"/>
  <c r="F7226" i="6"/>
  <c r="F7227" i="6"/>
  <c r="F7228" i="6"/>
  <c r="F7229" i="6"/>
  <c r="F7230" i="6"/>
  <c r="F7231" i="6"/>
  <c r="F7232" i="6"/>
  <c r="F7233" i="6"/>
  <c r="F7234" i="6"/>
  <c r="F7235" i="6"/>
  <c r="F7236" i="6"/>
  <c r="F7237" i="6"/>
  <c r="F7238" i="6"/>
  <c r="F7239" i="6"/>
  <c r="F7240" i="6"/>
  <c r="F7241" i="6"/>
  <c r="F7242" i="6"/>
  <c r="F7243" i="6"/>
  <c r="F7244" i="6"/>
  <c r="F7245" i="6"/>
  <c r="F7246" i="6"/>
  <c r="F7247" i="6"/>
  <c r="F7248" i="6"/>
  <c r="F7249" i="6"/>
  <c r="F7250" i="6"/>
  <c r="F7251" i="6"/>
  <c r="F7252" i="6"/>
  <c r="F7253" i="6"/>
  <c r="F7254" i="6"/>
  <c r="F7255" i="6"/>
  <c r="F7256" i="6"/>
  <c r="F7257" i="6"/>
  <c r="F7258" i="6"/>
  <c r="F7259" i="6"/>
  <c r="F7260" i="6"/>
  <c r="F7261" i="6"/>
  <c r="F7262" i="6"/>
  <c r="F7263" i="6"/>
  <c r="F7264" i="6"/>
  <c r="F7265" i="6"/>
  <c r="F7266" i="6"/>
  <c r="F7267" i="6"/>
  <c r="F7268" i="6"/>
  <c r="F7269" i="6"/>
  <c r="F7270" i="6"/>
  <c r="F7271" i="6"/>
  <c r="F7272" i="6"/>
  <c r="F7273" i="6"/>
  <c r="F7274" i="6"/>
  <c r="F7275" i="6"/>
  <c r="F7276" i="6"/>
  <c r="F7277" i="6"/>
  <c r="F7278" i="6"/>
  <c r="F7279" i="6"/>
  <c r="F7280" i="6"/>
  <c r="F7281" i="6"/>
  <c r="F7282" i="6"/>
  <c r="F7283" i="6"/>
  <c r="F7284" i="6"/>
  <c r="F7285" i="6"/>
  <c r="F7286" i="6"/>
  <c r="F7287" i="6"/>
  <c r="F7288" i="6"/>
  <c r="F7289" i="6"/>
  <c r="F7290" i="6"/>
  <c r="F7291" i="6"/>
  <c r="F7292" i="6"/>
  <c r="F7293" i="6"/>
  <c r="F7294" i="6"/>
  <c r="F7295" i="6"/>
  <c r="F7296" i="6"/>
  <c r="F7297" i="6"/>
  <c r="F7298" i="6"/>
  <c r="F7299" i="6"/>
  <c r="F7300" i="6"/>
  <c r="F7301" i="6"/>
  <c r="F7302" i="6"/>
  <c r="F7303" i="6"/>
  <c r="F7304" i="6"/>
  <c r="F7305" i="6"/>
  <c r="F7306" i="6"/>
  <c r="F7307" i="6"/>
  <c r="F7308" i="6"/>
  <c r="F7309" i="6"/>
  <c r="F7310" i="6"/>
  <c r="F7311" i="6"/>
  <c r="F7312" i="6"/>
  <c r="F7313" i="6"/>
  <c r="F7314" i="6"/>
  <c r="F7315" i="6"/>
  <c r="F7316" i="6"/>
  <c r="F7317" i="6"/>
  <c r="F7318" i="6"/>
  <c r="F7319" i="6"/>
  <c r="F7320" i="6"/>
  <c r="F7321" i="6"/>
  <c r="F7322" i="6"/>
  <c r="F7323" i="6"/>
  <c r="F7324" i="6"/>
  <c r="F7325" i="6"/>
  <c r="F7326" i="6"/>
  <c r="F7327" i="6"/>
  <c r="F7328" i="6"/>
  <c r="F7329" i="6"/>
  <c r="F7330" i="6"/>
  <c r="F7331" i="6"/>
  <c r="F7332" i="6"/>
  <c r="F7333" i="6"/>
  <c r="F7334" i="6"/>
  <c r="F7335" i="6"/>
  <c r="F7336" i="6"/>
  <c r="F7337" i="6"/>
  <c r="F7338" i="6"/>
  <c r="F7339" i="6"/>
  <c r="F7340" i="6"/>
  <c r="F7341" i="6"/>
  <c r="F7342" i="6"/>
  <c r="F7343" i="6"/>
  <c r="F7344" i="6"/>
  <c r="F7345" i="6"/>
  <c r="F7346" i="6"/>
  <c r="F7347" i="6"/>
  <c r="F7348" i="6"/>
  <c r="F7349" i="6"/>
  <c r="F7350" i="6"/>
  <c r="F7351" i="6"/>
  <c r="F7352" i="6"/>
  <c r="F7353" i="6"/>
  <c r="F7354" i="6"/>
  <c r="F7355" i="6"/>
  <c r="F7356" i="6"/>
  <c r="F7357" i="6"/>
  <c r="F7358" i="6"/>
  <c r="F7359" i="6"/>
  <c r="F7360" i="6"/>
  <c r="F7361" i="6"/>
  <c r="F7362" i="6"/>
  <c r="F7363" i="6"/>
  <c r="F7364" i="6"/>
  <c r="F7365" i="6"/>
  <c r="F7366" i="6"/>
  <c r="F7367" i="6"/>
  <c r="F7368" i="6"/>
  <c r="F7369" i="6"/>
  <c r="F7370" i="6"/>
  <c r="F7371" i="6"/>
  <c r="F7372" i="6"/>
  <c r="F7373" i="6"/>
  <c r="F7374" i="6"/>
  <c r="F7375" i="6"/>
  <c r="F7376" i="6"/>
  <c r="F7377" i="6"/>
  <c r="F7378" i="6"/>
  <c r="F7379" i="6"/>
  <c r="F7380" i="6"/>
  <c r="F7381" i="6"/>
  <c r="F7382" i="6"/>
  <c r="F7383" i="6"/>
  <c r="F7384" i="6"/>
  <c r="F7385" i="6"/>
  <c r="F7386" i="6"/>
  <c r="F7387" i="6"/>
  <c r="F7388" i="6"/>
  <c r="F7389" i="6"/>
  <c r="F7390" i="6"/>
  <c r="F7391" i="6"/>
  <c r="F7392" i="6"/>
  <c r="F7393" i="6"/>
  <c r="F7394" i="6"/>
  <c r="F7395" i="6"/>
  <c r="F7396" i="6"/>
  <c r="F7397" i="6"/>
  <c r="F7398" i="6"/>
  <c r="F7399" i="6"/>
  <c r="F7400" i="6"/>
  <c r="F7401" i="6"/>
  <c r="F7402" i="6"/>
  <c r="F7403" i="6"/>
  <c r="F7404" i="6"/>
  <c r="F7405" i="6"/>
  <c r="F7406" i="6"/>
  <c r="F7407" i="6"/>
  <c r="F7408" i="6"/>
  <c r="F7409" i="6"/>
  <c r="F7410" i="6"/>
  <c r="F7411" i="6"/>
  <c r="F7412" i="6"/>
  <c r="F7413" i="6"/>
  <c r="F7414" i="6"/>
  <c r="F7415" i="6"/>
  <c r="F7416" i="6"/>
  <c r="F7417" i="6"/>
  <c r="F7418" i="6"/>
  <c r="F7419" i="6"/>
  <c r="F7420" i="6"/>
  <c r="F7421" i="6"/>
  <c r="F7422" i="6"/>
  <c r="F7423" i="6"/>
  <c r="F7424" i="6"/>
  <c r="F7425" i="6"/>
  <c r="F7426" i="6"/>
  <c r="F7427" i="6"/>
  <c r="F7428" i="6"/>
  <c r="F7429" i="6"/>
  <c r="F7430" i="6"/>
  <c r="F7431" i="6"/>
  <c r="F7432" i="6"/>
  <c r="F7433" i="6"/>
  <c r="F7434" i="6"/>
  <c r="F7435" i="6"/>
  <c r="F7436" i="6"/>
  <c r="F7437" i="6"/>
  <c r="F7438" i="6"/>
  <c r="F7439" i="6"/>
  <c r="F7440" i="6"/>
  <c r="F7441" i="6"/>
  <c r="F7442" i="6"/>
  <c r="F7443" i="6"/>
  <c r="F7444" i="6"/>
  <c r="F7445" i="6"/>
  <c r="F7446" i="6"/>
  <c r="F7447" i="6"/>
  <c r="F7448" i="6"/>
  <c r="F7449" i="6"/>
  <c r="F7450" i="6"/>
  <c r="F7451" i="6"/>
  <c r="F7452" i="6"/>
  <c r="F7453" i="6"/>
  <c r="F7454" i="6"/>
  <c r="F7455" i="6"/>
  <c r="F7456" i="6"/>
  <c r="F7457" i="6"/>
  <c r="F7458" i="6"/>
  <c r="F7459" i="6"/>
  <c r="F7460" i="6"/>
  <c r="F7461" i="6"/>
  <c r="F7462" i="6"/>
  <c r="F7463" i="6"/>
  <c r="F7464" i="6"/>
  <c r="F7465" i="6"/>
  <c r="F7466" i="6"/>
  <c r="F7467" i="6"/>
  <c r="F7468" i="6"/>
  <c r="F7469" i="6"/>
  <c r="F7470" i="6"/>
  <c r="F7471" i="6"/>
  <c r="F7472" i="6"/>
  <c r="F7473" i="6"/>
  <c r="F7474" i="6"/>
  <c r="F7475" i="6"/>
  <c r="F7476" i="6"/>
  <c r="F7477" i="6"/>
  <c r="F7478" i="6"/>
  <c r="F7479" i="6"/>
  <c r="F7480" i="6"/>
  <c r="F7481" i="6"/>
  <c r="F7482" i="6"/>
  <c r="F7483" i="6"/>
  <c r="F7484" i="6"/>
  <c r="F7485" i="6"/>
  <c r="F7486" i="6"/>
  <c r="F7487" i="6"/>
  <c r="F7488" i="6"/>
  <c r="F7489" i="6"/>
  <c r="F7490" i="6"/>
  <c r="F7491" i="6"/>
  <c r="F7492" i="6"/>
  <c r="F7493" i="6"/>
  <c r="F7494" i="6"/>
  <c r="F7495" i="6"/>
  <c r="F7496" i="6"/>
  <c r="F7497" i="6"/>
  <c r="F7498" i="6"/>
  <c r="F7499" i="6"/>
  <c r="F7500" i="6"/>
  <c r="F7501" i="6"/>
  <c r="F7502" i="6"/>
  <c r="F7503" i="6"/>
  <c r="F7504" i="6"/>
  <c r="F7505" i="6"/>
  <c r="F7506" i="6"/>
  <c r="F7507" i="6"/>
  <c r="F7508" i="6"/>
  <c r="F7509" i="6"/>
  <c r="F7510" i="6"/>
  <c r="F7511" i="6"/>
  <c r="F7512" i="6"/>
  <c r="F7513" i="6"/>
  <c r="F7514" i="6"/>
  <c r="F7515" i="6"/>
  <c r="F7516" i="6"/>
  <c r="F7517" i="6"/>
  <c r="F7518" i="6"/>
  <c r="F7519" i="6"/>
  <c r="F7520" i="6"/>
  <c r="F7521" i="6"/>
  <c r="F7522" i="6"/>
  <c r="F7523" i="6"/>
  <c r="F7524" i="6"/>
  <c r="F7525" i="6"/>
  <c r="F7526" i="6"/>
  <c r="F7527" i="6"/>
  <c r="F7528" i="6"/>
  <c r="F7529" i="6"/>
  <c r="F7530" i="6"/>
  <c r="F7531" i="6"/>
  <c r="F7532" i="6"/>
  <c r="F7533" i="6"/>
  <c r="F7534" i="6"/>
  <c r="F7535" i="6"/>
  <c r="F7536" i="6"/>
  <c r="F7537" i="6"/>
  <c r="F7538" i="6"/>
  <c r="F7539" i="6"/>
  <c r="F7540" i="6"/>
  <c r="F7541" i="6"/>
  <c r="F7542" i="6"/>
  <c r="F7543" i="6"/>
  <c r="F7544" i="6"/>
  <c r="F7545" i="6"/>
  <c r="F7546" i="6"/>
  <c r="F7547" i="6"/>
  <c r="F7548" i="6"/>
  <c r="F7549" i="6"/>
  <c r="F7550" i="6"/>
  <c r="F7551" i="6"/>
  <c r="F7552" i="6"/>
  <c r="F7553" i="6"/>
  <c r="F7554" i="6"/>
  <c r="F7555" i="6"/>
  <c r="F7556" i="6"/>
  <c r="F7557" i="6"/>
  <c r="F7558" i="6"/>
  <c r="F7559" i="6"/>
  <c r="F7560" i="6"/>
  <c r="F7561" i="6"/>
  <c r="F7562" i="6"/>
  <c r="F7563" i="6"/>
  <c r="F7564" i="6"/>
  <c r="F7565" i="6"/>
  <c r="F7566" i="6"/>
  <c r="F7567" i="6"/>
  <c r="F7568" i="6"/>
  <c r="F7569" i="6"/>
  <c r="F7570" i="6"/>
  <c r="F7571" i="6"/>
  <c r="F7572" i="6"/>
  <c r="F7573" i="6"/>
  <c r="F7574" i="6"/>
  <c r="F7575" i="6"/>
  <c r="F7576" i="6"/>
  <c r="F7577" i="6"/>
  <c r="F7578" i="6"/>
  <c r="F7579" i="6"/>
  <c r="F7580" i="6"/>
  <c r="F7581" i="6"/>
  <c r="F7582" i="6"/>
  <c r="F7583" i="6"/>
  <c r="F7584" i="6"/>
  <c r="F7585" i="6"/>
  <c r="F7586" i="6"/>
  <c r="F7587" i="6"/>
  <c r="F7588" i="6"/>
  <c r="F7589" i="6"/>
  <c r="F7590" i="6"/>
  <c r="F7591" i="6"/>
  <c r="F7592" i="6"/>
  <c r="F7593" i="6"/>
  <c r="F7594" i="6"/>
  <c r="F7595" i="6"/>
  <c r="F7596" i="6"/>
  <c r="F7597" i="6"/>
  <c r="F7598" i="6"/>
  <c r="F7599" i="6"/>
  <c r="F7600" i="6"/>
  <c r="F7601" i="6"/>
  <c r="F7602" i="6"/>
  <c r="F7603" i="6"/>
  <c r="F7604" i="6"/>
  <c r="F7605" i="6"/>
  <c r="F7606" i="6"/>
  <c r="F7607" i="6"/>
  <c r="F7608" i="6"/>
  <c r="F7609" i="6"/>
  <c r="F7610" i="6"/>
  <c r="F7611" i="6"/>
  <c r="F7612" i="6"/>
  <c r="F7613" i="6"/>
  <c r="F7614" i="6"/>
  <c r="F7615" i="6"/>
  <c r="F7616" i="6"/>
  <c r="F7617" i="6"/>
  <c r="F7618" i="6"/>
  <c r="F7619" i="6"/>
  <c r="F7620" i="6"/>
  <c r="F7621" i="6"/>
  <c r="F7622" i="6"/>
  <c r="F7623" i="6"/>
  <c r="F7624" i="6"/>
  <c r="F7625" i="6"/>
  <c r="F7626" i="6"/>
  <c r="F7627" i="6"/>
  <c r="F7628" i="6"/>
  <c r="F7629" i="6"/>
  <c r="F7630" i="6"/>
  <c r="F7631" i="6"/>
  <c r="F7632" i="6"/>
  <c r="F7633" i="6"/>
  <c r="F7634" i="6"/>
  <c r="F7635" i="6"/>
  <c r="F7636" i="6"/>
  <c r="F7637" i="6"/>
  <c r="F7638" i="6"/>
  <c r="F7639" i="6"/>
  <c r="F7640" i="6"/>
  <c r="F7641" i="6"/>
  <c r="F7642" i="6"/>
  <c r="F7643" i="6"/>
  <c r="F7644" i="6"/>
  <c r="F7645" i="6"/>
  <c r="F7646" i="6"/>
  <c r="F7647" i="6"/>
  <c r="F7648" i="6"/>
  <c r="F7649" i="6"/>
  <c r="F7650" i="6"/>
  <c r="F7651" i="6"/>
  <c r="F7652" i="6"/>
  <c r="F7653" i="6"/>
  <c r="F7654" i="6"/>
  <c r="F7655" i="6"/>
  <c r="F7656" i="6"/>
  <c r="F7657" i="6"/>
  <c r="F7658" i="6"/>
  <c r="F7659" i="6"/>
  <c r="F7660" i="6"/>
  <c r="F7661" i="6"/>
  <c r="F7662" i="6"/>
  <c r="F7663" i="6"/>
  <c r="F7664" i="6"/>
  <c r="F7665" i="6"/>
  <c r="F7666" i="6"/>
  <c r="F7667" i="6"/>
  <c r="F7668" i="6"/>
  <c r="F7669" i="6"/>
  <c r="F7670" i="6"/>
  <c r="F7671" i="6"/>
  <c r="F3" i="6"/>
  <c r="F2" i="6"/>
  <c r="B2" i="6"/>
  <c r="J2" i="6"/>
  <c r="B3" i="6"/>
  <c r="J3" i="6"/>
  <c r="B4" i="6"/>
  <c r="J4" i="6"/>
  <c r="B5" i="6"/>
  <c r="J5" i="6"/>
  <c r="B6" i="6"/>
  <c r="J6" i="6"/>
  <c r="B7" i="6"/>
  <c r="J7" i="6"/>
  <c r="B8" i="6"/>
  <c r="J8" i="6"/>
  <c r="B9" i="6"/>
  <c r="J9" i="6"/>
  <c r="B10" i="6"/>
  <c r="J10" i="6"/>
  <c r="B11" i="6"/>
  <c r="J11" i="6"/>
  <c r="B12" i="6"/>
  <c r="J12" i="6"/>
  <c r="B13" i="6"/>
  <c r="J13" i="6"/>
  <c r="B14" i="6"/>
  <c r="J14" i="6"/>
  <c r="B15" i="6"/>
  <c r="J15" i="6"/>
  <c r="B16" i="6"/>
  <c r="J16" i="6"/>
  <c r="B17" i="6"/>
  <c r="J17" i="6"/>
  <c r="B18" i="6"/>
  <c r="J18" i="6"/>
  <c r="B19" i="6"/>
  <c r="J19" i="6"/>
  <c r="B20" i="6"/>
  <c r="J20" i="6"/>
  <c r="B21" i="6"/>
  <c r="J21" i="6"/>
  <c r="B22" i="6"/>
  <c r="J22" i="6"/>
  <c r="B23" i="6"/>
  <c r="J23" i="6"/>
  <c r="B24" i="6"/>
  <c r="J24" i="6"/>
  <c r="B25" i="6"/>
  <c r="J25" i="6"/>
  <c r="B26" i="6"/>
  <c r="J26" i="6"/>
  <c r="B27" i="6"/>
  <c r="J27" i="6"/>
  <c r="B28" i="6"/>
  <c r="J28" i="6"/>
  <c r="B29" i="6"/>
  <c r="J29" i="6"/>
  <c r="B30" i="6"/>
  <c r="J30" i="6"/>
  <c r="B31" i="6"/>
  <c r="J31" i="6"/>
  <c r="B32" i="6"/>
  <c r="J32" i="6"/>
  <c r="B33" i="6"/>
  <c r="J33" i="6"/>
  <c r="B34" i="6"/>
  <c r="J34" i="6"/>
  <c r="B35" i="6"/>
  <c r="J35" i="6"/>
  <c r="B36" i="6"/>
  <c r="J36" i="6"/>
  <c r="B37" i="6"/>
  <c r="J37" i="6"/>
  <c r="B38" i="6"/>
  <c r="J38" i="6"/>
  <c r="B39" i="6"/>
  <c r="J39" i="6"/>
  <c r="B40" i="6"/>
  <c r="J40" i="6"/>
  <c r="B41" i="6"/>
  <c r="J41" i="6"/>
  <c r="B42" i="6"/>
  <c r="J42" i="6"/>
  <c r="B43" i="6"/>
  <c r="J43" i="6"/>
  <c r="B44" i="6"/>
  <c r="J44" i="6"/>
  <c r="B45" i="6"/>
  <c r="J45" i="6"/>
  <c r="B46" i="6"/>
  <c r="J46" i="6"/>
  <c r="B47" i="6"/>
  <c r="J47" i="6"/>
  <c r="B48" i="6"/>
  <c r="J48" i="6"/>
  <c r="B49" i="6"/>
  <c r="J49" i="6"/>
  <c r="B50" i="6"/>
  <c r="J50" i="6"/>
  <c r="B51" i="6"/>
  <c r="J51" i="6"/>
  <c r="B52" i="6"/>
  <c r="J52" i="6"/>
  <c r="B53" i="6"/>
  <c r="J53" i="6"/>
  <c r="B54" i="6"/>
  <c r="J54" i="6"/>
  <c r="B55" i="6"/>
  <c r="J55" i="6"/>
  <c r="B56" i="6"/>
  <c r="J56" i="6"/>
  <c r="B57" i="6"/>
  <c r="J57" i="6"/>
  <c r="B58" i="6"/>
  <c r="J58" i="6"/>
  <c r="B59" i="6"/>
  <c r="J59" i="6"/>
  <c r="B60" i="6"/>
  <c r="J60" i="6"/>
  <c r="B61" i="6"/>
  <c r="J61" i="6"/>
  <c r="B62" i="6"/>
  <c r="J62" i="6"/>
  <c r="B63" i="6"/>
  <c r="J63" i="6"/>
  <c r="B64" i="6"/>
  <c r="J64" i="6"/>
  <c r="B65" i="6"/>
  <c r="J65" i="6"/>
  <c r="B66" i="6"/>
  <c r="J66" i="6"/>
  <c r="B67" i="6"/>
  <c r="J67" i="6"/>
  <c r="B68" i="6"/>
  <c r="J68" i="6"/>
  <c r="B69" i="6"/>
  <c r="J69" i="6"/>
  <c r="B70" i="6"/>
  <c r="J70" i="6"/>
  <c r="B71" i="6"/>
  <c r="J71" i="6"/>
  <c r="B72" i="6"/>
  <c r="J72" i="6"/>
  <c r="B73" i="6"/>
  <c r="J73" i="6"/>
  <c r="B74" i="6"/>
  <c r="J74" i="6"/>
  <c r="B75" i="6"/>
  <c r="J75" i="6"/>
  <c r="B76" i="6"/>
  <c r="J76" i="6"/>
  <c r="B77" i="6"/>
  <c r="J77" i="6"/>
  <c r="B78" i="6"/>
  <c r="J78" i="6"/>
  <c r="B79" i="6"/>
  <c r="J79" i="6"/>
  <c r="B80" i="6"/>
  <c r="J80" i="6"/>
  <c r="B81" i="6"/>
  <c r="J81" i="6"/>
  <c r="B82" i="6"/>
  <c r="J82" i="6"/>
  <c r="B83" i="6"/>
  <c r="J83" i="6"/>
  <c r="B84" i="6"/>
  <c r="J84" i="6"/>
  <c r="B85" i="6"/>
  <c r="J85" i="6"/>
  <c r="B86" i="6"/>
  <c r="J86" i="6"/>
  <c r="B87" i="6"/>
  <c r="J87" i="6"/>
  <c r="B88" i="6"/>
  <c r="J88" i="6"/>
  <c r="B89" i="6"/>
  <c r="J89" i="6"/>
  <c r="B90" i="6"/>
  <c r="J90" i="6"/>
  <c r="B91" i="6"/>
  <c r="J91" i="6"/>
  <c r="B92" i="6"/>
  <c r="J92" i="6"/>
  <c r="B93" i="6"/>
  <c r="J93" i="6"/>
  <c r="B94" i="6"/>
  <c r="J94" i="6"/>
  <c r="B95" i="6"/>
  <c r="J95" i="6"/>
  <c r="B96" i="6"/>
  <c r="J96" i="6"/>
  <c r="B97" i="6"/>
  <c r="J97" i="6"/>
  <c r="B98" i="6"/>
  <c r="J98" i="6"/>
  <c r="B99" i="6"/>
  <c r="J99" i="6"/>
  <c r="B100" i="6"/>
  <c r="J100" i="6"/>
  <c r="B101" i="6"/>
  <c r="J101" i="6"/>
  <c r="B102" i="6"/>
  <c r="J102" i="6"/>
  <c r="B103" i="6"/>
  <c r="J103" i="6"/>
  <c r="B104" i="6"/>
  <c r="J104" i="6"/>
  <c r="B105" i="6"/>
  <c r="J105" i="6"/>
  <c r="B106" i="6"/>
  <c r="J106" i="6"/>
  <c r="B107" i="6"/>
  <c r="J107" i="6"/>
  <c r="B108" i="6"/>
  <c r="J108" i="6"/>
  <c r="B109" i="6"/>
  <c r="J109" i="6"/>
  <c r="B110" i="6"/>
  <c r="J110" i="6"/>
  <c r="B111" i="6"/>
  <c r="J111" i="6"/>
  <c r="B112" i="6"/>
  <c r="J112" i="6"/>
  <c r="B113" i="6"/>
  <c r="J113" i="6"/>
  <c r="B114" i="6"/>
  <c r="J114" i="6"/>
  <c r="B115" i="6"/>
  <c r="J115" i="6"/>
  <c r="B116" i="6"/>
  <c r="J116" i="6"/>
  <c r="B117" i="6"/>
  <c r="J117" i="6"/>
  <c r="B118" i="6"/>
  <c r="J118" i="6"/>
  <c r="B119" i="6"/>
  <c r="J119" i="6"/>
  <c r="B120" i="6"/>
  <c r="J120" i="6"/>
  <c r="B121" i="6"/>
  <c r="J121" i="6"/>
  <c r="B122" i="6"/>
  <c r="J122" i="6"/>
  <c r="B123" i="6"/>
  <c r="J123" i="6"/>
  <c r="B124" i="6"/>
  <c r="J124" i="6"/>
  <c r="B125" i="6"/>
  <c r="J125" i="6"/>
  <c r="B126" i="6"/>
  <c r="J126" i="6"/>
  <c r="B127" i="6"/>
  <c r="J127" i="6"/>
  <c r="B128" i="6"/>
  <c r="J128" i="6"/>
  <c r="B129" i="6"/>
  <c r="J129" i="6"/>
  <c r="B130" i="6"/>
  <c r="J130" i="6"/>
  <c r="B131" i="6"/>
  <c r="J131" i="6"/>
  <c r="B132" i="6"/>
  <c r="J132" i="6"/>
  <c r="B133" i="6"/>
  <c r="J133" i="6"/>
  <c r="B134" i="6"/>
  <c r="J134" i="6"/>
  <c r="B135" i="6"/>
  <c r="J135" i="6"/>
  <c r="B136" i="6"/>
  <c r="J136" i="6"/>
  <c r="B137" i="6"/>
  <c r="J137" i="6"/>
  <c r="B138" i="6"/>
  <c r="J138" i="6"/>
  <c r="B139" i="6"/>
  <c r="J139" i="6"/>
  <c r="B140" i="6"/>
  <c r="J140" i="6"/>
  <c r="B141" i="6"/>
  <c r="J141" i="6"/>
  <c r="B142" i="6"/>
  <c r="J142" i="6"/>
  <c r="B143" i="6"/>
  <c r="J143" i="6"/>
  <c r="B144" i="6"/>
  <c r="J144" i="6"/>
  <c r="B145" i="6"/>
  <c r="J145" i="6"/>
  <c r="B146" i="6"/>
  <c r="J146" i="6"/>
  <c r="B147" i="6"/>
  <c r="J147" i="6"/>
  <c r="B148" i="6"/>
  <c r="J148" i="6"/>
  <c r="B149" i="6"/>
  <c r="J149" i="6"/>
  <c r="B150" i="6"/>
  <c r="J150" i="6"/>
  <c r="B151" i="6"/>
  <c r="J151" i="6"/>
  <c r="B152" i="6"/>
  <c r="J152" i="6"/>
  <c r="B153" i="6"/>
  <c r="J153" i="6"/>
  <c r="B154" i="6"/>
  <c r="J154" i="6"/>
  <c r="B155" i="6"/>
  <c r="J155" i="6"/>
  <c r="B156" i="6"/>
  <c r="J156" i="6"/>
  <c r="B157" i="6"/>
  <c r="J157" i="6"/>
  <c r="B158" i="6"/>
  <c r="J158" i="6"/>
  <c r="B159" i="6"/>
  <c r="J159" i="6"/>
  <c r="B160" i="6"/>
  <c r="J160" i="6"/>
  <c r="B161" i="6"/>
  <c r="J161" i="6"/>
  <c r="B162" i="6"/>
  <c r="J162" i="6"/>
  <c r="B163" i="6"/>
  <c r="J163" i="6"/>
  <c r="B164" i="6"/>
  <c r="J164" i="6"/>
  <c r="B165" i="6"/>
  <c r="J165" i="6"/>
  <c r="B166" i="6"/>
  <c r="J166" i="6"/>
  <c r="B167" i="6"/>
  <c r="J167" i="6"/>
  <c r="B168" i="6"/>
  <c r="J168" i="6"/>
  <c r="B169" i="6"/>
  <c r="J169" i="6"/>
  <c r="B170" i="6"/>
  <c r="J170" i="6"/>
  <c r="B171" i="6"/>
  <c r="J171" i="6"/>
  <c r="B172" i="6"/>
  <c r="J172" i="6"/>
  <c r="B173" i="6"/>
  <c r="J173" i="6"/>
  <c r="B174" i="6"/>
  <c r="J174" i="6"/>
  <c r="B175" i="6"/>
  <c r="J175" i="6"/>
  <c r="B176" i="6"/>
  <c r="J176" i="6"/>
  <c r="B177" i="6"/>
  <c r="J177" i="6"/>
  <c r="B178" i="6"/>
  <c r="J178" i="6"/>
  <c r="B179" i="6"/>
  <c r="J179" i="6"/>
  <c r="B180" i="6"/>
  <c r="J180" i="6"/>
  <c r="B181" i="6"/>
  <c r="J181" i="6"/>
  <c r="B182" i="6"/>
  <c r="J182" i="6"/>
  <c r="B183" i="6"/>
  <c r="J183" i="6"/>
  <c r="B184" i="6"/>
  <c r="J184" i="6"/>
  <c r="B185" i="6"/>
  <c r="J185" i="6"/>
  <c r="B186" i="6"/>
  <c r="J186" i="6"/>
  <c r="B187" i="6"/>
  <c r="J187" i="6"/>
  <c r="B188" i="6"/>
  <c r="J188" i="6"/>
  <c r="B189" i="6"/>
  <c r="J189" i="6"/>
  <c r="B190" i="6"/>
  <c r="J190" i="6"/>
  <c r="B191" i="6"/>
  <c r="J191" i="6"/>
  <c r="B192" i="6"/>
  <c r="J192" i="6"/>
  <c r="B193" i="6"/>
  <c r="J193" i="6"/>
  <c r="B194" i="6"/>
  <c r="J194" i="6"/>
  <c r="B195" i="6"/>
  <c r="J195" i="6"/>
  <c r="B196" i="6"/>
  <c r="J196" i="6"/>
  <c r="B197" i="6"/>
  <c r="J197" i="6"/>
  <c r="B198" i="6"/>
  <c r="J198" i="6"/>
  <c r="B199" i="6"/>
  <c r="J199" i="6"/>
  <c r="B200" i="6"/>
  <c r="J200" i="6"/>
  <c r="B201" i="6"/>
  <c r="J201" i="6"/>
  <c r="B202" i="6"/>
  <c r="J202" i="6"/>
  <c r="B203" i="6"/>
  <c r="J203" i="6"/>
  <c r="B204" i="6"/>
  <c r="J204" i="6"/>
  <c r="B205" i="6"/>
  <c r="J205" i="6"/>
  <c r="B206" i="6"/>
  <c r="J206" i="6"/>
  <c r="B207" i="6"/>
  <c r="J207" i="6"/>
  <c r="B208" i="6"/>
  <c r="J208" i="6"/>
  <c r="B209" i="6"/>
  <c r="J209" i="6"/>
  <c r="B210" i="6"/>
  <c r="J210" i="6"/>
  <c r="B211" i="6"/>
  <c r="J211" i="6"/>
  <c r="B212" i="6"/>
  <c r="J212" i="6"/>
  <c r="B213" i="6"/>
  <c r="J213" i="6"/>
  <c r="B214" i="6"/>
  <c r="J214" i="6"/>
  <c r="B215" i="6"/>
  <c r="J215" i="6"/>
  <c r="B216" i="6"/>
  <c r="J216" i="6"/>
  <c r="B217" i="6"/>
  <c r="J217" i="6"/>
  <c r="B218" i="6"/>
  <c r="J218" i="6"/>
  <c r="B219" i="6"/>
  <c r="J219" i="6"/>
  <c r="B220" i="6"/>
  <c r="J220" i="6"/>
  <c r="B221" i="6"/>
  <c r="J221" i="6"/>
  <c r="B222" i="6"/>
  <c r="J222" i="6"/>
  <c r="B223" i="6"/>
  <c r="J223" i="6"/>
  <c r="B224" i="6"/>
  <c r="J224" i="6"/>
  <c r="B225" i="6"/>
  <c r="J225" i="6"/>
  <c r="B226" i="6"/>
  <c r="J226" i="6"/>
  <c r="B227" i="6"/>
  <c r="J227" i="6"/>
  <c r="B228" i="6"/>
  <c r="J228" i="6"/>
  <c r="B229" i="6"/>
  <c r="J229" i="6"/>
  <c r="B230" i="6"/>
  <c r="J230" i="6"/>
  <c r="B231" i="6"/>
  <c r="J231" i="6"/>
  <c r="B232" i="6"/>
  <c r="J232" i="6"/>
  <c r="B233" i="6"/>
  <c r="J233" i="6"/>
  <c r="B234" i="6"/>
  <c r="J234" i="6"/>
  <c r="B235" i="6"/>
  <c r="J235" i="6"/>
  <c r="B236" i="6"/>
  <c r="J236" i="6"/>
  <c r="B237" i="6"/>
  <c r="J237" i="6"/>
  <c r="B238" i="6"/>
  <c r="J238" i="6"/>
  <c r="B239" i="6"/>
  <c r="J239" i="6"/>
  <c r="B240" i="6"/>
  <c r="J240" i="6"/>
  <c r="B241" i="6"/>
  <c r="J241" i="6"/>
  <c r="B242" i="6"/>
  <c r="J242" i="6"/>
  <c r="B243" i="6"/>
  <c r="J243" i="6"/>
  <c r="B244" i="6"/>
  <c r="J244" i="6"/>
  <c r="B245" i="6"/>
  <c r="J245" i="6"/>
  <c r="B246" i="6"/>
  <c r="J246" i="6"/>
  <c r="B247" i="6"/>
  <c r="J247" i="6"/>
  <c r="B248" i="6"/>
  <c r="J248" i="6"/>
  <c r="B249" i="6"/>
  <c r="J249" i="6"/>
  <c r="B250" i="6"/>
  <c r="J250" i="6"/>
  <c r="B251" i="6"/>
  <c r="J251" i="6"/>
  <c r="B252" i="6"/>
  <c r="J252" i="6"/>
  <c r="B253" i="6"/>
  <c r="J253" i="6"/>
  <c r="B254" i="6"/>
  <c r="J254" i="6"/>
  <c r="B255" i="6"/>
  <c r="J255" i="6"/>
  <c r="B256" i="6"/>
  <c r="J256" i="6"/>
  <c r="B257" i="6"/>
  <c r="J257" i="6"/>
  <c r="B258" i="6"/>
  <c r="J258" i="6"/>
  <c r="B259" i="6"/>
  <c r="J259" i="6"/>
  <c r="B260" i="6"/>
  <c r="J260" i="6"/>
  <c r="B261" i="6"/>
  <c r="J261" i="6"/>
  <c r="B262" i="6"/>
  <c r="J262" i="6"/>
  <c r="B263" i="6"/>
  <c r="J263" i="6"/>
  <c r="B264" i="6"/>
  <c r="J264" i="6"/>
  <c r="B265" i="6"/>
  <c r="J265" i="6"/>
  <c r="B266" i="6"/>
  <c r="J266" i="6"/>
  <c r="B267" i="6"/>
  <c r="J267" i="6"/>
  <c r="B268" i="6"/>
  <c r="J268" i="6"/>
  <c r="B269" i="6"/>
  <c r="J269" i="6"/>
  <c r="B270" i="6"/>
  <c r="J270" i="6"/>
  <c r="B271" i="6"/>
  <c r="J271" i="6"/>
  <c r="B272" i="6"/>
  <c r="J272" i="6"/>
  <c r="B273" i="6"/>
  <c r="J273" i="6"/>
  <c r="B274" i="6"/>
  <c r="J274" i="6"/>
  <c r="B275" i="6"/>
  <c r="J275" i="6"/>
  <c r="B276" i="6"/>
  <c r="J276" i="6"/>
  <c r="B277" i="6"/>
  <c r="J277" i="6"/>
  <c r="B278" i="6"/>
  <c r="J278" i="6"/>
  <c r="B279" i="6"/>
  <c r="J279" i="6"/>
  <c r="B280" i="6"/>
  <c r="J280" i="6"/>
  <c r="B281" i="6"/>
  <c r="J281" i="6"/>
  <c r="B282" i="6"/>
  <c r="J282" i="6"/>
  <c r="B283" i="6"/>
  <c r="J283" i="6"/>
  <c r="B284" i="6"/>
  <c r="J284" i="6"/>
  <c r="B285" i="6"/>
  <c r="J285" i="6"/>
  <c r="B286" i="6"/>
  <c r="J286" i="6"/>
  <c r="B287" i="6"/>
  <c r="J287" i="6"/>
  <c r="B288" i="6"/>
  <c r="J288" i="6"/>
  <c r="B289" i="6"/>
  <c r="J289" i="6"/>
  <c r="B290" i="6"/>
  <c r="J290" i="6"/>
  <c r="B291" i="6"/>
  <c r="J291" i="6"/>
  <c r="B292" i="6"/>
  <c r="J292" i="6"/>
  <c r="B293" i="6"/>
  <c r="J293" i="6"/>
  <c r="B294" i="6"/>
  <c r="J294" i="6"/>
  <c r="B295" i="6"/>
  <c r="J295" i="6"/>
  <c r="B296" i="6"/>
  <c r="J296" i="6"/>
  <c r="B297" i="6"/>
  <c r="J297" i="6"/>
  <c r="B298" i="6"/>
  <c r="J298" i="6"/>
  <c r="B299" i="6"/>
  <c r="J299" i="6"/>
  <c r="B300" i="6"/>
  <c r="J300" i="6"/>
  <c r="B301" i="6"/>
  <c r="J301" i="6"/>
  <c r="B302" i="6"/>
  <c r="J302" i="6"/>
  <c r="B303" i="6"/>
  <c r="J303" i="6"/>
  <c r="B304" i="6"/>
  <c r="J304" i="6"/>
  <c r="B305" i="6"/>
  <c r="J305" i="6"/>
  <c r="B306" i="6"/>
  <c r="J306" i="6"/>
  <c r="B307" i="6"/>
  <c r="J307" i="6"/>
  <c r="B308" i="6"/>
  <c r="J308" i="6"/>
  <c r="B309" i="6"/>
  <c r="J309" i="6"/>
  <c r="B310" i="6"/>
  <c r="J310" i="6"/>
  <c r="B311" i="6"/>
  <c r="J311" i="6"/>
  <c r="B312" i="6"/>
  <c r="J312" i="6"/>
  <c r="B313" i="6"/>
  <c r="J313" i="6"/>
  <c r="B314" i="6"/>
  <c r="J314" i="6"/>
  <c r="B315" i="6"/>
  <c r="J315" i="6"/>
  <c r="B316" i="6"/>
  <c r="J316" i="6"/>
  <c r="B317" i="6"/>
  <c r="J317" i="6"/>
  <c r="B318" i="6"/>
  <c r="J318" i="6"/>
  <c r="B319" i="6"/>
  <c r="J319" i="6"/>
  <c r="B320" i="6"/>
  <c r="J320" i="6"/>
  <c r="B321" i="6"/>
  <c r="J321" i="6"/>
  <c r="B322" i="6"/>
  <c r="J322" i="6"/>
  <c r="B323" i="6"/>
  <c r="J323" i="6"/>
  <c r="B324" i="6"/>
  <c r="J324" i="6"/>
  <c r="B325" i="6"/>
  <c r="J325" i="6"/>
  <c r="B326" i="6"/>
  <c r="J326" i="6"/>
  <c r="B327" i="6"/>
  <c r="J327" i="6"/>
  <c r="B328" i="6"/>
  <c r="J328" i="6"/>
  <c r="B329" i="6"/>
  <c r="J329" i="6"/>
  <c r="B330" i="6"/>
  <c r="J330" i="6"/>
  <c r="B331" i="6"/>
  <c r="J331" i="6"/>
  <c r="B332" i="6"/>
  <c r="J332" i="6"/>
  <c r="B333" i="6"/>
  <c r="J333" i="6"/>
  <c r="B334" i="6"/>
  <c r="J334" i="6"/>
  <c r="B335" i="6"/>
  <c r="J335" i="6"/>
  <c r="B336" i="6"/>
  <c r="J336" i="6"/>
  <c r="B337" i="6"/>
  <c r="J337" i="6"/>
  <c r="B338" i="6"/>
  <c r="J338" i="6"/>
  <c r="B339" i="6"/>
  <c r="J339" i="6"/>
  <c r="B340" i="6"/>
  <c r="J340" i="6"/>
  <c r="B341" i="6"/>
  <c r="J341" i="6"/>
  <c r="B342" i="6"/>
  <c r="J342" i="6"/>
  <c r="B343" i="6"/>
  <c r="J343" i="6"/>
  <c r="B344" i="6"/>
  <c r="J344" i="6"/>
  <c r="B345" i="6"/>
  <c r="J345" i="6"/>
  <c r="B346" i="6"/>
  <c r="J346" i="6"/>
  <c r="B347" i="6"/>
  <c r="J347" i="6"/>
  <c r="B348" i="6"/>
  <c r="J348" i="6"/>
  <c r="B349" i="6"/>
  <c r="J349" i="6"/>
  <c r="B350" i="6"/>
  <c r="J350" i="6"/>
  <c r="B351" i="6"/>
  <c r="J351" i="6"/>
  <c r="B352" i="6"/>
  <c r="J352" i="6"/>
  <c r="B353" i="6"/>
  <c r="J353" i="6"/>
  <c r="B354" i="6"/>
  <c r="J354" i="6"/>
  <c r="B355" i="6"/>
  <c r="J355" i="6"/>
  <c r="B356" i="6"/>
  <c r="J356" i="6"/>
  <c r="B357" i="6"/>
  <c r="J357" i="6"/>
  <c r="B358" i="6"/>
  <c r="J358" i="6"/>
  <c r="B359" i="6"/>
  <c r="J359" i="6"/>
  <c r="B360" i="6"/>
  <c r="J360" i="6"/>
  <c r="B361" i="6"/>
  <c r="J361" i="6"/>
  <c r="B362" i="6"/>
  <c r="J362" i="6"/>
  <c r="B363" i="6"/>
  <c r="J363" i="6"/>
  <c r="B364" i="6"/>
  <c r="J364" i="6"/>
  <c r="B365" i="6"/>
  <c r="J365" i="6"/>
  <c r="B366" i="6"/>
  <c r="J366" i="6"/>
  <c r="B367" i="6"/>
  <c r="J367" i="6"/>
  <c r="B368" i="6"/>
  <c r="J368" i="6"/>
  <c r="B369" i="6"/>
  <c r="J369" i="6"/>
  <c r="B370" i="6"/>
  <c r="J370" i="6"/>
  <c r="B371" i="6"/>
  <c r="J371" i="6"/>
  <c r="B372" i="6"/>
  <c r="J372" i="6"/>
  <c r="B373" i="6"/>
  <c r="J373" i="6"/>
  <c r="B374" i="6"/>
  <c r="J374" i="6"/>
  <c r="B375" i="6"/>
  <c r="J375" i="6"/>
  <c r="B376" i="6"/>
  <c r="J376" i="6"/>
  <c r="B377" i="6"/>
  <c r="J377" i="6"/>
  <c r="B378" i="6"/>
  <c r="J378" i="6"/>
  <c r="B379" i="6"/>
  <c r="J379" i="6"/>
  <c r="B380" i="6"/>
  <c r="J380" i="6"/>
  <c r="B381" i="6"/>
  <c r="J381" i="6"/>
  <c r="B382" i="6"/>
  <c r="J382" i="6"/>
  <c r="B383" i="6"/>
  <c r="J383" i="6"/>
  <c r="B384" i="6"/>
  <c r="J384" i="6"/>
  <c r="B385" i="6"/>
  <c r="J385" i="6"/>
  <c r="B386" i="6"/>
  <c r="J386" i="6"/>
  <c r="B387" i="6"/>
  <c r="J387" i="6"/>
  <c r="B388" i="6"/>
  <c r="J388" i="6"/>
  <c r="B389" i="6"/>
  <c r="J389" i="6"/>
  <c r="B390" i="6"/>
  <c r="J390" i="6"/>
  <c r="B391" i="6"/>
  <c r="J391" i="6"/>
  <c r="B392" i="6"/>
  <c r="J392" i="6"/>
  <c r="B393" i="6"/>
  <c r="J393" i="6"/>
  <c r="B394" i="6"/>
  <c r="J394" i="6"/>
  <c r="B395" i="6"/>
  <c r="J395" i="6"/>
  <c r="B396" i="6"/>
  <c r="J396" i="6"/>
  <c r="B397" i="6"/>
  <c r="J397" i="6"/>
  <c r="B398" i="6"/>
  <c r="J398" i="6"/>
  <c r="B399" i="6"/>
  <c r="J399" i="6"/>
  <c r="B400" i="6"/>
  <c r="J400" i="6"/>
  <c r="B401" i="6"/>
  <c r="J401" i="6"/>
  <c r="B402" i="6"/>
  <c r="J402" i="6"/>
  <c r="B403" i="6"/>
  <c r="J403" i="6"/>
  <c r="B404" i="6"/>
  <c r="J404" i="6"/>
  <c r="B405" i="6"/>
  <c r="J405" i="6"/>
  <c r="B406" i="6"/>
  <c r="J406" i="6"/>
  <c r="B407" i="6"/>
  <c r="J407" i="6"/>
  <c r="B408" i="6"/>
  <c r="J408" i="6"/>
  <c r="B409" i="6"/>
  <c r="J409" i="6"/>
  <c r="B410" i="6"/>
  <c r="J410" i="6"/>
  <c r="B411" i="6"/>
  <c r="J411" i="6"/>
  <c r="B412" i="6"/>
  <c r="J412" i="6"/>
  <c r="B413" i="6"/>
  <c r="J413" i="6"/>
  <c r="B414" i="6"/>
  <c r="J414" i="6"/>
  <c r="B415" i="6"/>
  <c r="J415" i="6"/>
  <c r="B416" i="6"/>
  <c r="J416" i="6"/>
  <c r="B417" i="6"/>
  <c r="J417" i="6"/>
  <c r="B418" i="6"/>
  <c r="J418" i="6"/>
  <c r="B419" i="6"/>
  <c r="J419" i="6"/>
  <c r="B420" i="6"/>
  <c r="J420" i="6"/>
  <c r="B421" i="6"/>
  <c r="J421" i="6"/>
  <c r="B422" i="6"/>
  <c r="J422" i="6"/>
  <c r="B423" i="6"/>
  <c r="J423" i="6"/>
  <c r="B424" i="6"/>
  <c r="J424" i="6"/>
  <c r="B425" i="6"/>
  <c r="J425" i="6"/>
  <c r="B426" i="6"/>
  <c r="J426" i="6"/>
  <c r="B427" i="6"/>
  <c r="J427" i="6"/>
  <c r="B428" i="6"/>
  <c r="J428" i="6"/>
  <c r="B429" i="6"/>
  <c r="J429" i="6"/>
  <c r="B430" i="6"/>
  <c r="J430" i="6"/>
  <c r="B431" i="6"/>
  <c r="J431" i="6"/>
  <c r="B432" i="6"/>
  <c r="J432" i="6"/>
  <c r="B433" i="6"/>
  <c r="J433" i="6"/>
  <c r="B434" i="6"/>
  <c r="J434" i="6"/>
  <c r="B435" i="6"/>
  <c r="J435" i="6"/>
  <c r="B436" i="6"/>
  <c r="J436" i="6"/>
  <c r="B437" i="6"/>
  <c r="J437" i="6"/>
  <c r="B438" i="6"/>
  <c r="J438" i="6"/>
  <c r="B439" i="6"/>
  <c r="J439" i="6"/>
  <c r="B440" i="6"/>
  <c r="J440" i="6"/>
  <c r="B441" i="6"/>
  <c r="J441" i="6"/>
  <c r="B442" i="6"/>
  <c r="J442" i="6"/>
  <c r="B443" i="6"/>
  <c r="J443" i="6"/>
  <c r="B444" i="6"/>
  <c r="J444" i="6"/>
  <c r="B445" i="6"/>
  <c r="J445" i="6"/>
  <c r="B446" i="6"/>
  <c r="J446" i="6"/>
  <c r="B447" i="6"/>
  <c r="J447" i="6"/>
  <c r="B448" i="6"/>
  <c r="J448" i="6"/>
  <c r="B449" i="6"/>
  <c r="J449" i="6"/>
  <c r="B450" i="6"/>
  <c r="J450" i="6"/>
  <c r="B451" i="6"/>
  <c r="J451" i="6"/>
  <c r="B452" i="6"/>
  <c r="J452" i="6"/>
  <c r="B453" i="6"/>
  <c r="J453" i="6"/>
  <c r="B454" i="6"/>
  <c r="J454" i="6"/>
  <c r="B455" i="6"/>
  <c r="J455" i="6"/>
  <c r="B456" i="6"/>
  <c r="J456" i="6"/>
  <c r="B457" i="6"/>
  <c r="J457" i="6"/>
  <c r="B458" i="6"/>
  <c r="J458" i="6"/>
  <c r="B459" i="6"/>
  <c r="J459" i="6"/>
  <c r="B460" i="6"/>
  <c r="J460" i="6"/>
  <c r="B461" i="6"/>
  <c r="J461" i="6"/>
  <c r="B462" i="6"/>
  <c r="J462" i="6"/>
  <c r="B463" i="6"/>
  <c r="J463" i="6"/>
  <c r="B464" i="6"/>
  <c r="J464" i="6"/>
  <c r="B465" i="6"/>
  <c r="J465" i="6"/>
  <c r="B466" i="6"/>
  <c r="J466" i="6"/>
  <c r="B467" i="6"/>
  <c r="J467" i="6"/>
  <c r="B468" i="6"/>
  <c r="J468" i="6"/>
  <c r="B469" i="6"/>
  <c r="J469" i="6"/>
  <c r="B470" i="6"/>
  <c r="J470" i="6"/>
  <c r="B471" i="6"/>
  <c r="J471" i="6"/>
  <c r="B472" i="6"/>
  <c r="J472" i="6"/>
  <c r="B473" i="6"/>
  <c r="J473" i="6"/>
  <c r="B474" i="6"/>
  <c r="J474" i="6"/>
  <c r="B475" i="6"/>
  <c r="J475" i="6"/>
  <c r="B476" i="6"/>
  <c r="J476" i="6"/>
  <c r="B477" i="6"/>
  <c r="J477" i="6"/>
  <c r="B478" i="6"/>
  <c r="J478" i="6"/>
  <c r="B479" i="6"/>
  <c r="J479" i="6"/>
  <c r="B480" i="6"/>
  <c r="J480" i="6"/>
  <c r="B481" i="6"/>
  <c r="J481" i="6"/>
  <c r="B482" i="6"/>
  <c r="J482" i="6"/>
  <c r="B483" i="6"/>
  <c r="J483" i="6"/>
  <c r="B484" i="6"/>
  <c r="J484" i="6"/>
  <c r="B485" i="6"/>
  <c r="J485" i="6"/>
  <c r="B486" i="6"/>
  <c r="J486" i="6"/>
  <c r="B487" i="6"/>
  <c r="J487" i="6"/>
  <c r="B488" i="6"/>
  <c r="J488" i="6"/>
  <c r="B489" i="6"/>
  <c r="J489" i="6"/>
  <c r="B490" i="6"/>
  <c r="J490" i="6"/>
  <c r="B491" i="6"/>
  <c r="J491" i="6"/>
  <c r="B492" i="6"/>
  <c r="J492" i="6"/>
  <c r="B493" i="6"/>
  <c r="J493" i="6"/>
  <c r="B494" i="6"/>
  <c r="J494" i="6"/>
  <c r="B495" i="6"/>
  <c r="J495" i="6"/>
  <c r="B496" i="6"/>
  <c r="J496" i="6"/>
  <c r="B497" i="6"/>
  <c r="J497" i="6"/>
  <c r="B498" i="6"/>
  <c r="J498" i="6"/>
  <c r="B499" i="6"/>
  <c r="J499" i="6"/>
  <c r="B500" i="6"/>
  <c r="J500" i="6"/>
  <c r="B501" i="6"/>
  <c r="J501" i="6"/>
  <c r="B502" i="6"/>
  <c r="J502" i="6"/>
  <c r="B503" i="6"/>
  <c r="J503" i="6"/>
  <c r="B504" i="6"/>
  <c r="J504" i="6"/>
  <c r="B505" i="6"/>
  <c r="J505" i="6"/>
  <c r="B506" i="6"/>
  <c r="J506" i="6"/>
  <c r="B507" i="6"/>
  <c r="J507" i="6"/>
  <c r="B508" i="6"/>
  <c r="J508" i="6"/>
  <c r="B509" i="6"/>
  <c r="J509" i="6"/>
  <c r="B510" i="6"/>
  <c r="J510" i="6"/>
  <c r="B511" i="6"/>
  <c r="J511" i="6"/>
  <c r="B512" i="6"/>
  <c r="J512" i="6"/>
  <c r="B513" i="6"/>
  <c r="J513" i="6"/>
  <c r="B514" i="6"/>
  <c r="J514" i="6"/>
  <c r="B515" i="6"/>
  <c r="J515" i="6"/>
  <c r="B516" i="6"/>
  <c r="J516" i="6"/>
  <c r="B517" i="6"/>
  <c r="J517" i="6"/>
  <c r="B518" i="6"/>
  <c r="J518" i="6"/>
  <c r="B519" i="6"/>
  <c r="J519" i="6"/>
  <c r="B520" i="6"/>
  <c r="J520" i="6"/>
  <c r="B521" i="6"/>
  <c r="J521" i="6"/>
  <c r="B522" i="6"/>
  <c r="J522" i="6"/>
  <c r="B523" i="6"/>
  <c r="J523" i="6"/>
  <c r="B524" i="6"/>
  <c r="J524" i="6"/>
  <c r="B525" i="6"/>
  <c r="J525" i="6"/>
  <c r="B526" i="6"/>
  <c r="J526" i="6"/>
  <c r="B527" i="6"/>
  <c r="J527" i="6"/>
  <c r="B528" i="6"/>
  <c r="J528" i="6"/>
  <c r="B529" i="6"/>
  <c r="J529" i="6"/>
  <c r="B530" i="6"/>
  <c r="J530" i="6"/>
  <c r="B531" i="6"/>
  <c r="J531" i="6"/>
  <c r="B532" i="6"/>
  <c r="J532" i="6"/>
  <c r="B533" i="6"/>
  <c r="J533" i="6"/>
  <c r="B534" i="6"/>
  <c r="J534" i="6"/>
  <c r="B535" i="6"/>
  <c r="J535" i="6"/>
  <c r="B536" i="6"/>
  <c r="J536" i="6"/>
  <c r="B537" i="6"/>
  <c r="J537" i="6"/>
  <c r="B538" i="6"/>
  <c r="J538" i="6"/>
  <c r="B539" i="6"/>
  <c r="J539" i="6"/>
  <c r="B540" i="6"/>
  <c r="J540" i="6"/>
  <c r="B541" i="6"/>
  <c r="J541" i="6"/>
  <c r="B542" i="6"/>
  <c r="J542" i="6"/>
  <c r="B543" i="6"/>
  <c r="J543" i="6"/>
  <c r="B544" i="6"/>
  <c r="J544" i="6"/>
  <c r="B545" i="6"/>
  <c r="J545" i="6"/>
  <c r="B546" i="6"/>
  <c r="J546" i="6"/>
  <c r="B547" i="6"/>
  <c r="J547" i="6"/>
  <c r="B548" i="6"/>
  <c r="J548" i="6"/>
  <c r="B549" i="6"/>
  <c r="J549" i="6"/>
  <c r="B550" i="6"/>
  <c r="J550" i="6"/>
  <c r="B551" i="6"/>
  <c r="J551" i="6"/>
  <c r="B552" i="6"/>
  <c r="J552" i="6"/>
  <c r="B553" i="6"/>
  <c r="J553" i="6"/>
  <c r="B554" i="6"/>
  <c r="J554" i="6"/>
  <c r="B555" i="6"/>
  <c r="J555" i="6"/>
  <c r="B556" i="6"/>
  <c r="J556" i="6"/>
  <c r="B557" i="6"/>
  <c r="J557" i="6"/>
  <c r="B558" i="6"/>
  <c r="J558" i="6"/>
  <c r="B559" i="6"/>
  <c r="J559" i="6"/>
  <c r="B560" i="6"/>
  <c r="J560" i="6"/>
  <c r="B561" i="6"/>
  <c r="J561" i="6"/>
  <c r="B562" i="6"/>
  <c r="J562" i="6"/>
  <c r="B563" i="6"/>
  <c r="J563" i="6"/>
  <c r="B564" i="6"/>
  <c r="J564" i="6"/>
  <c r="B565" i="6"/>
  <c r="J565" i="6"/>
  <c r="B566" i="6"/>
  <c r="J566" i="6"/>
  <c r="B567" i="6"/>
  <c r="J567" i="6"/>
  <c r="B568" i="6"/>
  <c r="J568" i="6"/>
  <c r="B569" i="6"/>
  <c r="J569" i="6"/>
  <c r="B570" i="6"/>
  <c r="J570" i="6"/>
  <c r="B571" i="6"/>
  <c r="J571" i="6"/>
  <c r="B572" i="6"/>
  <c r="J572" i="6"/>
  <c r="B573" i="6"/>
  <c r="J573" i="6"/>
  <c r="B574" i="6"/>
  <c r="J574" i="6"/>
  <c r="B575" i="6"/>
  <c r="J575" i="6"/>
  <c r="B576" i="6"/>
  <c r="J576" i="6"/>
  <c r="B577" i="6"/>
  <c r="J577" i="6"/>
  <c r="B578" i="6"/>
  <c r="J578" i="6"/>
  <c r="B579" i="6"/>
  <c r="J579" i="6"/>
  <c r="B580" i="6"/>
  <c r="J580" i="6"/>
  <c r="B581" i="6"/>
  <c r="J581" i="6"/>
  <c r="B582" i="6"/>
  <c r="J582" i="6"/>
  <c r="B583" i="6"/>
  <c r="J583" i="6"/>
  <c r="B584" i="6"/>
  <c r="J584" i="6"/>
  <c r="B585" i="6"/>
  <c r="J585" i="6"/>
  <c r="B586" i="6"/>
  <c r="J586" i="6"/>
  <c r="B587" i="6"/>
  <c r="J587" i="6"/>
  <c r="B588" i="6"/>
  <c r="J588" i="6"/>
  <c r="B589" i="6"/>
  <c r="J589" i="6"/>
  <c r="B590" i="6"/>
  <c r="J590" i="6"/>
  <c r="B591" i="6"/>
  <c r="J591" i="6"/>
  <c r="B592" i="6"/>
  <c r="J592" i="6"/>
  <c r="B593" i="6"/>
  <c r="J593" i="6"/>
  <c r="B594" i="6"/>
  <c r="J594" i="6"/>
  <c r="B595" i="6"/>
  <c r="J595" i="6"/>
  <c r="B596" i="6"/>
  <c r="J596" i="6"/>
  <c r="B597" i="6"/>
  <c r="J597" i="6"/>
  <c r="B598" i="6"/>
  <c r="J598" i="6"/>
  <c r="B599" i="6"/>
  <c r="J599" i="6"/>
  <c r="B600" i="6"/>
  <c r="J600" i="6"/>
  <c r="B601" i="6"/>
  <c r="J601" i="6"/>
  <c r="B602" i="6"/>
  <c r="J602" i="6"/>
  <c r="B603" i="6"/>
  <c r="J603" i="6"/>
  <c r="B604" i="6"/>
  <c r="J604" i="6"/>
  <c r="B605" i="6"/>
  <c r="J605" i="6"/>
  <c r="B606" i="6"/>
  <c r="J606" i="6"/>
  <c r="B607" i="6"/>
  <c r="J607" i="6"/>
  <c r="B608" i="6"/>
  <c r="J608" i="6"/>
  <c r="B609" i="6"/>
  <c r="J609" i="6"/>
  <c r="B610" i="6"/>
  <c r="J610" i="6"/>
  <c r="B611" i="6"/>
  <c r="J611" i="6"/>
  <c r="B612" i="6"/>
  <c r="J612" i="6"/>
  <c r="B613" i="6"/>
  <c r="J613" i="6"/>
  <c r="B614" i="6"/>
  <c r="J614" i="6"/>
  <c r="B615" i="6"/>
  <c r="J615" i="6"/>
  <c r="B616" i="6"/>
  <c r="J616" i="6"/>
  <c r="B617" i="6"/>
  <c r="J617" i="6"/>
  <c r="B618" i="6"/>
  <c r="J618" i="6"/>
  <c r="B619" i="6"/>
  <c r="J619" i="6"/>
  <c r="B620" i="6"/>
  <c r="J620" i="6"/>
  <c r="B621" i="6"/>
  <c r="J621" i="6"/>
  <c r="B622" i="6"/>
  <c r="J622" i="6"/>
  <c r="B623" i="6"/>
  <c r="J623" i="6"/>
  <c r="B624" i="6"/>
  <c r="J624" i="6"/>
  <c r="B625" i="6"/>
  <c r="J625" i="6"/>
  <c r="B626" i="6"/>
  <c r="J626" i="6"/>
  <c r="B627" i="6"/>
  <c r="J627" i="6"/>
  <c r="B628" i="6"/>
  <c r="J628" i="6"/>
  <c r="B629" i="6"/>
  <c r="J629" i="6"/>
  <c r="B630" i="6"/>
  <c r="J630" i="6"/>
  <c r="B631" i="6"/>
  <c r="J631" i="6"/>
  <c r="B632" i="6"/>
  <c r="J632" i="6"/>
  <c r="B633" i="6"/>
  <c r="J633" i="6"/>
  <c r="B634" i="6"/>
  <c r="J634" i="6"/>
  <c r="B635" i="6"/>
  <c r="J635" i="6"/>
  <c r="B636" i="6"/>
  <c r="J636" i="6"/>
  <c r="B637" i="6"/>
  <c r="J637" i="6"/>
  <c r="B638" i="6"/>
  <c r="J638" i="6"/>
  <c r="B639" i="6"/>
  <c r="J639" i="6"/>
  <c r="B640" i="6"/>
  <c r="J640" i="6"/>
  <c r="B641" i="6"/>
  <c r="J641" i="6"/>
  <c r="B642" i="6"/>
  <c r="J642" i="6"/>
  <c r="B643" i="6"/>
  <c r="J643" i="6"/>
  <c r="B644" i="6"/>
  <c r="J644" i="6"/>
  <c r="B645" i="6"/>
  <c r="J645" i="6"/>
  <c r="B646" i="6"/>
  <c r="J646" i="6"/>
  <c r="B647" i="6"/>
  <c r="J647" i="6"/>
  <c r="B648" i="6"/>
  <c r="J648" i="6"/>
  <c r="B649" i="6"/>
  <c r="J649" i="6"/>
  <c r="B650" i="6"/>
  <c r="J650" i="6"/>
  <c r="B651" i="6"/>
  <c r="J651" i="6"/>
  <c r="B652" i="6"/>
  <c r="J652" i="6"/>
  <c r="B653" i="6"/>
  <c r="J653" i="6"/>
  <c r="B654" i="6"/>
  <c r="J654" i="6"/>
  <c r="B655" i="6"/>
  <c r="J655" i="6"/>
  <c r="B656" i="6"/>
  <c r="J656" i="6"/>
  <c r="B657" i="6"/>
  <c r="J657" i="6"/>
  <c r="B658" i="6"/>
  <c r="J658" i="6"/>
  <c r="B659" i="6"/>
  <c r="J659" i="6"/>
  <c r="B660" i="6"/>
  <c r="J660" i="6"/>
  <c r="B661" i="6"/>
  <c r="J661" i="6"/>
  <c r="B662" i="6"/>
  <c r="J662" i="6"/>
  <c r="B663" i="6"/>
  <c r="J663" i="6"/>
  <c r="B664" i="6"/>
  <c r="J664" i="6"/>
  <c r="B665" i="6"/>
  <c r="J665" i="6"/>
  <c r="B666" i="6"/>
  <c r="J666" i="6"/>
  <c r="B667" i="6"/>
  <c r="J667" i="6"/>
  <c r="B668" i="6"/>
  <c r="J668" i="6"/>
  <c r="B669" i="6"/>
  <c r="J669" i="6"/>
  <c r="B670" i="6"/>
  <c r="J670" i="6"/>
  <c r="B671" i="6"/>
  <c r="J671" i="6"/>
  <c r="B672" i="6"/>
  <c r="J672" i="6"/>
  <c r="B673" i="6"/>
  <c r="J673" i="6"/>
  <c r="B674" i="6"/>
  <c r="J674" i="6"/>
  <c r="B675" i="6"/>
  <c r="J675" i="6"/>
  <c r="B676" i="6"/>
  <c r="J676" i="6"/>
  <c r="B677" i="6"/>
  <c r="J677" i="6"/>
  <c r="B678" i="6"/>
  <c r="J678" i="6"/>
  <c r="B679" i="6"/>
  <c r="J679" i="6"/>
  <c r="B680" i="6"/>
  <c r="J680" i="6"/>
  <c r="B681" i="6"/>
  <c r="J681" i="6"/>
  <c r="B682" i="6"/>
  <c r="J682" i="6"/>
  <c r="B683" i="6"/>
  <c r="J683" i="6"/>
  <c r="B684" i="6"/>
  <c r="J684" i="6"/>
  <c r="B685" i="6"/>
  <c r="J685" i="6"/>
  <c r="B686" i="6"/>
  <c r="J686" i="6"/>
  <c r="B687" i="6"/>
  <c r="J687" i="6"/>
  <c r="B688" i="6"/>
  <c r="J688" i="6"/>
  <c r="B689" i="6"/>
  <c r="J689" i="6"/>
  <c r="B690" i="6"/>
  <c r="J690" i="6"/>
  <c r="B691" i="6"/>
  <c r="J691" i="6"/>
  <c r="B692" i="6"/>
  <c r="J692" i="6"/>
  <c r="B693" i="6"/>
  <c r="J693" i="6"/>
  <c r="B694" i="6"/>
  <c r="J694" i="6"/>
  <c r="B695" i="6"/>
  <c r="J695" i="6"/>
  <c r="B696" i="6"/>
  <c r="J696" i="6"/>
  <c r="B697" i="6"/>
  <c r="J697" i="6"/>
  <c r="B698" i="6"/>
  <c r="J698" i="6"/>
  <c r="B699" i="6"/>
  <c r="J699" i="6"/>
  <c r="B700" i="6"/>
  <c r="J700" i="6"/>
  <c r="B701" i="6"/>
  <c r="J701" i="6"/>
  <c r="B702" i="6"/>
  <c r="J702" i="6"/>
  <c r="B703" i="6"/>
  <c r="J703" i="6"/>
  <c r="B704" i="6"/>
  <c r="J704" i="6"/>
  <c r="B705" i="6"/>
  <c r="J705" i="6"/>
  <c r="B706" i="6"/>
  <c r="J706" i="6"/>
  <c r="B707" i="6"/>
  <c r="J707" i="6"/>
  <c r="B708" i="6"/>
  <c r="J708" i="6"/>
  <c r="B709" i="6"/>
  <c r="J709" i="6"/>
  <c r="B710" i="6"/>
  <c r="J710" i="6"/>
  <c r="B711" i="6"/>
  <c r="J711" i="6"/>
  <c r="B712" i="6"/>
  <c r="J712" i="6"/>
  <c r="B713" i="6"/>
  <c r="J713" i="6"/>
  <c r="B714" i="6"/>
  <c r="J714" i="6"/>
  <c r="B715" i="6"/>
  <c r="J715" i="6"/>
  <c r="B716" i="6"/>
  <c r="J716" i="6"/>
  <c r="B717" i="6"/>
  <c r="J717" i="6"/>
  <c r="B718" i="6"/>
  <c r="J718" i="6"/>
  <c r="B719" i="6"/>
  <c r="J719" i="6"/>
  <c r="B720" i="6"/>
  <c r="J720" i="6"/>
  <c r="B721" i="6"/>
  <c r="J721" i="6"/>
  <c r="B722" i="6"/>
  <c r="J722" i="6"/>
  <c r="B723" i="6"/>
  <c r="J723" i="6"/>
  <c r="B724" i="6"/>
  <c r="J724" i="6"/>
  <c r="B725" i="6"/>
  <c r="J725" i="6"/>
  <c r="B726" i="6"/>
  <c r="J726" i="6"/>
  <c r="B727" i="6"/>
  <c r="J727" i="6"/>
  <c r="B728" i="6"/>
  <c r="J728" i="6"/>
  <c r="B729" i="6"/>
  <c r="J729" i="6"/>
  <c r="B730" i="6"/>
  <c r="J730" i="6"/>
  <c r="B731" i="6"/>
  <c r="J731" i="6"/>
  <c r="B732" i="6"/>
  <c r="J732" i="6"/>
  <c r="B733" i="6"/>
  <c r="J733" i="6"/>
  <c r="B734" i="6"/>
  <c r="J734" i="6"/>
  <c r="B735" i="6"/>
  <c r="J735" i="6"/>
  <c r="B736" i="6"/>
  <c r="J736" i="6"/>
  <c r="B737" i="6"/>
  <c r="J737" i="6"/>
  <c r="B738" i="6"/>
  <c r="J738" i="6"/>
  <c r="B739" i="6"/>
  <c r="J739" i="6"/>
  <c r="B740" i="6"/>
  <c r="J740" i="6"/>
  <c r="B741" i="6"/>
  <c r="J741" i="6"/>
  <c r="B742" i="6"/>
  <c r="J742" i="6"/>
  <c r="B743" i="6"/>
  <c r="J743" i="6"/>
  <c r="B744" i="6"/>
  <c r="J744" i="6"/>
  <c r="B745" i="6"/>
  <c r="J745" i="6"/>
  <c r="B746" i="6"/>
  <c r="J746" i="6"/>
  <c r="B747" i="6"/>
  <c r="J747" i="6"/>
  <c r="B748" i="6"/>
  <c r="J748" i="6"/>
  <c r="B749" i="6"/>
  <c r="J749" i="6"/>
  <c r="B750" i="6"/>
  <c r="J750" i="6"/>
  <c r="B751" i="6"/>
  <c r="J751" i="6"/>
  <c r="B752" i="6"/>
  <c r="J752" i="6"/>
  <c r="B753" i="6"/>
  <c r="J753" i="6"/>
  <c r="B754" i="6"/>
  <c r="J754" i="6"/>
  <c r="B755" i="6"/>
  <c r="J755" i="6"/>
  <c r="B756" i="6"/>
  <c r="J756" i="6"/>
  <c r="B757" i="6"/>
  <c r="J757" i="6"/>
  <c r="B758" i="6"/>
  <c r="J758" i="6"/>
  <c r="B759" i="6"/>
  <c r="J759" i="6"/>
  <c r="B760" i="6"/>
  <c r="J760" i="6"/>
  <c r="B761" i="6"/>
  <c r="J761" i="6"/>
  <c r="B762" i="6"/>
  <c r="J762" i="6"/>
  <c r="B763" i="6"/>
  <c r="J763" i="6"/>
  <c r="B764" i="6"/>
  <c r="J764" i="6"/>
  <c r="B765" i="6"/>
  <c r="J765" i="6"/>
  <c r="B766" i="6"/>
  <c r="J766" i="6"/>
  <c r="B767" i="6"/>
  <c r="J767" i="6"/>
  <c r="B768" i="6"/>
  <c r="J768" i="6"/>
  <c r="B769" i="6"/>
  <c r="J769" i="6"/>
  <c r="B770" i="6"/>
  <c r="J770" i="6"/>
  <c r="B771" i="6"/>
  <c r="J771" i="6"/>
  <c r="B772" i="6"/>
  <c r="J772" i="6"/>
  <c r="B773" i="6"/>
  <c r="J773" i="6"/>
  <c r="B774" i="6"/>
  <c r="J774" i="6"/>
  <c r="B775" i="6"/>
  <c r="J775" i="6"/>
  <c r="B776" i="6"/>
  <c r="J776" i="6"/>
  <c r="B777" i="6"/>
  <c r="J777" i="6"/>
  <c r="B778" i="6"/>
  <c r="J778" i="6"/>
  <c r="B779" i="6"/>
  <c r="J779" i="6"/>
  <c r="B780" i="6"/>
  <c r="J780" i="6"/>
  <c r="B781" i="6"/>
  <c r="J781" i="6"/>
  <c r="B782" i="6"/>
  <c r="J782" i="6"/>
  <c r="B783" i="6"/>
  <c r="J783" i="6"/>
  <c r="B784" i="6"/>
  <c r="J784" i="6"/>
  <c r="B785" i="6"/>
  <c r="J785" i="6"/>
  <c r="B786" i="6"/>
  <c r="J786" i="6"/>
  <c r="B787" i="6"/>
  <c r="J787" i="6"/>
  <c r="B788" i="6"/>
  <c r="J788" i="6"/>
  <c r="B789" i="6"/>
  <c r="J789" i="6"/>
  <c r="B790" i="6"/>
  <c r="J790" i="6"/>
  <c r="B791" i="6"/>
  <c r="J791" i="6"/>
  <c r="B792" i="6"/>
  <c r="J792" i="6"/>
  <c r="B793" i="6"/>
  <c r="J793" i="6"/>
  <c r="B794" i="6"/>
  <c r="J794" i="6"/>
  <c r="B795" i="6"/>
  <c r="J795" i="6"/>
  <c r="B796" i="6"/>
  <c r="J796" i="6"/>
  <c r="B797" i="6"/>
  <c r="J797" i="6"/>
  <c r="B798" i="6"/>
  <c r="J798" i="6"/>
  <c r="B799" i="6"/>
  <c r="J799" i="6"/>
  <c r="B800" i="6"/>
  <c r="J800" i="6"/>
  <c r="B801" i="6"/>
  <c r="J801" i="6"/>
  <c r="B802" i="6"/>
  <c r="J802" i="6"/>
  <c r="B803" i="6"/>
  <c r="J803" i="6"/>
  <c r="B804" i="6"/>
  <c r="J804" i="6"/>
  <c r="B805" i="6"/>
  <c r="J805" i="6"/>
  <c r="B806" i="6"/>
  <c r="J806" i="6"/>
  <c r="B807" i="6"/>
  <c r="J807" i="6"/>
  <c r="B808" i="6"/>
  <c r="J808" i="6"/>
  <c r="B809" i="6"/>
  <c r="J809" i="6"/>
  <c r="B810" i="6"/>
  <c r="J810" i="6"/>
  <c r="B811" i="6"/>
  <c r="J811" i="6"/>
  <c r="B812" i="6"/>
  <c r="J812" i="6"/>
  <c r="B813" i="6"/>
  <c r="J813" i="6"/>
  <c r="B814" i="6"/>
  <c r="J814" i="6"/>
  <c r="B815" i="6"/>
  <c r="J815" i="6"/>
  <c r="B816" i="6"/>
  <c r="J816" i="6"/>
  <c r="B817" i="6"/>
  <c r="J817" i="6"/>
  <c r="B818" i="6"/>
  <c r="J818" i="6"/>
  <c r="B819" i="6"/>
  <c r="J819" i="6"/>
  <c r="B820" i="6"/>
  <c r="J820" i="6"/>
  <c r="B821" i="6"/>
  <c r="J821" i="6"/>
  <c r="B822" i="6"/>
  <c r="J822" i="6"/>
  <c r="B823" i="6"/>
  <c r="J823" i="6"/>
  <c r="B824" i="6"/>
  <c r="J824" i="6"/>
  <c r="B825" i="6"/>
  <c r="J825" i="6"/>
  <c r="B826" i="6"/>
  <c r="J826" i="6"/>
  <c r="B827" i="6"/>
  <c r="J827" i="6"/>
  <c r="B828" i="6"/>
  <c r="J828" i="6"/>
  <c r="B829" i="6"/>
  <c r="J829" i="6"/>
  <c r="B830" i="6"/>
  <c r="J830" i="6"/>
  <c r="B831" i="6"/>
  <c r="J831" i="6"/>
  <c r="B832" i="6"/>
  <c r="J832" i="6"/>
  <c r="B833" i="6"/>
  <c r="J833" i="6"/>
  <c r="B834" i="6"/>
  <c r="J834" i="6"/>
  <c r="B835" i="6"/>
  <c r="J835" i="6"/>
  <c r="B836" i="6"/>
  <c r="J836" i="6"/>
  <c r="B837" i="6"/>
  <c r="J837" i="6"/>
  <c r="B838" i="6"/>
  <c r="J838" i="6"/>
  <c r="B839" i="6"/>
  <c r="J839" i="6"/>
  <c r="B840" i="6"/>
  <c r="J840" i="6"/>
  <c r="B841" i="6"/>
  <c r="J841" i="6"/>
  <c r="B842" i="6"/>
  <c r="J842" i="6"/>
  <c r="B843" i="6"/>
  <c r="J843" i="6"/>
  <c r="B844" i="6"/>
  <c r="J844" i="6"/>
  <c r="B845" i="6"/>
  <c r="J845" i="6"/>
  <c r="B846" i="6"/>
  <c r="J846" i="6"/>
  <c r="B847" i="6"/>
  <c r="J847" i="6"/>
  <c r="B848" i="6"/>
  <c r="J848" i="6"/>
  <c r="B849" i="6"/>
  <c r="J849" i="6"/>
  <c r="B850" i="6"/>
  <c r="J850" i="6"/>
  <c r="B851" i="6"/>
  <c r="J851" i="6"/>
  <c r="B852" i="6"/>
  <c r="J852" i="6"/>
  <c r="B853" i="6"/>
  <c r="J853" i="6"/>
  <c r="B854" i="6"/>
  <c r="J854" i="6"/>
  <c r="B855" i="6"/>
  <c r="J855" i="6"/>
  <c r="B856" i="6"/>
  <c r="J856" i="6"/>
  <c r="B857" i="6"/>
  <c r="J857" i="6"/>
  <c r="B858" i="6"/>
  <c r="J858" i="6"/>
  <c r="B859" i="6"/>
  <c r="J859" i="6"/>
  <c r="B860" i="6"/>
  <c r="J860" i="6"/>
  <c r="B861" i="6"/>
  <c r="J861" i="6"/>
  <c r="B862" i="6"/>
  <c r="J862" i="6"/>
  <c r="B863" i="6"/>
  <c r="J863" i="6"/>
  <c r="B864" i="6"/>
  <c r="J864" i="6"/>
  <c r="B865" i="6"/>
  <c r="J865" i="6"/>
  <c r="B866" i="6"/>
  <c r="J866" i="6"/>
  <c r="B867" i="6"/>
  <c r="J867" i="6"/>
  <c r="B868" i="6"/>
  <c r="J868" i="6"/>
  <c r="B869" i="6"/>
  <c r="J869" i="6"/>
  <c r="B870" i="6"/>
  <c r="J870" i="6"/>
  <c r="B871" i="6"/>
  <c r="J871" i="6"/>
  <c r="B872" i="6"/>
  <c r="J872" i="6"/>
  <c r="B873" i="6"/>
  <c r="J873" i="6"/>
  <c r="B874" i="6"/>
  <c r="J874" i="6"/>
  <c r="B875" i="6"/>
  <c r="J875" i="6"/>
  <c r="B876" i="6"/>
  <c r="J876" i="6"/>
  <c r="B877" i="6"/>
  <c r="J877" i="6"/>
  <c r="B878" i="6"/>
  <c r="J878" i="6"/>
  <c r="B879" i="6"/>
  <c r="J879" i="6"/>
  <c r="B880" i="6"/>
  <c r="J880" i="6"/>
  <c r="B881" i="6"/>
  <c r="J881" i="6"/>
  <c r="B882" i="6"/>
  <c r="J882" i="6"/>
  <c r="B883" i="6"/>
  <c r="J883" i="6"/>
  <c r="B884" i="6"/>
  <c r="J884" i="6"/>
  <c r="B885" i="6"/>
  <c r="J885" i="6"/>
  <c r="B886" i="6"/>
  <c r="J886" i="6"/>
  <c r="B887" i="6"/>
  <c r="J887" i="6"/>
  <c r="B888" i="6"/>
  <c r="J888" i="6"/>
  <c r="B889" i="6"/>
  <c r="J889" i="6"/>
  <c r="B890" i="6"/>
  <c r="J890" i="6"/>
  <c r="B891" i="6"/>
  <c r="J891" i="6"/>
  <c r="B892" i="6"/>
  <c r="J892" i="6"/>
  <c r="B893" i="6"/>
  <c r="J893" i="6"/>
  <c r="B894" i="6"/>
  <c r="J894" i="6"/>
  <c r="B895" i="6"/>
  <c r="J895" i="6"/>
  <c r="B896" i="6"/>
  <c r="J896" i="6"/>
  <c r="B897" i="6"/>
  <c r="J897" i="6"/>
  <c r="B898" i="6"/>
  <c r="J898" i="6"/>
  <c r="B899" i="6"/>
  <c r="J899" i="6"/>
  <c r="B900" i="6"/>
  <c r="J900" i="6"/>
  <c r="B901" i="6"/>
  <c r="J901" i="6"/>
  <c r="B902" i="6"/>
  <c r="J902" i="6"/>
  <c r="B903" i="6"/>
  <c r="J903" i="6"/>
  <c r="B904" i="6"/>
  <c r="J904" i="6"/>
  <c r="B905" i="6"/>
  <c r="J905" i="6"/>
  <c r="B906" i="6"/>
  <c r="J906" i="6"/>
  <c r="B907" i="6"/>
  <c r="J907" i="6"/>
  <c r="B908" i="6"/>
  <c r="J908" i="6"/>
  <c r="B909" i="6"/>
  <c r="J909" i="6"/>
  <c r="B910" i="6"/>
  <c r="J910" i="6"/>
  <c r="B911" i="6"/>
  <c r="J911" i="6"/>
  <c r="B912" i="6"/>
  <c r="J912" i="6"/>
  <c r="B913" i="6"/>
  <c r="J913" i="6"/>
  <c r="B914" i="6"/>
  <c r="J914" i="6"/>
  <c r="B915" i="6"/>
  <c r="J915" i="6"/>
  <c r="B916" i="6"/>
  <c r="J916" i="6"/>
  <c r="B917" i="6"/>
  <c r="J917" i="6"/>
  <c r="B918" i="6"/>
  <c r="J918" i="6"/>
  <c r="B919" i="6"/>
  <c r="J919" i="6"/>
  <c r="B920" i="6"/>
  <c r="J920" i="6"/>
  <c r="B921" i="6"/>
  <c r="J921" i="6"/>
  <c r="B922" i="6"/>
  <c r="J922" i="6"/>
  <c r="B923" i="6"/>
  <c r="J923" i="6"/>
  <c r="B924" i="6"/>
  <c r="J924" i="6"/>
  <c r="B925" i="6"/>
  <c r="J925" i="6"/>
  <c r="B926" i="6"/>
  <c r="J926" i="6"/>
  <c r="B927" i="6"/>
  <c r="J927" i="6"/>
  <c r="B928" i="6"/>
  <c r="J928" i="6"/>
  <c r="B929" i="6"/>
  <c r="J929" i="6"/>
  <c r="B930" i="6"/>
  <c r="J930" i="6"/>
  <c r="B931" i="6"/>
  <c r="J931" i="6"/>
  <c r="B932" i="6"/>
  <c r="J932" i="6"/>
  <c r="B933" i="6"/>
  <c r="J933" i="6"/>
  <c r="B934" i="6"/>
  <c r="J934" i="6"/>
  <c r="B935" i="6"/>
  <c r="J935" i="6"/>
  <c r="B936" i="6"/>
  <c r="J936" i="6"/>
  <c r="B937" i="6"/>
  <c r="J937" i="6"/>
  <c r="B938" i="6"/>
  <c r="J938" i="6"/>
  <c r="B939" i="6"/>
  <c r="J939" i="6"/>
  <c r="B940" i="6"/>
  <c r="J940" i="6"/>
  <c r="B941" i="6"/>
  <c r="J941" i="6"/>
  <c r="B942" i="6"/>
  <c r="J942" i="6"/>
  <c r="B943" i="6"/>
  <c r="J943" i="6"/>
  <c r="B944" i="6"/>
  <c r="J944" i="6"/>
  <c r="B945" i="6"/>
  <c r="J945" i="6"/>
  <c r="B946" i="6"/>
  <c r="J946" i="6"/>
  <c r="B947" i="6"/>
  <c r="J947" i="6"/>
  <c r="B948" i="6"/>
  <c r="J948" i="6"/>
  <c r="B949" i="6"/>
  <c r="J949" i="6"/>
  <c r="B950" i="6"/>
  <c r="J950" i="6"/>
  <c r="B951" i="6"/>
  <c r="J951" i="6"/>
  <c r="B952" i="6"/>
  <c r="J952" i="6"/>
  <c r="B953" i="6"/>
  <c r="J953" i="6"/>
  <c r="B954" i="6"/>
  <c r="J954" i="6"/>
  <c r="B955" i="6"/>
  <c r="J955" i="6"/>
  <c r="B956" i="6"/>
  <c r="J956" i="6"/>
  <c r="B957" i="6"/>
  <c r="J957" i="6"/>
  <c r="B958" i="6"/>
  <c r="J958" i="6"/>
  <c r="B959" i="6"/>
  <c r="J959" i="6"/>
  <c r="B960" i="6"/>
  <c r="J960" i="6"/>
  <c r="B961" i="6"/>
  <c r="J961" i="6"/>
  <c r="B962" i="6"/>
  <c r="J962" i="6"/>
  <c r="B963" i="6"/>
  <c r="J963" i="6"/>
  <c r="B964" i="6"/>
  <c r="J964" i="6"/>
  <c r="B965" i="6"/>
  <c r="J965" i="6"/>
  <c r="B966" i="6"/>
  <c r="J966" i="6"/>
  <c r="B967" i="6"/>
  <c r="J967" i="6"/>
  <c r="B968" i="6"/>
  <c r="J968" i="6"/>
  <c r="B969" i="6"/>
  <c r="J969" i="6"/>
  <c r="B970" i="6"/>
  <c r="J970" i="6"/>
  <c r="B971" i="6"/>
  <c r="J971" i="6"/>
  <c r="B972" i="6"/>
  <c r="J972" i="6"/>
  <c r="B973" i="6"/>
  <c r="J973" i="6"/>
  <c r="B974" i="6"/>
  <c r="J974" i="6"/>
  <c r="B975" i="6"/>
  <c r="J975" i="6"/>
  <c r="B976" i="6"/>
  <c r="J976" i="6"/>
  <c r="B977" i="6"/>
  <c r="J977" i="6"/>
  <c r="B978" i="6"/>
  <c r="J978" i="6"/>
  <c r="B979" i="6"/>
  <c r="J979" i="6"/>
  <c r="B980" i="6"/>
  <c r="J980" i="6"/>
  <c r="B981" i="6"/>
  <c r="J981" i="6"/>
  <c r="B982" i="6"/>
  <c r="J982" i="6"/>
  <c r="B983" i="6"/>
  <c r="J983" i="6"/>
  <c r="B984" i="6"/>
  <c r="J984" i="6"/>
  <c r="B985" i="6"/>
  <c r="J985" i="6"/>
  <c r="B986" i="6"/>
  <c r="J986" i="6"/>
  <c r="B987" i="6"/>
  <c r="J987" i="6"/>
  <c r="B988" i="6"/>
  <c r="J988" i="6"/>
  <c r="B989" i="6"/>
  <c r="J989" i="6"/>
  <c r="B990" i="6"/>
  <c r="J990" i="6"/>
  <c r="B991" i="6"/>
  <c r="J991" i="6"/>
  <c r="B992" i="6"/>
  <c r="J992" i="6"/>
  <c r="B993" i="6"/>
  <c r="J993" i="6"/>
  <c r="B994" i="6"/>
  <c r="J994" i="6"/>
  <c r="B995" i="6"/>
  <c r="J995" i="6"/>
  <c r="B996" i="6"/>
  <c r="J996" i="6"/>
  <c r="B997" i="6"/>
  <c r="J997" i="6"/>
  <c r="B998" i="6"/>
  <c r="J998" i="6"/>
  <c r="B999" i="6"/>
  <c r="J999" i="6"/>
  <c r="B1000" i="6"/>
  <c r="J1000" i="6"/>
  <c r="B1001" i="6"/>
  <c r="J1001" i="6"/>
  <c r="B1002" i="6"/>
  <c r="J1002" i="6"/>
  <c r="B1003" i="6"/>
  <c r="J1003" i="6"/>
  <c r="B1004" i="6"/>
  <c r="J1004" i="6"/>
  <c r="B1005" i="6"/>
  <c r="J1005" i="6"/>
  <c r="B1006" i="6"/>
  <c r="J1006" i="6"/>
  <c r="B1007" i="6"/>
  <c r="J1007" i="6"/>
  <c r="B1008" i="6"/>
  <c r="J1008" i="6"/>
  <c r="B1009" i="6"/>
  <c r="J1009" i="6"/>
  <c r="B1010" i="6"/>
  <c r="J1010" i="6"/>
  <c r="B1011" i="6"/>
  <c r="J1011" i="6"/>
  <c r="B1012" i="6"/>
  <c r="J1012" i="6"/>
  <c r="B1013" i="6"/>
  <c r="J1013" i="6"/>
  <c r="B1014" i="6"/>
  <c r="J1014" i="6"/>
  <c r="B1015" i="6"/>
  <c r="J1015" i="6"/>
  <c r="B1016" i="6"/>
  <c r="J1016" i="6"/>
  <c r="B1017" i="6"/>
  <c r="J1017" i="6"/>
  <c r="B1018" i="6"/>
  <c r="J1018" i="6"/>
  <c r="B1019" i="6"/>
  <c r="J1019" i="6"/>
  <c r="B1020" i="6"/>
  <c r="J1020" i="6"/>
  <c r="B1021" i="6"/>
  <c r="J1021" i="6"/>
  <c r="B1022" i="6"/>
  <c r="J1022" i="6"/>
  <c r="B1023" i="6"/>
  <c r="J1023" i="6"/>
  <c r="B1024" i="6"/>
  <c r="J1024" i="6"/>
  <c r="B1025" i="6"/>
  <c r="J1025" i="6"/>
  <c r="B1026" i="6"/>
  <c r="J1026" i="6"/>
  <c r="B1027" i="6"/>
  <c r="J1027" i="6"/>
  <c r="B1028" i="6"/>
  <c r="J1028" i="6"/>
  <c r="B1029" i="6"/>
  <c r="J1029" i="6"/>
  <c r="B1030" i="6"/>
  <c r="J1030" i="6"/>
  <c r="B1031" i="6"/>
  <c r="J1031" i="6"/>
  <c r="B1032" i="6"/>
  <c r="J1032" i="6"/>
  <c r="B1033" i="6"/>
  <c r="J1033" i="6"/>
  <c r="B1034" i="6"/>
  <c r="J1034" i="6"/>
  <c r="B1035" i="6"/>
  <c r="J1035" i="6"/>
  <c r="B1036" i="6"/>
  <c r="J1036" i="6"/>
  <c r="B1037" i="6"/>
  <c r="J1037" i="6"/>
  <c r="B1038" i="6"/>
  <c r="J1038" i="6"/>
  <c r="B1039" i="6"/>
  <c r="J1039" i="6"/>
  <c r="B1040" i="6"/>
  <c r="J1040" i="6"/>
  <c r="B1041" i="6"/>
  <c r="J1041" i="6"/>
  <c r="B1042" i="6"/>
  <c r="J1042" i="6"/>
  <c r="B1043" i="6"/>
  <c r="J1043" i="6"/>
  <c r="B1044" i="6"/>
  <c r="J1044" i="6"/>
  <c r="B1045" i="6"/>
  <c r="J1045" i="6"/>
  <c r="B1046" i="6"/>
  <c r="J1046" i="6"/>
  <c r="B1047" i="6"/>
  <c r="J1047" i="6"/>
  <c r="B1048" i="6"/>
  <c r="J1048" i="6"/>
  <c r="B1049" i="6"/>
  <c r="J1049" i="6"/>
  <c r="B1050" i="6"/>
  <c r="J1050" i="6"/>
  <c r="B1051" i="6"/>
  <c r="J1051" i="6"/>
  <c r="B1052" i="6"/>
  <c r="J1052" i="6"/>
  <c r="B1053" i="6"/>
  <c r="J1053" i="6"/>
  <c r="B1054" i="6"/>
  <c r="J1054" i="6"/>
  <c r="B1055" i="6"/>
  <c r="J1055" i="6"/>
  <c r="B1056" i="6"/>
  <c r="J1056" i="6"/>
  <c r="B1057" i="6"/>
  <c r="J1057" i="6"/>
  <c r="B1058" i="6"/>
  <c r="J1058" i="6"/>
  <c r="B1059" i="6"/>
  <c r="J1059" i="6"/>
  <c r="B1060" i="6"/>
  <c r="J1060" i="6"/>
  <c r="B1061" i="6"/>
  <c r="J1061" i="6"/>
  <c r="B1062" i="6"/>
  <c r="J1062" i="6"/>
  <c r="B1063" i="6"/>
  <c r="J1063" i="6"/>
  <c r="B1064" i="6"/>
  <c r="J1064" i="6"/>
  <c r="B1065" i="6"/>
  <c r="J1065" i="6"/>
  <c r="B1066" i="6"/>
  <c r="J1066" i="6"/>
  <c r="B1067" i="6"/>
  <c r="J1067" i="6"/>
  <c r="B1068" i="6"/>
  <c r="J1068" i="6"/>
  <c r="B1069" i="6"/>
  <c r="J1069" i="6"/>
  <c r="B1070" i="6"/>
  <c r="J1070" i="6"/>
  <c r="B1071" i="6"/>
  <c r="J1071" i="6"/>
  <c r="B1072" i="6"/>
  <c r="J1072" i="6"/>
  <c r="B1073" i="6"/>
  <c r="J1073" i="6"/>
  <c r="B1074" i="6"/>
  <c r="J1074" i="6"/>
  <c r="B1075" i="6"/>
  <c r="J1075" i="6"/>
  <c r="B1076" i="6"/>
  <c r="J1076" i="6"/>
  <c r="B1077" i="6"/>
  <c r="J1077" i="6"/>
  <c r="B1078" i="6"/>
  <c r="J1078" i="6"/>
  <c r="B1079" i="6"/>
  <c r="J1079" i="6"/>
  <c r="B1080" i="6"/>
  <c r="J1080" i="6"/>
  <c r="B1081" i="6"/>
  <c r="J1081" i="6"/>
  <c r="B1082" i="6"/>
  <c r="J1082" i="6"/>
  <c r="B1083" i="6"/>
  <c r="J1083" i="6"/>
  <c r="B1084" i="6"/>
  <c r="J1084" i="6"/>
  <c r="B1085" i="6"/>
  <c r="J1085" i="6"/>
  <c r="B1086" i="6"/>
  <c r="J1086" i="6"/>
  <c r="B1087" i="6"/>
  <c r="J1087" i="6"/>
  <c r="B1088" i="6"/>
  <c r="J1088" i="6"/>
  <c r="B1089" i="6"/>
  <c r="J1089" i="6"/>
  <c r="B1090" i="6"/>
  <c r="J1090" i="6"/>
  <c r="B1091" i="6"/>
  <c r="J1091" i="6"/>
  <c r="B1092" i="6"/>
  <c r="J1092" i="6"/>
  <c r="B1093" i="6"/>
  <c r="J1093" i="6"/>
  <c r="B1094" i="6"/>
  <c r="J1094" i="6"/>
  <c r="B1095" i="6"/>
  <c r="J1095" i="6"/>
  <c r="B1096" i="6"/>
  <c r="J1096" i="6"/>
  <c r="B1097" i="6"/>
  <c r="J1097" i="6"/>
  <c r="B1098" i="6"/>
  <c r="J1098" i="6"/>
  <c r="B1099" i="6"/>
  <c r="J1099" i="6"/>
  <c r="B1100" i="6"/>
  <c r="J1100" i="6"/>
  <c r="B1101" i="6"/>
  <c r="J1101" i="6"/>
  <c r="B1102" i="6"/>
  <c r="J1102" i="6"/>
  <c r="B1103" i="6"/>
  <c r="J1103" i="6"/>
  <c r="B1104" i="6"/>
  <c r="J1104" i="6"/>
  <c r="B1105" i="6"/>
  <c r="J1105" i="6"/>
  <c r="B1106" i="6"/>
  <c r="J1106" i="6"/>
  <c r="B1107" i="6"/>
  <c r="J1107" i="6"/>
  <c r="B1108" i="6"/>
  <c r="J1108" i="6"/>
  <c r="B1109" i="6"/>
  <c r="J1109" i="6"/>
  <c r="B1110" i="6"/>
  <c r="J1110" i="6"/>
  <c r="B1111" i="6"/>
  <c r="J1111" i="6"/>
  <c r="B1112" i="6"/>
  <c r="J1112" i="6"/>
  <c r="B1113" i="6"/>
  <c r="J1113" i="6"/>
  <c r="B1114" i="6"/>
  <c r="J1114" i="6"/>
  <c r="B1115" i="6"/>
  <c r="J1115" i="6"/>
  <c r="B1116" i="6"/>
  <c r="J1116" i="6"/>
  <c r="B1117" i="6"/>
  <c r="J1117" i="6"/>
  <c r="B1118" i="6"/>
  <c r="J1118" i="6"/>
  <c r="B1119" i="6"/>
  <c r="J1119" i="6"/>
  <c r="B1120" i="6"/>
  <c r="J1120" i="6"/>
  <c r="B1121" i="6"/>
  <c r="J1121" i="6"/>
  <c r="B1122" i="6"/>
  <c r="J1122" i="6"/>
  <c r="B1123" i="6"/>
  <c r="J1123" i="6"/>
  <c r="B1124" i="6"/>
  <c r="J1124" i="6"/>
  <c r="B1125" i="6"/>
  <c r="J1125" i="6"/>
  <c r="B1126" i="6"/>
  <c r="J1126" i="6"/>
  <c r="B1127" i="6"/>
  <c r="J1127" i="6"/>
  <c r="B1128" i="6"/>
  <c r="J1128" i="6"/>
  <c r="B1129" i="6"/>
  <c r="J1129" i="6"/>
  <c r="B1130" i="6"/>
  <c r="J1130" i="6"/>
  <c r="B1131" i="6"/>
  <c r="J1131" i="6"/>
  <c r="B1132" i="6"/>
  <c r="J1132" i="6"/>
  <c r="B1133" i="6"/>
  <c r="J1133" i="6"/>
  <c r="B1134" i="6"/>
  <c r="J1134" i="6"/>
  <c r="B1135" i="6"/>
  <c r="J1135" i="6"/>
  <c r="B1136" i="6"/>
  <c r="J1136" i="6"/>
  <c r="B1137" i="6"/>
  <c r="J1137" i="6"/>
  <c r="B1138" i="6"/>
  <c r="J1138" i="6"/>
  <c r="B1139" i="6"/>
  <c r="J1139" i="6"/>
  <c r="B1140" i="6"/>
  <c r="J1140" i="6"/>
  <c r="B1141" i="6"/>
  <c r="J1141" i="6"/>
  <c r="B1142" i="6"/>
  <c r="J1142" i="6"/>
  <c r="B1143" i="6"/>
  <c r="J1143" i="6"/>
  <c r="B1144" i="6"/>
  <c r="J1144" i="6"/>
  <c r="B1145" i="6"/>
  <c r="J1145" i="6"/>
  <c r="B1146" i="6"/>
  <c r="J1146" i="6"/>
  <c r="B1147" i="6"/>
  <c r="J1147" i="6"/>
  <c r="B1148" i="6"/>
  <c r="J1148" i="6"/>
  <c r="B1149" i="6"/>
  <c r="J1149" i="6"/>
  <c r="B1150" i="6"/>
  <c r="J1150" i="6"/>
  <c r="B1151" i="6"/>
  <c r="J1151" i="6"/>
  <c r="B1152" i="6"/>
  <c r="J1152" i="6"/>
  <c r="B1153" i="6"/>
  <c r="J1153" i="6"/>
  <c r="B1154" i="6"/>
  <c r="J1154" i="6"/>
  <c r="B1155" i="6"/>
  <c r="J1155" i="6"/>
  <c r="B1156" i="6"/>
  <c r="J1156" i="6"/>
  <c r="B1157" i="6"/>
  <c r="J1157" i="6"/>
  <c r="B1158" i="6"/>
  <c r="J1158" i="6"/>
  <c r="B1159" i="6"/>
  <c r="J1159" i="6"/>
  <c r="B1160" i="6"/>
  <c r="J1160" i="6"/>
  <c r="B1161" i="6"/>
  <c r="J1161" i="6"/>
  <c r="B1162" i="6"/>
  <c r="J1162" i="6"/>
  <c r="B1163" i="6"/>
  <c r="J1163" i="6"/>
  <c r="B1164" i="6"/>
  <c r="J1164" i="6"/>
  <c r="B1165" i="6"/>
  <c r="J1165" i="6"/>
  <c r="B1166" i="6"/>
  <c r="J1166" i="6"/>
  <c r="B1167" i="6"/>
  <c r="J1167" i="6"/>
  <c r="B1168" i="6"/>
  <c r="J1168" i="6"/>
  <c r="B1169" i="6"/>
  <c r="J1169" i="6"/>
  <c r="B1170" i="6"/>
  <c r="J1170" i="6"/>
  <c r="B1171" i="6"/>
  <c r="J1171" i="6"/>
  <c r="B1172" i="6"/>
  <c r="J1172" i="6"/>
  <c r="B1173" i="6"/>
  <c r="J1173" i="6"/>
  <c r="B1174" i="6"/>
  <c r="J1174" i="6"/>
  <c r="B1175" i="6"/>
  <c r="J1175" i="6"/>
  <c r="B1176" i="6"/>
  <c r="J1176" i="6"/>
  <c r="B1177" i="6"/>
  <c r="J1177" i="6"/>
  <c r="B1178" i="6"/>
  <c r="J1178" i="6"/>
  <c r="B1179" i="6"/>
  <c r="J1179" i="6"/>
  <c r="B1180" i="6"/>
  <c r="J1180" i="6"/>
  <c r="B1181" i="6"/>
  <c r="J1181" i="6"/>
  <c r="B1182" i="6"/>
  <c r="J1182" i="6"/>
  <c r="B1183" i="6"/>
  <c r="J1183" i="6"/>
  <c r="B1184" i="6"/>
  <c r="J1184" i="6"/>
  <c r="B1185" i="6"/>
  <c r="J1185" i="6"/>
  <c r="B1186" i="6"/>
  <c r="J1186" i="6"/>
  <c r="B1187" i="6"/>
  <c r="J1187" i="6"/>
  <c r="B1188" i="6"/>
  <c r="J1188" i="6"/>
  <c r="B1189" i="6"/>
  <c r="J1189" i="6"/>
  <c r="B1190" i="6"/>
  <c r="J1190" i="6"/>
  <c r="B1191" i="6"/>
  <c r="J1191" i="6"/>
  <c r="B1192" i="6"/>
  <c r="J1192" i="6"/>
  <c r="B1193" i="6"/>
  <c r="J1193" i="6"/>
  <c r="B1194" i="6"/>
  <c r="J1194" i="6"/>
  <c r="B1195" i="6"/>
  <c r="J1195" i="6"/>
  <c r="B1196" i="6"/>
  <c r="J1196" i="6"/>
  <c r="B1197" i="6"/>
  <c r="J1197" i="6"/>
  <c r="B1198" i="6"/>
  <c r="J1198" i="6"/>
  <c r="B1199" i="6"/>
  <c r="J1199" i="6"/>
  <c r="B1200" i="6"/>
  <c r="J1200" i="6"/>
  <c r="B1201" i="6"/>
  <c r="J1201" i="6"/>
  <c r="B1202" i="6"/>
  <c r="J1202" i="6"/>
  <c r="B1203" i="6"/>
  <c r="J1203" i="6"/>
  <c r="B1204" i="6"/>
  <c r="J1204" i="6"/>
  <c r="B1205" i="6"/>
  <c r="J1205" i="6"/>
  <c r="B1206" i="6"/>
  <c r="J1206" i="6"/>
  <c r="B1207" i="6"/>
  <c r="J1207" i="6"/>
  <c r="B1208" i="6"/>
  <c r="J1208" i="6"/>
  <c r="B1209" i="6"/>
  <c r="J1209" i="6"/>
  <c r="B1210" i="6"/>
  <c r="J1210" i="6"/>
  <c r="B1211" i="6"/>
  <c r="J1211" i="6"/>
  <c r="B1212" i="6"/>
  <c r="J1212" i="6"/>
  <c r="B1213" i="6"/>
  <c r="J1213" i="6"/>
  <c r="B1214" i="6"/>
  <c r="J1214" i="6"/>
  <c r="B1215" i="6"/>
  <c r="J1215" i="6"/>
  <c r="B1216" i="6"/>
  <c r="J1216" i="6"/>
  <c r="B1217" i="6"/>
  <c r="J1217" i="6"/>
  <c r="B1218" i="6"/>
  <c r="J1218" i="6"/>
  <c r="B1219" i="6"/>
  <c r="J1219" i="6"/>
  <c r="B1220" i="6"/>
  <c r="J1220" i="6"/>
  <c r="B1221" i="6"/>
  <c r="J1221" i="6"/>
  <c r="B1222" i="6"/>
  <c r="J1222" i="6"/>
  <c r="B1223" i="6"/>
  <c r="J1223" i="6"/>
  <c r="B1224" i="6"/>
  <c r="J1224" i="6"/>
  <c r="B1225" i="6"/>
  <c r="J1225" i="6"/>
  <c r="B1226" i="6"/>
  <c r="J1226" i="6"/>
  <c r="B1227" i="6"/>
  <c r="J1227" i="6"/>
  <c r="B1228" i="6"/>
  <c r="J1228" i="6"/>
  <c r="B1229" i="6"/>
  <c r="J1229" i="6"/>
  <c r="B1230" i="6"/>
  <c r="J1230" i="6"/>
  <c r="B1231" i="6"/>
  <c r="J1231" i="6"/>
  <c r="B1232" i="6"/>
  <c r="J1232" i="6"/>
  <c r="B1233" i="6"/>
  <c r="J1233" i="6"/>
  <c r="B1234" i="6"/>
  <c r="J1234" i="6"/>
  <c r="B1235" i="6"/>
  <c r="J1235" i="6"/>
  <c r="B1236" i="6"/>
  <c r="J1236" i="6"/>
  <c r="B1237" i="6"/>
  <c r="J1237" i="6"/>
  <c r="B1238" i="6"/>
  <c r="J1238" i="6"/>
  <c r="B1239" i="6"/>
  <c r="J1239" i="6"/>
  <c r="B1240" i="6"/>
  <c r="J1240" i="6"/>
  <c r="B1241" i="6"/>
  <c r="J1241" i="6"/>
  <c r="B1242" i="6"/>
  <c r="J1242" i="6"/>
  <c r="B1243" i="6"/>
  <c r="J1243" i="6"/>
  <c r="B1244" i="6"/>
  <c r="J1244" i="6"/>
  <c r="B1245" i="6"/>
  <c r="J1245" i="6"/>
  <c r="B1246" i="6"/>
  <c r="J1246" i="6"/>
  <c r="B1247" i="6"/>
  <c r="J1247" i="6"/>
  <c r="B1248" i="6"/>
  <c r="J1248" i="6"/>
  <c r="B1249" i="6"/>
  <c r="J1249" i="6"/>
  <c r="B1250" i="6"/>
  <c r="J1250" i="6"/>
  <c r="B1251" i="6"/>
  <c r="J1251" i="6"/>
  <c r="B1252" i="6"/>
  <c r="J1252" i="6"/>
  <c r="B1253" i="6"/>
  <c r="J1253" i="6"/>
  <c r="B1254" i="6"/>
  <c r="J1254" i="6"/>
  <c r="B1255" i="6"/>
  <c r="J1255" i="6"/>
  <c r="B1256" i="6"/>
  <c r="J1256" i="6"/>
  <c r="B1257" i="6"/>
  <c r="J1257" i="6"/>
  <c r="B1258" i="6"/>
  <c r="J1258" i="6"/>
  <c r="B1259" i="6"/>
  <c r="J1259" i="6"/>
  <c r="B1260" i="6"/>
  <c r="J1260" i="6"/>
  <c r="B1261" i="6"/>
  <c r="J1261" i="6"/>
  <c r="B1262" i="6"/>
  <c r="J1262" i="6"/>
  <c r="B1263" i="6"/>
  <c r="J1263" i="6"/>
  <c r="B1264" i="6"/>
  <c r="J1264" i="6"/>
  <c r="B1265" i="6"/>
  <c r="J1265" i="6"/>
  <c r="B1266" i="6"/>
  <c r="J1266" i="6"/>
  <c r="B1267" i="6"/>
  <c r="J1267" i="6"/>
  <c r="B1268" i="6"/>
  <c r="J1268" i="6"/>
  <c r="B1269" i="6"/>
  <c r="J1269" i="6"/>
  <c r="B1270" i="6"/>
  <c r="J1270" i="6"/>
  <c r="B1271" i="6"/>
  <c r="J1271" i="6"/>
  <c r="B1272" i="6"/>
  <c r="J1272" i="6"/>
  <c r="B1273" i="6"/>
  <c r="J1273" i="6"/>
  <c r="B1274" i="6"/>
  <c r="J1274" i="6"/>
  <c r="B1275" i="6"/>
  <c r="J1275" i="6"/>
  <c r="B1276" i="6"/>
  <c r="J1276" i="6"/>
  <c r="B1277" i="6"/>
  <c r="J1277" i="6"/>
  <c r="B1278" i="6"/>
  <c r="J1278" i="6"/>
  <c r="B1279" i="6"/>
  <c r="J1279" i="6"/>
  <c r="B1280" i="6"/>
  <c r="J1280" i="6"/>
  <c r="B1281" i="6"/>
  <c r="J1281" i="6"/>
  <c r="B1282" i="6"/>
  <c r="J1282" i="6"/>
  <c r="B1283" i="6"/>
  <c r="J1283" i="6"/>
  <c r="B1284" i="6"/>
  <c r="J1284" i="6"/>
  <c r="B1285" i="6"/>
  <c r="J1285" i="6"/>
  <c r="B1286" i="6"/>
  <c r="J1286" i="6"/>
  <c r="B1287" i="6"/>
  <c r="J1287" i="6"/>
  <c r="B1288" i="6"/>
  <c r="J1288" i="6"/>
  <c r="B1289" i="6"/>
  <c r="J1289" i="6"/>
  <c r="B1290" i="6"/>
  <c r="J1290" i="6"/>
  <c r="B1291" i="6"/>
  <c r="J1291" i="6"/>
  <c r="B1292" i="6"/>
  <c r="J1292" i="6"/>
  <c r="B1293" i="6"/>
  <c r="J1293" i="6"/>
  <c r="B1294" i="6"/>
  <c r="J1294" i="6"/>
  <c r="B1295" i="6"/>
  <c r="J1295" i="6"/>
  <c r="B1296" i="6"/>
  <c r="J1296" i="6"/>
  <c r="B1297" i="6"/>
  <c r="J1297" i="6"/>
  <c r="B1298" i="6"/>
  <c r="J1298" i="6"/>
  <c r="B1299" i="6"/>
  <c r="J1299" i="6"/>
  <c r="B1300" i="6"/>
  <c r="J1300" i="6"/>
  <c r="B1301" i="6"/>
  <c r="J1301" i="6"/>
  <c r="B1302" i="6"/>
  <c r="J1302" i="6"/>
  <c r="B1303" i="6"/>
  <c r="J1303" i="6"/>
  <c r="B1304" i="6"/>
  <c r="J1304" i="6"/>
  <c r="B1305" i="6"/>
  <c r="J1305" i="6"/>
  <c r="B1306" i="6"/>
  <c r="J1306" i="6"/>
  <c r="B1307" i="6"/>
  <c r="J1307" i="6"/>
  <c r="B1308" i="6"/>
  <c r="J1308" i="6"/>
  <c r="B1309" i="6"/>
  <c r="J1309" i="6"/>
  <c r="B1310" i="6"/>
  <c r="J1310" i="6"/>
  <c r="B1311" i="6"/>
  <c r="J1311" i="6"/>
  <c r="B1312" i="6"/>
  <c r="J1312" i="6"/>
  <c r="B1313" i="6"/>
  <c r="J1313" i="6"/>
  <c r="B1314" i="6"/>
  <c r="J1314" i="6"/>
  <c r="B1315" i="6"/>
  <c r="J1315" i="6"/>
  <c r="B1316" i="6"/>
  <c r="J1316" i="6"/>
  <c r="B1317" i="6"/>
  <c r="J1317" i="6"/>
  <c r="B1318" i="6"/>
  <c r="J1318" i="6"/>
  <c r="B1319" i="6"/>
  <c r="J1319" i="6"/>
  <c r="B1320" i="6"/>
  <c r="J1320" i="6"/>
  <c r="B1321" i="6"/>
  <c r="J1321" i="6"/>
  <c r="B1322" i="6"/>
  <c r="J1322" i="6"/>
  <c r="B1323" i="6"/>
  <c r="J1323" i="6"/>
  <c r="B1324" i="6"/>
  <c r="J1324" i="6"/>
  <c r="B1325" i="6"/>
  <c r="J1325" i="6"/>
  <c r="B1326" i="6"/>
  <c r="J1326" i="6"/>
  <c r="B1327" i="6"/>
  <c r="J1327" i="6"/>
  <c r="B1328" i="6"/>
  <c r="J1328" i="6"/>
  <c r="B1329" i="6"/>
  <c r="J1329" i="6"/>
  <c r="B1330" i="6"/>
  <c r="J1330" i="6"/>
  <c r="B1331" i="6"/>
  <c r="J1331" i="6"/>
  <c r="B1332" i="6"/>
  <c r="J1332" i="6"/>
  <c r="B1333" i="6"/>
  <c r="J1333" i="6"/>
  <c r="B1334" i="6"/>
  <c r="J1334" i="6"/>
  <c r="B1335" i="6"/>
  <c r="J1335" i="6"/>
  <c r="B1336" i="6"/>
  <c r="J1336" i="6"/>
  <c r="B1337" i="6"/>
  <c r="J1337" i="6"/>
  <c r="B1338" i="6"/>
  <c r="J1338" i="6"/>
  <c r="B1339" i="6"/>
  <c r="J1339" i="6"/>
  <c r="B1340" i="6"/>
  <c r="J1340" i="6"/>
  <c r="B1341" i="6"/>
  <c r="J1341" i="6"/>
  <c r="B1342" i="6"/>
  <c r="J1342" i="6"/>
  <c r="B1343" i="6"/>
  <c r="J1343" i="6"/>
  <c r="B1344" i="6"/>
  <c r="J1344" i="6"/>
  <c r="B1345" i="6"/>
  <c r="J1345" i="6"/>
  <c r="B1346" i="6"/>
  <c r="J1346" i="6"/>
  <c r="B1347" i="6"/>
  <c r="J1347" i="6"/>
  <c r="B1348" i="6"/>
  <c r="J1348" i="6"/>
  <c r="B1349" i="6"/>
  <c r="J1349" i="6"/>
  <c r="B1350" i="6"/>
  <c r="J1350" i="6"/>
  <c r="B1351" i="6"/>
  <c r="J1351" i="6"/>
  <c r="B1352" i="6"/>
  <c r="J1352" i="6"/>
  <c r="B1353" i="6"/>
  <c r="J1353" i="6"/>
  <c r="B1354" i="6"/>
  <c r="J1354" i="6"/>
  <c r="B1355" i="6"/>
  <c r="J1355" i="6"/>
  <c r="B1356" i="6"/>
  <c r="J1356" i="6"/>
  <c r="B1357" i="6"/>
  <c r="J1357" i="6"/>
  <c r="B1358" i="6"/>
  <c r="J1358" i="6"/>
  <c r="B1359" i="6"/>
  <c r="J1359" i="6"/>
  <c r="B1360" i="6"/>
  <c r="J1360" i="6"/>
  <c r="B1361" i="6"/>
  <c r="J1361" i="6"/>
  <c r="B1362" i="6"/>
  <c r="J1362" i="6"/>
  <c r="B1363" i="6"/>
  <c r="J1363" i="6"/>
  <c r="B1364" i="6"/>
  <c r="J1364" i="6"/>
  <c r="B1365" i="6"/>
  <c r="J1365" i="6"/>
  <c r="B1366" i="6"/>
  <c r="J1366" i="6"/>
  <c r="B1367" i="6"/>
  <c r="J1367" i="6"/>
  <c r="B1368" i="6"/>
  <c r="J1368" i="6"/>
  <c r="B1369" i="6"/>
  <c r="J1369" i="6"/>
  <c r="B1370" i="6"/>
  <c r="J1370" i="6"/>
  <c r="B1371" i="6"/>
  <c r="J1371" i="6"/>
  <c r="B1372" i="6"/>
  <c r="J1372" i="6"/>
  <c r="B1373" i="6"/>
  <c r="J1373" i="6"/>
  <c r="B1374" i="6"/>
  <c r="J1374" i="6"/>
  <c r="B1375" i="6"/>
  <c r="J1375" i="6"/>
  <c r="B1376" i="6"/>
  <c r="J1376" i="6"/>
  <c r="B1377" i="6"/>
  <c r="J1377" i="6"/>
  <c r="B1378" i="6"/>
  <c r="J1378" i="6"/>
  <c r="B1379" i="6"/>
  <c r="J1379" i="6"/>
  <c r="B1380" i="6"/>
  <c r="J1380" i="6"/>
  <c r="B1381" i="6"/>
  <c r="J1381" i="6"/>
  <c r="B1382" i="6"/>
  <c r="J1382" i="6"/>
  <c r="B1383" i="6"/>
  <c r="J1383" i="6"/>
  <c r="B1384" i="6"/>
  <c r="J1384" i="6"/>
  <c r="B1385" i="6"/>
  <c r="J1385" i="6"/>
  <c r="B1386" i="6"/>
  <c r="J1386" i="6"/>
  <c r="B1387" i="6"/>
  <c r="J1387" i="6"/>
  <c r="B1388" i="6"/>
  <c r="J1388" i="6"/>
  <c r="B1389" i="6"/>
  <c r="J1389" i="6"/>
  <c r="B1390" i="6"/>
  <c r="J1390" i="6"/>
  <c r="B1391" i="6"/>
  <c r="J1391" i="6"/>
  <c r="B1392" i="6"/>
  <c r="J1392" i="6"/>
  <c r="B1393" i="6"/>
  <c r="J1393" i="6"/>
  <c r="B1394" i="6"/>
  <c r="J1394" i="6"/>
  <c r="B1395" i="6"/>
  <c r="J1395" i="6"/>
  <c r="B1396" i="6"/>
  <c r="J1396" i="6"/>
  <c r="B1397" i="6"/>
  <c r="J1397" i="6"/>
  <c r="B1398" i="6"/>
  <c r="J1398" i="6"/>
  <c r="B1399" i="6"/>
  <c r="J1399" i="6"/>
  <c r="B1400" i="6"/>
  <c r="J1400" i="6"/>
  <c r="B1401" i="6"/>
  <c r="J1401" i="6"/>
  <c r="B1402" i="6"/>
  <c r="J1402" i="6"/>
  <c r="B1403" i="6"/>
  <c r="J1403" i="6"/>
  <c r="B1404" i="6"/>
  <c r="J1404" i="6"/>
  <c r="B1405" i="6"/>
  <c r="J1405" i="6"/>
  <c r="B1406" i="6"/>
  <c r="J1406" i="6"/>
  <c r="B1407" i="6"/>
  <c r="J1407" i="6"/>
  <c r="B1408" i="6"/>
  <c r="J1408" i="6"/>
  <c r="B1409" i="6"/>
  <c r="J1409" i="6"/>
  <c r="B1410" i="6"/>
  <c r="J1410" i="6"/>
  <c r="B1411" i="6"/>
  <c r="J1411" i="6"/>
  <c r="B1412" i="6"/>
  <c r="J1412" i="6"/>
  <c r="B1413" i="6"/>
  <c r="J1413" i="6"/>
  <c r="B1414" i="6"/>
  <c r="J1414" i="6"/>
  <c r="B1415" i="6"/>
  <c r="J1415" i="6"/>
  <c r="B1416" i="6"/>
  <c r="J1416" i="6"/>
  <c r="B1417" i="6"/>
  <c r="J1417" i="6"/>
  <c r="B1418" i="6"/>
  <c r="J1418" i="6"/>
  <c r="B1419" i="6"/>
  <c r="J1419" i="6"/>
  <c r="B1420" i="6"/>
  <c r="J1420" i="6"/>
  <c r="B1421" i="6"/>
  <c r="J1421" i="6"/>
  <c r="B1422" i="6"/>
  <c r="J1422" i="6"/>
  <c r="B1423" i="6"/>
  <c r="J1423" i="6"/>
  <c r="B1424" i="6"/>
  <c r="J1424" i="6"/>
  <c r="B1425" i="6"/>
  <c r="J1425" i="6"/>
  <c r="B1426" i="6"/>
  <c r="J1426" i="6"/>
  <c r="B1427" i="6"/>
  <c r="J1427" i="6"/>
  <c r="B1428" i="6"/>
  <c r="J1428" i="6"/>
  <c r="B1429" i="6"/>
  <c r="J1429" i="6"/>
  <c r="B1430" i="6"/>
  <c r="J1430" i="6"/>
  <c r="B1431" i="6"/>
  <c r="J1431" i="6"/>
  <c r="B1432" i="6"/>
  <c r="J1432" i="6"/>
  <c r="B1433" i="6"/>
  <c r="J1433" i="6"/>
  <c r="B1434" i="6"/>
  <c r="J1434" i="6"/>
  <c r="B1435" i="6"/>
  <c r="J1435" i="6"/>
  <c r="B1436" i="6"/>
  <c r="J1436" i="6"/>
  <c r="B1437" i="6"/>
  <c r="J1437" i="6"/>
  <c r="B1438" i="6"/>
  <c r="J1438" i="6"/>
  <c r="B1439" i="6"/>
  <c r="J1439" i="6"/>
  <c r="B1440" i="6"/>
  <c r="J1440" i="6"/>
  <c r="B1441" i="6"/>
  <c r="J1441" i="6"/>
  <c r="B1442" i="6"/>
  <c r="J1442" i="6"/>
  <c r="B1443" i="6"/>
  <c r="J1443" i="6"/>
  <c r="B1444" i="6"/>
  <c r="J1444" i="6"/>
  <c r="B1445" i="6"/>
  <c r="J1445" i="6"/>
  <c r="B1446" i="6"/>
  <c r="J1446" i="6"/>
  <c r="B1447" i="6"/>
  <c r="J1447" i="6"/>
  <c r="B1448" i="6"/>
  <c r="J1448" i="6"/>
  <c r="B1449" i="6"/>
  <c r="J1449" i="6"/>
  <c r="B1450" i="6"/>
  <c r="J1450" i="6"/>
  <c r="B1451" i="6"/>
  <c r="J1451" i="6"/>
  <c r="B1452" i="6"/>
  <c r="J1452" i="6"/>
  <c r="B1453" i="6"/>
  <c r="J1453" i="6"/>
  <c r="B1454" i="6"/>
  <c r="J1454" i="6"/>
  <c r="B1455" i="6"/>
  <c r="J1455" i="6"/>
  <c r="B1456" i="6"/>
  <c r="J1456" i="6"/>
  <c r="B1457" i="6"/>
  <c r="J1457" i="6"/>
  <c r="B1458" i="6"/>
  <c r="J1458" i="6"/>
  <c r="B1459" i="6"/>
  <c r="J1459" i="6"/>
  <c r="B1460" i="6"/>
  <c r="J1460" i="6"/>
  <c r="B1461" i="6"/>
  <c r="J1461" i="6"/>
  <c r="B1462" i="6"/>
  <c r="J1462" i="6"/>
  <c r="B1463" i="6"/>
  <c r="J1463" i="6"/>
  <c r="B1464" i="6"/>
  <c r="J1464" i="6"/>
  <c r="B1465" i="6"/>
  <c r="J1465" i="6"/>
  <c r="B1466" i="6"/>
  <c r="J1466" i="6"/>
  <c r="B1467" i="6"/>
  <c r="J1467" i="6"/>
  <c r="B1468" i="6"/>
  <c r="J1468" i="6"/>
  <c r="B1469" i="6"/>
  <c r="J1469" i="6"/>
  <c r="B1470" i="6"/>
  <c r="J1470" i="6"/>
  <c r="B1471" i="6"/>
  <c r="J1471" i="6"/>
  <c r="B1472" i="6"/>
  <c r="J1472" i="6"/>
  <c r="B1473" i="6"/>
  <c r="J1473" i="6"/>
  <c r="B1474" i="6"/>
  <c r="J1474" i="6"/>
  <c r="B1475" i="6"/>
  <c r="J1475" i="6"/>
  <c r="B1476" i="6"/>
  <c r="J1476" i="6"/>
  <c r="B1477" i="6"/>
  <c r="J1477" i="6"/>
  <c r="B1478" i="6"/>
  <c r="J1478" i="6"/>
  <c r="B1479" i="6"/>
  <c r="J1479" i="6"/>
  <c r="B1480" i="6"/>
  <c r="J1480" i="6"/>
  <c r="B1481" i="6"/>
  <c r="J1481" i="6"/>
  <c r="B1482" i="6"/>
  <c r="J1482" i="6"/>
  <c r="B1483" i="6"/>
  <c r="J1483" i="6"/>
  <c r="B1484" i="6"/>
  <c r="J1484" i="6"/>
  <c r="B1485" i="6"/>
  <c r="J1485" i="6"/>
  <c r="B1486" i="6"/>
  <c r="J1486" i="6"/>
  <c r="B1487" i="6"/>
  <c r="J1487" i="6"/>
  <c r="B1488" i="6"/>
  <c r="J1488" i="6"/>
  <c r="B1489" i="6"/>
  <c r="J1489" i="6"/>
  <c r="B1490" i="6"/>
  <c r="J1490" i="6"/>
  <c r="B1491" i="6"/>
  <c r="J1491" i="6"/>
  <c r="B1492" i="6"/>
  <c r="J1492" i="6"/>
  <c r="B1493" i="6"/>
  <c r="J1493" i="6"/>
  <c r="B1494" i="6"/>
  <c r="J1494" i="6"/>
  <c r="B1495" i="6"/>
  <c r="J1495" i="6"/>
  <c r="B1496" i="6"/>
  <c r="J1496" i="6"/>
  <c r="B1497" i="6"/>
  <c r="J1497" i="6"/>
  <c r="B1498" i="6"/>
  <c r="J1498" i="6"/>
  <c r="B1499" i="6"/>
  <c r="J1499" i="6"/>
  <c r="B1500" i="6"/>
  <c r="J1500" i="6"/>
  <c r="B1501" i="6"/>
  <c r="J1501" i="6"/>
  <c r="B1502" i="6"/>
  <c r="J1502" i="6"/>
  <c r="B1503" i="6"/>
  <c r="J1503" i="6"/>
  <c r="B1504" i="6"/>
  <c r="J1504" i="6"/>
  <c r="B1505" i="6"/>
  <c r="J1505" i="6"/>
  <c r="B1506" i="6"/>
  <c r="J1506" i="6"/>
  <c r="B1507" i="6"/>
  <c r="J1507" i="6"/>
  <c r="B1508" i="6"/>
  <c r="J1508" i="6"/>
  <c r="B1509" i="6"/>
  <c r="J1509" i="6"/>
  <c r="B1510" i="6"/>
  <c r="J1510" i="6"/>
  <c r="B1511" i="6"/>
  <c r="J1511" i="6"/>
  <c r="B1512" i="6"/>
  <c r="J1512" i="6"/>
  <c r="B1513" i="6"/>
  <c r="J1513" i="6"/>
  <c r="B1514" i="6"/>
  <c r="J1514" i="6"/>
  <c r="B1515" i="6"/>
  <c r="J1515" i="6"/>
  <c r="B1516" i="6"/>
  <c r="J1516" i="6"/>
  <c r="B1517" i="6"/>
  <c r="J1517" i="6"/>
  <c r="B1518" i="6"/>
  <c r="J1518" i="6"/>
  <c r="B1519" i="6"/>
  <c r="J1519" i="6"/>
  <c r="B1520" i="6"/>
  <c r="J1520" i="6"/>
  <c r="B1521" i="6"/>
  <c r="J1521" i="6"/>
  <c r="B1522" i="6"/>
  <c r="J1522" i="6"/>
  <c r="B1523" i="6"/>
  <c r="J1523" i="6"/>
  <c r="B1524" i="6"/>
  <c r="J1524" i="6"/>
  <c r="B1525" i="6"/>
  <c r="J1525" i="6"/>
  <c r="B1526" i="6"/>
  <c r="J1526" i="6"/>
  <c r="B1527" i="6"/>
  <c r="J1527" i="6"/>
  <c r="B1528" i="6"/>
  <c r="J1528" i="6"/>
  <c r="B1529" i="6"/>
  <c r="J1529" i="6"/>
  <c r="B1530" i="6"/>
  <c r="J1530" i="6"/>
  <c r="B1531" i="6"/>
  <c r="J1531" i="6"/>
  <c r="B1532" i="6"/>
  <c r="J1532" i="6"/>
  <c r="B1533" i="6"/>
  <c r="J1533" i="6"/>
  <c r="B1534" i="6"/>
  <c r="J1534" i="6"/>
  <c r="B1535" i="6"/>
  <c r="J1535" i="6"/>
  <c r="B1536" i="6"/>
  <c r="J1536" i="6"/>
  <c r="B1537" i="6"/>
  <c r="J1537" i="6"/>
  <c r="B1538" i="6"/>
  <c r="J1538" i="6"/>
  <c r="B1539" i="6"/>
  <c r="J1539" i="6"/>
  <c r="B1540" i="6"/>
  <c r="J1540" i="6"/>
  <c r="B1541" i="6"/>
  <c r="J1541" i="6"/>
  <c r="B1542" i="6"/>
  <c r="J1542" i="6"/>
  <c r="B1543" i="6"/>
  <c r="J1543" i="6"/>
  <c r="B1544" i="6"/>
  <c r="J1544" i="6"/>
  <c r="B1545" i="6"/>
  <c r="J1545" i="6"/>
  <c r="B1546" i="6"/>
  <c r="J1546" i="6"/>
  <c r="B1547" i="6"/>
  <c r="J1547" i="6"/>
  <c r="B1548" i="6"/>
  <c r="J1548" i="6"/>
  <c r="B1549" i="6"/>
  <c r="J1549" i="6"/>
  <c r="B1550" i="6"/>
  <c r="J1550" i="6"/>
  <c r="B1551" i="6"/>
  <c r="J1551" i="6"/>
  <c r="B1552" i="6"/>
  <c r="J1552" i="6"/>
  <c r="B1553" i="6"/>
  <c r="J1553" i="6"/>
  <c r="B1554" i="6"/>
  <c r="J1554" i="6"/>
  <c r="B1555" i="6"/>
  <c r="J1555" i="6"/>
  <c r="B1556" i="6"/>
  <c r="J1556" i="6"/>
  <c r="B1557" i="6"/>
  <c r="J1557" i="6"/>
  <c r="B1558" i="6"/>
  <c r="J1558" i="6"/>
  <c r="B1559" i="6"/>
  <c r="J1559" i="6"/>
  <c r="B1560" i="6"/>
  <c r="J1560" i="6"/>
  <c r="B1561" i="6"/>
  <c r="J1561" i="6"/>
  <c r="B1562" i="6"/>
  <c r="J1562" i="6"/>
  <c r="B1563" i="6"/>
  <c r="J1563" i="6"/>
  <c r="B1564" i="6"/>
  <c r="J1564" i="6"/>
  <c r="B1565" i="6"/>
  <c r="J1565" i="6"/>
  <c r="B1566" i="6"/>
  <c r="J1566" i="6"/>
  <c r="B1567" i="6"/>
  <c r="J1567" i="6"/>
  <c r="B1568" i="6"/>
  <c r="J1568" i="6"/>
  <c r="B1569" i="6"/>
  <c r="J1569" i="6"/>
  <c r="B1570" i="6"/>
  <c r="J1570" i="6"/>
  <c r="B1571" i="6"/>
  <c r="J1571" i="6"/>
  <c r="B1572" i="6"/>
  <c r="J1572" i="6"/>
  <c r="B1573" i="6"/>
  <c r="J1573" i="6"/>
  <c r="B1574" i="6"/>
  <c r="J1574" i="6"/>
  <c r="B1575" i="6"/>
  <c r="J1575" i="6"/>
  <c r="B1576" i="6"/>
  <c r="J1576" i="6"/>
  <c r="B1577" i="6"/>
  <c r="J1577" i="6"/>
  <c r="B1578" i="6"/>
  <c r="J1578" i="6"/>
  <c r="B1579" i="6"/>
  <c r="J1579" i="6"/>
  <c r="B1580" i="6"/>
  <c r="J1580" i="6"/>
  <c r="B1581" i="6"/>
  <c r="J1581" i="6"/>
  <c r="B1582" i="6"/>
  <c r="J1582" i="6"/>
  <c r="B1583" i="6"/>
  <c r="J1583" i="6"/>
  <c r="B1584" i="6"/>
  <c r="J1584" i="6"/>
  <c r="B1585" i="6"/>
  <c r="J1585" i="6"/>
  <c r="B1586" i="6"/>
  <c r="J1586" i="6"/>
  <c r="B1587" i="6"/>
  <c r="J1587" i="6"/>
  <c r="B1588" i="6"/>
  <c r="J1588" i="6"/>
  <c r="B1589" i="6"/>
  <c r="J1589" i="6"/>
  <c r="B1590" i="6"/>
  <c r="J1590" i="6"/>
  <c r="B1591" i="6"/>
  <c r="J1591" i="6"/>
  <c r="B1592" i="6"/>
  <c r="J1592" i="6"/>
  <c r="B1593" i="6"/>
  <c r="J1593" i="6"/>
  <c r="B1594" i="6"/>
  <c r="J1594" i="6"/>
  <c r="B1595" i="6"/>
  <c r="J1595" i="6"/>
  <c r="B1596" i="6"/>
  <c r="J1596" i="6"/>
  <c r="B1597" i="6"/>
  <c r="J1597" i="6"/>
  <c r="B1598" i="6"/>
  <c r="J1598" i="6"/>
  <c r="B1599" i="6"/>
  <c r="J1599" i="6"/>
  <c r="B1600" i="6"/>
  <c r="J1600" i="6"/>
  <c r="B1601" i="6"/>
  <c r="J1601" i="6"/>
  <c r="B1602" i="6"/>
  <c r="J1602" i="6"/>
  <c r="B1603" i="6"/>
  <c r="J1603" i="6"/>
  <c r="B1604" i="6"/>
  <c r="J1604" i="6"/>
  <c r="B1605" i="6"/>
  <c r="J1605" i="6"/>
  <c r="B1606" i="6"/>
  <c r="J1606" i="6"/>
  <c r="B1607" i="6"/>
  <c r="J1607" i="6"/>
  <c r="B1608" i="6"/>
  <c r="J1608" i="6"/>
  <c r="B1609" i="6"/>
  <c r="J1609" i="6"/>
  <c r="B1610" i="6"/>
  <c r="J1610" i="6"/>
  <c r="B1611" i="6"/>
  <c r="J1611" i="6"/>
  <c r="B1612" i="6"/>
  <c r="J1612" i="6"/>
  <c r="B1613" i="6"/>
  <c r="J1613" i="6"/>
  <c r="B1614" i="6"/>
  <c r="J1614" i="6"/>
  <c r="B1615" i="6"/>
  <c r="J1615" i="6"/>
  <c r="B1616" i="6"/>
  <c r="J1616" i="6"/>
  <c r="B1617" i="6"/>
  <c r="J1617" i="6"/>
  <c r="B1618" i="6"/>
  <c r="J1618" i="6"/>
  <c r="B1619" i="6"/>
  <c r="J1619" i="6"/>
  <c r="B1620" i="6"/>
  <c r="J1620" i="6"/>
  <c r="B1621" i="6"/>
  <c r="J1621" i="6"/>
  <c r="B1622" i="6"/>
  <c r="J1622" i="6"/>
  <c r="B1623" i="6"/>
  <c r="J1623" i="6"/>
  <c r="B1624" i="6"/>
  <c r="J1624" i="6"/>
  <c r="B1625" i="6"/>
  <c r="J1625" i="6"/>
  <c r="B1626" i="6"/>
  <c r="J1626" i="6"/>
  <c r="B1627" i="6"/>
  <c r="J1627" i="6"/>
  <c r="B1628" i="6"/>
  <c r="J1628" i="6"/>
  <c r="B1629" i="6"/>
  <c r="J1629" i="6"/>
  <c r="B1630" i="6"/>
  <c r="J1630" i="6"/>
  <c r="B1631" i="6"/>
  <c r="J1631" i="6"/>
  <c r="B1632" i="6"/>
  <c r="J1632" i="6"/>
  <c r="B1633" i="6"/>
  <c r="J1633" i="6"/>
  <c r="B1634" i="6"/>
  <c r="J1634" i="6"/>
  <c r="B1635" i="6"/>
  <c r="J1635" i="6"/>
  <c r="B1636" i="6"/>
  <c r="J1636" i="6"/>
  <c r="B1637" i="6"/>
  <c r="J1637" i="6"/>
  <c r="B1638" i="6"/>
  <c r="J1638" i="6"/>
  <c r="B1639" i="6"/>
  <c r="J1639" i="6"/>
  <c r="B1640" i="6"/>
  <c r="J1640" i="6"/>
  <c r="B1641" i="6"/>
  <c r="J1641" i="6"/>
  <c r="B1642" i="6"/>
  <c r="J1642" i="6"/>
  <c r="B1643" i="6"/>
  <c r="J1643" i="6"/>
  <c r="B1644" i="6"/>
  <c r="J1644" i="6"/>
  <c r="B1645" i="6"/>
  <c r="J1645" i="6"/>
  <c r="B1646" i="6"/>
  <c r="J1646" i="6"/>
  <c r="B1647" i="6"/>
  <c r="J1647" i="6"/>
  <c r="B1648" i="6"/>
  <c r="J1648" i="6"/>
  <c r="B1649" i="6"/>
  <c r="J1649" i="6"/>
  <c r="B1650" i="6"/>
  <c r="J1650" i="6"/>
  <c r="B1651" i="6"/>
  <c r="J1651" i="6"/>
  <c r="B1652" i="6"/>
  <c r="J1652" i="6"/>
  <c r="B1653" i="6"/>
  <c r="J1653" i="6"/>
  <c r="B1654" i="6"/>
  <c r="J1654" i="6"/>
  <c r="B1655" i="6"/>
  <c r="J1655" i="6"/>
  <c r="B1656" i="6"/>
  <c r="J1656" i="6"/>
  <c r="B1657" i="6"/>
  <c r="J1657" i="6"/>
  <c r="B1658" i="6"/>
  <c r="J1658" i="6"/>
  <c r="B1659" i="6"/>
  <c r="J1659" i="6"/>
  <c r="B1660" i="6"/>
  <c r="J1660" i="6"/>
  <c r="B1661" i="6"/>
  <c r="J1661" i="6"/>
  <c r="B1662" i="6"/>
  <c r="J1662" i="6"/>
  <c r="B1663" i="6"/>
  <c r="J1663" i="6"/>
  <c r="B1664" i="6"/>
  <c r="J1664" i="6"/>
  <c r="B1665" i="6"/>
  <c r="J1665" i="6"/>
  <c r="B1666" i="6"/>
  <c r="J1666" i="6"/>
  <c r="B1667" i="6"/>
  <c r="J1667" i="6"/>
  <c r="B1668" i="6"/>
  <c r="J1668" i="6"/>
  <c r="B1669" i="6"/>
  <c r="J1669" i="6"/>
  <c r="B1670" i="6"/>
  <c r="J1670" i="6"/>
  <c r="B1671" i="6"/>
  <c r="J1671" i="6"/>
  <c r="B1672" i="6"/>
  <c r="J1672" i="6"/>
  <c r="B1673" i="6"/>
  <c r="J1673" i="6"/>
  <c r="B1674" i="6"/>
  <c r="J1674" i="6"/>
  <c r="B1675" i="6"/>
  <c r="J1675" i="6"/>
  <c r="B1676" i="6"/>
  <c r="J1676" i="6"/>
  <c r="B1677" i="6"/>
  <c r="J1677" i="6"/>
  <c r="B1678" i="6"/>
  <c r="J1678" i="6"/>
  <c r="B1679" i="6"/>
  <c r="J1679" i="6"/>
  <c r="B1680" i="6"/>
  <c r="J1680" i="6"/>
  <c r="B1681" i="6"/>
  <c r="J1681" i="6"/>
  <c r="B1682" i="6"/>
  <c r="J1682" i="6"/>
  <c r="B1683" i="6"/>
  <c r="J1683" i="6"/>
  <c r="B1684" i="6"/>
  <c r="J1684" i="6"/>
  <c r="B1685" i="6"/>
  <c r="J1685" i="6"/>
  <c r="B1686" i="6"/>
  <c r="J1686" i="6"/>
  <c r="B1687" i="6"/>
  <c r="J1687" i="6"/>
  <c r="B1688" i="6"/>
  <c r="J1688" i="6"/>
  <c r="B1689" i="6"/>
  <c r="J1689" i="6"/>
  <c r="B1690" i="6"/>
  <c r="J1690" i="6"/>
  <c r="B1691" i="6"/>
  <c r="J1691" i="6"/>
  <c r="B1692" i="6"/>
  <c r="J1692" i="6"/>
  <c r="B1693" i="6"/>
  <c r="J1693" i="6"/>
  <c r="B1694" i="6"/>
  <c r="J1694" i="6"/>
  <c r="B1695" i="6"/>
  <c r="J1695" i="6"/>
  <c r="B1696" i="6"/>
  <c r="J1696" i="6"/>
  <c r="B1697" i="6"/>
  <c r="J1697" i="6"/>
  <c r="B1698" i="6"/>
  <c r="J1698" i="6"/>
  <c r="B1699" i="6"/>
  <c r="J1699" i="6"/>
  <c r="B1700" i="6"/>
  <c r="J1700" i="6"/>
  <c r="B1701" i="6"/>
  <c r="J1701" i="6"/>
  <c r="B1702" i="6"/>
  <c r="J1702" i="6"/>
  <c r="B1703" i="6"/>
  <c r="J1703" i="6"/>
  <c r="B1704" i="6"/>
  <c r="J1704" i="6"/>
  <c r="B1705" i="6"/>
  <c r="J1705" i="6"/>
  <c r="B1706" i="6"/>
  <c r="J1706" i="6"/>
  <c r="B1707" i="6"/>
  <c r="J1707" i="6"/>
  <c r="B1708" i="6"/>
  <c r="J1708" i="6"/>
  <c r="B1709" i="6"/>
  <c r="J1709" i="6"/>
  <c r="B1710" i="6"/>
  <c r="J1710" i="6"/>
  <c r="B1711" i="6"/>
  <c r="J1711" i="6"/>
  <c r="B1712" i="6"/>
  <c r="J1712" i="6"/>
  <c r="B1713" i="6"/>
  <c r="J1713" i="6"/>
  <c r="B1714" i="6"/>
  <c r="J1714" i="6"/>
  <c r="B1715" i="6"/>
  <c r="J1715" i="6"/>
  <c r="B1716" i="6"/>
  <c r="J1716" i="6"/>
  <c r="B1717" i="6"/>
  <c r="J1717" i="6"/>
  <c r="B1718" i="6"/>
  <c r="J1718" i="6"/>
  <c r="B1719" i="6"/>
  <c r="J1719" i="6"/>
  <c r="B1720" i="6"/>
  <c r="J1720" i="6"/>
  <c r="B1721" i="6"/>
  <c r="J1721" i="6"/>
  <c r="B1722" i="6"/>
  <c r="J1722" i="6"/>
  <c r="B1723" i="6"/>
  <c r="J1723" i="6"/>
  <c r="B1724" i="6"/>
  <c r="J1724" i="6"/>
  <c r="B1725" i="6"/>
  <c r="J1725" i="6"/>
  <c r="B1726" i="6"/>
  <c r="J1726" i="6"/>
  <c r="B1727" i="6"/>
  <c r="J1727" i="6"/>
  <c r="B1728" i="6"/>
  <c r="J1728" i="6"/>
  <c r="B1729" i="6"/>
  <c r="J1729" i="6"/>
  <c r="B1730" i="6"/>
  <c r="J1730" i="6"/>
  <c r="B1731" i="6"/>
  <c r="J1731" i="6"/>
  <c r="B1732" i="6"/>
  <c r="J1732" i="6"/>
  <c r="B1733" i="6"/>
  <c r="J1733" i="6"/>
  <c r="B1734" i="6"/>
  <c r="J1734" i="6"/>
  <c r="B1735" i="6"/>
  <c r="J1735" i="6"/>
  <c r="B1736" i="6"/>
  <c r="J1736" i="6"/>
  <c r="B1737" i="6"/>
  <c r="J1737" i="6"/>
  <c r="B1738" i="6"/>
  <c r="J1738" i="6"/>
  <c r="B1739" i="6"/>
  <c r="J1739" i="6"/>
  <c r="B1740" i="6"/>
  <c r="J1740" i="6"/>
  <c r="B1741" i="6"/>
  <c r="J1741" i="6"/>
  <c r="B1742" i="6"/>
  <c r="J1742" i="6"/>
  <c r="B1743" i="6"/>
  <c r="J1743" i="6"/>
  <c r="B1744" i="6"/>
  <c r="J1744" i="6"/>
  <c r="B1745" i="6"/>
  <c r="J1745" i="6"/>
  <c r="B1746" i="6"/>
  <c r="J1746" i="6"/>
  <c r="B1747" i="6"/>
  <c r="J1747" i="6"/>
  <c r="B1748" i="6"/>
  <c r="J1748" i="6"/>
  <c r="B1749" i="6"/>
  <c r="J1749" i="6"/>
  <c r="B1750" i="6"/>
  <c r="J1750" i="6"/>
  <c r="B1751" i="6"/>
  <c r="J1751" i="6"/>
  <c r="B1752" i="6"/>
  <c r="J1752" i="6"/>
  <c r="B1753" i="6"/>
  <c r="J1753" i="6"/>
  <c r="B1754" i="6"/>
  <c r="J1754" i="6"/>
  <c r="B1755" i="6"/>
  <c r="J1755" i="6"/>
  <c r="B1756" i="6"/>
  <c r="J1756" i="6"/>
  <c r="B1757" i="6"/>
  <c r="J1757" i="6"/>
  <c r="B1758" i="6"/>
  <c r="J1758" i="6"/>
  <c r="B1759" i="6"/>
  <c r="J1759" i="6"/>
  <c r="B1760" i="6"/>
  <c r="J1760" i="6"/>
  <c r="B1761" i="6"/>
  <c r="J1761" i="6"/>
  <c r="B1762" i="6"/>
  <c r="J1762" i="6"/>
  <c r="B1763" i="6"/>
  <c r="J1763" i="6"/>
  <c r="B1764" i="6"/>
  <c r="J1764" i="6"/>
  <c r="B1765" i="6"/>
  <c r="J1765" i="6"/>
  <c r="B1766" i="6"/>
  <c r="J1766" i="6"/>
  <c r="B1767" i="6"/>
  <c r="J1767" i="6"/>
  <c r="B1768" i="6"/>
  <c r="J1768" i="6"/>
  <c r="B1769" i="6"/>
  <c r="J1769" i="6"/>
  <c r="B1770" i="6"/>
  <c r="J1770" i="6"/>
  <c r="B1771" i="6"/>
  <c r="J1771" i="6"/>
  <c r="B1772" i="6"/>
  <c r="J1772" i="6"/>
  <c r="B1773" i="6"/>
  <c r="J1773" i="6"/>
  <c r="B1774" i="6"/>
  <c r="J1774" i="6"/>
  <c r="B1775" i="6"/>
  <c r="J1775" i="6"/>
  <c r="B1776" i="6"/>
  <c r="J1776" i="6"/>
  <c r="B1777" i="6"/>
  <c r="J1777" i="6"/>
  <c r="B1778" i="6"/>
  <c r="J1778" i="6"/>
  <c r="B1779" i="6"/>
  <c r="J1779" i="6"/>
  <c r="B1780" i="6"/>
  <c r="J1780" i="6"/>
  <c r="B1781" i="6"/>
  <c r="J1781" i="6"/>
  <c r="B1782" i="6"/>
  <c r="J1782" i="6"/>
  <c r="B1783" i="6"/>
  <c r="J1783" i="6"/>
  <c r="B1784" i="6"/>
  <c r="J1784" i="6"/>
  <c r="B1785" i="6"/>
  <c r="J1785" i="6"/>
  <c r="B1786" i="6"/>
  <c r="J1786" i="6"/>
  <c r="B1787" i="6"/>
  <c r="J1787" i="6"/>
  <c r="B1788" i="6"/>
  <c r="J1788" i="6"/>
  <c r="B1789" i="6"/>
  <c r="J1789" i="6"/>
  <c r="B1790" i="6"/>
  <c r="J1790" i="6"/>
  <c r="B1791" i="6"/>
  <c r="J1791" i="6"/>
  <c r="B1792" i="6"/>
  <c r="J1792" i="6"/>
  <c r="B1793" i="6"/>
  <c r="J1793" i="6"/>
  <c r="B1794" i="6"/>
  <c r="J1794" i="6"/>
  <c r="B1795" i="6"/>
  <c r="J1795" i="6"/>
  <c r="B1796" i="6"/>
  <c r="J1796" i="6"/>
  <c r="B1797" i="6"/>
  <c r="J1797" i="6"/>
  <c r="B1798" i="6"/>
  <c r="J1798" i="6"/>
  <c r="B1799" i="6"/>
  <c r="J1799" i="6"/>
  <c r="B1800" i="6"/>
  <c r="J1800" i="6"/>
  <c r="B1801" i="6"/>
  <c r="J1801" i="6"/>
  <c r="B1802" i="6"/>
  <c r="J1802" i="6"/>
  <c r="B1803" i="6"/>
  <c r="J1803" i="6"/>
  <c r="B1804" i="6"/>
  <c r="J1804" i="6"/>
  <c r="B1805" i="6"/>
  <c r="J1805" i="6"/>
  <c r="B1806" i="6"/>
  <c r="J1806" i="6"/>
  <c r="B1807" i="6"/>
  <c r="J1807" i="6"/>
  <c r="B1808" i="6"/>
  <c r="J1808" i="6"/>
  <c r="B1809" i="6"/>
  <c r="J1809" i="6"/>
  <c r="B1810" i="6"/>
  <c r="J1810" i="6"/>
  <c r="B1811" i="6"/>
  <c r="J1811" i="6"/>
  <c r="B1812" i="6"/>
  <c r="J1812" i="6"/>
  <c r="B1813" i="6"/>
  <c r="J1813" i="6"/>
  <c r="B1814" i="6"/>
  <c r="J1814" i="6"/>
  <c r="B1815" i="6"/>
  <c r="J1815" i="6"/>
  <c r="B1816" i="6"/>
  <c r="J1816" i="6"/>
  <c r="B1817" i="6"/>
  <c r="J1817" i="6"/>
  <c r="B1818" i="6"/>
  <c r="J1818" i="6"/>
  <c r="B1819" i="6"/>
  <c r="J1819" i="6"/>
  <c r="B1820" i="6"/>
  <c r="J1820" i="6"/>
  <c r="B1821" i="6"/>
  <c r="J1821" i="6"/>
  <c r="B1822" i="6"/>
  <c r="J1822" i="6"/>
  <c r="B1823" i="6"/>
  <c r="J1823" i="6"/>
  <c r="B1824" i="6"/>
  <c r="J1824" i="6"/>
  <c r="B1825" i="6"/>
  <c r="J1825" i="6"/>
  <c r="B1826" i="6"/>
  <c r="J1826" i="6"/>
  <c r="B1827" i="6"/>
  <c r="J1827" i="6"/>
  <c r="B1828" i="6"/>
  <c r="J1828" i="6"/>
  <c r="B1829" i="6"/>
  <c r="J1829" i="6"/>
  <c r="B1830" i="6"/>
  <c r="J1830" i="6"/>
  <c r="B1831" i="6"/>
  <c r="J1831" i="6"/>
  <c r="B1832" i="6"/>
  <c r="J1832" i="6"/>
  <c r="B1833" i="6"/>
  <c r="J1833" i="6"/>
  <c r="B1834" i="6"/>
  <c r="J1834" i="6"/>
  <c r="B1835" i="6"/>
  <c r="J1835" i="6"/>
  <c r="B1836" i="6"/>
  <c r="J1836" i="6"/>
  <c r="B1837" i="6"/>
  <c r="J1837" i="6"/>
  <c r="B1838" i="6"/>
  <c r="J1838" i="6"/>
  <c r="B1839" i="6"/>
  <c r="J1839" i="6"/>
  <c r="B1840" i="6"/>
  <c r="J1840" i="6"/>
  <c r="B1841" i="6"/>
  <c r="J1841" i="6"/>
  <c r="B1842" i="6"/>
  <c r="J1842" i="6"/>
  <c r="B1843" i="6"/>
  <c r="J1843" i="6"/>
  <c r="B1844" i="6"/>
  <c r="J1844" i="6"/>
  <c r="B1845" i="6"/>
  <c r="J1845" i="6"/>
  <c r="B1846" i="6"/>
  <c r="J1846" i="6"/>
  <c r="B1847" i="6"/>
  <c r="J1847" i="6"/>
  <c r="B1848" i="6"/>
  <c r="J1848" i="6"/>
  <c r="B1849" i="6"/>
  <c r="J1849" i="6"/>
  <c r="B1850" i="6"/>
  <c r="J1850" i="6"/>
  <c r="B1851" i="6"/>
  <c r="J1851" i="6"/>
  <c r="B1852" i="6"/>
  <c r="J1852" i="6"/>
  <c r="B1853" i="6"/>
  <c r="J1853" i="6"/>
  <c r="B1854" i="6"/>
  <c r="J1854" i="6"/>
  <c r="B1855" i="6"/>
  <c r="J1855" i="6"/>
  <c r="B1856" i="6"/>
  <c r="J1856" i="6"/>
  <c r="B1857" i="6"/>
  <c r="J1857" i="6"/>
  <c r="B1858" i="6"/>
  <c r="J1858" i="6"/>
  <c r="B1859" i="6"/>
  <c r="J1859" i="6"/>
  <c r="B1860" i="6"/>
  <c r="J1860" i="6"/>
  <c r="B1861" i="6"/>
  <c r="J1861" i="6"/>
  <c r="B1862" i="6"/>
  <c r="J1862" i="6"/>
  <c r="B1863" i="6"/>
  <c r="J1863" i="6"/>
  <c r="B1864" i="6"/>
  <c r="J1864" i="6"/>
  <c r="B1865" i="6"/>
  <c r="J1865" i="6"/>
  <c r="B1866" i="6"/>
  <c r="J1866" i="6"/>
  <c r="B1867" i="6"/>
  <c r="J1867" i="6"/>
  <c r="B1868" i="6"/>
  <c r="J1868" i="6"/>
  <c r="B1869" i="6"/>
  <c r="J1869" i="6"/>
  <c r="B1870" i="6"/>
  <c r="J1870" i="6"/>
  <c r="B1871" i="6"/>
  <c r="J1871" i="6"/>
  <c r="B1872" i="6"/>
  <c r="J1872" i="6"/>
  <c r="B1873" i="6"/>
  <c r="J1873" i="6"/>
  <c r="B1874" i="6"/>
  <c r="J1874" i="6"/>
  <c r="B1875" i="6"/>
  <c r="J1875" i="6"/>
  <c r="B1876" i="6"/>
  <c r="J1876" i="6"/>
  <c r="B1877" i="6"/>
  <c r="J1877" i="6"/>
  <c r="B1878" i="6"/>
  <c r="J1878" i="6"/>
  <c r="B1879" i="6"/>
  <c r="J1879" i="6"/>
  <c r="B1880" i="6"/>
  <c r="J1880" i="6"/>
  <c r="B1881" i="6"/>
  <c r="J1881" i="6"/>
  <c r="B1882" i="6"/>
  <c r="J1882" i="6"/>
  <c r="B1883" i="6"/>
  <c r="J1883" i="6"/>
  <c r="B1884" i="6"/>
  <c r="J1884" i="6"/>
  <c r="B1885" i="6"/>
  <c r="J1885" i="6"/>
  <c r="B1886" i="6"/>
  <c r="J1886" i="6"/>
  <c r="B1887" i="6"/>
  <c r="J1887" i="6"/>
  <c r="B1888" i="6"/>
  <c r="J1888" i="6"/>
  <c r="B1889" i="6"/>
  <c r="J1889" i="6"/>
  <c r="B1890" i="6"/>
  <c r="J1890" i="6"/>
  <c r="B1891" i="6"/>
  <c r="J1891" i="6"/>
  <c r="B1892" i="6"/>
  <c r="J1892" i="6"/>
  <c r="B1893" i="6"/>
  <c r="J1893" i="6"/>
  <c r="B1894" i="6"/>
  <c r="J1894" i="6"/>
  <c r="B1895" i="6"/>
  <c r="J1895" i="6"/>
  <c r="B1896" i="6"/>
  <c r="J1896" i="6"/>
  <c r="B1897" i="6"/>
  <c r="J1897" i="6"/>
  <c r="B1898" i="6"/>
  <c r="J1898" i="6"/>
  <c r="B1899" i="6"/>
  <c r="J1899" i="6"/>
  <c r="B1900" i="6"/>
  <c r="J1900" i="6"/>
  <c r="B1901" i="6"/>
  <c r="J1901" i="6"/>
  <c r="B1902" i="6"/>
  <c r="J1902" i="6"/>
  <c r="B1903" i="6"/>
  <c r="J1903" i="6"/>
  <c r="B1904" i="6"/>
  <c r="J1904" i="6"/>
  <c r="B1905" i="6"/>
  <c r="J1905" i="6"/>
  <c r="B1906" i="6"/>
  <c r="J1906" i="6"/>
  <c r="B1907" i="6"/>
  <c r="J1907" i="6"/>
  <c r="B1908" i="6"/>
  <c r="J1908" i="6"/>
  <c r="B1909" i="6"/>
  <c r="J1909" i="6"/>
  <c r="B1910" i="6"/>
  <c r="J1910" i="6"/>
  <c r="B1911" i="6"/>
  <c r="J1911" i="6"/>
  <c r="B1912" i="6"/>
  <c r="J1912" i="6"/>
  <c r="B1913" i="6"/>
  <c r="J1913" i="6"/>
  <c r="B1914" i="6"/>
  <c r="J1914" i="6"/>
  <c r="B1915" i="6"/>
  <c r="J1915" i="6"/>
  <c r="B1916" i="6"/>
  <c r="J1916" i="6"/>
  <c r="B1917" i="6"/>
  <c r="J1917" i="6"/>
  <c r="B1918" i="6"/>
  <c r="J1918" i="6"/>
  <c r="B1919" i="6"/>
  <c r="J1919" i="6"/>
  <c r="B1920" i="6"/>
  <c r="J1920" i="6"/>
  <c r="B1921" i="6"/>
  <c r="J1921" i="6"/>
  <c r="B1922" i="6"/>
  <c r="J1922" i="6"/>
  <c r="B1923" i="6"/>
  <c r="J1923" i="6"/>
  <c r="B1924" i="6"/>
  <c r="J1924" i="6"/>
  <c r="B1925" i="6"/>
  <c r="J1925" i="6"/>
  <c r="B1926" i="6"/>
  <c r="J1926" i="6"/>
  <c r="B1927" i="6"/>
  <c r="J1927" i="6"/>
  <c r="B1928" i="6"/>
  <c r="J1928" i="6"/>
  <c r="B1929" i="6"/>
  <c r="J1929" i="6"/>
  <c r="B1930" i="6"/>
  <c r="J1930" i="6"/>
  <c r="B1931" i="6"/>
  <c r="J1931" i="6"/>
  <c r="B1932" i="6"/>
  <c r="J1932" i="6"/>
  <c r="B1933" i="6"/>
  <c r="J1933" i="6"/>
  <c r="B1934" i="6"/>
  <c r="J1934" i="6"/>
  <c r="B1935" i="6"/>
  <c r="J1935" i="6"/>
  <c r="B1936" i="6"/>
  <c r="J1936" i="6"/>
  <c r="B1937" i="6"/>
  <c r="J1937" i="6"/>
  <c r="B1938" i="6"/>
  <c r="J1938" i="6"/>
  <c r="B1939" i="6"/>
  <c r="J1939" i="6"/>
  <c r="B1940" i="6"/>
  <c r="J1940" i="6"/>
  <c r="B1941" i="6"/>
  <c r="J1941" i="6"/>
  <c r="B1942" i="6"/>
  <c r="J1942" i="6"/>
  <c r="B1943" i="6"/>
  <c r="J1943" i="6"/>
  <c r="B1944" i="6"/>
  <c r="J1944" i="6"/>
  <c r="B1945" i="6"/>
  <c r="J1945" i="6"/>
  <c r="B1946" i="6"/>
  <c r="J1946" i="6"/>
  <c r="B1947" i="6"/>
  <c r="J1947" i="6"/>
  <c r="B1948" i="6"/>
  <c r="J1948" i="6"/>
  <c r="B1949" i="6"/>
  <c r="J1949" i="6"/>
  <c r="B1950" i="6"/>
  <c r="J1950" i="6"/>
  <c r="B1951" i="6"/>
  <c r="J1951" i="6"/>
  <c r="B1952" i="6"/>
  <c r="J1952" i="6"/>
  <c r="B1953" i="6"/>
  <c r="J1953" i="6"/>
  <c r="B1954" i="6"/>
  <c r="J1954" i="6"/>
  <c r="B1955" i="6"/>
  <c r="J1955" i="6"/>
  <c r="B1956" i="6"/>
  <c r="J1956" i="6"/>
  <c r="B1957" i="6"/>
  <c r="J1957" i="6"/>
  <c r="B1958" i="6"/>
  <c r="J1958" i="6"/>
  <c r="B1959" i="6"/>
  <c r="J1959" i="6"/>
  <c r="B1960" i="6"/>
  <c r="J1960" i="6"/>
  <c r="B1961" i="6"/>
  <c r="J1961" i="6"/>
  <c r="B1962" i="6"/>
  <c r="J1962" i="6"/>
  <c r="B1963" i="6"/>
  <c r="J1963" i="6"/>
  <c r="B1964" i="6"/>
  <c r="J1964" i="6"/>
  <c r="B1965" i="6"/>
  <c r="J1965" i="6"/>
  <c r="B1966" i="6"/>
  <c r="J1966" i="6"/>
  <c r="B1967" i="6"/>
  <c r="J1967" i="6"/>
  <c r="B1968" i="6"/>
  <c r="J1968" i="6"/>
  <c r="B1969" i="6"/>
  <c r="J1969" i="6"/>
  <c r="B1970" i="6"/>
  <c r="J1970" i="6"/>
  <c r="B1971" i="6"/>
  <c r="J1971" i="6"/>
  <c r="B1972" i="6"/>
  <c r="J1972" i="6"/>
  <c r="B1973" i="6"/>
  <c r="J1973" i="6"/>
  <c r="B1974" i="6"/>
  <c r="J1974" i="6"/>
  <c r="B1975" i="6"/>
  <c r="J1975" i="6"/>
  <c r="B1976" i="6"/>
  <c r="J1976" i="6"/>
  <c r="B1977" i="6"/>
  <c r="J1977" i="6"/>
  <c r="B1978" i="6"/>
  <c r="J1978" i="6"/>
  <c r="B1979" i="6"/>
  <c r="J1979" i="6"/>
  <c r="B1980" i="6"/>
  <c r="J1980" i="6"/>
  <c r="B1981" i="6"/>
  <c r="J1981" i="6"/>
  <c r="B1982" i="6"/>
  <c r="J1982" i="6"/>
  <c r="B1983" i="6"/>
  <c r="J1983" i="6"/>
  <c r="B1984" i="6"/>
  <c r="J1984" i="6"/>
  <c r="B1985" i="6"/>
  <c r="J1985" i="6"/>
  <c r="B1986" i="6"/>
  <c r="J1986" i="6"/>
  <c r="B1987" i="6"/>
  <c r="J1987" i="6"/>
  <c r="B1988" i="6"/>
  <c r="J1988" i="6"/>
  <c r="B1989" i="6"/>
  <c r="J1989" i="6"/>
  <c r="B1990" i="6"/>
  <c r="J1990" i="6"/>
  <c r="B1991" i="6"/>
  <c r="J1991" i="6"/>
  <c r="B1992" i="6"/>
  <c r="J1992" i="6"/>
  <c r="B1993" i="6"/>
  <c r="J1993" i="6"/>
  <c r="B1994" i="6"/>
  <c r="J1994" i="6"/>
  <c r="B1995" i="6"/>
  <c r="J1995" i="6"/>
  <c r="B1996" i="6"/>
  <c r="J1996" i="6"/>
  <c r="B1997" i="6"/>
  <c r="J1997" i="6"/>
  <c r="B1998" i="6"/>
  <c r="J1998" i="6"/>
  <c r="B1999" i="6"/>
  <c r="J1999" i="6"/>
  <c r="B2000" i="6"/>
  <c r="J2000" i="6"/>
  <c r="B2001" i="6"/>
  <c r="J2001" i="6"/>
  <c r="B2002" i="6"/>
  <c r="J2002" i="6"/>
  <c r="B2003" i="6"/>
  <c r="J2003" i="6"/>
  <c r="B2004" i="6"/>
  <c r="J2004" i="6"/>
  <c r="B2005" i="6"/>
  <c r="J2005" i="6"/>
  <c r="B2006" i="6"/>
  <c r="J2006" i="6"/>
  <c r="B2007" i="6"/>
  <c r="J2007" i="6"/>
  <c r="B2008" i="6"/>
  <c r="J2008" i="6"/>
  <c r="B2009" i="6"/>
  <c r="J2009" i="6"/>
  <c r="B2010" i="6"/>
  <c r="J2010" i="6"/>
  <c r="B2011" i="6"/>
  <c r="J2011" i="6"/>
  <c r="B2012" i="6"/>
  <c r="J2012" i="6"/>
  <c r="B2013" i="6"/>
  <c r="J2013" i="6"/>
  <c r="B2014" i="6"/>
  <c r="J2014" i="6"/>
  <c r="B2015" i="6"/>
  <c r="J2015" i="6"/>
  <c r="B2016" i="6"/>
  <c r="J2016" i="6"/>
  <c r="B2017" i="6"/>
  <c r="J2017" i="6"/>
  <c r="B2018" i="6"/>
  <c r="J2018" i="6"/>
  <c r="B2019" i="6"/>
  <c r="J2019" i="6"/>
  <c r="B2020" i="6"/>
  <c r="J2020" i="6"/>
  <c r="B2021" i="6"/>
  <c r="J2021" i="6"/>
  <c r="B2022" i="6"/>
  <c r="J2022" i="6"/>
  <c r="B2023" i="6"/>
  <c r="J2023" i="6"/>
  <c r="B2024" i="6"/>
  <c r="J2024" i="6"/>
  <c r="B2025" i="6"/>
  <c r="J2025" i="6"/>
  <c r="B2026" i="6"/>
  <c r="J2026" i="6"/>
  <c r="B2027" i="6"/>
  <c r="J2027" i="6"/>
  <c r="B2028" i="6"/>
  <c r="J2028" i="6"/>
  <c r="B2029" i="6"/>
  <c r="J2029" i="6"/>
  <c r="B2030" i="6"/>
  <c r="J2030" i="6"/>
  <c r="B2031" i="6"/>
  <c r="J2031" i="6"/>
  <c r="B2032" i="6"/>
  <c r="J2032" i="6"/>
  <c r="B2033" i="6"/>
  <c r="J2033" i="6"/>
  <c r="B2034" i="6"/>
  <c r="J2034" i="6"/>
  <c r="B2035" i="6"/>
  <c r="J2035" i="6"/>
  <c r="B2036" i="6"/>
  <c r="J2036" i="6"/>
  <c r="B2037" i="6"/>
  <c r="J2037" i="6"/>
  <c r="B2038" i="6"/>
  <c r="J2038" i="6"/>
  <c r="B2039" i="6"/>
  <c r="J2039" i="6"/>
  <c r="B2040" i="6"/>
  <c r="J2040" i="6"/>
  <c r="B2041" i="6"/>
  <c r="J2041" i="6"/>
  <c r="B2042" i="6"/>
  <c r="J2042" i="6"/>
  <c r="B2043" i="6"/>
  <c r="J2043" i="6"/>
  <c r="B2044" i="6"/>
  <c r="J2044" i="6"/>
  <c r="B2045" i="6"/>
  <c r="J2045" i="6"/>
  <c r="B2046" i="6"/>
  <c r="J2046" i="6"/>
  <c r="B2047" i="6"/>
  <c r="J2047" i="6"/>
  <c r="B2048" i="6"/>
  <c r="J2048" i="6"/>
  <c r="B2049" i="6"/>
  <c r="J2049" i="6"/>
  <c r="B2050" i="6"/>
  <c r="J2050" i="6"/>
  <c r="B2051" i="6"/>
  <c r="J2051" i="6"/>
  <c r="B2052" i="6"/>
  <c r="J2052" i="6"/>
  <c r="B2053" i="6"/>
  <c r="J2053" i="6"/>
  <c r="B2054" i="6"/>
  <c r="J2054" i="6"/>
  <c r="B2055" i="6"/>
  <c r="J2055" i="6"/>
  <c r="B2056" i="6"/>
  <c r="J2056" i="6"/>
  <c r="B2057" i="6"/>
  <c r="J2057" i="6"/>
  <c r="B2058" i="6"/>
  <c r="J2058" i="6"/>
  <c r="B2059" i="6"/>
  <c r="J2059" i="6"/>
  <c r="B2060" i="6"/>
  <c r="J2060" i="6"/>
  <c r="B2061" i="6"/>
  <c r="J2061" i="6"/>
  <c r="B2062" i="6"/>
  <c r="J2062" i="6"/>
  <c r="B2063" i="6"/>
  <c r="J2063" i="6"/>
  <c r="B2064" i="6"/>
  <c r="J2064" i="6"/>
  <c r="B2065" i="6"/>
  <c r="J2065" i="6"/>
  <c r="B2066" i="6"/>
  <c r="J2066" i="6"/>
  <c r="B2067" i="6"/>
  <c r="J2067" i="6"/>
  <c r="B2068" i="6"/>
  <c r="J2068" i="6"/>
  <c r="B2069" i="6"/>
  <c r="J2069" i="6"/>
  <c r="B2070" i="6"/>
  <c r="J2070" i="6"/>
  <c r="B2071" i="6"/>
  <c r="J2071" i="6"/>
  <c r="B2072" i="6"/>
  <c r="J2072" i="6"/>
  <c r="B2073" i="6"/>
  <c r="J2073" i="6"/>
  <c r="B2074" i="6"/>
  <c r="J2074" i="6"/>
  <c r="B2075" i="6"/>
  <c r="J2075" i="6"/>
  <c r="B2076" i="6"/>
  <c r="J2076" i="6"/>
  <c r="B2077" i="6"/>
  <c r="J2077" i="6"/>
  <c r="B2078" i="6"/>
  <c r="J2078" i="6"/>
  <c r="B2079" i="6"/>
  <c r="J2079" i="6"/>
  <c r="B2080" i="6"/>
  <c r="J2080" i="6"/>
  <c r="B2081" i="6"/>
  <c r="J2081" i="6"/>
  <c r="B2082" i="6"/>
  <c r="J2082" i="6"/>
  <c r="B2083" i="6"/>
  <c r="J2083" i="6"/>
  <c r="B2084" i="6"/>
  <c r="J2084" i="6"/>
  <c r="B2085" i="6"/>
  <c r="J2085" i="6"/>
  <c r="B2086" i="6"/>
  <c r="J2086" i="6"/>
  <c r="B2087" i="6"/>
  <c r="J2087" i="6"/>
  <c r="B2088" i="6"/>
  <c r="J2088" i="6"/>
  <c r="B2089" i="6"/>
  <c r="J2089" i="6"/>
  <c r="B2090" i="6"/>
  <c r="J2090" i="6"/>
  <c r="B2091" i="6"/>
  <c r="J2091" i="6"/>
  <c r="B2092" i="6"/>
  <c r="J2092" i="6"/>
  <c r="B2093" i="6"/>
  <c r="J2093" i="6"/>
  <c r="B2094" i="6"/>
  <c r="J2094" i="6"/>
  <c r="B2095" i="6"/>
  <c r="J2095" i="6"/>
  <c r="B2096" i="6"/>
  <c r="J2096" i="6"/>
  <c r="B2097" i="6"/>
  <c r="J2097" i="6"/>
  <c r="B2098" i="6"/>
  <c r="J2098" i="6"/>
  <c r="B2099" i="6"/>
  <c r="J2099" i="6"/>
  <c r="B2100" i="6"/>
  <c r="J2100" i="6"/>
  <c r="B2101" i="6"/>
  <c r="J2101" i="6"/>
  <c r="B2102" i="6"/>
  <c r="J2102" i="6"/>
  <c r="B2103" i="6"/>
  <c r="J2103" i="6"/>
  <c r="B2104" i="6"/>
  <c r="J2104" i="6"/>
  <c r="B2105" i="6"/>
  <c r="J2105" i="6"/>
  <c r="B2106" i="6"/>
  <c r="J2106" i="6"/>
  <c r="B2107" i="6"/>
  <c r="J2107" i="6"/>
  <c r="B2108" i="6"/>
  <c r="J2108" i="6"/>
  <c r="B2109" i="6"/>
  <c r="J2109" i="6"/>
  <c r="B2110" i="6"/>
  <c r="J2110" i="6"/>
  <c r="B2111" i="6"/>
  <c r="J2111" i="6"/>
  <c r="B2112" i="6"/>
  <c r="J2112" i="6"/>
  <c r="B2113" i="6"/>
  <c r="J2113" i="6"/>
  <c r="B2114" i="6"/>
  <c r="J2114" i="6"/>
  <c r="B2115" i="6"/>
  <c r="J2115" i="6"/>
  <c r="B2116" i="6"/>
  <c r="J2116" i="6"/>
  <c r="B2117" i="6"/>
  <c r="J2117" i="6"/>
  <c r="B2118" i="6"/>
  <c r="J2118" i="6"/>
  <c r="B2119" i="6"/>
  <c r="J2119" i="6"/>
  <c r="B2120" i="6"/>
  <c r="J2120" i="6"/>
  <c r="B2121" i="6"/>
  <c r="J2121" i="6"/>
  <c r="B2122" i="6"/>
  <c r="J2122" i="6"/>
  <c r="B2123" i="6"/>
  <c r="J2123" i="6"/>
  <c r="B2124" i="6"/>
  <c r="J2124" i="6"/>
  <c r="B2125" i="6"/>
  <c r="J2125" i="6"/>
  <c r="B2126" i="6"/>
  <c r="J2126" i="6"/>
  <c r="B2127" i="6"/>
  <c r="J2127" i="6"/>
  <c r="B2128" i="6"/>
  <c r="J2128" i="6"/>
  <c r="B2129" i="6"/>
  <c r="J2129" i="6"/>
  <c r="B2130" i="6"/>
  <c r="J2130" i="6"/>
  <c r="B2131" i="6"/>
  <c r="J2131" i="6"/>
  <c r="B2132" i="6"/>
  <c r="J2132" i="6"/>
  <c r="B2133" i="6"/>
  <c r="J2133" i="6"/>
  <c r="B2134" i="6"/>
  <c r="J2134" i="6"/>
  <c r="B2135" i="6"/>
  <c r="J2135" i="6"/>
  <c r="B2136" i="6"/>
  <c r="J2136" i="6"/>
  <c r="B2137" i="6"/>
  <c r="J2137" i="6"/>
  <c r="B2138" i="6"/>
  <c r="J2138" i="6"/>
  <c r="B2139" i="6"/>
  <c r="J2139" i="6"/>
  <c r="B2140" i="6"/>
  <c r="J2140" i="6"/>
  <c r="B2141" i="6"/>
  <c r="J2141" i="6"/>
  <c r="B2142" i="6"/>
  <c r="J2142" i="6"/>
  <c r="B2143" i="6"/>
  <c r="J2143" i="6"/>
  <c r="B2144" i="6"/>
  <c r="J2144" i="6"/>
  <c r="B2145" i="6"/>
  <c r="J2145" i="6"/>
  <c r="B2146" i="6"/>
  <c r="J2146" i="6"/>
  <c r="B2147" i="6"/>
  <c r="J2147" i="6"/>
  <c r="B2148" i="6"/>
  <c r="J2148" i="6"/>
  <c r="B2149" i="6"/>
  <c r="J2149" i="6"/>
  <c r="B2150" i="6"/>
  <c r="J2150" i="6"/>
  <c r="B2151" i="6"/>
  <c r="J2151" i="6"/>
  <c r="B2152" i="6"/>
  <c r="J2152" i="6"/>
  <c r="B2153" i="6"/>
  <c r="J2153" i="6"/>
  <c r="B2154" i="6"/>
  <c r="J2154" i="6"/>
  <c r="B2155" i="6"/>
  <c r="J2155" i="6"/>
  <c r="B2156" i="6"/>
  <c r="J2156" i="6"/>
  <c r="B2157" i="6"/>
  <c r="J2157" i="6"/>
  <c r="B2158" i="6"/>
  <c r="J2158" i="6"/>
  <c r="B2159" i="6"/>
  <c r="J2159" i="6"/>
  <c r="B2160" i="6"/>
  <c r="J2160" i="6"/>
  <c r="B2161" i="6"/>
  <c r="J2161" i="6"/>
  <c r="B2162" i="6"/>
  <c r="J2162" i="6"/>
  <c r="B2163" i="6"/>
  <c r="J2163" i="6"/>
  <c r="B2164" i="6"/>
  <c r="J2164" i="6"/>
  <c r="B2165" i="6"/>
  <c r="J2165" i="6"/>
  <c r="B2166" i="6"/>
  <c r="J2166" i="6"/>
  <c r="B2167" i="6"/>
  <c r="J2167" i="6"/>
  <c r="B2168" i="6"/>
  <c r="J2168" i="6"/>
  <c r="B2169" i="6"/>
  <c r="J2169" i="6"/>
  <c r="B2170" i="6"/>
  <c r="J2170" i="6"/>
  <c r="B2171" i="6"/>
  <c r="J2171" i="6"/>
  <c r="B2172" i="6"/>
  <c r="J2172" i="6"/>
  <c r="B2173" i="6"/>
  <c r="J2173" i="6"/>
  <c r="B2174" i="6"/>
  <c r="J2174" i="6"/>
  <c r="B2175" i="6"/>
  <c r="J2175" i="6"/>
  <c r="B2176" i="6"/>
  <c r="J2176" i="6"/>
  <c r="B2177" i="6"/>
  <c r="J2177" i="6"/>
  <c r="B2178" i="6"/>
  <c r="J2178" i="6"/>
  <c r="B2179" i="6"/>
  <c r="J2179" i="6"/>
  <c r="B2180" i="6"/>
  <c r="J2180" i="6"/>
  <c r="B2181" i="6"/>
  <c r="J2181" i="6"/>
  <c r="B2182" i="6"/>
  <c r="J2182" i="6"/>
  <c r="B2183" i="6"/>
  <c r="J2183" i="6"/>
  <c r="B2184" i="6"/>
  <c r="J2184" i="6"/>
  <c r="B2185" i="6"/>
  <c r="J2185" i="6"/>
  <c r="B2186" i="6"/>
  <c r="J2186" i="6"/>
  <c r="B2187" i="6"/>
  <c r="J2187" i="6"/>
  <c r="B2188" i="6"/>
  <c r="J2188" i="6"/>
  <c r="B2189" i="6"/>
  <c r="J2189" i="6"/>
  <c r="B2190" i="6"/>
  <c r="J2190" i="6"/>
  <c r="B2191" i="6"/>
  <c r="J2191" i="6"/>
  <c r="B2192" i="6"/>
  <c r="J2192" i="6"/>
  <c r="B2193" i="6"/>
  <c r="J2193" i="6"/>
  <c r="B2194" i="6"/>
  <c r="J2194" i="6"/>
  <c r="B2195" i="6"/>
  <c r="J2195" i="6"/>
  <c r="B2196" i="6"/>
  <c r="J2196" i="6"/>
  <c r="B2197" i="6"/>
  <c r="J2197" i="6"/>
  <c r="B2198" i="6"/>
  <c r="J2198" i="6"/>
  <c r="B2199" i="6"/>
  <c r="J2199" i="6"/>
  <c r="B2200" i="6"/>
  <c r="J2200" i="6"/>
  <c r="B2201" i="6"/>
  <c r="J2201" i="6"/>
  <c r="B2202" i="6"/>
  <c r="J2202" i="6"/>
  <c r="B2203" i="6"/>
  <c r="J2203" i="6"/>
  <c r="B2204" i="6"/>
  <c r="J2204" i="6"/>
  <c r="B2205" i="6"/>
  <c r="J2205" i="6"/>
  <c r="B2206" i="6"/>
  <c r="J2206" i="6"/>
  <c r="B2207" i="6"/>
  <c r="J2207" i="6"/>
  <c r="B2208" i="6"/>
  <c r="J2208" i="6"/>
  <c r="B2209" i="6"/>
  <c r="J2209" i="6"/>
  <c r="B2210" i="6"/>
  <c r="J2210" i="6"/>
  <c r="B2211" i="6"/>
  <c r="J2211" i="6"/>
  <c r="B2212" i="6"/>
  <c r="J2212" i="6"/>
  <c r="B2213" i="6"/>
  <c r="J2213" i="6"/>
  <c r="B2214" i="6"/>
  <c r="J2214" i="6"/>
  <c r="B2215" i="6"/>
  <c r="J2215" i="6"/>
  <c r="B2216" i="6"/>
  <c r="J2216" i="6"/>
  <c r="B2217" i="6"/>
  <c r="J2217" i="6"/>
  <c r="B2218" i="6"/>
  <c r="J2218" i="6"/>
  <c r="B2219" i="6"/>
  <c r="J2219" i="6"/>
  <c r="B2220" i="6"/>
  <c r="J2220" i="6"/>
  <c r="B2221" i="6"/>
  <c r="J2221" i="6"/>
  <c r="B2222" i="6"/>
  <c r="J2222" i="6"/>
  <c r="B2223" i="6"/>
  <c r="J2223" i="6"/>
  <c r="B2224" i="6"/>
  <c r="J2224" i="6"/>
  <c r="B2225" i="6"/>
  <c r="J2225" i="6"/>
  <c r="B2226" i="6"/>
  <c r="J2226" i="6"/>
  <c r="B2227" i="6"/>
  <c r="J2227" i="6"/>
  <c r="B2228" i="6"/>
  <c r="J2228" i="6"/>
  <c r="B2229" i="6"/>
  <c r="J2229" i="6"/>
  <c r="B2230" i="6"/>
  <c r="J2230" i="6"/>
  <c r="B2231" i="6"/>
  <c r="J2231" i="6"/>
  <c r="B2232" i="6"/>
  <c r="J2232" i="6"/>
  <c r="B2233" i="6"/>
  <c r="J2233" i="6"/>
  <c r="B2234" i="6"/>
  <c r="J2234" i="6"/>
  <c r="B2235" i="6"/>
  <c r="J2235" i="6"/>
  <c r="B2236" i="6"/>
  <c r="J2236" i="6"/>
  <c r="B2237" i="6"/>
  <c r="J2237" i="6"/>
  <c r="B2238" i="6"/>
  <c r="J2238" i="6"/>
  <c r="B2239" i="6"/>
  <c r="J2239" i="6"/>
  <c r="B2240" i="6"/>
  <c r="J2240" i="6"/>
  <c r="B2241" i="6"/>
  <c r="J2241" i="6"/>
  <c r="B2242" i="6"/>
  <c r="J2242" i="6"/>
  <c r="B2243" i="6"/>
  <c r="J2243" i="6"/>
  <c r="B2244" i="6"/>
  <c r="J2244" i="6"/>
  <c r="B2245" i="6"/>
  <c r="J2245" i="6"/>
  <c r="B2246" i="6"/>
  <c r="J2246" i="6"/>
  <c r="B2247" i="6"/>
  <c r="J2247" i="6"/>
  <c r="B2248" i="6"/>
  <c r="J2248" i="6"/>
  <c r="B2249" i="6"/>
  <c r="J2249" i="6"/>
  <c r="B2250" i="6"/>
  <c r="J2250" i="6"/>
  <c r="B2251" i="6"/>
  <c r="J2251" i="6"/>
  <c r="B2252" i="6"/>
  <c r="J2252" i="6"/>
  <c r="B2253" i="6"/>
  <c r="J2253" i="6"/>
  <c r="B2254" i="6"/>
  <c r="J2254" i="6"/>
  <c r="B2255" i="6"/>
  <c r="J2255" i="6"/>
  <c r="B2256" i="6"/>
  <c r="J2256" i="6"/>
  <c r="B2257" i="6"/>
  <c r="J2257" i="6"/>
  <c r="B2258" i="6"/>
  <c r="J2258" i="6"/>
  <c r="B2259" i="6"/>
  <c r="J2259" i="6"/>
  <c r="B2260" i="6"/>
  <c r="J2260" i="6"/>
  <c r="B2261" i="6"/>
  <c r="J2261" i="6"/>
  <c r="B2262" i="6"/>
  <c r="J2262" i="6"/>
  <c r="B2263" i="6"/>
  <c r="J2263" i="6"/>
  <c r="B2264" i="6"/>
  <c r="J2264" i="6"/>
  <c r="B2265" i="6"/>
  <c r="J2265" i="6"/>
  <c r="B2266" i="6"/>
  <c r="J2266" i="6"/>
  <c r="B2267" i="6"/>
  <c r="J2267" i="6"/>
  <c r="B2268" i="6"/>
  <c r="J2268" i="6"/>
  <c r="B2269" i="6"/>
  <c r="J2269" i="6"/>
  <c r="B2270" i="6"/>
  <c r="J2270" i="6"/>
  <c r="B2271" i="6"/>
  <c r="J2271" i="6"/>
  <c r="B2272" i="6"/>
  <c r="J2272" i="6"/>
  <c r="B2273" i="6"/>
  <c r="J2273" i="6"/>
  <c r="B2274" i="6"/>
  <c r="J2274" i="6"/>
  <c r="B2275" i="6"/>
  <c r="J2275" i="6"/>
  <c r="B2276" i="6"/>
  <c r="J2276" i="6"/>
  <c r="B2277" i="6"/>
  <c r="J2277" i="6"/>
  <c r="B2278" i="6"/>
  <c r="J2278" i="6"/>
  <c r="B2279" i="6"/>
  <c r="J2279" i="6"/>
  <c r="B2280" i="6"/>
  <c r="J2280" i="6"/>
  <c r="B2281" i="6"/>
  <c r="J2281" i="6"/>
  <c r="B2282" i="6"/>
  <c r="J2282" i="6"/>
  <c r="B2283" i="6"/>
  <c r="J2283" i="6"/>
  <c r="B2284" i="6"/>
  <c r="J2284" i="6"/>
  <c r="B2285" i="6"/>
  <c r="J2285" i="6"/>
  <c r="B2286" i="6"/>
  <c r="J2286" i="6"/>
  <c r="B2287" i="6"/>
  <c r="J2287" i="6"/>
  <c r="B2288" i="6"/>
  <c r="J2288" i="6"/>
  <c r="B2289" i="6"/>
  <c r="J2289" i="6"/>
  <c r="B2290" i="6"/>
  <c r="J2290" i="6"/>
  <c r="B2291" i="6"/>
  <c r="J2291" i="6"/>
  <c r="B2292" i="6"/>
  <c r="J2292" i="6"/>
  <c r="B2293" i="6"/>
  <c r="J2293" i="6"/>
  <c r="B2294" i="6"/>
  <c r="J2294" i="6"/>
  <c r="B2295" i="6"/>
  <c r="J2295" i="6"/>
  <c r="B2296" i="6"/>
  <c r="J2296" i="6"/>
  <c r="B2297" i="6"/>
  <c r="J2297" i="6"/>
  <c r="B2298" i="6"/>
  <c r="J2298" i="6"/>
  <c r="B2299" i="6"/>
  <c r="J2299" i="6"/>
  <c r="B2300" i="6"/>
  <c r="J2300" i="6"/>
  <c r="B2301" i="6"/>
  <c r="J2301" i="6"/>
  <c r="B2302" i="6"/>
  <c r="J2302" i="6"/>
  <c r="B2303" i="6"/>
  <c r="J2303" i="6"/>
  <c r="B2304" i="6"/>
  <c r="J2304" i="6"/>
  <c r="B2305" i="6"/>
  <c r="J2305" i="6"/>
  <c r="B2306" i="6"/>
  <c r="J2306" i="6"/>
  <c r="B2307" i="6"/>
  <c r="J2307" i="6"/>
  <c r="B2308" i="6"/>
  <c r="J2308" i="6"/>
  <c r="B2309" i="6"/>
  <c r="J2309" i="6"/>
  <c r="B2310" i="6"/>
  <c r="J2310" i="6"/>
  <c r="B2311" i="6"/>
  <c r="J2311" i="6"/>
  <c r="B2312" i="6"/>
  <c r="J2312" i="6"/>
  <c r="B2313" i="6"/>
  <c r="J2313" i="6"/>
  <c r="B2314" i="6"/>
  <c r="J2314" i="6"/>
  <c r="B2315" i="6"/>
  <c r="J2315" i="6"/>
  <c r="B2316" i="6"/>
  <c r="J2316" i="6"/>
  <c r="B2317" i="6"/>
  <c r="J2317" i="6"/>
  <c r="B2318" i="6"/>
  <c r="J2318" i="6"/>
  <c r="B2319" i="6"/>
  <c r="J2319" i="6"/>
  <c r="B2320" i="6"/>
  <c r="J2320" i="6"/>
  <c r="B2321" i="6"/>
  <c r="J2321" i="6"/>
  <c r="B2322" i="6"/>
  <c r="J2322" i="6"/>
  <c r="B2323" i="6"/>
  <c r="J2323" i="6"/>
  <c r="B2324" i="6"/>
  <c r="J2324" i="6"/>
  <c r="B2325" i="6"/>
  <c r="J2325" i="6"/>
  <c r="B2326" i="6"/>
  <c r="J2326" i="6"/>
  <c r="B2327" i="6"/>
  <c r="J2327" i="6"/>
  <c r="B2328" i="6"/>
  <c r="J2328" i="6"/>
  <c r="B2329" i="6"/>
  <c r="J2329" i="6"/>
  <c r="B2330" i="6"/>
  <c r="J2330" i="6"/>
  <c r="B2331" i="6"/>
  <c r="J2331" i="6"/>
  <c r="B2332" i="6"/>
  <c r="J2332" i="6"/>
  <c r="B2333" i="6"/>
  <c r="J2333" i="6"/>
  <c r="B2334" i="6"/>
  <c r="J2334" i="6"/>
  <c r="B2335" i="6"/>
  <c r="J2335" i="6"/>
  <c r="B2336" i="6"/>
  <c r="J2336" i="6"/>
  <c r="B2337" i="6"/>
  <c r="J2337" i="6"/>
  <c r="B2338" i="6"/>
  <c r="J2338" i="6"/>
  <c r="B2339" i="6"/>
  <c r="J2339" i="6"/>
  <c r="B2340" i="6"/>
  <c r="J2340" i="6"/>
  <c r="B2341" i="6"/>
  <c r="J2341" i="6"/>
  <c r="B2342" i="6"/>
  <c r="J2342" i="6"/>
  <c r="B2343" i="6"/>
  <c r="J2343" i="6"/>
  <c r="B2344" i="6"/>
  <c r="J2344" i="6"/>
  <c r="B2345" i="6"/>
  <c r="J2345" i="6"/>
  <c r="B2346" i="6"/>
  <c r="J2346" i="6"/>
  <c r="B2347" i="6"/>
  <c r="J2347" i="6"/>
  <c r="B2348" i="6"/>
  <c r="J2348" i="6"/>
  <c r="B2349" i="6"/>
  <c r="J2349" i="6"/>
  <c r="B2350" i="6"/>
  <c r="J2350" i="6"/>
  <c r="B2351" i="6"/>
  <c r="J2351" i="6"/>
  <c r="B2352" i="6"/>
  <c r="J2352" i="6"/>
  <c r="B2353" i="6"/>
  <c r="J2353" i="6"/>
  <c r="B2354" i="6"/>
  <c r="J2354" i="6"/>
  <c r="B2355" i="6"/>
  <c r="J2355" i="6"/>
  <c r="B2356" i="6"/>
  <c r="J2356" i="6"/>
  <c r="B2357" i="6"/>
  <c r="J2357" i="6"/>
  <c r="B2358" i="6"/>
  <c r="J2358" i="6"/>
  <c r="B2359" i="6"/>
  <c r="J2359" i="6"/>
  <c r="B2360" i="6"/>
  <c r="J2360" i="6"/>
  <c r="B2361" i="6"/>
  <c r="J2361" i="6"/>
  <c r="B2362" i="6"/>
  <c r="J2362" i="6"/>
  <c r="B2363" i="6"/>
  <c r="J2363" i="6"/>
  <c r="B2364" i="6"/>
  <c r="J2364" i="6"/>
  <c r="B2365" i="6"/>
  <c r="J2365" i="6"/>
  <c r="B2366" i="6"/>
  <c r="J2366" i="6"/>
  <c r="B2367" i="6"/>
  <c r="J2367" i="6"/>
  <c r="B2368" i="6"/>
  <c r="J2368" i="6"/>
  <c r="B2369" i="6"/>
  <c r="J2369" i="6"/>
  <c r="B2370" i="6"/>
  <c r="J2370" i="6"/>
  <c r="B2371" i="6"/>
  <c r="J2371" i="6"/>
  <c r="B2372" i="6"/>
  <c r="J2372" i="6"/>
  <c r="B2373" i="6"/>
  <c r="J2373" i="6"/>
  <c r="B2374" i="6"/>
  <c r="J2374" i="6"/>
  <c r="B2375" i="6"/>
  <c r="J2375" i="6"/>
  <c r="B2376" i="6"/>
  <c r="J2376" i="6"/>
  <c r="B2377" i="6"/>
  <c r="J2377" i="6"/>
  <c r="B2378" i="6"/>
  <c r="J2378" i="6"/>
  <c r="B2379" i="6"/>
  <c r="J2379" i="6"/>
  <c r="B2380" i="6"/>
  <c r="J2380" i="6"/>
  <c r="B2381" i="6"/>
  <c r="J2381" i="6"/>
  <c r="B2382" i="6"/>
  <c r="J2382" i="6"/>
  <c r="B2383" i="6"/>
  <c r="J2383" i="6"/>
  <c r="B2384" i="6"/>
  <c r="J2384" i="6"/>
  <c r="B2385" i="6"/>
  <c r="J2385" i="6"/>
  <c r="B2386" i="6"/>
  <c r="J2386" i="6"/>
  <c r="B2387" i="6"/>
  <c r="J2387" i="6"/>
  <c r="B2388" i="6"/>
  <c r="J2388" i="6"/>
  <c r="B2389" i="6"/>
  <c r="J2389" i="6"/>
  <c r="B2390" i="6"/>
  <c r="J2390" i="6"/>
  <c r="B2391" i="6"/>
  <c r="J2391" i="6"/>
  <c r="B2392" i="6"/>
  <c r="J2392" i="6"/>
  <c r="B2393" i="6"/>
  <c r="J2393" i="6"/>
  <c r="B2394" i="6"/>
  <c r="J2394" i="6"/>
  <c r="B2395" i="6"/>
  <c r="J2395" i="6"/>
  <c r="B2396" i="6"/>
  <c r="J2396" i="6"/>
  <c r="B2397" i="6"/>
  <c r="J2397" i="6"/>
  <c r="B2398" i="6"/>
  <c r="J2398" i="6"/>
  <c r="B2399" i="6"/>
  <c r="J2399" i="6"/>
  <c r="B2400" i="6"/>
  <c r="J2400" i="6"/>
  <c r="B2401" i="6"/>
  <c r="J2401" i="6"/>
  <c r="B2402" i="6"/>
  <c r="J2402" i="6"/>
  <c r="B2403" i="6"/>
  <c r="J2403" i="6"/>
  <c r="B2404" i="6"/>
  <c r="J2404" i="6"/>
  <c r="B2405" i="6"/>
  <c r="J2405" i="6"/>
  <c r="B2406" i="6"/>
  <c r="J2406" i="6"/>
  <c r="B2407" i="6"/>
  <c r="J2407" i="6"/>
  <c r="B2408" i="6"/>
  <c r="J2408" i="6"/>
  <c r="B2409" i="6"/>
  <c r="J2409" i="6"/>
  <c r="B2410" i="6"/>
  <c r="J2410" i="6"/>
  <c r="B2411" i="6"/>
  <c r="J2411" i="6"/>
  <c r="B2412" i="6"/>
  <c r="J2412" i="6"/>
  <c r="B2413" i="6"/>
  <c r="J2413" i="6"/>
  <c r="B2414" i="6"/>
  <c r="J2414" i="6"/>
  <c r="B2415" i="6"/>
  <c r="J2415" i="6"/>
  <c r="B2416" i="6"/>
  <c r="J2416" i="6"/>
  <c r="B2417" i="6"/>
  <c r="J2417" i="6"/>
  <c r="B2418" i="6"/>
  <c r="J2418" i="6"/>
  <c r="B2419" i="6"/>
  <c r="J2419" i="6"/>
  <c r="B2420" i="6"/>
  <c r="J2420" i="6"/>
  <c r="B2421" i="6"/>
  <c r="J2421" i="6"/>
  <c r="B2422" i="6"/>
  <c r="J2422" i="6"/>
  <c r="B2423" i="6"/>
  <c r="J2423" i="6"/>
  <c r="B2424" i="6"/>
  <c r="J2424" i="6"/>
  <c r="B2425" i="6"/>
  <c r="J2425" i="6"/>
  <c r="B2426" i="6"/>
  <c r="J2426" i="6"/>
  <c r="B2427" i="6"/>
  <c r="J2427" i="6"/>
  <c r="B2428" i="6"/>
  <c r="J2428" i="6"/>
  <c r="B2429" i="6"/>
  <c r="J2429" i="6"/>
  <c r="B2430" i="6"/>
  <c r="J2430" i="6"/>
  <c r="B2431" i="6"/>
  <c r="J2431" i="6"/>
  <c r="B2432" i="6"/>
  <c r="J2432" i="6"/>
  <c r="B2433" i="6"/>
  <c r="J2433" i="6"/>
  <c r="B2434" i="6"/>
  <c r="J2434" i="6"/>
  <c r="B2435" i="6"/>
  <c r="J2435" i="6"/>
  <c r="B2436" i="6"/>
  <c r="J2436" i="6"/>
  <c r="B2437" i="6"/>
  <c r="J2437" i="6"/>
  <c r="B2438" i="6"/>
  <c r="J2438" i="6"/>
  <c r="B2439" i="6"/>
  <c r="J2439" i="6"/>
  <c r="B2440" i="6"/>
  <c r="J2440" i="6"/>
  <c r="B2441" i="6"/>
  <c r="J2441" i="6"/>
  <c r="B2442" i="6"/>
  <c r="J2442" i="6"/>
  <c r="B2443" i="6"/>
  <c r="J2443" i="6"/>
  <c r="B2444" i="6"/>
  <c r="J2444" i="6"/>
  <c r="B2445" i="6"/>
  <c r="J2445" i="6"/>
  <c r="B2446" i="6"/>
  <c r="J2446" i="6"/>
  <c r="B2447" i="6"/>
  <c r="J2447" i="6"/>
  <c r="B2448" i="6"/>
  <c r="J2448" i="6"/>
  <c r="B2449" i="6"/>
  <c r="J2449" i="6"/>
  <c r="B2450" i="6"/>
  <c r="J2450" i="6"/>
  <c r="B2451" i="6"/>
  <c r="J2451" i="6"/>
  <c r="B2452" i="6"/>
  <c r="J2452" i="6"/>
  <c r="B2453" i="6"/>
  <c r="J2453" i="6"/>
  <c r="B2454" i="6"/>
  <c r="J2454" i="6"/>
  <c r="B2455" i="6"/>
  <c r="J2455" i="6"/>
  <c r="B2456" i="6"/>
  <c r="J2456" i="6"/>
  <c r="B2457" i="6"/>
  <c r="J2457" i="6"/>
  <c r="B2458" i="6"/>
  <c r="J2458" i="6"/>
  <c r="B2459" i="6"/>
  <c r="J2459" i="6"/>
  <c r="B2460" i="6"/>
  <c r="J2460" i="6"/>
  <c r="B2461" i="6"/>
  <c r="J2461" i="6"/>
  <c r="B2462" i="6"/>
  <c r="J2462" i="6"/>
  <c r="B2463" i="6"/>
  <c r="J2463" i="6"/>
  <c r="B2464" i="6"/>
  <c r="J2464" i="6"/>
  <c r="B2465" i="6"/>
  <c r="J2465" i="6"/>
  <c r="B2466" i="6"/>
  <c r="J2466" i="6"/>
  <c r="B2467" i="6"/>
  <c r="J2467" i="6"/>
  <c r="B2468" i="6"/>
  <c r="J2468" i="6"/>
  <c r="B2469" i="6"/>
  <c r="J2469" i="6"/>
  <c r="B2470" i="6"/>
  <c r="J2470" i="6"/>
  <c r="B2471" i="6"/>
  <c r="J2471" i="6"/>
  <c r="B2472" i="6"/>
  <c r="J2472" i="6"/>
  <c r="B2473" i="6"/>
  <c r="J2473" i="6"/>
  <c r="B2474" i="6"/>
  <c r="J2474" i="6"/>
  <c r="B2475" i="6"/>
  <c r="J2475" i="6"/>
  <c r="B2476" i="6"/>
  <c r="J2476" i="6"/>
  <c r="B2477" i="6"/>
  <c r="J2477" i="6"/>
  <c r="B2478" i="6"/>
  <c r="J2478" i="6"/>
  <c r="B2479" i="6"/>
  <c r="J2479" i="6"/>
  <c r="B2480" i="6"/>
  <c r="J2480" i="6"/>
  <c r="B2481" i="6"/>
  <c r="J2481" i="6"/>
  <c r="B2482" i="6"/>
  <c r="J2482" i="6"/>
  <c r="B2483" i="6"/>
  <c r="J2483" i="6"/>
  <c r="B2484" i="6"/>
  <c r="J2484" i="6"/>
  <c r="B2485" i="6"/>
  <c r="J2485" i="6"/>
  <c r="B2486" i="6"/>
  <c r="J2486" i="6"/>
  <c r="B2487" i="6"/>
  <c r="J2487" i="6"/>
  <c r="B2488" i="6"/>
  <c r="J2488" i="6"/>
  <c r="B2489" i="6"/>
  <c r="J2489" i="6"/>
  <c r="B2490" i="6"/>
  <c r="J2490" i="6"/>
  <c r="B2491" i="6"/>
  <c r="J2491" i="6"/>
  <c r="B2492" i="6"/>
  <c r="J2492" i="6"/>
  <c r="B2493" i="6"/>
  <c r="J2493" i="6"/>
  <c r="B2494" i="6"/>
  <c r="J2494" i="6"/>
  <c r="B2495" i="6"/>
  <c r="J2495" i="6"/>
  <c r="B2496" i="6"/>
  <c r="J2496" i="6"/>
  <c r="B2497" i="6"/>
  <c r="J2497" i="6"/>
  <c r="B2498" i="6"/>
  <c r="J2498" i="6"/>
  <c r="B2499" i="6"/>
  <c r="J2499" i="6"/>
  <c r="B2500" i="6"/>
  <c r="J2500" i="6"/>
  <c r="B2501" i="6"/>
  <c r="J2501" i="6"/>
  <c r="B2502" i="6"/>
  <c r="J2502" i="6"/>
  <c r="B2503" i="6"/>
  <c r="J2503" i="6"/>
  <c r="B2504" i="6"/>
  <c r="J2504" i="6"/>
  <c r="B2505" i="6"/>
  <c r="J2505" i="6"/>
  <c r="B2506" i="6"/>
  <c r="J2506" i="6"/>
  <c r="B2507" i="6"/>
  <c r="J2507" i="6"/>
  <c r="B2508" i="6"/>
  <c r="J2508" i="6"/>
  <c r="B2509" i="6"/>
  <c r="J2509" i="6"/>
  <c r="B2510" i="6"/>
  <c r="J2510" i="6"/>
  <c r="B2511" i="6"/>
  <c r="J2511" i="6"/>
  <c r="B2512" i="6"/>
  <c r="J2512" i="6"/>
  <c r="B2513" i="6"/>
  <c r="J2513" i="6"/>
  <c r="B2514" i="6"/>
  <c r="J2514" i="6"/>
  <c r="B2515" i="6"/>
  <c r="J2515" i="6"/>
  <c r="B2516" i="6"/>
  <c r="J2516" i="6"/>
  <c r="B2517" i="6"/>
  <c r="J2517" i="6"/>
  <c r="B2518" i="6"/>
  <c r="J2518" i="6"/>
  <c r="B2519" i="6"/>
  <c r="J2519" i="6"/>
  <c r="B2520" i="6"/>
  <c r="J2520" i="6"/>
  <c r="B2521" i="6"/>
  <c r="J2521" i="6"/>
  <c r="B2522" i="6"/>
  <c r="J2522" i="6"/>
  <c r="B2523" i="6"/>
  <c r="J2523" i="6"/>
  <c r="B2524" i="6"/>
  <c r="J2524" i="6"/>
  <c r="B2525" i="6"/>
  <c r="J2525" i="6"/>
  <c r="B2526" i="6"/>
  <c r="J2526" i="6"/>
  <c r="B2527" i="6"/>
  <c r="J2527" i="6"/>
  <c r="B2528" i="6"/>
  <c r="J2528" i="6"/>
  <c r="B2529" i="6"/>
  <c r="J2529" i="6"/>
  <c r="B2530" i="6"/>
  <c r="J2530" i="6"/>
  <c r="B2531" i="6"/>
  <c r="J2531" i="6"/>
  <c r="B2532" i="6"/>
  <c r="J2532" i="6"/>
  <c r="B2533" i="6"/>
  <c r="J2533" i="6"/>
  <c r="B2534" i="6"/>
  <c r="J2534" i="6"/>
  <c r="B2535" i="6"/>
  <c r="J2535" i="6"/>
  <c r="B2536" i="6"/>
  <c r="J2536" i="6"/>
  <c r="B2537" i="6"/>
  <c r="J2537" i="6"/>
  <c r="B2538" i="6"/>
  <c r="J2538" i="6"/>
  <c r="B2539" i="6"/>
  <c r="J2539" i="6"/>
  <c r="B2540" i="6"/>
  <c r="J2540" i="6"/>
  <c r="B2541" i="6"/>
  <c r="J2541" i="6"/>
  <c r="B2542" i="6"/>
  <c r="J2542" i="6"/>
  <c r="B2543" i="6"/>
  <c r="J2543" i="6"/>
  <c r="B2544" i="6"/>
  <c r="J2544" i="6"/>
  <c r="B2545" i="6"/>
  <c r="J2545" i="6"/>
  <c r="B2546" i="6"/>
  <c r="J2546" i="6"/>
  <c r="B2547" i="6"/>
  <c r="J2547" i="6"/>
  <c r="B2548" i="6"/>
  <c r="J2548" i="6"/>
  <c r="B2549" i="6"/>
  <c r="J2549" i="6"/>
  <c r="B2550" i="6"/>
  <c r="J2550" i="6"/>
  <c r="B2551" i="6"/>
  <c r="J2551" i="6"/>
  <c r="B2552" i="6"/>
  <c r="J2552" i="6"/>
  <c r="B2553" i="6"/>
  <c r="J2553" i="6"/>
  <c r="B2554" i="6"/>
  <c r="J2554" i="6"/>
  <c r="B2555" i="6"/>
  <c r="J2555" i="6"/>
  <c r="B2556" i="6"/>
  <c r="J2556" i="6"/>
  <c r="B2557" i="6"/>
  <c r="J2557" i="6"/>
  <c r="B2558" i="6"/>
  <c r="J2558" i="6"/>
  <c r="B2559" i="6"/>
  <c r="J2559" i="6"/>
  <c r="B2560" i="6"/>
  <c r="J2560" i="6"/>
  <c r="B2561" i="6"/>
  <c r="J2561" i="6"/>
  <c r="B2562" i="6"/>
  <c r="J2562" i="6"/>
  <c r="B2563" i="6"/>
  <c r="J2563" i="6"/>
  <c r="B2564" i="6"/>
  <c r="J2564" i="6"/>
  <c r="B2565" i="6"/>
  <c r="J2565" i="6"/>
  <c r="B2566" i="6"/>
  <c r="J2566" i="6"/>
  <c r="B2567" i="6"/>
  <c r="J2567" i="6"/>
  <c r="B2568" i="6"/>
  <c r="J2568" i="6"/>
  <c r="B2569" i="6"/>
  <c r="J2569" i="6"/>
  <c r="B2570" i="6"/>
  <c r="J2570" i="6"/>
  <c r="B2571" i="6"/>
  <c r="J2571" i="6"/>
  <c r="B2572" i="6"/>
  <c r="J2572" i="6"/>
  <c r="B2573" i="6"/>
  <c r="J2573" i="6"/>
  <c r="B2574" i="6"/>
  <c r="J2574" i="6"/>
  <c r="B2575" i="6"/>
  <c r="J2575" i="6"/>
  <c r="B2576" i="6"/>
  <c r="J2576" i="6"/>
  <c r="B2577" i="6"/>
  <c r="J2577" i="6"/>
  <c r="B2578" i="6"/>
  <c r="J2578" i="6"/>
  <c r="B2579" i="6"/>
  <c r="J2579" i="6"/>
  <c r="B2580" i="6"/>
  <c r="J2580" i="6"/>
  <c r="B2581" i="6"/>
  <c r="J2581" i="6"/>
  <c r="B2582" i="6"/>
  <c r="J2582" i="6"/>
  <c r="B2583" i="6"/>
  <c r="J2583" i="6"/>
  <c r="B2584" i="6"/>
  <c r="J2584" i="6"/>
  <c r="B2585" i="6"/>
  <c r="J2585" i="6"/>
  <c r="B2586" i="6"/>
  <c r="J2586" i="6"/>
  <c r="B2587" i="6"/>
  <c r="J2587" i="6"/>
  <c r="B2588" i="6"/>
  <c r="J2588" i="6"/>
  <c r="B2589" i="6"/>
  <c r="J2589" i="6"/>
  <c r="B2590" i="6"/>
  <c r="J2590" i="6"/>
  <c r="B2591" i="6"/>
  <c r="J2591" i="6"/>
  <c r="B2592" i="6"/>
  <c r="J2592" i="6"/>
  <c r="B2593" i="6"/>
  <c r="J2593" i="6"/>
  <c r="B2594" i="6"/>
  <c r="J2594" i="6"/>
  <c r="B2595" i="6"/>
  <c r="J2595" i="6"/>
  <c r="B2596" i="6"/>
  <c r="J2596" i="6"/>
  <c r="B2597" i="6"/>
  <c r="J2597" i="6"/>
  <c r="B2598" i="6"/>
  <c r="J2598" i="6"/>
  <c r="B2599" i="6"/>
  <c r="J2599" i="6"/>
  <c r="B2600" i="6"/>
  <c r="J2600" i="6"/>
  <c r="B2601" i="6"/>
  <c r="J2601" i="6"/>
  <c r="B2602" i="6"/>
  <c r="J2602" i="6"/>
  <c r="B2603" i="6"/>
  <c r="J2603" i="6"/>
  <c r="B2604" i="6"/>
  <c r="J2604" i="6"/>
  <c r="B2605" i="6"/>
  <c r="J2605" i="6"/>
  <c r="B2606" i="6"/>
  <c r="J2606" i="6"/>
  <c r="B2607" i="6"/>
  <c r="J2607" i="6"/>
  <c r="B2608" i="6"/>
  <c r="J2608" i="6"/>
  <c r="B2609" i="6"/>
  <c r="J2609" i="6"/>
  <c r="B2610" i="6"/>
  <c r="J2610" i="6"/>
  <c r="B2611" i="6"/>
  <c r="J2611" i="6"/>
  <c r="B2612" i="6"/>
  <c r="J2612" i="6"/>
  <c r="B2613" i="6"/>
  <c r="J2613" i="6"/>
  <c r="B2614" i="6"/>
  <c r="J2614" i="6"/>
  <c r="B2615" i="6"/>
  <c r="J2615" i="6"/>
  <c r="B2616" i="6"/>
  <c r="J2616" i="6"/>
  <c r="B2617" i="6"/>
  <c r="J2617" i="6"/>
  <c r="B2618" i="6"/>
  <c r="J2618" i="6"/>
  <c r="B2619" i="6"/>
  <c r="J2619" i="6"/>
  <c r="B2620" i="6"/>
  <c r="J2620" i="6"/>
  <c r="B2621" i="6"/>
  <c r="J2621" i="6"/>
  <c r="B2622" i="6"/>
  <c r="J2622" i="6"/>
  <c r="B2623" i="6"/>
  <c r="J2623" i="6"/>
  <c r="B2624" i="6"/>
  <c r="J2624" i="6"/>
  <c r="B2625" i="6"/>
  <c r="J2625" i="6"/>
  <c r="B2626" i="6"/>
  <c r="J2626" i="6"/>
  <c r="B2627" i="6"/>
  <c r="J2627" i="6"/>
  <c r="B2628" i="6"/>
  <c r="J2628" i="6"/>
  <c r="B2629" i="6"/>
  <c r="J2629" i="6"/>
  <c r="B2630" i="6"/>
  <c r="J2630" i="6"/>
  <c r="B2631" i="6"/>
  <c r="J2631" i="6"/>
  <c r="B2632" i="6"/>
  <c r="J2632" i="6"/>
  <c r="B2633" i="6"/>
  <c r="J2633" i="6"/>
  <c r="B2634" i="6"/>
  <c r="J2634" i="6"/>
  <c r="B2635" i="6"/>
  <c r="J2635" i="6"/>
  <c r="B2636" i="6"/>
  <c r="J2636" i="6"/>
  <c r="B2637" i="6"/>
  <c r="J2637" i="6"/>
  <c r="B2638" i="6"/>
  <c r="J2638" i="6"/>
  <c r="B2639" i="6"/>
  <c r="J2639" i="6"/>
  <c r="B2640" i="6"/>
  <c r="J2640" i="6"/>
  <c r="B2641" i="6"/>
  <c r="J2641" i="6"/>
  <c r="B2642" i="6"/>
  <c r="J2642" i="6"/>
  <c r="B2643" i="6"/>
  <c r="J2643" i="6"/>
  <c r="B2644" i="6"/>
  <c r="J2644" i="6"/>
  <c r="B2645" i="6"/>
  <c r="J2645" i="6"/>
  <c r="B2646" i="6"/>
  <c r="J2646" i="6"/>
  <c r="B2647" i="6"/>
  <c r="J2647" i="6"/>
  <c r="B2648" i="6"/>
  <c r="J2648" i="6"/>
  <c r="B2649" i="6"/>
  <c r="J2649" i="6"/>
  <c r="B2650" i="6"/>
  <c r="J2650" i="6"/>
  <c r="B2651" i="6"/>
  <c r="J2651" i="6"/>
  <c r="B2652" i="6"/>
  <c r="J2652" i="6"/>
  <c r="B2653" i="6"/>
  <c r="J2653" i="6"/>
  <c r="B2654" i="6"/>
  <c r="J2654" i="6"/>
  <c r="B2655" i="6"/>
  <c r="J2655" i="6"/>
  <c r="B2656" i="6"/>
  <c r="J2656" i="6"/>
  <c r="B2657" i="6"/>
  <c r="J2657" i="6"/>
  <c r="B2658" i="6"/>
  <c r="J2658" i="6"/>
  <c r="B2659" i="6"/>
  <c r="J2659" i="6"/>
  <c r="B2660" i="6"/>
  <c r="J2660" i="6"/>
  <c r="B2661" i="6"/>
  <c r="J2661" i="6"/>
  <c r="B2662" i="6"/>
  <c r="J2662" i="6"/>
  <c r="B2663" i="6"/>
  <c r="J2663" i="6"/>
  <c r="B2664" i="6"/>
  <c r="J2664" i="6"/>
  <c r="B2665" i="6"/>
  <c r="J2665" i="6"/>
  <c r="B2666" i="6"/>
  <c r="J2666" i="6"/>
  <c r="B2667" i="6"/>
  <c r="J2667" i="6"/>
  <c r="B2668" i="6"/>
  <c r="J2668" i="6"/>
  <c r="B2669" i="6"/>
  <c r="J2669" i="6"/>
  <c r="B2670" i="6"/>
  <c r="J2670" i="6"/>
  <c r="B2671" i="6"/>
  <c r="J2671" i="6"/>
  <c r="B2672" i="6"/>
  <c r="J2672" i="6"/>
  <c r="B2673" i="6"/>
  <c r="J2673" i="6"/>
  <c r="B2674" i="6"/>
  <c r="J2674" i="6"/>
  <c r="B2675" i="6"/>
  <c r="J2675" i="6"/>
  <c r="B2676" i="6"/>
  <c r="J2676" i="6"/>
  <c r="B2677" i="6"/>
  <c r="J2677" i="6"/>
  <c r="B2678" i="6"/>
  <c r="J2678" i="6"/>
  <c r="B2679" i="6"/>
  <c r="J2679" i="6"/>
  <c r="B2680" i="6"/>
  <c r="J2680" i="6"/>
  <c r="B2681" i="6"/>
  <c r="J2681" i="6"/>
  <c r="B2682" i="6"/>
  <c r="J2682" i="6"/>
  <c r="B2683" i="6"/>
  <c r="J2683" i="6"/>
  <c r="B2684" i="6"/>
  <c r="J2684" i="6"/>
  <c r="B2685" i="6"/>
  <c r="J2685" i="6"/>
  <c r="B2686" i="6"/>
  <c r="J2686" i="6"/>
  <c r="B2687" i="6"/>
  <c r="J2687" i="6"/>
  <c r="B2688" i="6"/>
  <c r="J2688" i="6"/>
  <c r="B2689" i="6"/>
  <c r="J2689" i="6"/>
  <c r="B2690" i="6"/>
  <c r="J2690" i="6"/>
  <c r="B2691" i="6"/>
  <c r="J2691" i="6"/>
  <c r="B2692" i="6"/>
  <c r="J2692" i="6"/>
  <c r="B2693" i="6"/>
  <c r="J2693" i="6"/>
  <c r="B2694" i="6"/>
  <c r="J2694" i="6"/>
  <c r="B2695" i="6"/>
  <c r="J2695" i="6"/>
  <c r="B2696" i="6"/>
  <c r="J2696" i="6"/>
  <c r="B2697" i="6"/>
  <c r="J2697" i="6"/>
  <c r="B2698" i="6"/>
  <c r="J2698" i="6"/>
  <c r="B2699" i="6"/>
  <c r="J2699" i="6"/>
  <c r="B2700" i="6"/>
  <c r="J2700" i="6"/>
  <c r="B2701" i="6"/>
  <c r="J2701" i="6"/>
  <c r="B2702" i="6"/>
  <c r="J2702" i="6"/>
  <c r="B2703" i="6"/>
  <c r="J2703" i="6"/>
  <c r="B2704" i="6"/>
  <c r="J2704" i="6"/>
  <c r="B2705" i="6"/>
  <c r="J2705" i="6"/>
  <c r="B2706" i="6"/>
  <c r="J2706" i="6"/>
  <c r="B2707" i="6"/>
  <c r="J2707" i="6"/>
  <c r="B2708" i="6"/>
  <c r="J2708" i="6"/>
  <c r="B2709" i="6"/>
  <c r="J2709" i="6"/>
  <c r="B2710" i="6"/>
  <c r="J2710" i="6"/>
  <c r="B2711" i="6"/>
  <c r="J2711" i="6"/>
  <c r="B2712" i="6"/>
  <c r="J2712" i="6"/>
  <c r="B2713" i="6"/>
  <c r="J2713" i="6"/>
  <c r="B2714" i="6"/>
  <c r="J2714" i="6"/>
  <c r="B2715" i="6"/>
  <c r="J2715" i="6"/>
  <c r="B2716" i="6"/>
  <c r="J2716" i="6"/>
  <c r="B2717" i="6"/>
  <c r="J2717" i="6"/>
  <c r="B2718" i="6"/>
  <c r="J2718" i="6"/>
  <c r="B2719" i="6"/>
  <c r="J2719" i="6"/>
  <c r="B2720" i="6"/>
  <c r="J2720" i="6"/>
  <c r="B2721" i="6"/>
  <c r="J2721" i="6"/>
  <c r="B2722" i="6"/>
  <c r="J2722" i="6"/>
  <c r="B2723" i="6"/>
  <c r="J2723" i="6"/>
  <c r="B2724" i="6"/>
  <c r="J2724" i="6"/>
  <c r="B2725" i="6"/>
  <c r="J2725" i="6"/>
  <c r="B2726" i="6"/>
  <c r="J2726" i="6"/>
  <c r="B2727" i="6"/>
  <c r="J2727" i="6"/>
  <c r="B2728" i="6"/>
  <c r="J2728" i="6"/>
  <c r="B2729" i="6"/>
  <c r="J2729" i="6"/>
  <c r="B2730" i="6"/>
  <c r="J2730" i="6"/>
  <c r="B2731" i="6"/>
  <c r="J2731" i="6"/>
  <c r="B2732" i="6"/>
  <c r="J2732" i="6"/>
  <c r="B2733" i="6"/>
  <c r="J2733" i="6"/>
  <c r="B2734" i="6"/>
  <c r="J2734" i="6"/>
  <c r="B2735" i="6"/>
  <c r="J2735" i="6"/>
  <c r="B2736" i="6"/>
  <c r="J2736" i="6"/>
  <c r="B2737" i="6"/>
  <c r="J2737" i="6"/>
  <c r="B2738" i="6"/>
  <c r="J2738" i="6"/>
  <c r="B2739" i="6"/>
  <c r="J2739" i="6"/>
  <c r="B2740" i="6"/>
  <c r="J2740" i="6"/>
  <c r="B2741" i="6"/>
  <c r="J2741" i="6"/>
  <c r="B2742" i="6"/>
  <c r="J2742" i="6"/>
  <c r="B2743" i="6"/>
  <c r="J2743" i="6"/>
  <c r="B2744" i="6"/>
  <c r="J2744" i="6"/>
  <c r="B2745" i="6"/>
  <c r="J2745" i="6"/>
  <c r="B2746" i="6"/>
  <c r="J2746" i="6"/>
  <c r="B2747" i="6"/>
  <c r="J2747" i="6"/>
  <c r="B2748" i="6"/>
  <c r="J2748" i="6"/>
  <c r="B2749" i="6"/>
  <c r="J2749" i="6"/>
  <c r="B2750" i="6"/>
  <c r="J2750" i="6"/>
  <c r="B2751" i="6"/>
  <c r="J2751" i="6"/>
  <c r="B2752" i="6"/>
  <c r="J2752" i="6"/>
  <c r="B2753" i="6"/>
  <c r="J2753" i="6"/>
  <c r="B2754" i="6"/>
  <c r="J2754" i="6"/>
  <c r="B2755" i="6"/>
  <c r="J2755" i="6"/>
  <c r="B2756" i="6"/>
  <c r="J2756" i="6"/>
  <c r="B2757" i="6"/>
  <c r="J2757" i="6"/>
  <c r="B2758" i="6"/>
  <c r="J2758" i="6"/>
  <c r="B2759" i="6"/>
  <c r="J2759" i="6"/>
  <c r="B2760" i="6"/>
  <c r="J2760" i="6"/>
  <c r="B2761" i="6"/>
  <c r="J2761" i="6"/>
  <c r="B2762" i="6"/>
  <c r="J2762" i="6"/>
  <c r="B2763" i="6"/>
  <c r="J2763" i="6"/>
  <c r="B2764" i="6"/>
  <c r="J2764" i="6"/>
  <c r="B2765" i="6"/>
  <c r="J2765" i="6"/>
  <c r="B2766" i="6"/>
  <c r="J2766" i="6"/>
  <c r="B2767" i="6"/>
  <c r="J2767" i="6"/>
  <c r="B2768" i="6"/>
  <c r="J2768" i="6"/>
  <c r="B2769" i="6"/>
  <c r="J2769" i="6"/>
  <c r="B2770" i="6"/>
  <c r="J2770" i="6"/>
  <c r="B2771" i="6"/>
  <c r="J2771" i="6"/>
  <c r="B2772" i="6"/>
  <c r="J2772" i="6"/>
  <c r="B2773" i="6"/>
  <c r="J2773" i="6"/>
  <c r="B2774" i="6"/>
  <c r="J2774" i="6"/>
  <c r="B2775" i="6"/>
  <c r="J2775" i="6"/>
  <c r="B2776" i="6"/>
  <c r="J2776" i="6"/>
  <c r="B2777" i="6"/>
  <c r="J2777" i="6"/>
  <c r="B2778" i="6"/>
  <c r="J2778" i="6"/>
  <c r="B2779" i="6"/>
  <c r="J2779" i="6"/>
  <c r="B2780" i="6"/>
  <c r="J2780" i="6"/>
  <c r="B2781" i="6"/>
  <c r="J2781" i="6"/>
  <c r="B2782" i="6"/>
  <c r="J2782" i="6"/>
  <c r="B2783" i="6"/>
  <c r="J2783" i="6"/>
  <c r="B2784" i="6"/>
  <c r="J2784" i="6"/>
  <c r="B2785" i="6"/>
  <c r="J2785" i="6"/>
  <c r="B2786" i="6"/>
  <c r="J2786" i="6"/>
  <c r="B2787" i="6"/>
  <c r="J2787" i="6"/>
  <c r="B2788" i="6"/>
  <c r="J2788" i="6"/>
  <c r="B2789" i="6"/>
  <c r="J2789" i="6"/>
  <c r="B2790" i="6"/>
  <c r="J2790" i="6"/>
  <c r="B2791" i="6"/>
  <c r="J2791" i="6"/>
  <c r="B2792" i="6"/>
  <c r="J2792" i="6"/>
  <c r="B2793" i="6"/>
  <c r="J2793" i="6"/>
  <c r="B2794" i="6"/>
  <c r="J2794" i="6"/>
  <c r="B2795" i="6"/>
  <c r="J2795" i="6"/>
  <c r="B2796" i="6"/>
  <c r="J2796" i="6"/>
  <c r="B2797" i="6"/>
  <c r="J2797" i="6"/>
  <c r="B2798" i="6"/>
  <c r="J2798" i="6"/>
  <c r="B2799" i="6"/>
  <c r="J2799" i="6"/>
  <c r="B2800" i="6"/>
  <c r="J2800" i="6"/>
  <c r="B2801" i="6"/>
  <c r="J2801" i="6"/>
  <c r="B2802" i="6"/>
  <c r="J2802" i="6"/>
  <c r="B2803" i="6"/>
  <c r="J2803" i="6"/>
  <c r="B2804" i="6"/>
  <c r="J2804" i="6"/>
  <c r="B2805" i="6"/>
  <c r="J2805" i="6"/>
  <c r="B2806" i="6"/>
  <c r="J2806" i="6"/>
  <c r="B2807" i="6"/>
  <c r="J2807" i="6"/>
  <c r="B2808" i="6"/>
  <c r="J2808" i="6"/>
  <c r="B2809" i="6"/>
  <c r="J2809" i="6"/>
  <c r="B2810" i="6"/>
  <c r="J2810" i="6"/>
  <c r="B2811" i="6"/>
  <c r="J2811" i="6"/>
  <c r="B2812" i="6"/>
  <c r="J2812" i="6"/>
  <c r="B2813" i="6"/>
  <c r="J2813" i="6"/>
  <c r="B2814" i="6"/>
  <c r="J2814" i="6"/>
  <c r="B2815" i="6"/>
  <c r="J2815" i="6"/>
  <c r="B2816" i="6"/>
  <c r="J2816" i="6"/>
  <c r="B2817" i="6"/>
  <c r="J2817" i="6"/>
  <c r="B2818" i="6"/>
  <c r="J2818" i="6"/>
  <c r="B2819" i="6"/>
  <c r="J2819" i="6"/>
  <c r="B2820" i="6"/>
  <c r="J2820" i="6"/>
  <c r="B2821" i="6"/>
  <c r="J2821" i="6"/>
  <c r="B2822" i="6"/>
  <c r="J2822" i="6"/>
  <c r="B2823" i="6"/>
  <c r="J2823" i="6"/>
  <c r="B2824" i="6"/>
  <c r="J2824" i="6"/>
  <c r="B2825" i="6"/>
  <c r="J2825" i="6"/>
  <c r="B2826" i="6"/>
  <c r="J2826" i="6"/>
  <c r="B2827" i="6"/>
  <c r="J2827" i="6"/>
  <c r="B2828" i="6"/>
  <c r="J2828" i="6"/>
  <c r="B2829" i="6"/>
  <c r="J2829" i="6"/>
  <c r="B2830" i="6"/>
  <c r="J2830" i="6"/>
  <c r="B2831" i="6"/>
  <c r="J2831" i="6"/>
  <c r="B2832" i="6"/>
  <c r="J2832" i="6"/>
  <c r="B2833" i="6"/>
  <c r="J2833" i="6"/>
  <c r="B2834" i="6"/>
  <c r="J2834" i="6"/>
  <c r="B2835" i="6"/>
  <c r="J2835" i="6"/>
  <c r="B2836" i="6"/>
  <c r="J2836" i="6"/>
  <c r="B2837" i="6"/>
  <c r="J2837" i="6"/>
  <c r="B2838" i="6"/>
  <c r="J2838" i="6"/>
  <c r="B2839" i="6"/>
  <c r="J2839" i="6"/>
  <c r="B2840" i="6"/>
  <c r="J2840" i="6"/>
  <c r="B2841" i="6"/>
  <c r="J2841" i="6"/>
  <c r="B2842" i="6"/>
  <c r="J2842" i="6"/>
  <c r="B2843" i="6"/>
  <c r="J2843" i="6"/>
  <c r="B2844" i="6"/>
  <c r="J2844" i="6"/>
  <c r="B2845" i="6"/>
  <c r="J2845" i="6"/>
  <c r="B2846" i="6"/>
  <c r="J2846" i="6"/>
  <c r="B2847" i="6"/>
  <c r="J2847" i="6"/>
  <c r="B2848" i="6"/>
  <c r="J2848" i="6"/>
  <c r="B2849" i="6"/>
  <c r="J2849" i="6"/>
  <c r="B2850" i="6"/>
  <c r="J2850" i="6"/>
  <c r="B2851" i="6"/>
  <c r="J2851" i="6"/>
  <c r="B2852" i="6"/>
  <c r="J2852" i="6"/>
  <c r="B2853" i="6"/>
  <c r="J2853" i="6"/>
  <c r="B2854" i="6"/>
  <c r="J2854" i="6"/>
  <c r="B2855" i="6"/>
  <c r="J2855" i="6"/>
  <c r="B2856" i="6"/>
  <c r="J2856" i="6"/>
  <c r="B2857" i="6"/>
  <c r="J2857" i="6"/>
  <c r="B2858" i="6"/>
  <c r="J2858" i="6"/>
  <c r="B2859" i="6"/>
  <c r="J2859" i="6"/>
  <c r="B2860" i="6"/>
  <c r="J2860" i="6"/>
  <c r="B2861" i="6"/>
  <c r="J2861" i="6"/>
  <c r="B2862" i="6"/>
  <c r="J2862" i="6"/>
  <c r="B2863" i="6"/>
  <c r="J2863" i="6"/>
  <c r="B2864" i="6"/>
  <c r="J2864" i="6"/>
  <c r="B2865" i="6"/>
  <c r="J2865" i="6"/>
  <c r="B2866" i="6"/>
  <c r="J2866" i="6"/>
  <c r="B2867" i="6"/>
  <c r="J2867" i="6"/>
  <c r="B2868" i="6"/>
  <c r="J2868" i="6"/>
  <c r="B2869" i="6"/>
  <c r="J2869" i="6"/>
  <c r="B2870" i="6"/>
  <c r="J2870" i="6"/>
  <c r="B2871" i="6"/>
  <c r="J2871" i="6"/>
  <c r="B2872" i="6"/>
  <c r="J2872" i="6"/>
  <c r="B2873" i="6"/>
  <c r="J2873" i="6"/>
  <c r="B2874" i="6"/>
  <c r="J2874" i="6"/>
  <c r="B2875" i="6"/>
  <c r="J2875" i="6"/>
  <c r="B2876" i="6"/>
  <c r="J2876" i="6"/>
  <c r="B2877" i="6"/>
  <c r="J2877" i="6"/>
  <c r="B2878" i="6"/>
  <c r="J2878" i="6"/>
  <c r="B2879" i="6"/>
  <c r="J2879" i="6"/>
  <c r="B2880" i="6"/>
  <c r="J2880" i="6"/>
  <c r="B2881" i="6"/>
  <c r="J2881" i="6"/>
  <c r="B2882" i="6"/>
  <c r="J2882" i="6"/>
  <c r="B2883" i="6"/>
  <c r="J2883" i="6"/>
  <c r="B2884" i="6"/>
  <c r="J2884" i="6"/>
  <c r="B2885" i="6"/>
  <c r="J2885" i="6"/>
  <c r="B2886" i="6"/>
  <c r="J2886" i="6"/>
  <c r="B2887" i="6"/>
  <c r="J2887" i="6"/>
  <c r="B2888" i="6"/>
  <c r="J2888" i="6"/>
  <c r="B2889" i="6"/>
  <c r="J2889" i="6"/>
  <c r="B2890" i="6"/>
  <c r="J2890" i="6"/>
  <c r="B2891" i="6"/>
  <c r="J2891" i="6"/>
  <c r="B2892" i="6"/>
  <c r="J2892" i="6"/>
  <c r="B2893" i="6"/>
  <c r="J2893" i="6"/>
  <c r="B2894" i="6"/>
  <c r="J2894" i="6"/>
  <c r="B2895" i="6"/>
  <c r="J2895" i="6"/>
  <c r="B2896" i="6"/>
  <c r="J2896" i="6"/>
  <c r="B2897" i="6"/>
  <c r="J2897" i="6"/>
  <c r="B2898" i="6"/>
  <c r="J2898" i="6"/>
  <c r="B2899" i="6"/>
  <c r="J2899" i="6"/>
  <c r="B2900" i="6"/>
  <c r="J2900" i="6"/>
  <c r="B2901" i="6"/>
  <c r="J2901" i="6"/>
  <c r="B2902" i="6"/>
  <c r="J2902" i="6"/>
  <c r="B2903" i="6"/>
  <c r="J2903" i="6"/>
  <c r="B2904" i="6"/>
  <c r="J2904" i="6"/>
  <c r="B2905" i="6"/>
  <c r="J2905" i="6"/>
  <c r="B2906" i="6"/>
  <c r="J2906" i="6"/>
  <c r="B2907" i="6"/>
  <c r="J2907" i="6"/>
  <c r="B2908" i="6"/>
  <c r="J2908" i="6"/>
  <c r="B2909" i="6"/>
  <c r="J2909" i="6"/>
  <c r="B2910" i="6"/>
  <c r="J2910" i="6"/>
  <c r="B2911" i="6"/>
  <c r="J2911" i="6"/>
  <c r="B2912" i="6"/>
  <c r="J2912" i="6"/>
  <c r="B2913" i="6"/>
  <c r="J2913" i="6"/>
  <c r="B2914" i="6"/>
  <c r="J2914" i="6"/>
  <c r="B2915" i="6"/>
  <c r="J2915" i="6"/>
  <c r="B2916" i="6"/>
  <c r="J2916" i="6"/>
  <c r="B2917" i="6"/>
  <c r="J2917" i="6"/>
  <c r="B2918" i="6"/>
  <c r="J2918" i="6"/>
  <c r="B2919" i="6"/>
  <c r="J2919" i="6"/>
  <c r="B2920" i="6"/>
  <c r="J2920" i="6"/>
  <c r="B2921" i="6"/>
  <c r="J2921" i="6"/>
  <c r="B2922" i="6"/>
  <c r="J2922" i="6"/>
  <c r="B2923" i="6"/>
  <c r="J2923" i="6"/>
  <c r="B2924" i="6"/>
  <c r="J2924" i="6"/>
  <c r="B2925" i="6"/>
  <c r="J2925" i="6"/>
  <c r="B2926" i="6"/>
  <c r="J2926" i="6"/>
  <c r="B2927" i="6"/>
  <c r="J2927" i="6"/>
  <c r="B2928" i="6"/>
  <c r="J2928" i="6"/>
  <c r="B2929" i="6"/>
  <c r="J2929" i="6"/>
  <c r="B2930" i="6"/>
  <c r="J2930" i="6"/>
  <c r="B2931" i="6"/>
  <c r="J2931" i="6"/>
  <c r="B2932" i="6"/>
  <c r="J2932" i="6"/>
  <c r="B2933" i="6"/>
  <c r="J2933" i="6"/>
  <c r="B2934" i="6"/>
  <c r="J2934" i="6"/>
  <c r="B2935" i="6"/>
  <c r="J2935" i="6"/>
  <c r="B2936" i="6"/>
  <c r="J2936" i="6"/>
  <c r="B2937" i="6"/>
  <c r="J2937" i="6"/>
  <c r="B2938" i="6"/>
  <c r="J2938" i="6"/>
  <c r="B2939" i="6"/>
  <c r="J2939" i="6"/>
  <c r="B2940" i="6"/>
  <c r="J2940" i="6"/>
  <c r="B2941" i="6"/>
  <c r="J2941" i="6"/>
  <c r="B2942" i="6"/>
  <c r="J2942" i="6"/>
  <c r="B2943" i="6"/>
  <c r="J2943" i="6"/>
  <c r="B2944" i="6"/>
  <c r="J2944" i="6"/>
  <c r="B2945" i="6"/>
  <c r="J2945" i="6"/>
  <c r="B2946" i="6"/>
  <c r="J2946" i="6"/>
  <c r="B2947" i="6"/>
  <c r="J2947" i="6"/>
  <c r="B2948" i="6"/>
  <c r="J2948" i="6"/>
  <c r="B2949" i="6"/>
  <c r="J2949" i="6"/>
  <c r="B2950" i="6"/>
  <c r="J2950" i="6"/>
  <c r="B2951" i="6"/>
  <c r="J2951" i="6"/>
  <c r="B2952" i="6"/>
  <c r="J2952" i="6"/>
  <c r="B2953" i="6"/>
  <c r="J2953" i="6"/>
  <c r="B2954" i="6"/>
  <c r="J2954" i="6"/>
  <c r="B2955" i="6"/>
  <c r="J2955" i="6"/>
  <c r="B2956" i="6"/>
  <c r="J2956" i="6"/>
  <c r="B2957" i="6"/>
  <c r="J2957" i="6"/>
  <c r="B2958" i="6"/>
  <c r="J2958" i="6"/>
  <c r="B2959" i="6"/>
  <c r="J2959" i="6"/>
  <c r="B2960" i="6"/>
  <c r="J2960" i="6"/>
  <c r="B2961" i="6"/>
  <c r="J2961" i="6"/>
  <c r="B2962" i="6"/>
  <c r="J2962" i="6"/>
  <c r="B2963" i="6"/>
  <c r="J2963" i="6"/>
  <c r="B2964" i="6"/>
  <c r="J2964" i="6"/>
  <c r="B2965" i="6"/>
  <c r="J2965" i="6"/>
  <c r="B2966" i="6"/>
  <c r="J2966" i="6"/>
  <c r="B2967" i="6"/>
  <c r="J2967" i="6"/>
  <c r="B2968" i="6"/>
  <c r="J2968" i="6"/>
  <c r="B2969" i="6"/>
  <c r="J2969" i="6"/>
  <c r="B2970" i="6"/>
  <c r="J2970" i="6"/>
  <c r="B2971" i="6"/>
  <c r="J2971" i="6"/>
  <c r="B2972" i="6"/>
  <c r="J2972" i="6"/>
  <c r="B2973" i="6"/>
  <c r="J2973" i="6"/>
  <c r="B2974" i="6"/>
  <c r="J2974" i="6"/>
  <c r="B2975" i="6"/>
  <c r="J2975" i="6"/>
  <c r="B2976" i="6"/>
  <c r="J2976" i="6"/>
  <c r="B2977" i="6"/>
  <c r="J2977" i="6"/>
  <c r="B2978" i="6"/>
  <c r="J2978" i="6"/>
  <c r="B2979" i="6"/>
  <c r="J2979" i="6"/>
  <c r="B2980" i="6"/>
  <c r="J2980" i="6"/>
  <c r="B2981" i="6"/>
  <c r="J2981" i="6"/>
  <c r="B2982" i="6"/>
  <c r="J2982" i="6"/>
  <c r="B2983" i="6"/>
  <c r="J2983" i="6"/>
  <c r="B2984" i="6"/>
  <c r="J2984" i="6"/>
  <c r="B2985" i="6"/>
  <c r="J2985" i="6"/>
  <c r="B2986" i="6"/>
  <c r="J2986" i="6"/>
  <c r="B2987" i="6"/>
  <c r="J2987" i="6"/>
  <c r="B2988" i="6"/>
  <c r="J2988" i="6"/>
  <c r="B2989" i="6"/>
  <c r="J2989" i="6"/>
  <c r="B2990" i="6"/>
  <c r="J2990" i="6"/>
  <c r="B2991" i="6"/>
  <c r="J2991" i="6"/>
  <c r="B2992" i="6"/>
  <c r="J2992" i="6"/>
  <c r="B2993" i="6"/>
  <c r="J2993" i="6"/>
  <c r="B2994" i="6"/>
  <c r="J2994" i="6"/>
  <c r="B2995" i="6"/>
  <c r="J2995" i="6"/>
  <c r="B2996" i="6"/>
  <c r="J2996" i="6"/>
  <c r="B2997" i="6"/>
  <c r="J2997" i="6"/>
  <c r="B2998" i="6"/>
  <c r="J2998" i="6"/>
  <c r="B2999" i="6"/>
  <c r="J2999" i="6"/>
  <c r="B3000" i="6"/>
  <c r="J3000" i="6"/>
  <c r="B3001" i="6"/>
  <c r="J3001" i="6"/>
  <c r="B3002" i="6"/>
  <c r="J3002" i="6"/>
  <c r="B3003" i="6"/>
  <c r="J3003" i="6"/>
  <c r="B3004" i="6"/>
  <c r="J3004" i="6"/>
  <c r="B3005" i="6"/>
  <c r="J3005" i="6"/>
  <c r="B3006" i="6"/>
  <c r="J3006" i="6"/>
  <c r="B3007" i="6"/>
  <c r="J3007" i="6"/>
  <c r="B3008" i="6"/>
  <c r="J3008" i="6"/>
  <c r="B3009" i="6"/>
  <c r="J3009" i="6"/>
  <c r="B3010" i="6"/>
  <c r="J3010" i="6"/>
  <c r="B3011" i="6"/>
  <c r="J3011" i="6"/>
  <c r="B3012" i="6"/>
  <c r="J3012" i="6"/>
  <c r="B3013" i="6"/>
  <c r="J3013" i="6"/>
  <c r="B3014" i="6"/>
  <c r="J3014" i="6"/>
  <c r="B3015" i="6"/>
  <c r="J3015" i="6"/>
  <c r="B3016" i="6"/>
  <c r="J3016" i="6"/>
  <c r="B3017" i="6"/>
  <c r="J3017" i="6"/>
  <c r="B3018" i="6"/>
  <c r="J3018" i="6"/>
  <c r="B3019" i="6"/>
  <c r="J3019" i="6"/>
  <c r="B3020" i="6"/>
  <c r="J3020" i="6"/>
  <c r="B3021" i="6"/>
  <c r="J3021" i="6"/>
  <c r="B3022" i="6"/>
  <c r="J3022" i="6"/>
  <c r="B3023" i="6"/>
  <c r="J3023" i="6"/>
  <c r="B3024" i="6"/>
  <c r="J3024" i="6"/>
  <c r="B3025" i="6"/>
  <c r="J3025" i="6"/>
  <c r="B3026" i="6"/>
  <c r="J3026" i="6"/>
  <c r="B3027" i="6"/>
  <c r="J3027" i="6"/>
  <c r="B3028" i="6"/>
  <c r="J3028" i="6"/>
  <c r="B3029" i="6"/>
  <c r="J3029" i="6"/>
  <c r="B3030" i="6"/>
  <c r="J3030" i="6"/>
  <c r="B3031" i="6"/>
  <c r="J3031" i="6"/>
  <c r="B3032" i="6"/>
  <c r="J3032" i="6"/>
  <c r="B3033" i="6"/>
  <c r="J3033" i="6"/>
  <c r="B3034" i="6"/>
  <c r="J3034" i="6"/>
  <c r="B3035" i="6"/>
  <c r="J3035" i="6"/>
  <c r="B3036" i="6"/>
  <c r="J3036" i="6"/>
  <c r="B3037" i="6"/>
  <c r="J3037" i="6"/>
  <c r="B3038" i="6"/>
  <c r="J3038" i="6"/>
  <c r="B3039" i="6"/>
  <c r="J3039" i="6"/>
  <c r="B3040" i="6"/>
  <c r="J3040" i="6"/>
  <c r="B3041" i="6"/>
  <c r="J3041" i="6"/>
  <c r="B3042" i="6"/>
  <c r="J3042" i="6"/>
  <c r="B3043" i="6"/>
  <c r="J3043" i="6"/>
  <c r="B3044" i="6"/>
  <c r="J3044" i="6"/>
  <c r="B3045" i="6"/>
  <c r="J3045" i="6"/>
  <c r="B3046" i="6"/>
  <c r="J3046" i="6"/>
  <c r="B3047" i="6"/>
  <c r="J3047" i="6"/>
  <c r="B3048" i="6"/>
  <c r="J3048" i="6"/>
  <c r="B3049" i="6"/>
  <c r="J3049" i="6"/>
  <c r="B3050" i="6"/>
  <c r="J3050" i="6"/>
  <c r="B3051" i="6"/>
  <c r="J3051" i="6"/>
  <c r="B3052" i="6"/>
  <c r="J3052" i="6"/>
  <c r="B3053" i="6"/>
  <c r="J3053" i="6"/>
  <c r="B3054" i="6"/>
  <c r="J3054" i="6"/>
  <c r="B3055" i="6"/>
  <c r="J3055" i="6"/>
  <c r="B3056" i="6"/>
  <c r="J3056" i="6"/>
  <c r="B3057" i="6"/>
  <c r="J3057" i="6"/>
  <c r="B3058" i="6"/>
  <c r="J3058" i="6"/>
  <c r="B3059" i="6"/>
  <c r="J3059" i="6"/>
  <c r="B3060" i="6"/>
  <c r="J3060" i="6"/>
  <c r="B3061" i="6"/>
  <c r="J3061" i="6"/>
  <c r="B3062" i="6"/>
  <c r="J3062" i="6"/>
  <c r="B3063" i="6"/>
  <c r="J3063" i="6"/>
  <c r="B3064" i="6"/>
  <c r="J3064" i="6"/>
  <c r="B3065" i="6"/>
  <c r="J3065" i="6"/>
  <c r="B3066" i="6"/>
  <c r="J3066" i="6"/>
  <c r="B3067" i="6"/>
  <c r="J3067" i="6"/>
  <c r="B3068" i="6"/>
  <c r="J3068" i="6"/>
  <c r="B3069" i="6"/>
  <c r="J3069" i="6"/>
  <c r="B3070" i="6"/>
  <c r="J3070" i="6"/>
  <c r="B3071" i="6"/>
  <c r="J3071" i="6"/>
  <c r="B3072" i="6"/>
  <c r="J3072" i="6"/>
  <c r="B3073" i="6"/>
  <c r="J3073" i="6"/>
  <c r="B3074" i="6"/>
  <c r="J3074" i="6"/>
  <c r="B3075" i="6"/>
  <c r="J3075" i="6"/>
  <c r="B3076" i="6"/>
  <c r="J3076" i="6"/>
  <c r="B3077" i="6"/>
  <c r="J3077" i="6"/>
  <c r="B3078" i="6"/>
  <c r="J3078" i="6"/>
  <c r="B3079" i="6"/>
  <c r="J3079" i="6"/>
  <c r="B3080" i="6"/>
  <c r="J3080" i="6"/>
  <c r="B3081" i="6"/>
  <c r="J3081" i="6"/>
  <c r="B3082" i="6"/>
  <c r="J3082" i="6"/>
  <c r="B3083" i="6"/>
  <c r="J3083" i="6"/>
  <c r="B3084" i="6"/>
  <c r="J3084" i="6"/>
  <c r="B3085" i="6"/>
  <c r="J3085" i="6"/>
  <c r="B3086" i="6"/>
  <c r="J3086" i="6"/>
  <c r="B3087" i="6"/>
  <c r="J3087" i="6"/>
  <c r="B3088" i="6"/>
  <c r="J3088" i="6"/>
  <c r="B3089" i="6"/>
  <c r="J3089" i="6"/>
  <c r="B3090" i="6"/>
  <c r="J3090" i="6"/>
  <c r="B3091" i="6"/>
  <c r="J3091" i="6"/>
  <c r="B3092" i="6"/>
  <c r="J3092" i="6"/>
  <c r="B3093" i="6"/>
  <c r="J3093" i="6"/>
  <c r="B3094" i="6"/>
  <c r="J3094" i="6"/>
  <c r="B3095" i="6"/>
  <c r="J3095" i="6"/>
  <c r="B3096" i="6"/>
  <c r="J3096" i="6"/>
  <c r="B3097" i="6"/>
  <c r="J3097" i="6"/>
  <c r="B3098" i="6"/>
  <c r="J3098" i="6"/>
  <c r="B3099" i="6"/>
  <c r="J3099" i="6"/>
  <c r="B3100" i="6"/>
  <c r="J3100" i="6"/>
  <c r="B3101" i="6"/>
  <c r="J3101" i="6"/>
  <c r="B3102" i="6"/>
  <c r="J3102" i="6"/>
  <c r="B3103" i="6"/>
  <c r="J3103" i="6"/>
  <c r="B3104" i="6"/>
  <c r="J3104" i="6"/>
  <c r="B3105" i="6"/>
  <c r="J3105" i="6"/>
  <c r="B3106" i="6"/>
  <c r="J3106" i="6"/>
  <c r="B3107" i="6"/>
  <c r="J3107" i="6"/>
  <c r="B3108" i="6"/>
  <c r="J3108" i="6"/>
  <c r="B3109" i="6"/>
  <c r="J3109" i="6"/>
  <c r="B3110" i="6"/>
  <c r="J3110" i="6"/>
  <c r="B3111" i="6"/>
  <c r="J3111" i="6"/>
  <c r="B3112" i="6"/>
  <c r="J3112" i="6"/>
  <c r="B3113" i="6"/>
  <c r="J3113" i="6"/>
  <c r="B3114" i="6"/>
  <c r="J3114" i="6"/>
  <c r="B3115" i="6"/>
  <c r="J3115" i="6"/>
  <c r="B3116" i="6"/>
  <c r="J3116" i="6"/>
  <c r="B3117" i="6"/>
  <c r="J3117" i="6"/>
  <c r="B3118" i="6"/>
  <c r="J3118" i="6"/>
  <c r="B3119" i="6"/>
  <c r="J3119" i="6"/>
  <c r="B3120" i="6"/>
  <c r="J3120" i="6"/>
  <c r="B3121" i="6"/>
  <c r="J3121" i="6"/>
  <c r="B3122" i="6"/>
  <c r="J3122" i="6"/>
  <c r="B3123" i="6"/>
  <c r="J3123" i="6"/>
  <c r="B3124" i="6"/>
  <c r="J3124" i="6"/>
  <c r="B3125" i="6"/>
  <c r="J3125" i="6"/>
  <c r="B3126" i="6"/>
  <c r="J3126" i="6"/>
  <c r="B3127" i="6"/>
  <c r="J3127" i="6"/>
  <c r="B3128" i="6"/>
  <c r="J3128" i="6"/>
  <c r="B3129" i="6"/>
  <c r="J3129" i="6"/>
  <c r="B3130" i="6"/>
  <c r="J3130" i="6"/>
  <c r="B3131" i="6"/>
  <c r="J3131" i="6"/>
  <c r="B3132" i="6"/>
  <c r="J3132" i="6"/>
  <c r="B3133" i="6"/>
  <c r="J3133" i="6"/>
  <c r="B3134" i="6"/>
  <c r="J3134" i="6"/>
  <c r="B3135" i="6"/>
  <c r="J3135" i="6"/>
  <c r="B3136" i="6"/>
  <c r="J3136" i="6"/>
  <c r="B3137" i="6"/>
  <c r="J3137" i="6"/>
  <c r="B3138" i="6"/>
  <c r="J3138" i="6"/>
  <c r="B3139" i="6"/>
  <c r="J3139" i="6"/>
  <c r="B3140" i="6"/>
  <c r="J3140" i="6"/>
  <c r="B3141" i="6"/>
  <c r="J3141" i="6"/>
  <c r="B3142" i="6"/>
  <c r="J3142" i="6"/>
  <c r="B3143" i="6"/>
  <c r="J3143" i="6"/>
  <c r="B3144" i="6"/>
  <c r="J3144" i="6"/>
  <c r="B3145" i="6"/>
  <c r="J3145" i="6"/>
  <c r="B3146" i="6"/>
  <c r="J3146" i="6"/>
  <c r="B3147" i="6"/>
  <c r="J3147" i="6"/>
  <c r="B3148" i="6"/>
  <c r="J3148" i="6"/>
  <c r="B3149" i="6"/>
  <c r="J3149" i="6"/>
  <c r="B3150" i="6"/>
  <c r="J3150" i="6"/>
  <c r="B3151" i="6"/>
  <c r="J3151" i="6"/>
  <c r="B3152" i="6"/>
  <c r="J3152" i="6"/>
  <c r="B3153" i="6"/>
  <c r="J3153" i="6"/>
  <c r="B3154" i="6"/>
  <c r="J3154" i="6"/>
  <c r="B3155" i="6"/>
  <c r="J3155" i="6"/>
  <c r="B3156" i="6"/>
  <c r="J3156" i="6"/>
  <c r="B3157" i="6"/>
  <c r="J3157" i="6"/>
  <c r="B3158" i="6"/>
  <c r="J3158" i="6"/>
  <c r="B3159" i="6"/>
  <c r="J3159" i="6"/>
  <c r="B3160" i="6"/>
  <c r="J3160" i="6"/>
  <c r="B3161" i="6"/>
  <c r="J3161" i="6"/>
  <c r="B3162" i="6"/>
  <c r="J3162" i="6"/>
  <c r="B3163" i="6"/>
  <c r="J3163" i="6"/>
  <c r="B3164" i="6"/>
  <c r="J3164" i="6"/>
  <c r="B3165" i="6"/>
  <c r="J3165" i="6"/>
  <c r="B3166" i="6"/>
  <c r="J3166" i="6"/>
  <c r="B3167" i="6"/>
  <c r="J3167" i="6"/>
  <c r="B3168" i="6"/>
  <c r="J3168" i="6"/>
  <c r="B3169" i="6"/>
  <c r="J3169" i="6"/>
  <c r="B3170" i="6"/>
  <c r="J3170" i="6"/>
  <c r="B3171" i="6"/>
  <c r="J3171" i="6"/>
  <c r="B3172" i="6"/>
  <c r="J3172" i="6"/>
  <c r="B3173" i="6"/>
  <c r="J3173" i="6"/>
  <c r="B3174" i="6"/>
  <c r="J3174" i="6"/>
  <c r="B3175" i="6"/>
  <c r="J3175" i="6"/>
  <c r="B3176" i="6"/>
  <c r="J3176" i="6"/>
  <c r="B3177" i="6"/>
  <c r="J3177" i="6"/>
  <c r="B3178" i="6"/>
  <c r="J3178" i="6"/>
  <c r="B3179" i="6"/>
  <c r="J3179" i="6"/>
  <c r="B3180" i="6"/>
  <c r="J3180" i="6"/>
  <c r="B3181" i="6"/>
  <c r="J3181" i="6"/>
  <c r="B3182" i="6"/>
  <c r="J3182" i="6"/>
  <c r="B3183" i="6"/>
  <c r="J3183" i="6"/>
  <c r="B3184" i="6"/>
  <c r="J3184" i="6"/>
  <c r="B3185" i="6"/>
  <c r="J3185" i="6"/>
  <c r="B3186" i="6"/>
  <c r="J3186" i="6"/>
  <c r="B3187" i="6"/>
  <c r="J3187" i="6"/>
  <c r="B3188" i="6"/>
  <c r="J3188" i="6"/>
  <c r="B3189" i="6"/>
  <c r="J3189" i="6"/>
  <c r="B3190" i="6"/>
  <c r="J3190" i="6"/>
  <c r="B3191" i="6"/>
  <c r="J3191" i="6"/>
  <c r="B3192" i="6"/>
  <c r="J3192" i="6"/>
  <c r="B3193" i="6"/>
  <c r="J3193" i="6"/>
  <c r="B3194" i="6"/>
  <c r="J3194" i="6"/>
  <c r="B3195" i="6"/>
  <c r="J3195" i="6"/>
  <c r="B3196" i="6"/>
  <c r="J3196" i="6"/>
  <c r="B3197" i="6"/>
  <c r="J3197" i="6"/>
  <c r="B3198" i="6"/>
  <c r="J3198" i="6"/>
  <c r="B3199" i="6"/>
  <c r="J3199" i="6"/>
  <c r="B3200" i="6"/>
  <c r="J3200" i="6"/>
  <c r="B3201" i="6"/>
  <c r="J3201" i="6"/>
  <c r="B3202" i="6"/>
  <c r="J3202" i="6"/>
  <c r="B3203" i="6"/>
  <c r="J3203" i="6"/>
  <c r="B3204" i="6"/>
  <c r="J3204" i="6"/>
  <c r="B3205" i="6"/>
  <c r="J3205" i="6"/>
  <c r="B3206" i="6"/>
  <c r="J3206" i="6"/>
  <c r="B3207" i="6"/>
  <c r="J3207" i="6"/>
  <c r="B3208" i="6"/>
  <c r="J3208" i="6"/>
  <c r="B3209" i="6"/>
  <c r="J3209" i="6"/>
  <c r="B3210" i="6"/>
  <c r="J3210" i="6"/>
  <c r="B3211" i="6"/>
  <c r="J3211" i="6"/>
  <c r="B3212" i="6"/>
  <c r="J3212" i="6"/>
  <c r="B3213" i="6"/>
  <c r="J3213" i="6"/>
  <c r="B3214" i="6"/>
  <c r="J3214" i="6"/>
  <c r="B3215" i="6"/>
  <c r="J3215" i="6"/>
  <c r="B3216" i="6"/>
  <c r="J3216" i="6"/>
  <c r="B3217" i="6"/>
  <c r="J3217" i="6"/>
  <c r="B3218" i="6"/>
  <c r="J3218" i="6"/>
  <c r="B3219" i="6"/>
  <c r="J3219" i="6"/>
  <c r="B3220" i="6"/>
  <c r="J3220" i="6"/>
  <c r="B3221" i="6"/>
  <c r="J3221" i="6"/>
  <c r="B3222" i="6"/>
  <c r="J3222" i="6"/>
  <c r="B3223" i="6"/>
  <c r="J3223" i="6"/>
  <c r="B3224" i="6"/>
  <c r="J3224" i="6"/>
  <c r="B3225" i="6"/>
  <c r="J3225" i="6"/>
  <c r="B3226" i="6"/>
  <c r="J3226" i="6"/>
  <c r="B3227" i="6"/>
  <c r="J3227" i="6"/>
  <c r="B3228" i="6"/>
  <c r="J3228" i="6"/>
  <c r="B3229" i="6"/>
  <c r="J3229" i="6"/>
  <c r="B3230" i="6"/>
  <c r="J3230" i="6"/>
  <c r="B3231" i="6"/>
  <c r="J3231" i="6"/>
  <c r="B3232" i="6"/>
  <c r="J3232" i="6"/>
  <c r="B3233" i="6"/>
  <c r="J3233" i="6"/>
  <c r="B3234" i="6"/>
  <c r="J3234" i="6"/>
  <c r="B3235" i="6"/>
  <c r="J3235" i="6"/>
  <c r="B3236" i="6"/>
  <c r="J3236" i="6"/>
  <c r="B3237" i="6"/>
  <c r="J3237" i="6"/>
  <c r="B3238" i="6"/>
  <c r="J3238" i="6"/>
  <c r="B3239" i="6"/>
  <c r="J3239" i="6"/>
  <c r="B3240" i="6"/>
  <c r="J3240" i="6"/>
  <c r="B3241" i="6"/>
  <c r="J3241" i="6"/>
  <c r="B3242" i="6"/>
  <c r="J3242" i="6"/>
  <c r="B3243" i="6"/>
  <c r="J3243" i="6"/>
  <c r="B3244" i="6"/>
  <c r="J3244" i="6"/>
  <c r="B3245" i="6"/>
  <c r="J3245" i="6"/>
  <c r="B3246" i="6"/>
  <c r="J3246" i="6"/>
  <c r="B3247" i="6"/>
  <c r="J3247" i="6"/>
  <c r="B3248" i="6"/>
  <c r="J3248" i="6"/>
  <c r="B3249" i="6"/>
  <c r="J3249" i="6"/>
  <c r="B3250" i="6"/>
  <c r="J3250" i="6"/>
  <c r="B3251" i="6"/>
  <c r="J3251" i="6"/>
  <c r="B3252" i="6"/>
  <c r="J3252" i="6"/>
  <c r="B3253" i="6"/>
  <c r="J3253" i="6"/>
  <c r="B3254" i="6"/>
  <c r="J3254" i="6"/>
  <c r="B3255" i="6"/>
  <c r="J3255" i="6"/>
  <c r="B3256" i="6"/>
  <c r="J3256" i="6"/>
  <c r="B3257" i="6"/>
  <c r="J3257" i="6"/>
  <c r="B3258" i="6"/>
  <c r="J3258" i="6"/>
  <c r="B3259" i="6"/>
  <c r="J3259" i="6"/>
  <c r="B3260" i="6"/>
  <c r="J3260" i="6"/>
  <c r="B3261" i="6"/>
  <c r="J3261" i="6"/>
  <c r="B3262" i="6"/>
  <c r="J3262" i="6"/>
  <c r="B3263" i="6"/>
  <c r="J3263" i="6"/>
  <c r="B3264" i="6"/>
  <c r="J3264" i="6"/>
  <c r="B3265" i="6"/>
  <c r="J3265" i="6"/>
  <c r="B3266" i="6"/>
  <c r="J3266" i="6"/>
  <c r="B3267" i="6"/>
  <c r="J3267" i="6"/>
  <c r="B3268" i="6"/>
  <c r="J3268" i="6"/>
  <c r="B3269" i="6"/>
  <c r="J3269" i="6"/>
  <c r="B3270" i="6"/>
  <c r="J3270" i="6"/>
  <c r="B3271" i="6"/>
  <c r="J3271" i="6"/>
  <c r="B3272" i="6"/>
  <c r="J3272" i="6"/>
  <c r="B3273" i="6"/>
  <c r="J3273" i="6"/>
  <c r="B3274" i="6"/>
  <c r="J3274" i="6"/>
  <c r="B3275" i="6"/>
  <c r="J3275" i="6"/>
  <c r="B3276" i="6"/>
  <c r="J3276" i="6"/>
  <c r="B3277" i="6"/>
  <c r="J3277" i="6"/>
  <c r="B3278" i="6"/>
  <c r="J3278" i="6"/>
  <c r="B3279" i="6"/>
  <c r="J3279" i="6"/>
  <c r="B3280" i="6"/>
  <c r="J3280" i="6"/>
  <c r="B3281" i="6"/>
  <c r="J3281" i="6"/>
  <c r="B3282" i="6"/>
  <c r="J3282" i="6"/>
  <c r="B3283" i="6"/>
  <c r="J3283" i="6"/>
  <c r="B3284" i="6"/>
  <c r="J3284" i="6"/>
  <c r="B3285" i="6"/>
  <c r="J3285" i="6"/>
  <c r="B3286" i="6"/>
  <c r="J3286" i="6"/>
  <c r="B3287" i="6"/>
  <c r="J3287" i="6"/>
  <c r="B3288" i="6"/>
  <c r="J3288" i="6"/>
  <c r="B3289" i="6"/>
  <c r="J3289" i="6"/>
  <c r="B3290" i="6"/>
  <c r="J3290" i="6"/>
  <c r="B3291" i="6"/>
  <c r="J3291" i="6"/>
  <c r="B3292" i="6"/>
  <c r="J3292" i="6"/>
  <c r="B3293" i="6"/>
  <c r="J3293" i="6"/>
  <c r="B3294" i="6"/>
  <c r="J3294" i="6"/>
  <c r="B3295" i="6"/>
  <c r="J3295" i="6"/>
  <c r="B3296" i="6"/>
  <c r="J3296" i="6"/>
  <c r="B3297" i="6"/>
  <c r="J3297" i="6"/>
  <c r="B3298" i="6"/>
  <c r="J3298" i="6"/>
  <c r="B3299" i="6"/>
  <c r="J3299" i="6"/>
  <c r="B3300" i="6"/>
  <c r="J3300" i="6"/>
  <c r="B3301" i="6"/>
  <c r="J3301" i="6"/>
  <c r="B3302" i="6"/>
  <c r="J3302" i="6"/>
  <c r="B3303" i="6"/>
  <c r="J3303" i="6"/>
  <c r="B3304" i="6"/>
  <c r="J3304" i="6"/>
  <c r="B3305" i="6"/>
  <c r="J3305" i="6"/>
  <c r="B3306" i="6"/>
  <c r="J3306" i="6"/>
  <c r="B3307" i="6"/>
  <c r="J3307" i="6"/>
  <c r="B3308" i="6"/>
  <c r="J3308" i="6"/>
  <c r="B3309" i="6"/>
  <c r="J3309" i="6"/>
  <c r="B3310" i="6"/>
  <c r="J3310" i="6"/>
  <c r="B3311" i="6"/>
  <c r="J3311" i="6"/>
  <c r="B3312" i="6"/>
  <c r="J3312" i="6"/>
  <c r="B3313" i="6"/>
  <c r="J3313" i="6"/>
  <c r="B3314" i="6"/>
  <c r="J3314" i="6"/>
  <c r="B3315" i="6"/>
  <c r="J3315" i="6"/>
  <c r="B3316" i="6"/>
  <c r="J3316" i="6"/>
  <c r="B3317" i="6"/>
  <c r="J3317" i="6"/>
  <c r="B3318" i="6"/>
  <c r="J3318" i="6"/>
  <c r="B3319" i="6"/>
  <c r="J3319" i="6"/>
  <c r="B3320" i="6"/>
  <c r="J3320" i="6"/>
  <c r="B3321" i="6"/>
  <c r="J3321" i="6"/>
  <c r="B3322" i="6"/>
  <c r="J3322" i="6"/>
  <c r="B3323" i="6"/>
  <c r="J3323" i="6"/>
  <c r="B3324" i="6"/>
  <c r="J3324" i="6"/>
  <c r="B3325" i="6"/>
  <c r="J3325" i="6"/>
  <c r="B3326" i="6"/>
  <c r="J3326" i="6"/>
  <c r="B3327" i="6"/>
  <c r="J3327" i="6"/>
  <c r="B3328" i="6"/>
  <c r="J3328" i="6"/>
  <c r="B3329" i="6"/>
  <c r="J3329" i="6"/>
  <c r="B3330" i="6"/>
  <c r="J3330" i="6"/>
  <c r="B3331" i="6"/>
  <c r="J3331" i="6"/>
  <c r="B3332" i="6"/>
  <c r="J3332" i="6"/>
  <c r="B3333" i="6"/>
  <c r="J3333" i="6"/>
  <c r="B3334" i="6"/>
  <c r="J3334" i="6"/>
  <c r="B3335" i="6"/>
  <c r="J3335" i="6"/>
  <c r="B3336" i="6"/>
  <c r="J3336" i="6"/>
  <c r="B3337" i="6"/>
  <c r="J3337" i="6"/>
  <c r="B3338" i="6"/>
  <c r="J3338" i="6"/>
  <c r="B3339" i="6"/>
  <c r="J3339" i="6"/>
  <c r="B3340" i="6"/>
  <c r="J3340" i="6"/>
  <c r="B3341" i="6"/>
  <c r="J3341" i="6"/>
  <c r="B3342" i="6"/>
  <c r="J3342" i="6"/>
  <c r="B3343" i="6"/>
  <c r="J3343" i="6"/>
  <c r="B3344" i="6"/>
  <c r="J3344" i="6"/>
  <c r="B3345" i="6"/>
  <c r="J3345" i="6"/>
  <c r="B3346" i="6"/>
  <c r="J3346" i="6"/>
  <c r="B3347" i="6"/>
  <c r="J3347" i="6"/>
  <c r="B3348" i="6"/>
  <c r="J3348" i="6"/>
  <c r="B3349" i="6"/>
  <c r="J3349" i="6"/>
  <c r="B3350" i="6"/>
  <c r="J3350" i="6"/>
  <c r="B3351" i="6"/>
  <c r="J3351" i="6"/>
  <c r="B3352" i="6"/>
  <c r="J3352" i="6"/>
  <c r="B3353" i="6"/>
  <c r="J3353" i="6"/>
  <c r="B3354" i="6"/>
  <c r="J3354" i="6"/>
  <c r="B3355" i="6"/>
  <c r="J3355" i="6"/>
  <c r="B3356" i="6"/>
  <c r="J3356" i="6"/>
  <c r="B3357" i="6"/>
  <c r="J3357" i="6"/>
  <c r="B3358" i="6"/>
  <c r="J3358" i="6"/>
  <c r="B3359" i="6"/>
  <c r="J3359" i="6"/>
  <c r="B3360" i="6"/>
  <c r="J3360" i="6"/>
  <c r="B3361" i="6"/>
  <c r="J3361" i="6"/>
  <c r="B3362" i="6"/>
  <c r="J3362" i="6"/>
  <c r="B3363" i="6"/>
  <c r="J3363" i="6"/>
  <c r="B3364" i="6"/>
  <c r="J3364" i="6"/>
  <c r="B3365" i="6"/>
  <c r="J3365" i="6"/>
  <c r="B3366" i="6"/>
  <c r="J3366" i="6"/>
  <c r="B3367" i="6"/>
  <c r="J3367" i="6"/>
  <c r="B3368" i="6"/>
  <c r="J3368" i="6"/>
  <c r="B3369" i="6"/>
  <c r="J3369" i="6"/>
  <c r="B3370" i="6"/>
  <c r="J3370" i="6"/>
  <c r="B3371" i="6"/>
  <c r="J3371" i="6"/>
  <c r="B3372" i="6"/>
  <c r="J3372" i="6"/>
  <c r="B3373" i="6"/>
  <c r="J3373" i="6"/>
  <c r="B3374" i="6"/>
  <c r="J3374" i="6"/>
  <c r="B3375" i="6"/>
  <c r="J3375" i="6"/>
  <c r="B3376" i="6"/>
  <c r="J3376" i="6"/>
  <c r="B3377" i="6"/>
  <c r="J3377" i="6"/>
  <c r="B3378" i="6"/>
  <c r="J3378" i="6"/>
  <c r="B3379" i="6"/>
  <c r="J3379" i="6"/>
  <c r="B3380" i="6"/>
  <c r="J3380" i="6"/>
  <c r="B3381" i="6"/>
  <c r="J3381" i="6"/>
  <c r="B3382" i="6"/>
  <c r="J3382" i="6"/>
  <c r="B3383" i="6"/>
  <c r="J3383" i="6"/>
  <c r="B3384" i="6"/>
  <c r="J3384" i="6"/>
  <c r="B3385" i="6"/>
  <c r="J3385" i="6"/>
  <c r="B3386" i="6"/>
  <c r="J3386" i="6"/>
  <c r="B3387" i="6"/>
  <c r="J3387" i="6"/>
  <c r="B3388" i="6"/>
  <c r="J3388" i="6"/>
  <c r="B3389" i="6"/>
  <c r="J3389" i="6"/>
  <c r="B3390" i="6"/>
  <c r="J3390" i="6"/>
  <c r="B3391" i="6"/>
  <c r="J3391" i="6"/>
  <c r="B3392" i="6"/>
  <c r="J3392" i="6"/>
  <c r="B3393" i="6"/>
  <c r="J3393" i="6"/>
  <c r="B3394" i="6"/>
  <c r="J3394" i="6"/>
  <c r="B3395" i="6"/>
  <c r="J3395" i="6"/>
  <c r="B3396" i="6"/>
  <c r="J3396" i="6"/>
  <c r="B3397" i="6"/>
  <c r="J3397" i="6"/>
  <c r="B3398" i="6"/>
  <c r="J3398" i="6"/>
  <c r="B3399" i="6"/>
  <c r="J3399" i="6"/>
  <c r="B3400" i="6"/>
  <c r="B3401" i="6"/>
  <c r="B3402" i="6"/>
  <c r="B3403" i="6"/>
  <c r="B3404" i="6"/>
  <c r="B3405" i="6"/>
  <c r="B3406" i="6"/>
  <c r="B3407" i="6"/>
  <c r="J3407" i="6"/>
  <c r="B3408" i="6"/>
  <c r="J3408" i="6"/>
  <c r="B3409" i="6"/>
  <c r="J3409" i="6"/>
  <c r="B3410" i="6"/>
  <c r="J3410" i="6"/>
  <c r="B3411" i="6"/>
  <c r="J3411" i="6"/>
  <c r="B3412" i="6"/>
  <c r="J3412" i="6"/>
  <c r="B3413" i="6"/>
  <c r="J3413" i="6"/>
  <c r="B3414" i="6"/>
  <c r="J3414" i="6"/>
  <c r="B3415" i="6"/>
  <c r="J3415" i="6"/>
  <c r="B3416" i="6"/>
  <c r="J3416" i="6"/>
  <c r="B3417" i="6"/>
  <c r="J3417" i="6"/>
  <c r="B3418" i="6"/>
  <c r="J3418" i="6"/>
  <c r="B3419" i="6"/>
  <c r="J3419" i="6"/>
  <c r="B3420" i="6"/>
  <c r="J3420" i="6"/>
  <c r="B3421" i="6"/>
  <c r="J3421" i="6"/>
  <c r="B3422" i="6"/>
  <c r="J3422" i="6"/>
  <c r="B3423" i="6"/>
  <c r="J3423" i="6"/>
  <c r="B3424" i="6"/>
  <c r="J3424" i="6"/>
  <c r="B3425" i="6"/>
  <c r="J3425" i="6"/>
  <c r="B3426" i="6"/>
  <c r="J3426" i="6"/>
  <c r="B3427" i="6"/>
  <c r="J3427" i="6"/>
  <c r="B3428" i="6"/>
  <c r="J3428" i="6"/>
  <c r="B3429" i="6"/>
  <c r="J3429" i="6"/>
  <c r="B3430" i="6"/>
  <c r="J3430" i="6"/>
  <c r="B3431" i="6"/>
  <c r="J3431" i="6"/>
  <c r="B3432" i="6"/>
  <c r="J3432" i="6"/>
  <c r="B3433" i="6"/>
  <c r="J3433" i="6"/>
  <c r="B3434" i="6"/>
  <c r="J3434" i="6"/>
  <c r="B3435" i="6"/>
  <c r="J3435" i="6"/>
  <c r="B3436" i="6"/>
  <c r="J3436" i="6"/>
  <c r="B3437" i="6"/>
  <c r="J3437" i="6"/>
  <c r="B3438" i="6"/>
  <c r="J3438" i="6"/>
  <c r="B3439" i="6"/>
  <c r="J3439" i="6"/>
  <c r="B3440" i="6"/>
  <c r="J3440" i="6"/>
  <c r="B3441" i="6"/>
  <c r="J3441" i="6"/>
  <c r="B3442" i="6"/>
  <c r="J3442" i="6"/>
  <c r="B3443" i="6"/>
  <c r="J3443" i="6"/>
  <c r="B3444" i="6"/>
  <c r="J3444" i="6"/>
  <c r="B3445" i="6"/>
  <c r="J3445" i="6"/>
  <c r="B3446" i="6"/>
  <c r="J3446" i="6"/>
  <c r="B3447" i="6"/>
  <c r="J3447" i="6"/>
  <c r="B3448" i="6"/>
  <c r="J3448" i="6"/>
  <c r="B3449" i="6"/>
  <c r="J3449" i="6"/>
  <c r="B3450" i="6"/>
  <c r="J3450" i="6"/>
  <c r="B3451" i="6"/>
  <c r="J3451" i="6"/>
  <c r="B3452" i="6"/>
  <c r="J3452" i="6"/>
  <c r="B3453" i="6"/>
  <c r="J3453" i="6"/>
  <c r="B3454" i="6"/>
  <c r="J3454" i="6"/>
  <c r="B3455" i="6"/>
  <c r="J3455" i="6"/>
  <c r="B3456" i="6"/>
  <c r="J3456" i="6"/>
  <c r="B3457" i="6"/>
  <c r="J3457" i="6"/>
  <c r="B3458" i="6"/>
  <c r="J3458" i="6"/>
  <c r="B3459" i="6"/>
  <c r="J3459" i="6"/>
  <c r="B3460" i="6"/>
  <c r="J3460" i="6"/>
  <c r="B3461" i="6"/>
  <c r="J3461" i="6"/>
  <c r="B3462" i="6"/>
  <c r="J3462" i="6"/>
  <c r="B3463" i="6"/>
  <c r="J3463" i="6"/>
  <c r="B3464" i="6"/>
  <c r="J3464" i="6"/>
  <c r="B3465" i="6"/>
  <c r="J3465" i="6"/>
  <c r="B3466" i="6"/>
  <c r="J3466" i="6"/>
  <c r="B3467" i="6"/>
  <c r="J3467" i="6"/>
  <c r="B3468" i="6"/>
  <c r="J3468" i="6"/>
  <c r="B3469" i="6"/>
  <c r="J3469" i="6"/>
  <c r="B3470" i="6"/>
  <c r="J3470" i="6"/>
  <c r="B3471" i="6"/>
  <c r="J3471" i="6"/>
  <c r="B3472" i="6"/>
  <c r="J3472" i="6"/>
  <c r="B3473" i="6"/>
  <c r="J3473" i="6"/>
  <c r="B3474" i="6"/>
  <c r="J3474" i="6"/>
  <c r="B3475" i="6"/>
  <c r="J3475" i="6"/>
  <c r="B3476" i="6"/>
  <c r="J3476" i="6"/>
  <c r="B3477" i="6"/>
  <c r="J3477" i="6"/>
  <c r="B3478" i="6"/>
  <c r="J3478" i="6"/>
  <c r="B3479" i="6"/>
  <c r="J3479" i="6"/>
  <c r="B3480" i="6"/>
  <c r="J3480" i="6"/>
  <c r="B3481" i="6"/>
  <c r="J3481" i="6"/>
  <c r="B3482" i="6"/>
  <c r="J3482" i="6"/>
  <c r="B3483" i="6"/>
  <c r="J3483" i="6"/>
  <c r="B3484" i="6"/>
  <c r="J3484" i="6"/>
  <c r="B3485" i="6"/>
  <c r="J3485" i="6"/>
  <c r="B3486" i="6"/>
  <c r="J3486" i="6"/>
  <c r="B3487" i="6"/>
  <c r="J3487" i="6"/>
  <c r="B3488" i="6"/>
  <c r="J3488" i="6"/>
  <c r="B3489" i="6"/>
  <c r="J3489" i="6"/>
  <c r="B3490" i="6"/>
  <c r="J3490" i="6"/>
  <c r="B3491" i="6"/>
  <c r="J3491" i="6"/>
  <c r="B3492" i="6"/>
  <c r="J3492" i="6"/>
  <c r="B3493" i="6"/>
  <c r="J3493" i="6"/>
  <c r="B3494" i="6"/>
  <c r="J3494" i="6"/>
  <c r="B3495" i="6"/>
  <c r="J3495" i="6"/>
  <c r="B3496" i="6"/>
  <c r="J3496" i="6"/>
  <c r="B3497" i="6"/>
  <c r="J3497" i="6"/>
  <c r="B3498" i="6"/>
  <c r="J3498" i="6"/>
  <c r="B3499" i="6"/>
  <c r="J3499" i="6"/>
  <c r="B3500" i="6"/>
  <c r="J3500" i="6"/>
  <c r="B3501" i="6"/>
  <c r="J3501" i="6"/>
  <c r="B3502" i="6"/>
  <c r="J3502" i="6"/>
  <c r="B3503" i="6"/>
  <c r="J3503" i="6"/>
  <c r="B3504" i="6"/>
  <c r="J3504" i="6"/>
  <c r="B3505" i="6"/>
  <c r="J3505" i="6"/>
  <c r="B3506" i="6"/>
  <c r="J3506" i="6"/>
  <c r="B3507" i="6"/>
  <c r="J3507" i="6"/>
  <c r="B3508" i="6"/>
  <c r="J3508" i="6"/>
  <c r="B3509" i="6"/>
  <c r="J3509" i="6"/>
  <c r="B3510" i="6"/>
  <c r="J3510" i="6"/>
  <c r="B3511" i="6"/>
  <c r="J3511" i="6"/>
  <c r="B3512" i="6"/>
  <c r="J3512" i="6"/>
  <c r="B3513" i="6"/>
  <c r="J3513" i="6"/>
  <c r="B3514" i="6"/>
  <c r="J3514" i="6"/>
  <c r="B3515" i="6"/>
  <c r="J3515" i="6"/>
  <c r="B3516" i="6"/>
  <c r="J3516" i="6"/>
  <c r="B3517" i="6"/>
  <c r="J3517" i="6"/>
  <c r="B3518" i="6"/>
  <c r="J3518" i="6"/>
  <c r="B3519" i="6"/>
  <c r="J3519" i="6"/>
  <c r="B3520" i="6"/>
  <c r="J3520" i="6"/>
  <c r="B3521" i="6"/>
  <c r="J3521" i="6"/>
  <c r="B3522" i="6"/>
  <c r="J3522" i="6"/>
  <c r="B3523" i="6"/>
  <c r="J3523" i="6"/>
  <c r="B3524" i="6"/>
  <c r="J3524" i="6"/>
  <c r="B3525" i="6"/>
  <c r="J3525" i="6"/>
  <c r="B3526" i="6"/>
  <c r="J3526" i="6"/>
  <c r="B3527" i="6"/>
  <c r="J3527" i="6"/>
  <c r="B3528" i="6"/>
  <c r="J3528" i="6"/>
  <c r="B3529" i="6"/>
  <c r="J3529" i="6"/>
  <c r="B3530" i="6"/>
  <c r="J3530" i="6"/>
  <c r="B3531" i="6"/>
  <c r="J3531" i="6"/>
  <c r="B3532" i="6"/>
  <c r="J3532" i="6"/>
  <c r="B3533" i="6"/>
  <c r="J3533" i="6"/>
  <c r="B3534" i="6"/>
  <c r="J3534" i="6"/>
  <c r="B3535" i="6"/>
  <c r="J3535" i="6"/>
  <c r="B3536" i="6"/>
  <c r="J3536" i="6"/>
  <c r="B3537" i="6"/>
  <c r="J3537" i="6"/>
  <c r="B3538" i="6"/>
  <c r="J3538" i="6"/>
  <c r="B3539" i="6"/>
  <c r="J3539" i="6"/>
  <c r="B3540" i="6"/>
  <c r="J3540" i="6"/>
  <c r="B3541" i="6"/>
  <c r="J3541" i="6"/>
  <c r="B3542" i="6"/>
  <c r="J3542" i="6"/>
  <c r="B3543" i="6"/>
  <c r="J3543" i="6"/>
  <c r="B3544" i="6"/>
  <c r="J3544" i="6"/>
  <c r="B3545" i="6"/>
  <c r="J3545" i="6"/>
  <c r="B3546" i="6"/>
  <c r="J3546" i="6"/>
  <c r="B3547" i="6"/>
  <c r="J3547" i="6"/>
  <c r="B3548" i="6"/>
  <c r="J3548" i="6"/>
  <c r="B3549" i="6"/>
  <c r="J3549" i="6"/>
  <c r="B3550" i="6"/>
  <c r="J3550" i="6"/>
  <c r="B3551" i="6"/>
  <c r="J3551" i="6"/>
  <c r="B3552" i="6"/>
  <c r="J3552" i="6"/>
  <c r="B3553" i="6"/>
  <c r="J3553" i="6"/>
  <c r="B3554" i="6"/>
  <c r="J3554" i="6"/>
  <c r="B3555" i="6"/>
  <c r="J3555" i="6"/>
  <c r="B3556" i="6"/>
  <c r="J3556" i="6"/>
  <c r="B3557" i="6"/>
  <c r="J3557" i="6"/>
  <c r="B3558" i="6"/>
  <c r="J3558" i="6"/>
  <c r="B3559" i="6"/>
  <c r="J3559" i="6"/>
  <c r="B3560" i="6"/>
  <c r="J3560" i="6"/>
  <c r="B3561" i="6"/>
  <c r="J3561" i="6"/>
  <c r="B3562" i="6"/>
  <c r="J3562" i="6"/>
  <c r="B3563" i="6"/>
  <c r="J3563" i="6"/>
  <c r="B3564" i="6"/>
  <c r="J3564" i="6"/>
  <c r="B3565" i="6"/>
  <c r="J3565" i="6"/>
  <c r="B3566" i="6"/>
  <c r="J3566" i="6"/>
  <c r="B3567" i="6"/>
  <c r="J3567" i="6"/>
  <c r="B3568" i="6"/>
  <c r="J3568" i="6"/>
  <c r="B3569" i="6"/>
  <c r="J3569" i="6"/>
  <c r="B3570" i="6"/>
  <c r="J3570" i="6"/>
  <c r="B3571" i="6"/>
  <c r="J3571" i="6"/>
  <c r="B3572" i="6"/>
  <c r="J3572" i="6"/>
  <c r="B3573" i="6"/>
  <c r="J3573" i="6"/>
  <c r="B3574" i="6"/>
  <c r="J3574" i="6"/>
  <c r="B3575" i="6"/>
  <c r="J3575" i="6"/>
  <c r="B3576" i="6"/>
  <c r="J3576" i="6"/>
  <c r="B3577" i="6"/>
  <c r="J3577" i="6"/>
  <c r="B3578" i="6"/>
  <c r="J3578" i="6"/>
  <c r="B3579" i="6"/>
  <c r="J3579" i="6"/>
  <c r="B3580" i="6"/>
  <c r="J3580" i="6"/>
  <c r="B3581" i="6"/>
  <c r="J3581" i="6"/>
  <c r="B3582" i="6"/>
  <c r="J3582" i="6"/>
  <c r="B3583" i="6"/>
  <c r="J3583" i="6"/>
  <c r="B3584" i="6"/>
  <c r="J3584" i="6"/>
  <c r="B3585" i="6"/>
  <c r="J3585" i="6"/>
  <c r="B3586" i="6"/>
  <c r="J3586" i="6"/>
  <c r="B3587" i="6"/>
  <c r="J3587" i="6"/>
  <c r="B3588" i="6"/>
  <c r="J3588" i="6"/>
  <c r="B3589" i="6"/>
  <c r="J3589" i="6"/>
  <c r="B3590" i="6"/>
  <c r="J3590" i="6"/>
  <c r="B3591" i="6"/>
  <c r="J3591" i="6"/>
  <c r="B3592" i="6"/>
  <c r="J3592" i="6"/>
  <c r="B3593" i="6"/>
  <c r="J3593" i="6"/>
  <c r="B3594" i="6"/>
  <c r="J3594" i="6"/>
  <c r="B3595" i="6"/>
  <c r="J3595" i="6"/>
  <c r="B3596" i="6"/>
  <c r="J3596" i="6"/>
  <c r="B3597" i="6"/>
  <c r="J3597" i="6"/>
  <c r="B3598" i="6"/>
  <c r="J3598" i="6"/>
  <c r="B3599" i="6"/>
  <c r="J3599" i="6"/>
  <c r="B3600" i="6"/>
  <c r="J3600" i="6"/>
  <c r="B3601" i="6"/>
  <c r="J3601" i="6"/>
  <c r="B3602" i="6"/>
  <c r="J3602" i="6"/>
  <c r="B3603" i="6"/>
  <c r="J3603" i="6"/>
  <c r="B3604" i="6"/>
  <c r="J3604" i="6"/>
  <c r="B3605" i="6"/>
  <c r="J3605" i="6"/>
  <c r="B3606" i="6"/>
  <c r="J3606" i="6"/>
  <c r="B3607" i="6"/>
  <c r="J3607" i="6"/>
  <c r="B3608" i="6"/>
  <c r="J3608" i="6"/>
  <c r="B3609" i="6"/>
  <c r="J3609" i="6"/>
  <c r="B3610" i="6"/>
  <c r="J3610" i="6"/>
  <c r="B3611" i="6"/>
  <c r="J3611" i="6"/>
  <c r="B3612" i="6"/>
  <c r="J3612" i="6"/>
  <c r="B3613" i="6"/>
  <c r="J3613" i="6"/>
  <c r="B3614" i="6"/>
  <c r="J3614" i="6"/>
  <c r="B3615" i="6"/>
  <c r="J3615" i="6"/>
  <c r="B3616" i="6"/>
  <c r="J3616" i="6"/>
  <c r="B3617" i="6"/>
  <c r="J3617" i="6"/>
  <c r="B3618" i="6"/>
  <c r="J3618" i="6"/>
  <c r="B3619" i="6"/>
  <c r="J3619" i="6"/>
  <c r="B3620" i="6"/>
  <c r="J3620" i="6"/>
  <c r="B3621" i="6"/>
  <c r="J3621" i="6"/>
  <c r="B3622" i="6"/>
  <c r="J3622" i="6"/>
  <c r="B3623" i="6"/>
  <c r="J3623" i="6"/>
  <c r="B3624" i="6"/>
  <c r="J3624" i="6"/>
  <c r="B3625" i="6"/>
  <c r="J3625" i="6"/>
  <c r="B3626" i="6"/>
  <c r="J3626" i="6"/>
  <c r="B3627" i="6"/>
  <c r="J3627" i="6"/>
  <c r="B3628" i="6"/>
  <c r="J3628" i="6"/>
  <c r="B3629" i="6"/>
  <c r="J3629" i="6"/>
  <c r="B3630" i="6"/>
  <c r="J3630" i="6"/>
  <c r="B3631" i="6"/>
  <c r="J3631" i="6"/>
  <c r="B3632" i="6"/>
  <c r="J3632" i="6"/>
  <c r="B3633" i="6"/>
  <c r="J3633" i="6"/>
  <c r="B3634" i="6"/>
  <c r="J3634" i="6"/>
  <c r="B3635" i="6"/>
  <c r="J3635" i="6"/>
  <c r="B3636" i="6"/>
  <c r="J3636" i="6"/>
  <c r="B3637" i="6"/>
  <c r="J3637" i="6"/>
  <c r="B3638" i="6"/>
  <c r="J3638" i="6"/>
  <c r="B3639" i="6"/>
  <c r="J3639" i="6"/>
  <c r="B3640" i="6"/>
  <c r="J3640" i="6"/>
  <c r="B3641" i="6"/>
  <c r="J3641" i="6"/>
  <c r="B3642" i="6"/>
  <c r="J3642" i="6"/>
  <c r="B3643" i="6"/>
  <c r="J3643" i="6"/>
  <c r="B3644" i="6"/>
  <c r="J3644" i="6"/>
  <c r="B3645" i="6"/>
  <c r="J3645" i="6"/>
  <c r="B3646" i="6"/>
  <c r="J3646" i="6"/>
  <c r="B3647" i="6"/>
  <c r="J3647" i="6"/>
  <c r="B3648" i="6"/>
  <c r="J3648" i="6"/>
  <c r="B3649" i="6"/>
  <c r="J3649" i="6"/>
  <c r="B3650" i="6"/>
  <c r="J3650" i="6"/>
  <c r="B3651" i="6"/>
  <c r="J3651" i="6"/>
  <c r="B3652" i="6"/>
  <c r="J3652" i="6"/>
  <c r="B3653" i="6"/>
  <c r="J3653" i="6"/>
  <c r="B3654" i="6"/>
  <c r="J3654" i="6"/>
  <c r="B3655" i="6"/>
  <c r="J3655" i="6"/>
  <c r="B3656" i="6"/>
  <c r="J3656" i="6"/>
  <c r="B3657" i="6"/>
  <c r="J3657" i="6"/>
  <c r="B3658" i="6"/>
  <c r="J3658" i="6"/>
  <c r="B3659" i="6"/>
  <c r="J3659" i="6"/>
  <c r="B3660" i="6"/>
  <c r="J3660" i="6"/>
  <c r="B3661" i="6"/>
  <c r="J3661" i="6"/>
  <c r="B3662" i="6"/>
  <c r="J3662" i="6"/>
  <c r="B3663" i="6"/>
  <c r="J3663" i="6"/>
  <c r="B3664" i="6"/>
  <c r="J3664" i="6"/>
  <c r="B3665" i="6"/>
  <c r="J3665" i="6"/>
  <c r="B3666" i="6"/>
  <c r="J3666" i="6"/>
  <c r="B3667" i="6"/>
  <c r="J3667" i="6"/>
  <c r="B3668" i="6"/>
  <c r="J3668" i="6"/>
  <c r="B3669" i="6"/>
  <c r="J3669" i="6"/>
  <c r="B3670" i="6"/>
  <c r="J3670" i="6"/>
  <c r="B3671" i="6"/>
  <c r="J3671" i="6"/>
  <c r="B3672" i="6"/>
  <c r="J3672" i="6"/>
  <c r="B3673" i="6"/>
  <c r="J3673" i="6"/>
  <c r="B3674" i="6"/>
  <c r="J3674" i="6"/>
  <c r="B3675" i="6"/>
  <c r="J3675" i="6"/>
  <c r="B3676" i="6"/>
  <c r="J3676" i="6"/>
  <c r="B3677" i="6"/>
  <c r="J3677" i="6"/>
  <c r="B3678" i="6"/>
  <c r="J3678" i="6"/>
  <c r="B3679" i="6"/>
  <c r="J3679" i="6"/>
  <c r="B3680" i="6"/>
  <c r="J3680" i="6"/>
  <c r="B3681" i="6"/>
  <c r="J3681" i="6"/>
  <c r="B3682" i="6"/>
  <c r="J3682" i="6"/>
  <c r="B3683" i="6"/>
  <c r="J3683" i="6"/>
  <c r="B3684" i="6"/>
  <c r="J3684" i="6"/>
  <c r="B3685" i="6"/>
  <c r="J3685" i="6"/>
  <c r="B3686" i="6"/>
  <c r="J3686" i="6"/>
  <c r="B3687" i="6"/>
  <c r="J3687" i="6"/>
  <c r="B3688" i="6"/>
  <c r="J3688" i="6"/>
  <c r="B3689" i="6"/>
  <c r="J3689" i="6"/>
  <c r="B3690" i="6"/>
  <c r="J3690" i="6"/>
  <c r="B3691" i="6"/>
  <c r="J3691" i="6"/>
  <c r="B3692" i="6"/>
  <c r="J3692" i="6"/>
  <c r="B3693" i="6"/>
  <c r="J3693" i="6"/>
  <c r="B3694" i="6"/>
  <c r="J3694" i="6"/>
  <c r="B3695" i="6"/>
  <c r="J3695" i="6"/>
  <c r="B3696" i="6"/>
  <c r="J3696" i="6"/>
  <c r="B3697" i="6"/>
  <c r="J3697" i="6"/>
  <c r="B3698" i="6"/>
  <c r="J3698" i="6"/>
  <c r="B3699" i="6"/>
  <c r="J3699" i="6"/>
  <c r="B3700" i="6"/>
  <c r="J3700" i="6"/>
  <c r="B3701" i="6"/>
  <c r="J3701" i="6"/>
  <c r="B3702" i="6"/>
  <c r="J3702" i="6"/>
  <c r="B3703" i="6"/>
  <c r="J3703" i="6"/>
  <c r="B3704" i="6"/>
  <c r="J3704" i="6"/>
  <c r="B3705" i="6"/>
  <c r="J3705" i="6"/>
  <c r="B3706" i="6"/>
  <c r="J3706" i="6"/>
  <c r="B3707" i="6"/>
  <c r="J3707" i="6"/>
  <c r="B3708" i="6"/>
  <c r="J3708" i="6"/>
  <c r="B3709" i="6"/>
  <c r="J3709" i="6"/>
  <c r="B3710" i="6"/>
  <c r="J3710" i="6"/>
  <c r="B3711" i="6"/>
  <c r="J3711" i="6"/>
  <c r="B3712" i="6"/>
  <c r="J3712" i="6"/>
  <c r="B3713" i="6"/>
  <c r="J3713" i="6"/>
  <c r="B3714" i="6"/>
  <c r="J3714" i="6"/>
  <c r="B3715" i="6"/>
  <c r="J3715" i="6"/>
  <c r="B3716" i="6"/>
  <c r="J3716" i="6"/>
  <c r="B3717" i="6"/>
  <c r="J3717" i="6"/>
  <c r="B3718" i="6"/>
  <c r="J3718" i="6"/>
  <c r="B3719" i="6"/>
  <c r="J3719" i="6"/>
  <c r="B3720" i="6"/>
  <c r="J3720" i="6"/>
  <c r="B3721" i="6"/>
  <c r="J3721" i="6"/>
  <c r="B3722" i="6"/>
  <c r="J3722" i="6"/>
  <c r="B3723" i="6"/>
  <c r="J3723" i="6"/>
  <c r="B3724" i="6"/>
  <c r="J3724" i="6"/>
  <c r="B3725" i="6"/>
  <c r="J3725" i="6"/>
  <c r="B3726" i="6"/>
  <c r="J3726" i="6"/>
  <c r="B3727" i="6"/>
  <c r="J3727" i="6"/>
  <c r="B3728" i="6"/>
  <c r="J3728" i="6"/>
  <c r="B3729" i="6"/>
  <c r="J3729" i="6"/>
  <c r="B3730" i="6"/>
  <c r="J3730" i="6"/>
  <c r="B3731" i="6"/>
  <c r="J3731" i="6"/>
  <c r="B3732" i="6"/>
  <c r="J3732" i="6"/>
  <c r="B3733" i="6"/>
  <c r="J3733" i="6"/>
  <c r="B3734" i="6"/>
  <c r="J3734" i="6"/>
  <c r="B3735" i="6"/>
  <c r="J3735" i="6"/>
  <c r="B3736" i="6"/>
  <c r="J3736" i="6"/>
  <c r="B3737" i="6"/>
  <c r="J3737" i="6"/>
  <c r="B3738" i="6"/>
  <c r="J3738" i="6"/>
  <c r="B3739" i="6"/>
  <c r="J3739" i="6"/>
  <c r="B3740" i="6"/>
  <c r="J3740" i="6"/>
  <c r="B3741" i="6"/>
  <c r="J3741" i="6"/>
  <c r="B3742" i="6"/>
  <c r="J3742" i="6"/>
  <c r="B3743" i="6"/>
  <c r="J3743" i="6"/>
  <c r="B3744" i="6"/>
  <c r="J3744" i="6"/>
  <c r="B3745" i="6"/>
  <c r="J3745" i="6"/>
  <c r="B3746" i="6"/>
  <c r="J3746" i="6"/>
  <c r="B3747" i="6"/>
  <c r="J3747" i="6"/>
  <c r="B3748" i="6"/>
  <c r="J3748" i="6"/>
  <c r="B3749" i="6"/>
  <c r="J3749" i="6"/>
  <c r="B3750" i="6"/>
  <c r="J3750" i="6"/>
  <c r="B3751" i="6"/>
  <c r="J3751" i="6"/>
  <c r="B3752" i="6"/>
  <c r="J3752" i="6"/>
  <c r="B3753" i="6"/>
  <c r="J3753" i="6"/>
  <c r="B3754" i="6"/>
  <c r="J3754" i="6"/>
  <c r="B3755" i="6"/>
  <c r="J3755" i="6"/>
  <c r="B3756" i="6"/>
  <c r="J3756" i="6"/>
  <c r="B3757" i="6"/>
  <c r="J3757" i="6"/>
  <c r="B3758" i="6"/>
  <c r="J3758" i="6"/>
  <c r="B3759" i="6"/>
  <c r="J3759" i="6"/>
  <c r="B3760" i="6"/>
  <c r="J3760" i="6"/>
  <c r="B3761" i="6"/>
  <c r="J3761" i="6"/>
  <c r="B3762" i="6"/>
  <c r="J3762" i="6"/>
  <c r="B3763" i="6"/>
  <c r="J3763" i="6"/>
  <c r="B3764" i="6"/>
  <c r="J3764" i="6"/>
  <c r="B3765" i="6"/>
  <c r="J3765" i="6"/>
  <c r="B3766" i="6"/>
  <c r="J3766" i="6"/>
  <c r="B3767" i="6"/>
  <c r="J3767" i="6"/>
  <c r="B3768" i="6"/>
  <c r="J3768" i="6"/>
  <c r="B3769" i="6"/>
  <c r="J3769" i="6"/>
  <c r="B3770" i="6"/>
  <c r="J3770" i="6"/>
  <c r="B3771" i="6"/>
  <c r="J3771" i="6"/>
  <c r="B3772" i="6"/>
  <c r="J3772" i="6"/>
  <c r="B3773" i="6"/>
  <c r="J3773" i="6"/>
  <c r="B3774" i="6"/>
  <c r="J3774" i="6"/>
  <c r="B3775" i="6"/>
  <c r="J3775" i="6"/>
  <c r="B3776" i="6"/>
  <c r="J3776" i="6"/>
  <c r="B3777" i="6"/>
  <c r="J3777" i="6"/>
  <c r="B3778" i="6"/>
  <c r="J3778" i="6"/>
  <c r="B3779" i="6"/>
  <c r="J3779" i="6"/>
  <c r="B3780" i="6"/>
  <c r="J3780" i="6"/>
  <c r="B3781" i="6"/>
  <c r="J3781" i="6"/>
  <c r="B3782" i="6"/>
  <c r="J3782" i="6"/>
  <c r="B3783" i="6"/>
  <c r="J3783" i="6"/>
  <c r="B3784" i="6"/>
  <c r="J3784" i="6"/>
  <c r="B3785" i="6"/>
  <c r="J3785" i="6"/>
  <c r="B3786" i="6"/>
  <c r="J3786" i="6"/>
  <c r="B3787" i="6"/>
  <c r="J3787" i="6"/>
  <c r="B3788" i="6"/>
  <c r="J3788" i="6"/>
  <c r="B3789" i="6"/>
  <c r="J3789" i="6"/>
  <c r="B3790" i="6"/>
  <c r="J3790" i="6"/>
  <c r="B3791" i="6"/>
  <c r="J3791" i="6"/>
  <c r="B3792" i="6"/>
  <c r="J3792" i="6"/>
  <c r="B3793" i="6"/>
  <c r="J3793" i="6"/>
  <c r="B3794" i="6"/>
  <c r="J3794" i="6"/>
  <c r="B3795" i="6"/>
  <c r="J3795" i="6"/>
  <c r="B3796" i="6"/>
  <c r="J3796" i="6"/>
  <c r="B3797" i="6"/>
  <c r="J3797" i="6"/>
  <c r="B3798" i="6"/>
  <c r="J3798" i="6"/>
  <c r="B3799" i="6"/>
  <c r="J3799" i="6"/>
  <c r="B3800" i="6"/>
  <c r="J3800" i="6"/>
  <c r="B3801" i="6"/>
  <c r="J3801" i="6"/>
  <c r="B3802" i="6"/>
  <c r="J3802" i="6"/>
  <c r="B3803" i="6"/>
  <c r="J3803" i="6"/>
  <c r="B3804" i="6"/>
  <c r="J3804" i="6"/>
  <c r="B3805" i="6"/>
  <c r="J3805" i="6"/>
  <c r="B3806" i="6"/>
  <c r="J3806" i="6"/>
  <c r="B3807" i="6"/>
  <c r="J3807" i="6"/>
  <c r="B3808" i="6"/>
  <c r="J3808" i="6"/>
  <c r="B3809" i="6"/>
  <c r="J3809" i="6"/>
  <c r="B3810" i="6"/>
  <c r="J3810" i="6"/>
  <c r="B3811" i="6"/>
  <c r="J3811" i="6"/>
  <c r="B3812" i="6"/>
  <c r="J3812" i="6"/>
  <c r="B3813" i="6"/>
  <c r="J3813" i="6"/>
  <c r="B3814" i="6"/>
  <c r="J3814" i="6"/>
  <c r="B3815" i="6"/>
  <c r="J3815" i="6"/>
  <c r="B3816" i="6"/>
  <c r="J3816" i="6"/>
  <c r="B3817" i="6"/>
  <c r="J3817" i="6"/>
  <c r="B3818" i="6"/>
  <c r="J3818" i="6"/>
  <c r="B3819" i="6"/>
  <c r="J3819" i="6"/>
  <c r="B3820" i="6"/>
  <c r="J3820" i="6"/>
  <c r="B3821" i="6"/>
  <c r="J3821" i="6"/>
  <c r="B3822" i="6"/>
  <c r="J3822" i="6"/>
  <c r="B3823" i="6"/>
  <c r="J3823" i="6"/>
  <c r="B3824" i="6"/>
  <c r="J3824" i="6"/>
  <c r="B3825" i="6"/>
  <c r="J3825" i="6"/>
  <c r="B3826" i="6"/>
  <c r="J3826" i="6"/>
  <c r="B3827" i="6"/>
  <c r="J3827" i="6"/>
  <c r="B3828" i="6"/>
  <c r="J3828" i="6"/>
  <c r="B3829" i="6"/>
  <c r="J3829" i="6"/>
  <c r="B3830" i="6"/>
  <c r="J3830" i="6"/>
  <c r="B3831" i="6"/>
  <c r="J3831" i="6"/>
  <c r="B3832" i="6"/>
  <c r="J3832" i="6"/>
  <c r="B3833" i="6"/>
  <c r="J3833" i="6"/>
  <c r="B3834" i="6"/>
  <c r="J3834" i="6"/>
  <c r="B3835" i="6"/>
  <c r="J3835" i="6"/>
  <c r="B3836" i="6"/>
  <c r="J3836" i="6"/>
  <c r="B3837" i="6"/>
  <c r="J3837" i="6"/>
  <c r="B3838" i="6"/>
  <c r="J3838" i="6"/>
  <c r="B3839" i="6"/>
  <c r="J3839" i="6"/>
  <c r="B3840" i="6"/>
  <c r="J3840" i="6"/>
  <c r="B3841" i="6"/>
  <c r="J3841" i="6"/>
  <c r="B3842" i="6"/>
  <c r="J3842" i="6"/>
  <c r="B3843" i="6"/>
  <c r="J3843" i="6"/>
  <c r="B3844" i="6"/>
  <c r="J3844" i="6"/>
  <c r="B3845" i="6"/>
  <c r="J3845" i="6"/>
  <c r="B3846" i="6"/>
  <c r="J3846" i="6"/>
  <c r="B3847" i="6"/>
  <c r="J3847" i="6"/>
  <c r="B3848" i="6"/>
  <c r="J3848" i="6"/>
  <c r="B3849" i="6"/>
  <c r="J3849" i="6"/>
  <c r="B3850" i="6"/>
  <c r="J3850" i="6"/>
  <c r="B3851" i="6"/>
  <c r="J3851" i="6"/>
  <c r="B3852" i="6"/>
  <c r="J3852" i="6"/>
  <c r="B3853" i="6"/>
  <c r="J3853" i="6"/>
  <c r="B3854" i="6"/>
  <c r="J3854" i="6"/>
  <c r="B3855" i="6"/>
  <c r="J3855" i="6"/>
  <c r="B3856" i="6"/>
  <c r="J3856" i="6"/>
  <c r="B3857" i="6"/>
  <c r="J3857" i="6"/>
  <c r="B3858" i="6"/>
  <c r="J3858" i="6"/>
  <c r="B3859" i="6"/>
  <c r="J3859" i="6"/>
  <c r="B3860" i="6"/>
  <c r="J3860" i="6"/>
  <c r="B3861" i="6"/>
  <c r="J3861" i="6"/>
  <c r="B3862" i="6"/>
  <c r="J3862" i="6"/>
  <c r="B3863" i="6"/>
  <c r="J3863" i="6"/>
  <c r="B3864" i="6"/>
  <c r="J3864" i="6"/>
  <c r="B3865" i="6"/>
  <c r="J3865" i="6"/>
  <c r="B3866" i="6"/>
  <c r="J3866" i="6"/>
  <c r="B3867" i="6"/>
  <c r="J3867" i="6"/>
  <c r="B3868" i="6"/>
  <c r="J3868" i="6"/>
  <c r="B3869" i="6"/>
  <c r="J3869" i="6"/>
  <c r="B3870" i="6"/>
  <c r="J3870" i="6"/>
  <c r="B3871" i="6"/>
  <c r="J3871" i="6"/>
  <c r="B3872" i="6"/>
  <c r="J3872" i="6"/>
  <c r="B3873" i="6"/>
  <c r="J3873" i="6"/>
  <c r="B3874" i="6"/>
  <c r="J3874" i="6"/>
  <c r="B3875" i="6"/>
  <c r="J3875" i="6"/>
  <c r="B3876" i="6"/>
  <c r="J3876" i="6"/>
  <c r="B3877" i="6"/>
  <c r="J3877" i="6"/>
  <c r="B3878" i="6"/>
  <c r="J3878" i="6"/>
  <c r="B3879" i="6"/>
  <c r="J3879" i="6"/>
  <c r="B3880" i="6"/>
  <c r="J3880" i="6"/>
  <c r="B3881" i="6"/>
  <c r="J3881" i="6"/>
  <c r="B3882" i="6"/>
  <c r="J3882" i="6"/>
  <c r="B3883" i="6"/>
  <c r="J3883" i="6"/>
  <c r="B3884" i="6"/>
  <c r="J3884" i="6"/>
  <c r="B3885" i="6"/>
  <c r="J3885" i="6"/>
  <c r="B3886" i="6"/>
  <c r="J3886" i="6"/>
  <c r="B3887" i="6"/>
  <c r="J3887" i="6"/>
  <c r="B3888" i="6"/>
  <c r="J3888" i="6"/>
  <c r="B3889" i="6"/>
  <c r="J3889" i="6"/>
  <c r="B3890" i="6"/>
  <c r="J3890" i="6"/>
  <c r="B3891" i="6"/>
  <c r="J3891" i="6"/>
  <c r="B3892" i="6"/>
  <c r="J3892" i="6"/>
  <c r="B3893" i="6"/>
  <c r="J3893" i="6"/>
  <c r="B3894" i="6"/>
  <c r="J3894" i="6"/>
  <c r="B3895" i="6"/>
  <c r="J3895" i="6"/>
  <c r="B3896" i="6"/>
  <c r="J3896" i="6"/>
  <c r="B3897" i="6"/>
  <c r="J3897" i="6"/>
  <c r="B3898" i="6"/>
  <c r="J3898" i="6"/>
  <c r="B3899" i="6"/>
  <c r="J3899" i="6"/>
  <c r="B3900" i="6"/>
  <c r="J3900" i="6"/>
  <c r="B3901" i="6"/>
  <c r="J3901" i="6"/>
  <c r="B3902" i="6"/>
  <c r="J3902" i="6"/>
  <c r="B3903" i="6"/>
  <c r="J3903" i="6"/>
  <c r="B3904" i="6"/>
  <c r="J3904" i="6"/>
  <c r="B3905" i="6"/>
  <c r="J3905" i="6"/>
  <c r="B3906" i="6"/>
  <c r="J3906" i="6"/>
  <c r="B3907" i="6"/>
  <c r="J3907" i="6"/>
  <c r="B3908" i="6"/>
  <c r="J3908" i="6"/>
  <c r="B3909" i="6"/>
  <c r="J3909" i="6"/>
  <c r="B3910" i="6"/>
  <c r="J3910" i="6"/>
  <c r="B3911" i="6"/>
  <c r="J3911" i="6"/>
  <c r="B3912" i="6"/>
  <c r="J3912" i="6"/>
  <c r="B3913" i="6"/>
  <c r="J3913" i="6"/>
  <c r="B3914" i="6"/>
  <c r="J3914" i="6"/>
  <c r="B3915" i="6"/>
  <c r="J3915" i="6"/>
  <c r="B3916" i="6"/>
  <c r="J3916" i="6"/>
  <c r="B3917" i="6"/>
  <c r="J3917" i="6"/>
  <c r="B3918" i="6"/>
  <c r="J3918" i="6"/>
  <c r="B3919" i="6"/>
  <c r="J3919" i="6"/>
  <c r="B3920" i="6"/>
  <c r="J3920" i="6"/>
  <c r="B3921" i="6"/>
  <c r="J3921" i="6"/>
  <c r="B3922" i="6"/>
  <c r="J3922" i="6"/>
  <c r="B3923" i="6"/>
  <c r="J3923" i="6"/>
  <c r="B3924" i="6"/>
  <c r="J3924" i="6"/>
  <c r="B3925" i="6"/>
  <c r="J3925" i="6"/>
  <c r="B3926" i="6"/>
  <c r="J3926" i="6"/>
  <c r="B3927" i="6"/>
  <c r="J3927" i="6"/>
  <c r="B3928" i="6"/>
  <c r="J3928" i="6"/>
  <c r="B3929" i="6"/>
  <c r="J3929" i="6"/>
  <c r="B3930" i="6"/>
  <c r="J3930" i="6"/>
  <c r="B3931" i="6"/>
  <c r="J3931" i="6"/>
  <c r="B3932" i="6"/>
  <c r="J3932" i="6"/>
  <c r="B3933" i="6"/>
  <c r="J3933" i="6"/>
  <c r="B3934" i="6"/>
  <c r="J3934" i="6"/>
  <c r="B3935" i="6"/>
  <c r="J3935" i="6"/>
  <c r="B3936" i="6"/>
  <c r="J3936" i="6"/>
  <c r="B3937" i="6"/>
  <c r="J3937" i="6"/>
  <c r="B3938" i="6"/>
  <c r="J3938" i="6"/>
  <c r="B3939" i="6"/>
  <c r="J3939" i="6"/>
  <c r="B3940" i="6"/>
  <c r="J3940" i="6"/>
  <c r="B3941" i="6"/>
  <c r="J3941" i="6"/>
  <c r="B3942" i="6"/>
  <c r="J3942" i="6"/>
  <c r="B3943" i="6"/>
  <c r="J3943" i="6"/>
  <c r="B3944" i="6"/>
  <c r="J3944" i="6"/>
  <c r="B3945" i="6"/>
  <c r="J3945" i="6"/>
  <c r="B3946" i="6"/>
  <c r="J3946" i="6"/>
  <c r="B3947" i="6"/>
  <c r="J3947" i="6"/>
  <c r="B3948" i="6"/>
  <c r="J3948" i="6"/>
  <c r="B3949" i="6"/>
  <c r="J3949" i="6"/>
  <c r="B3950" i="6"/>
  <c r="J3950" i="6"/>
  <c r="B3951" i="6"/>
  <c r="J3951" i="6"/>
  <c r="B3952" i="6"/>
  <c r="J3952" i="6"/>
  <c r="B3953" i="6"/>
  <c r="J3953" i="6"/>
  <c r="B3954" i="6"/>
  <c r="J3954" i="6"/>
  <c r="B3955" i="6"/>
  <c r="J3955" i="6"/>
  <c r="B3956" i="6"/>
  <c r="J3956" i="6"/>
  <c r="B3957" i="6"/>
  <c r="J3957" i="6"/>
  <c r="B3958" i="6"/>
  <c r="J3958" i="6"/>
  <c r="B3959" i="6"/>
  <c r="J3959" i="6"/>
  <c r="B3960" i="6"/>
  <c r="J3960" i="6"/>
  <c r="B3961" i="6"/>
  <c r="J3961" i="6"/>
  <c r="B3962" i="6"/>
  <c r="J3962" i="6"/>
  <c r="B3963" i="6"/>
  <c r="J3963" i="6"/>
  <c r="B3964" i="6"/>
  <c r="J3964" i="6"/>
  <c r="B3965" i="6"/>
  <c r="J3965" i="6"/>
  <c r="B3966" i="6"/>
  <c r="J3966" i="6"/>
  <c r="B3967" i="6"/>
  <c r="J3967" i="6"/>
  <c r="B3968" i="6"/>
  <c r="J3968" i="6"/>
  <c r="B3969" i="6"/>
  <c r="J3969" i="6"/>
  <c r="B3970" i="6"/>
  <c r="J3970" i="6"/>
  <c r="B3971" i="6"/>
  <c r="J3971" i="6"/>
  <c r="B3972" i="6"/>
  <c r="J3972" i="6"/>
  <c r="B3973" i="6"/>
  <c r="J3973" i="6"/>
  <c r="B3974" i="6"/>
  <c r="J3974" i="6"/>
  <c r="B3975" i="6"/>
  <c r="J3975" i="6"/>
  <c r="B3976" i="6"/>
  <c r="J3976" i="6"/>
  <c r="B3977" i="6"/>
  <c r="J3977" i="6"/>
  <c r="B3978" i="6"/>
  <c r="J3978" i="6"/>
  <c r="B3979" i="6"/>
  <c r="J3979" i="6"/>
  <c r="B3980" i="6"/>
  <c r="J3980" i="6"/>
  <c r="B3981" i="6"/>
  <c r="J3981" i="6"/>
  <c r="B3982" i="6"/>
  <c r="J3982" i="6"/>
  <c r="B3983" i="6"/>
  <c r="J3983" i="6"/>
  <c r="B3984" i="6"/>
  <c r="J3984" i="6"/>
  <c r="B3985" i="6"/>
  <c r="J3985" i="6"/>
  <c r="B3986" i="6"/>
  <c r="J3986" i="6"/>
  <c r="B3987" i="6"/>
  <c r="J3987" i="6"/>
  <c r="B3988" i="6"/>
  <c r="J3988" i="6"/>
  <c r="B3989" i="6"/>
  <c r="J3989" i="6"/>
  <c r="B3990" i="6"/>
  <c r="J3990" i="6"/>
  <c r="B3991" i="6"/>
  <c r="J3991" i="6"/>
  <c r="B3992" i="6"/>
  <c r="J3992" i="6"/>
  <c r="B3993" i="6"/>
  <c r="J3993" i="6"/>
  <c r="B3994" i="6"/>
  <c r="J3994" i="6"/>
  <c r="B3995" i="6"/>
  <c r="J3995" i="6"/>
  <c r="B3996" i="6"/>
  <c r="J3996" i="6"/>
  <c r="B3997" i="6"/>
  <c r="J3997" i="6"/>
  <c r="B3998" i="6"/>
  <c r="J3998" i="6"/>
  <c r="B3999" i="6"/>
  <c r="J3999" i="6"/>
  <c r="B4000" i="6"/>
  <c r="J4000" i="6"/>
  <c r="B4001" i="6"/>
  <c r="J4001" i="6"/>
  <c r="B4002" i="6"/>
  <c r="J4002" i="6"/>
  <c r="B4003" i="6"/>
  <c r="J4003" i="6"/>
  <c r="B4004" i="6"/>
  <c r="J4004" i="6"/>
  <c r="B4005" i="6"/>
  <c r="J4005" i="6"/>
  <c r="B4006" i="6"/>
  <c r="J4006" i="6"/>
  <c r="B4007" i="6"/>
  <c r="J4007" i="6"/>
  <c r="B4008" i="6"/>
  <c r="J4008" i="6"/>
  <c r="B4009" i="6"/>
  <c r="J4009" i="6"/>
  <c r="B4010" i="6"/>
  <c r="J4010" i="6"/>
  <c r="B4011" i="6"/>
  <c r="J4011" i="6"/>
  <c r="B4012" i="6"/>
  <c r="J4012" i="6"/>
  <c r="B4013" i="6"/>
  <c r="J4013" i="6"/>
  <c r="B4014" i="6"/>
  <c r="J4014" i="6"/>
  <c r="B4015" i="6"/>
  <c r="J4015" i="6"/>
  <c r="B4016" i="6"/>
  <c r="J4016" i="6"/>
  <c r="B4017" i="6"/>
  <c r="J4017" i="6"/>
  <c r="B4018" i="6"/>
  <c r="J4018" i="6"/>
  <c r="B4019" i="6"/>
  <c r="J4019" i="6"/>
  <c r="B4020" i="6"/>
  <c r="J4020" i="6"/>
  <c r="B4021" i="6"/>
  <c r="J4021" i="6"/>
  <c r="B4022" i="6"/>
  <c r="J4022" i="6"/>
  <c r="B4023" i="6"/>
  <c r="J4023" i="6"/>
  <c r="B4024" i="6"/>
  <c r="J4024" i="6"/>
  <c r="B4025" i="6"/>
  <c r="J4025" i="6"/>
  <c r="B4026" i="6"/>
  <c r="J4026" i="6"/>
  <c r="B4027" i="6"/>
  <c r="J4027" i="6"/>
  <c r="B4028" i="6"/>
  <c r="J4028" i="6"/>
  <c r="B4029" i="6"/>
  <c r="J4029" i="6"/>
  <c r="B4030" i="6"/>
  <c r="J4030" i="6"/>
  <c r="B4031" i="6"/>
  <c r="J4031" i="6"/>
  <c r="B4032" i="6"/>
  <c r="J4032" i="6"/>
  <c r="B4033" i="6"/>
  <c r="J4033" i="6"/>
  <c r="B4034" i="6"/>
  <c r="J4034" i="6"/>
  <c r="B4035" i="6"/>
  <c r="J4035" i="6"/>
  <c r="B4036" i="6"/>
  <c r="J4036" i="6"/>
  <c r="B4037" i="6"/>
  <c r="J4037" i="6"/>
  <c r="B4038" i="6"/>
  <c r="J4038" i="6"/>
  <c r="B4039" i="6"/>
  <c r="J4039" i="6"/>
  <c r="B4040" i="6"/>
  <c r="J4040" i="6"/>
  <c r="B4041" i="6"/>
  <c r="J4041" i="6"/>
  <c r="B4042" i="6"/>
  <c r="J4042" i="6"/>
  <c r="B4043" i="6"/>
  <c r="J4043" i="6"/>
  <c r="B4044" i="6"/>
  <c r="J4044" i="6"/>
  <c r="B4045" i="6"/>
  <c r="J4045" i="6"/>
  <c r="B4046" i="6"/>
  <c r="J4046" i="6"/>
  <c r="B4047" i="6"/>
  <c r="J4047" i="6"/>
  <c r="B4048" i="6"/>
  <c r="J4048" i="6"/>
  <c r="B4049" i="6"/>
  <c r="J4049" i="6"/>
  <c r="B4050" i="6"/>
  <c r="J4050" i="6"/>
  <c r="B4051" i="6"/>
  <c r="J4051" i="6"/>
  <c r="B4052" i="6"/>
  <c r="J4052" i="6"/>
  <c r="B4053" i="6"/>
  <c r="J4053" i="6"/>
  <c r="B4054" i="6"/>
  <c r="J4054" i="6"/>
  <c r="B4055" i="6"/>
  <c r="J4055" i="6"/>
  <c r="B4056" i="6"/>
  <c r="J4056" i="6"/>
  <c r="B4057" i="6"/>
  <c r="J4057" i="6"/>
  <c r="B4058" i="6"/>
  <c r="J4058" i="6"/>
  <c r="B4059" i="6"/>
  <c r="J4059" i="6"/>
  <c r="B4060" i="6"/>
  <c r="J4060" i="6"/>
  <c r="B4061" i="6"/>
  <c r="J4061" i="6"/>
  <c r="B4062" i="6"/>
  <c r="J4062" i="6"/>
  <c r="B4063" i="6"/>
  <c r="J4063" i="6"/>
  <c r="B4064" i="6"/>
  <c r="J4064" i="6"/>
  <c r="B4065" i="6"/>
  <c r="J4065" i="6"/>
  <c r="B4066" i="6"/>
  <c r="J4066" i="6"/>
  <c r="B4067" i="6"/>
  <c r="J4067" i="6"/>
  <c r="B4068" i="6"/>
  <c r="J4068" i="6"/>
  <c r="B4069" i="6"/>
  <c r="J4069" i="6"/>
  <c r="B4070" i="6"/>
  <c r="J4070" i="6"/>
  <c r="B4071" i="6"/>
  <c r="J4071" i="6"/>
  <c r="B4072" i="6"/>
  <c r="J4072" i="6"/>
  <c r="B4073" i="6"/>
  <c r="J4073" i="6"/>
  <c r="B4074" i="6"/>
  <c r="J4074" i="6"/>
  <c r="B4075" i="6"/>
  <c r="J4075" i="6"/>
  <c r="B4076" i="6"/>
  <c r="J4076" i="6"/>
  <c r="B4077" i="6"/>
  <c r="J4077" i="6"/>
  <c r="B4078" i="6"/>
  <c r="J4078" i="6"/>
  <c r="B4079" i="6"/>
  <c r="J4079" i="6"/>
  <c r="B4080" i="6"/>
  <c r="J4080" i="6"/>
  <c r="B4081" i="6"/>
  <c r="J4081" i="6"/>
  <c r="B4082" i="6"/>
  <c r="J4082" i="6"/>
  <c r="B4083" i="6"/>
  <c r="J4083" i="6"/>
  <c r="B4084" i="6"/>
  <c r="J4084" i="6"/>
  <c r="B4085" i="6"/>
  <c r="J4085" i="6"/>
  <c r="B4086" i="6"/>
  <c r="J4086" i="6"/>
  <c r="B4087" i="6"/>
  <c r="J4087" i="6"/>
  <c r="B4088" i="6"/>
  <c r="J4088" i="6"/>
  <c r="B4089" i="6"/>
  <c r="J4089" i="6"/>
  <c r="B4090" i="6"/>
  <c r="J4090" i="6"/>
  <c r="B4091" i="6"/>
  <c r="J4091" i="6"/>
  <c r="B4092" i="6"/>
  <c r="J4092" i="6"/>
  <c r="B4093" i="6"/>
  <c r="J4093" i="6"/>
  <c r="B4094" i="6"/>
  <c r="J4094" i="6"/>
  <c r="B4095" i="6"/>
  <c r="J4095" i="6"/>
  <c r="B4096" i="6"/>
  <c r="J4096" i="6"/>
  <c r="B4097" i="6"/>
  <c r="J4097" i="6"/>
  <c r="B4098" i="6"/>
  <c r="J4098" i="6"/>
  <c r="B4099" i="6"/>
  <c r="J4099" i="6"/>
  <c r="B4100" i="6"/>
  <c r="J4100" i="6"/>
  <c r="B4101" i="6"/>
  <c r="J4101" i="6"/>
  <c r="B4102" i="6"/>
  <c r="J4102" i="6"/>
  <c r="B4103" i="6"/>
  <c r="J4103" i="6"/>
  <c r="B4104" i="6"/>
  <c r="J4104" i="6"/>
  <c r="B4105" i="6"/>
  <c r="J4105" i="6"/>
  <c r="B4106" i="6"/>
  <c r="J4106" i="6"/>
  <c r="B4107" i="6"/>
  <c r="J4107" i="6"/>
  <c r="B4108" i="6"/>
  <c r="J4108" i="6"/>
  <c r="B4109" i="6"/>
  <c r="J4109" i="6"/>
  <c r="B4110" i="6"/>
  <c r="J4110" i="6"/>
  <c r="B4111" i="6"/>
  <c r="J4111" i="6"/>
  <c r="B4112" i="6"/>
  <c r="J4112" i="6"/>
  <c r="B4113" i="6"/>
  <c r="J4113" i="6"/>
  <c r="B4114" i="6"/>
  <c r="J4114" i="6"/>
  <c r="B4115" i="6"/>
  <c r="J4115" i="6"/>
  <c r="B4116" i="6"/>
  <c r="J4116" i="6"/>
  <c r="B4117" i="6"/>
  <c r="J4117" i="6"/>
  <c r="B4118" i="6"/>
  <c r="J4118" i="6"/>
  <c r="B4119" i="6"/>
  <c r="J4119" i="6"/>
  <c r="B4120" i="6"/>
  <c r="J4120" i="6"/>
  <c r="B4121" i="6"/>
  <c r="J4121" i="6"/>
  <c r="B4122" i="6"/>
  <c r="J4122" i="6"/>
  <c r="B4123" i="6"/>
  <c r="J4123" i="6"/>
  <c r="B4124" i="6"/>
  <c r="J4124" i="6"/>
  <c r="B4125" i="6"/>
  <c r="J4125" i="6"/>
  <c r="B4126" i="6"/>
  <c r="J4126" i="6"/>
  <c r="B4127" i="6"/>
  <c r="J4127" i="6"/>
  <c r="B4128" i="6"/>
  <c r="J4128" i="6"/>
  <c r="B4129" i="6"/>
  <c r="J4129" i="6"/>
  <c r="B4130" i="6"/>
  <c r="J4130" i="6"/>
  <c r="B4131" i="6"/>
  <c r="J4131" i="6"/>
  <c r="B4132" i="6"/>
  <c r="J4132" i="6"/>
  <c r="B4133" i="6"/>
  <c r="J4133" i="6"/>
  <c r="B4134" i="6"/>
  <c r="J4134" i="6"/>
  <c r="B4135" i="6"/>
  <c r="J4135" i="6"/>
  <c r="B4136" i="6"/>
  <c r="J4136" i="6"/>
  <c r="B4137" i="6"/>
  <c r="J4137" i="6"/>
  <c r="B4138" i="6"/>
  <c r="J4138" i="6"/>
  <c r="B4139" i="6"/>
  <c r="J4139" i="6"/>
  <c r="B4140" i="6"/>
  <c r="J4140" i="6"/>
  <c r="B4141" i="6"/>
  <c r="J4141" i="6"/>
  <c r="B4142" i="6"/>
  <c r="J4142" i="6"/>
  <c r="B4143" i="6"/>
  <c r="J4143" i="6"/>
  <c r="B4144" i="6"/>
  <c r="J4144" i="6"/>
  <c r="B4145" i="6"/>
  <c r="J4145" i="6"/>
  <c r="B4146" i="6"/>
  <c r="J4146" i="6"/>
  <c r="B4147" i="6"/>
  <c r="J4147" i="6"/>
  <c r="B4148" i="6"/>
  <c r="J4148" i="6"/>
  <c r="B4149" i="6"/>
  <c r="J4149" i="6"/>
  <c r="B4150" i="6"/>
  <c r="J4150" i="6"/>
  <c r="B4151" i="6"/>
  <c r="J4151" i="6"/>
  <c r="B4152" i="6"/>
  <c r="J4152" i="6"/>
  <c r="B4153" i="6"/>
  <c r="J4153" i="6"/>
  <c r="B4154" i="6"/>
  <c r="J4154" i="6"/>
  <c r="B4155" i="6"/>
  <c r="J4155" i="6"/>
  <c r="B4156" i="6"/>
  <c r="J4156" i="6"/>
  <c r="B4157" i="6"/>
  <c r="J4157" i="6"/>
  <c r="B4158" i="6"/>
  <c r="J4158" i="6"/>
  <c r="B4159" i="6"/>
  <c r="J4159" i="6"/>
  <c r="B4160" i="6"/>
  <c r="J4160" i="6"/>
  <c r="B4161" i="6"/>
  <c r="J4161" i="6"/>
  <c r="B4162" i="6"/>
  <c r="J4162" i="6"/>
  <c r="B4163" i="6"/>
  <c r="J4163" i="6"/>
  <c r="B4164" i="6"/>
  <c r="J4164" i="6"/>
  <c r="B4165" i="6"/>
  <c r="J4165" i="6"/>
  <c r="B4166" i="6"/>
  <c r="J4166" i="6"/>
  <c r="B4167" i="6"/>
  <c r="J4167" i="6"/>
  <c r="B4168" i="6"/>
  <c r="J4168" i="6"/>
  <c r="B4169" i="6"/>
  <c r="J4169" i="6"/>
  <c r="B4170" i="6"/>
  <c r="J4170" i="6"/>
  <c r="B4171" i="6"/>
  <c r="J4171" i="6"/>
  <c r="B4172" i="6"/>
  <c r="J4172" i="6"/>
  <c r="B4173" i="6"/>
  <c r="J4173" i="6"/>
  <c r="B4174" i="6"/>
  <c r="J4174" i="6"/>
  <c r="B4175" i="6"/>
  <c r="J4175" i="6"/>
  <c r="B4176" i="6"/>
  <c r="J4176" i="6"/>
  <c r="B4177" i="6"/>
  <c r="J4177" i="6"/>
  <c r="B4178" i="6"/>
  <c r="J4178" i="6"/>
  <c r="B4179" i="6"/>
  <c r="J4179" i="6"/>
  <c r="B4180" i="6"/>
  <c r="J4180" i="6"/>
  <c r="B4181" i="6"/>
  <c r="J4181" i="6"/>
  <c r="B4182" i="6"/>
  <c r="J4182" i="6"/>
  <c r="B4183" i="6"/>
  <c r="J4183" i="6"/>
  <c r="B4184" i="6"/>
  <c r="J4184" i="6"/>
  <c r="B4185" i="6"/>
  <c r="J4185" i="6"/>
  <c r="B4186" i="6"/>
  <c r="J4186" i="6"/>
  <c r="B4187" i="6"/>
  <c r="J4187" i="6"/>
  <c r="B4188" i="6"/>
  <c r="J4188" i="6"/>
  <c r="B4189" i="6"/>
  <c r="J4189" i="6"/>
  <c r="B4190" i="6"/>
  <c r="J4190" i="6"/>
  <c r="B4191" i="6"/>
  <c r="J4191" i="6"/>
  <c r="B4192" i="6"/>
  <c r="J4192" i="6"/>
  <c r="B4193" i="6"/>
  <c r="J4193" i="6"/>
  <c r="B4194" i="6"/>
  <c r="J4194" i="6"/>
  <c r="B4195" i="6"/>
  <c r="J4195" i="6"/>
  <c r="B4196" i="6"/>
  <c r="J4196" i="6"/>
  <c r="B4197" i="6"/>
  <c r="J4197" i="6"/>
  <c r="B4198" i="6"/>
  <c r="J4198" i="6"/>
  <c r="B4199" i="6"/>
  <c r="J4199" i="6"/>
  <c r="B4200" i="6"/>
  <c r="J4200" i="6"/>
  <c r="B4201" i="6"/>
  <c r="J4201" i="6"/>
  <c r="B4202" i="6"/>
  <c r="J4202" i="6"/>
  <c r="B4203" i="6"/>
  <c r="J4203" i="6"/>
  <c r="B4204" i="6"/>
  <c r="J4204" i="6"/>
  <c r="B4205" i="6"/>
  <c r="J4205" i="6"/>
  <c r="B4206" i="6"/>
  <c r="J4206" i="6"/>
  <c r="B4207" i="6"/>
  <c r="J4207" i="6"/>
  <c r="B4208" i="6"/>
  <c r="J4208" i="6"/>
  <c r="B4209" i="6"/>
  <c r="J4209" i="6"/>
  <c r="B4210" i="6"/>
  <c r="J4210" i="6"/>
  <c r="B4211" i="6"/>
  <c r="J4211" i="6"/>
  <c r="B4212" i="6"/>
  <c r="J4212" i="6"/>
  <c r="B4213" i="6"/>
  <c r="J4213" i="6"/>
  <c r="B4214" i="6"/>
  <c r="J4214" i="6"/>
  <c r="B4215" i="6"/>
  <c r="J4215" i="6"/>
  <c r="B4216" i="6"/>
  <c r="J4216" i="6"/>
  <c r="B4217" i="6"/>
  <c r="J4217" i="6"/>
  <c r="B4218" i="6"/>
  <c r="J4218" i="6"/>
  <c r="B4219" i="6"/>
  <c r="J4219" i="6"/>
  <c r="B4220" i="6"/>
  <c r="J4220" i="6"/>
  <c r="B4221" i="6"/>
  <c r="J4221" i="6"/>
  <c r="B4222" i="6"/>
  <c r="J4222" i="6"/>
  <c r="B4223" i="6"/>
  <c r="J4223" i="6"/>
  <c r="B4224" i="6"/>
  <c r="J4224" i="6"/>
  <c r="B4225" i="6"/>
  <c r="J4225" i="6"/>
  <c r="B4226" i="6"/>
  <c r="J4226" i="6"/>
  <c r="B4227" i="6"/>
  <c r="J4227" i="6"/>
  <c r="B4228" i="6"/>
  <c r="J4228" i="6"/>
  <c r="B4229" i="6"/>
  <c r="J4229" i="6"/>
  <c r="B4230" i="6"/>
  <c r="J4230" i="6"/>
  <c r="B4231" i="6"/>
  <c r="J4231" i="6"/>
  <c r="B4232" i="6"/>
  <c r="J4232" i="6"/>
  <c r="B4233" i="6"/>
  <c r="J4233" i="6"/>
  <c r="B4234" i="6"/>
  <c r="J4234" i="6"/>
  <c r="B4235" i="6"/>
  <c r="J4235" i="6"/>
  <c r="B4236" i="6"/>
  <c r="J4236" i="6"/>
  <c r="B4237" i="6"/>
  <c r="J4237" i="6"/>
  <c r="B4238" i="6"/>
  <c r="J4238" i="6"/>
  <c r="B4239" i="6"/>
  <c r="J4239" i="6"/>
  <c r="B4240" i="6"/>
  <c r="J4240" i="6"/>
  <c r="B4241" i="6"/>
  <c r="J4241" i="6"/>
  <c r="B4242" i="6"/>
  <c r="J4242" i="6"/>
  <c r="B4243" i="6"/>
  <c r="J4243" i="6"/>
  <c r="B4244" i="6"/>
  <c r="J4244" i="6"/>
  <c r="B4245" i="6"/>
  <c r="J4245" i="6"/>
  <c r="B4246" i="6"/>
  <c r="J4246" i="6"/>
  <c r="B4247" i="6"/>
  <c r="J4247" i="6"/>
  <c r="B4248" i="6"/>
  <c r="J4248" i="6"/>
  <c r="B4249" i="6"/>
  <c r="J4249" i="6"/>
  <c r="B4250" i="6"/>
  <c r="J4250" i="6"/>
  <c r="B4251" i="6"/>
  <c r="J4251" i="6"/>
  <c r="B4252" i="6"/>
  <c r="J4252" i="6"/>
  <c r="B4253" i="6"/>
  <c r="J4253" i="6"/>
  <c r="B4254" i="6"/>
  <c r="J4254" i="6"/>
  <c r="B4255" i="6"/>
  <c r="J4255" i="6"/>
  <c r="B4256" i="6"/>
  <c r="J4256" i="6"/>
  <c r="B4257" i="6"/>
  <c r="J4257" i="6"/>
  <c r="B4258" i="6"/>
  <c r="J4258" i="6"/>
  <c r="B4259" i="6"/>
  <c r="J4259" i="6"/>
  <c r="B4260" i="6"/>
  <c r="J4260" i="6"/>
  <c r="B4261" i="6"/>
  <c r="J4261" i="6"/>
  <c r="B4262" i="6"/>
  <c r="J4262" i="6"/>
  <c r="B4263" i="6"/>
  <c r="J4263" i="6"/>
  <c r="B4264" i="6"/>
  <c r="J4264" i="6"/>
  <c r="B4265" i="6"/>
  <c r="J4265" i="6"/>
  <c r="B4266" i="6"/>
  <c r="J4266" i="6"/>
  <c r="B4267" i="6"/>
  <c r="J4267" i="6"/>
  <c r="B4268" i="6"/>
  <c r="J4268" i="6"/>
  <c r="B4269" i="6"/>
  <c r="J4269" i="6"/>
  <c r="B4270" i="6"/>
  <c r="J4270" i="6"/>
  <c r="B4271" i="6"/>
  <c r="J4271" i="6"/>
  <c r="B4272" i="6"/>
  <c r="J4272" i="6"/>
  <c r="B4273" i="6"/>
  <c r="J4273" i="6"/>
  <c r="B4274" i="6"/>
  <c r="J4274" i="6"/>
  <c r="B4275" i="6"/>
  <c r="J4275" i="6"/>
  <c r="B4276" i="6"/>
  <c r="J4276" i="6"/>
  <c r="B4277" i="6"/>
  <c r="J4277" i="6"/>
  <c r="B4278" i="6"/>
  <c r="J4278" i="6"/>
  <c r="B4279" i="6"/>
  <c r="J4279" i="6"/>
  <c r="B4280" i="6"/>
  <c r="J4280" i="6"/>
  <c r="B4281" i="6"/>
  <c r="J4281" i="6"/>
  <c r="B4282" i="6"/>
  <c r="J4282" i="6"/>
  <c r="B4283" i="6"/>
  <c r="J4283" i="6"/>
  <c r="B4284" i="6"/>
  <c r="J4284" i="6"/>
  <c r="B4285" i="6"/>
  <c r="J4285" i="6"/>
  <c r="B4286" i="6"/>
  <c r="J4286" i="6"/>
  <c r="B4287" i="6"/>
  <c r="J4287" i="6"/>
  <c r="B4288" i="6"/>
  <c r="J4288" i="6"/>
  <c r="B4289" i="6"/>
  <c r="J4289" i="6"/>
  <c r="B4290" i="6"/>
  <c r="J4290" i="6"/>
  <c r="B4291" i="6"/>
  <c r="J4291" i="6"/>
  <c r="B4292" i="6"/>
  <c r="J4292" i="6"/>
  <c r="B4293" i="6"/>
  <c r="J4293" i="6"/>
  <c r="B4294" i="6"/>
  <c r="J4294" i="6"/>
  <c r="B4295" i="6"/>
  <c r="J4295" i="6"/>
  <c r="B4296" i="6"/>
  <c r="J4296" i="6"/>
  <c r="B4297" i="6"/>
  <c r="J4297" i="6"/>
  <c r="B4298" i="6"/>
  <c r="J4298" i="6"/>
  <c r="B4299" i="6"/>
  <c r="J4299" i="6"/>
  <c r="B4300" i="6"/>
  <c r="J4300" i="6"/>
  <c r="B4301" i="6"/>
  <c r="J4301" i="6"/>
  <c r="B4302" i="6"/>
  <c r="J4302" i="6"/>
  <c r="B4303" i="6"/>
  <c r="J4303" i="6"/>
  <c r="B4304" i="6"/>
  <c r="J4304" i="6"/>
  <c r="B4305" i="6"/>
  <c r="J4305" i="6"/>
  <c r="B4306" i="6"/>
  <c r="J4306" i="6"/>
  <c r="B4307" i="6"/>
  <c r="J4307" i="6"/>
  <c r="B4308" i="6"/>
  <c r="J4308" i="6"/>
  <c r="B4309" i="6"/>
  <c r="J4309" i="6"/>
  <c r="B4310" i="6"/>
  <c r="J4310" i="6"/>
  <c r="B4311" i="6"/>
  <c r="J4311" i="6"/>
  <c r="B4312" i="6"/>
  <c r="J4312" i="6"/>
  <c r="B4313" i="6"/>
  <c r="J4313" i="6"/>
  <c r="B4314" i="6"/>
  <c r="J4314" i="6"/>
  <c r="B4315" i="6"/>
  <c r="J4315" i="6"/>
  <c r="B4316" i="6"/>
  <c r="J4316" i="6"/>
  <c r="B4317" i="6"/>
  <c r="J4317" i="6"/>
  <c r="B4318" i="6"/>
  <c r="J4318" i="6"/>
  <c r="B4319" i="6"/>
  <c r="J4319" i="6"/>
  <c r="B4320" i="6"/>
  <c r="J4320" i="6"/>
  <c r="B4321" i="6"/>
  <c r="J4321" i="6"/>
  <c r="B4322" i="6"/>
  <c r="J4322" i="6"/>
  <c r="B4323" i="6"/>
  <c r="J4323" i="6"/>
  <c r="B4324" i="6"/>
  <c r="J4324" i="6"/>
  <c r="B4325" i="6"/>
  <c r="J4325" i="6"/>
  <c r="B4326" i="6"/>
  <c r="J4326" i="6"/>
  <c r="B4327" i="6"/>
  <c r="J4327" i="6"/>
  <c r="B4328" i="6"/>
  <c r="J4328" i="6"/>
  <c r="B4329" i="6"/>
  <c r="J4329" i="6"/>
  <c r="B4330" i="6"/>
  <c r="J4330" i="6"/>
  <c r="B4331" i="6"/>
  <c r="J4331" i="6"/>
  <c r="B4332" i="6"/>
  <c r="J4332" i="6"/>
  <c r="B4333" i="6"/>
  <c r="J4333" i="6"/>
  <c r="B4334" i="6"/>
  <c r="J4334" i="6"/>
  <c r="B4335" i="6"/>
  <c r="J4335" i="6"/>
  <c r="B4336" i="6"/>
  <c r="J4336" i="6"/>
  <c r="B4337" i="6"/>
  <c r="J4337" i="6"/>
  <c r="B4338" i="6"/>
  <c r="J4338" i="6"/>
  <c r="B4339" i="6"/>
  <c r="J4339" i="6"/>
  <c r="B4340" i="6"/>
  <c r="J4340" i="6"/>
  <c r="B4341" i="6"/>
  <c r="J4341" i="6"/>
  <c r="B4342" i="6"/>
  <c r="J4342" i="6"/>
  <c r="B4343" i="6"/>
  <c r="J4343" i="6"/>
  <c r="B4344" i="6"/>
  <c r="J4344" i="6"/>
  <c r="B4345" i="6"/>
  <c r="J4345" i="6"/>
  <c r="B4346" i="6"/>
  <c r="J4346" i="6"/>
  <c r="B4347" i="6"/>
  <c r="J4347" i="6"/>
  <c r="B4348" i="6"/>
  <c r="J4348" i="6"/>
  <c r="B4349" i="6"/>
  <c r="J4349" i="6"/>
  <c r="B4350" i="6"/>
  <c r="J4350" i="6"/>
  <c r="B4351" i="6"/>
  <c r="J4351" i="6"/>
  <c r="B4352" i="6"/>
  <c r="J4352" i="6"/>
  <c r="B4353" i="6"/>
  <c r="J4353" i="6"/>
  <c r="B4354" i="6"/>
  <c r="J4354" i="6"/>
  <c r="B4355" i="6"/>
  <c r="J4355" i="6"/>
  <c r="B4356" i="6"/>
  <c r="J4356" i="6"/>
  <c r="B4357" i="6"/>
  <c r="J4357" i="6"/>
  <c r="B4358" i="6"/>
  <c r="J4358" i="6"/>
  <c r="B4359" i="6"/>
  <c r="J4359" i="6"/>
  <c r="B4360" i="6"/>
  <c r="J4360" i="6"/>
  <c r="B4361" i="6"/>
  <c r="J4361" i="6"/>
  <c r="B4362" i="6"/>
  <c r="J4362" i="6"/>
  <c r="B4363" i="6"/>
  <c r="J4363" i="6"/>
  <c r="B4364" i="6"/>
  <c r="J4364" i="6"/>
  <c r="B4365" i="6"/>
  <c r="J4365" i="6"/>
  <c r="B4366" i="6"/>
  <c r="J4366" i="6"/>
  <c r="B4367" i="6"/>
  <c r="J4367" i="6"/>
  <c r="B4368" i="6"/>
  <c r="J4368" i="6"/>
  <c r="B4369" i="6"/>
  <c r="J4369" i="6"/>
  <c r="B4370" i="6"/>
  <c r="J4370" i="6"/>
  <c r="B4371" i="6"/>
  <c r="J4371" i="6"/>
  <c r="B4372" i="6"/>
  <c r="J4372" i="6"/>
  <c r="B4373" i="6"/>
  <c r="J4373" i="6"/>
  <c r="B4374" i="6"/>
  <c r="J4374" i="6"/>
  <c r="B4375" i="6"/>
  <c r="J4375" i="6"/>
  <c r="B4376" i="6"/>
  <c r="J4376" i="6"/>
  <c r="B4377" i="6"/>
  <c r="J4377" i="6"/>
  <c r="B4378" i="6"/>
  <c r="J4378" i="6"/>
  <c r="B4379" i="6"/>
  <c r="J4379" i="6"/>
  <c r="B4380" i="6"/>
  <c r="J4380" i="6"/>
  <c r="B4381" i="6"/>
  <c r="J4381" i="6"/>
  <c r="B4382" i="6"/>
  <c r="J4382" i="6"/>
  <c r="B4383" i="6"/>
  <c r="J4383" i="6"/>
  <c r="B4384" i="6"/>
  <c r="J4384" i="6"/>
  <c r="B4385" i="6"/>
  <c r="J4385" i="6"/>
  <c r="B4386" i="6"/>
  <c r="J4386" i="6"/>
  <c r="B4387" i="6"/>
  <c r="J4387" i="6"/>
  <c r="B4388" i="6"/>
  <c r="J4388" i="6"/>
  <c r="B4389" i="6"/>
  <c r="J4389" i="6"/>
  <c r="B4390" i="6"/>
  <c r="J4390" i="6"/>
  <c r="B4391" i="6"/>
  <c r="J4391" i="6"/>
  <c r="B4392" i="6"/>
  <c r="J4392" i="6"/>
  <c r="B4393" i="6"/>
  <c r="J4393" i="6"/>
  <c r="B4394" i="6"/>
  <c r="J4394" i="6"/>
  <c r="B4395" i="6"/>
  <c r="J4395" i="6"/>
  <c r="B4396" i="6"/>
  <c r="J4396" i="6"/>
  <c r="B4397" i="6"/>
  <c r="J4397" i="6"/>
  <c r="B4398" i="6"/>
  <c r="J4398" i="6"/>
  <c r="B4399" i="6"/>
  <c r="J4399" i="6"/>
  <c r="B4400" i="6"/>
  <c r="J4400" i="6"/>
  <c r="B4401" i="6"/>
  <c r="J4401" i="6"/>
  <c r="B4402" i="6"/>
  <c r="J4402" i="6"/>
  <c r="B4403" i="6"/>
  <c r="J4403" i="6"/>
  <c r="B4404" i="6"/>
  <c r="J4404" i="6"/>
  <c r="B4405" i="6"/>
  <c r="J4405" i="6"/>
  <c r="B4406" i="6"/>
  <c r="J4406" i="6"/>
  <c r="B4407" i="6"/>
  <c r="J4407" i="6"/>
  <c r="B4408" i="6"/>
  <c r="J4408" i="6"/>
  <c r="B4409" i="6"/>
  <c r="J4409" i="6"/>
  <c r="B4410" i="6"/>
  <c r="J4410" i="6"/>
  <c r="B4411" i="6"/>
  <c r="J4411" i="6"/>
  <c r="B4412" i="6"/>
  <c r="J4412" i="6"/>
  <c r="B4413" i="6"/>
  <c r="J4413" i="6"/>
  <c r="B4414" i="6"/>
  <c r="J4414" i="6"/>
  <c r="B4415" i="6"/>
  <c r="J4415" i="6"/>
  <c r="B4416" i="6"/>
  <c r="J4416" i="6"/>
  <c r="B4417" i="6"/>
  <c r="J4417" i="6"/>
  <c r="B4418" i="6"/>
  <c r="J4418" i="6"/>
  <c r="B4419" i="6"/>
  <c r="J4419" i="6"/>
  <c r="B4420" i="6"/>
  <c r="J4420" i="6"/>
  <c r="B4421" i="6"/>
  <c r="J4421" i="6"/>
  <c r="B4422" i="6"/>
  <c r="J4422" i="6"/>
  <c r="B4423" i="6"/>
  <c r="J4423" i="6"/>
  <c r="B4424" i="6"/>
  <c r="J4424" i="6"/>
  <c r="B4425" i="6"/>
  <c r="J4425" i="6"/>
  <c r="B4426" i="6"/>
  <c r="J4426" i="6"/>
  <c r="B4427" i="6"/>
  <c r="J4427" i="6"/>
  <c r="B4428" i="6"/>
  <c r="J4428" i="6"/>
  <c r="B4429" i="6"/>
  <c r="J4429" i="6"/>
  <c r="B4430" i="6"/>
  <c r="J4430" i="6"/>
  <c r="B4431" i="6"/>
  <c r="J4431" i="6"/>
  <c r="B4432" i="6"/>
  <c r="J4432" i="6"/>
  <c r="B4433" i="6"/>
  <c r="J4433" i="6"/>
  <c r="B4434" i="6"/>
  <c r="J4434" i="6"/>
  <c r="B4435" i="6"/>
  <c r="J4435" i="6"/>
  <c r="B4436" i="6"/>
  <c r="J4436" i="6"/>
  <c r="B4437" i="6"/>
  <c r="J4437" i="6"/>
  <c r="B4438" i="6"/>
  <c r="J4438" i="6"/>
  <c r="B4439" i="6"/>
  <c r="J4439" i="6"/>
  <c r="B4440" i="6"/>
  <c r="J4440" i="6"/>
  <c r="B4441" i="6"/>
  <c r="J4441" i="6"/>
  <c r="B4442" i="6"/>
  <c r="J4442" i="6"/>
  <c r="B4443" i="6"/>
  <c r="J4443" i="6"/>
  <c r="B4444" i="6"/>
  <c r="J4444" i="6"/>
  <c r="B4445" i="6"/>
  <c r="J4445" i="6"/>
  <c r="B4446" i="6"/>
  <c r="J4446" i="6"/>
  <c r="B4447" i="6"/>
  <c r="J4447" i="6"/>
  <c r="B4448" i="6"/>
  <c r="J4448" i="6"/>
  <c r="B4449" i="6"/>
  <c r="J4449" i="6"/>
  <c r="B4450" i="6"/>
  <c r="J4450" i="6"/>
  <c r="B4451" i="6"/>
  <c r="J4451" i="6"/>
  <c r="B4452" i="6"/>
  <c r="J4452" i="6"/>
  <c r="B4453" i="6"/>
  <c r="J4453" i="6"/>
  <c r="B4454" i="6"/>
  <c r="J4454" i="6"/>
  <c r="B4455" i="6"/>
  <c r="J4455" i="6"/>
  <c r="B4456" i="6"/>
  <c r="J4456" i="6"/>
  <c r="B4457" i="6"/>
  <c r="J4457" i="6"/>
  <c r="B4458" i="6"/>
  <c r="J4458" i="6"/>
  <c r="B4459" i="6"/>
  <c r="J4459" i="6"/>
  <c r="B4460" i="6"/>
  <c r="J4460" i="6"/>
  <c r="B4461" i="6"/>
  <c r="J4461" i="6"/>
  <c r="B4462" i="6"/>
  <c r="J4462" i="6"/>
  <c r="B4463" i="6"/>
  <c r="J4463" i="6"/>
  <c r="B4464" i="6"/>
  <c r="J4464" i="6"/>
  <c r="B4465" i="6"/>
  <c r="J4465" i="6"/>
  <c r="B4466" i="6"/>
  <c r="J4466" i="6"/>
  <c r="B4467" i="6"/>
  <c r="J4467" i="6"/>
  <c r="B4468" i="6"/>
  <c r="J4468" i="6"/>
  <c r="B4469" i="6"/>
  <c r="J4469" i="6"/>
  <c r="B4470" i="6"/>
  <c r="J4470" i="6"/>
  <c r="B4471" i="6"/>
  <c r="J4471" i="6"/>
  <c r="B4472" i="6"/>
  <c r="J4472" i="6"/>
  <c r="B4473" i="6"/>
  <c r="J4473" i="6"/>
  <c r="B4474" i="6"/>
  <c r="J4474" i="6"/>
  <c r="B4475" i="6"/>
  <c r="J4475" i="6"/>
  <c r="B4476" i="6"/>
  <c r="J4476" i="6"/>
  <c r="B4477" i="6"/>
  <c r="J4477" i="6"/>
  <c r="B4478" i="6"/>
  <c r="J4478" i="6"/>
  <c r="B4479" i="6"/>
  <c r="J4479" i="6"/>
  <c r="B4480" i="6"/>
  <c r="J4480" i="6"/>
  <c r="B4481" i="6"/>
  <c r="J4481" i="6"/>
  <c r="B4482" i="6"/>
  <c r="J4482" i="6"/>
  <c r="B4483" i="6"/>
  <c r="J4483" i="6"/>
  <c r="B4484" i="6"/>
  <c r="J4484" i="6"/>
  <c r="B4485" i="6"/>
  <c r="J4485" i="6"/>
  <c r="B4486" i="6"/>
  <c r="J4486" i="6"/>
  <c r="B4487" i="6"/>
  <c r="J4487" i="6"/>
  <c r="B4488" i="6"/>
  <c r="J4488" i="6"/>
  <c r="B4489" i="6"/>
  <c r="J4489" i="6"/>
  <c r="B4490" i="6"/>
  <c r="J4490" i="6"/>
  <c r="B4491" i="6"/>
  <c r="J4491" i="6"/>
  <c r="B4492" i="6"/>
  <c r="J4492" i="6"/>
  <c r="B4493" i="6"/>
  <c r="J4493" i="6"/>
  <c r="B4494" i="6"/>
  <c r="J4494" i="6"/>
  <c r="B4495" i="6"/>
  <c r="J4495" i="6"/>
  <c r="B4496" i="6"/>
  <c r="J4496" i="6"/>
  <c r="B4497" i="6"/>
  <c r="J4497" i="6"/>
  <c r="B4498" i="6"/>
  <c r="J4498" i="6"/>
  <c r="B4499" i="6"/>
  <c r="J4499" i="6"/>
  <c r="B4500" i="6"/>
  <c r="J4500" i="6"/>
  <c r="B4501" i="6"/>
  <c r="J4501" i="6"/>
  <c r="B4502" i="6"/>
  <c r="J4502" i="6"/>
  <c r="B4503" i="6"/>
  <c r="J4503" i="6"/>
  <c r="B4504" i="6"/>
  <c r="J4504" i="6"/>
  <c r="B4505" i="6"/>
  <c r="J4505" i="6"/>
  <c r="B4506" i="6"/>
  <c r="J4506" i="6"/>
  <c r="B4507" i="6"/>
  <c r="J4507" i="6"/>
  <c r="B4508" i="6"/>
  <c r="J4508" i="6"/>
  <c r="B4509" i="6"/>
  <c r="J4509" i="6"/>
  <c r="B4510" i="6"/>
  <c r="J4510" i="6"/>
  <c r="B4511" i="6"/>
  <c r="J4511" i="6"/>
  <c r="B4512" i="6"/>
  <c r="J4512" i="6"/>
  <c r="B4513" i="6"/>
  <c r="J4513" i="6"/>
  <c r="B4514" i="6"/>
  <c r="J4514" i="6"/>
  <c r="B4515" i="6"/>
  <c r="J4515" i="6"/>
  <c r="B4516" i="6"/>
  <c r="J4516" i="6"/>
  <c r="B4517" i="6"/>
  <c r="J4517" i="6"/>
  <c r="B4518" i="6"/>
  <c r="J4518" i="6"/>
  <c r="B4519" i="6"/>
  <c r="J4519" i="6"/>
  <c r="B4520" i="6"/>
  <c r="J4520" i="6"/>
  <c r="B4521" i="6"/>
  <c r="J4521" i="6"/>
  <c r="B4522" i="6"/>
  <c r="J4522" i="6"/>
  <c r="B4523" i="6"/>
  <c r="J4523" i="6"/>
  <c r="B4524" i="6"/>
  <c r="J4524" i="6"/>
  <c r="B4525" i="6"/>
  <c r="J4525" i="6"/>
  <c r="B4526" i="6"/>
  <c r="J4526" i="6"/>
  <c r="B4527" i="6"/>
  <c r="J4527" i="6"/>
  <c r="B4528" i="6"/>
  <c r="J4528" i="6"/>
  <c r="B4529" i="6"/>
  <c r="J4529" i="6"/>
  <c r="B4530" i="6"/>
  <c r="J4530" i="6"/>
  <c r="B4531" i="6"/>
  <c r="J4531" i="6"/>
  <c r="B4532" i="6"/>
  <c r="J4532" i="6"/>
  <c r="B4533" i="6"/>
  <c r="J4533" i="6"/>
  <c r="B4534" i="6"/>
  <c r="J4534" i="6"/>
  <c r="B4535" i="6"/>
  <c r="J4535" i="6"/>
  <c r="B4536" i="6"/>
  <c r="J4536" i="6"/>
  <c r="B4537" i="6"/>
  <c r="J4537" i="6"/>
  <c r="B4538" i="6"/>
  <c r="J4538" i="6"/>
  <c r="B4539" i="6"/>
  <c r="J4539" i="6"/>
  <c r="B4540" i="6"/>
  <c r="J4540" i="6"/>
  <c r="B4541" i="6"/>
  <c r="J4541" i="6"/>
  <c r="B4542" i="6"/>
  <c r="J4542" i="6"/>
  <c r="B4543" i="6"/>
  <c r="J4543" i="6"/>
  <c r="B4544" i="6"/>
  <c r="J4544" i="6"/>
  <c r="B4545" i="6"/>
  <c r="J4545" i="6"/>
  <c r="B4546" i="6"/>
  <c r="J4546" i="6"/>
  <c r="B4547" i="6"/>
  <c r="J4547" i="6"/>
  <c r="B4548" i="6"/>
  <c r="J4548" i="6"/>
  <c r="B4549" i="6"/>
  <c r="J4549" i="6"/>
  <c r="B4550" i="6"/>
  <c r="J4550" i="6"/>
  <c r="B4551" i="6"/>
  <c r="J4551" i="6"/>
  <c r="B4552" i="6"/>
  <c r="J4552" i="6"/>
  <c r="B4553" i="6"/>
  <c r="J4553" i="6"/>
  <c r="B4554" i="6"/>
  <c r="J4554" i="6"/>
  <c r="B4555" i="6"/>
  <c r="J4555" i="6"/>
  <c r="B4556" i="6"/>
  <c r="J4556" i="6"/>
  <c r="B4557" i="6"/>
  <c r="J4557" i="6"/>
  <c r="B4558" i="6"/>
  <c r="J4558" i="6"/>
  <c r="B4559" i="6"/>
  <c r="J4559" i="6"/>
  <c r="B4560" i="6"/>
  <c r="J4560" i="6"/>
  <c r="B4561" i="6"/>
  <c r="J4561" i="6"/>
  <c r="B4562" i="6"/>
  <c r="J4562" i="6"/>
  <c r="B4563" i="6"/>
  <c r="J4563" i="6"/>
  <c r="B4564" i="6"/>
  <c r="J4564" i="6"/>
  <c r="B4565" i="6"/>
  <c r="J4565" i="6"/>
  <c r="B4566" i="6"/>
  <c r="J4566" i="6"/>
  <c r="B4567" i="6"/>
  <c r="J4567" i="6"/>
  <c r="B4568" i="6"/>
  <c r="J4568" i="6"/>
  <c r="B4569" i="6"/>
  <c r="J4569" i="6"/>
  <c r="B4570" i="6"/>
  <c r="J4570" i="6"/>
  <c r="B4571" i="6"/>
  <c r="J4571" i="6"/>
  <c r="B4572" i="6"/>
  <c r="J4572" i="6"/>
  <c r="B4573" i="6"/>
  <c r="J4573" i="6"/>
  <c r="B4574" i="6"/>
  <c r="J4574" i="6"/>
  <c r="B4575" i="6"/>
  <c r="J4575" i="6"/>
  <c r="B4576" i="6"/>
  <c r="J4576" i="6"/>
  <c r="B4577" i="6"/>
  <c r="J4577" i="6"/>
  <c r="B4578" i="6"/>
  <c r="J4578" i="6"/>
  <c r="B4579" i="6"/>
  <c r="J4579" i="6"/>
  <c r="B4580" i="6"/>
  <c r="J4580" i="6"/>
  <c r="B4581" i="6"/>
  <c r="J4581" i="6"/>
  <c r="B4582" i="6"/>
  <c r="J4582" i="6"/>
  <c r="B4583" i="6"/>
  <c r="J4583" i="6"/>
  <c r="B4584" i="6"/>
  <c r="J4584" i="6"/>
  <c r="B4585" i="6"/>
  <c r="J4585" i="6"/>
  <c r="B4586" i="6"/>
  <c r="J4586" i="6"/>
  <c r="B4587" i="6"/>
  <c r="J4587" i="6"/>
  <c r="B4588" i="6"/>
  <c r="J4588" i="6"/>
  <c r="B4589" i="6"/>
  <c r="J4589" i="6"/>
  <c r="B4590" i="6"/>
  <c r="J4590" i="6"/>
  <c r="B4591" i="6"/>
  <c r="J4591" i="6"/>
  <c r="B4592" i="6"/>
  <c r="J4592" i="6"/>
  <c r="B4593" i="6"/>
  <c r="J4593" i="6"/>
  <c r="B4594" i="6"/>
  <c r="J4594" i="6"/>
  <c r="B4595" i="6"/>
  <c r="J4595" i="6"/>
  <c r="B4596" i="6"/>
  <c r="J4596" i="6"/>
  <c r="B4597" i="6"/>
  <c r="J4597" i="6"/>
  <c r="B4598" i="6"/>
  <c r="J4598" i="6"/>
  <c r="B4599" i="6"/>
  <c r="J4599" i="6"/>
  <c r="B4600" i="6"/>
  <c r="J4600" i="6"/>
  <c r="B4601" i="6"/>
  <c r="J4601" i="6"/>
  <c r="B4602" i="6"/>
  <c r="J4602" i="6"/>
  <c r="B4603" i="6"/>
  <c r="J4603" i="6"/>
  <c r="B4604" i="6"/>
  <c r="J4604" i="6"/>
  <c r="B4605" i="6"/>
  <c r="J4605" i="6"/>
  <c r="B4606" i="6"/>
  <c r="J4606" i="6"/>
  <c r="B4607" i="6"/>
  <c r="J4607" i="6"/>
  <c r="B4608" i="6"/>
  <c r="J4608" i="6"/>
  <c r="B4609" i="6"/>
  <c r="J4609" i="6"/>
  <c r="B4610" i="6"/>
  <c r="J4610" i="6"/>
  <c r="B4611" i="6"/>
  <c r="J4611" i="6"/>
  <c r="B4612" i="6"/>
  <c r="J4612" i="6"/>
  <c r="B4613" i="6"/>
  <c r="J4613" i="6"/>
  <c r="B4614" i="6"/>
  <c r="J4614" i="6"/>
  <c r="B4615" i="6"/>
  <c r="J4615" i="6"/>
  <c r="B4616" i="6"/>
  <c r="J4616" i="6"/>
  <c r="B4617" i="6"/>
  <c r="J4617" i="6"/>
  <c r="B4618" i="6"/>
  <c r="J4618" i="6"/>
  <c r="B4619" i="6"/>
  <c r="J4619" i="6"/>
  <c r="B4620" i="6"/>
  <c r="J4620" i="6"/>
  <c r="B4621" i="6"/>
  <c r="J4621" i="6"/>
  <c r="B4622" i="6"/>
  <c r="J4622" i="6"/>
  <c r="B4623" i="6"/>
  <c r="J4623" i="6"/>
  <c r="B4624" i="6"/>
  <c r="J4624" i="6"/>
  <c r="B4625" i="6"/>
  <c r="J4625" i="6"/>
  <c r="B4626" i="6"/>
  <c r="J4626" i="6"/>
  <c r="B4627" i="6"/>
  <c r="J4627" i="6"/>
  <c r="B4628" i="6"/>
  <c r="J4628" i="6"/>
  <c r="B4629" i="6"/>
  <c r="J4629" i="6"/>
  <c r="B4630" i="6"/>
  <c r="J4630" i="6"/>
  <c r="B4631" i="6"/>
  <c r="J4631" i="6"/>
  <c r="B4632" i="6"/>
  <c r="J4632" i="6"/>
  <c r="B4633" i="6"/>
  <c r="J4633" i="6"/>
  <c r="B4634" i="6"/>
  <c r="J4634" i="6"/>
  <c r="B4635" i="6"/>
  <c r="J4635" i="6"/>
  <c r="B4636" i="6"/>
  <c r="J4636" i="6"/>
  <c r="B4637" i="6"/>
  <c r="J4637" i="6"/>
  <c r="B4638" i="6"/>
  <c r="J4638" i="6"/>
  <c r="B4639" i="6"/>
  <c r="J4639" i="6"/>
  <c r="B4640" i="6"/>
  <c r="J4640" i="6"/>
  <c r="B4641" i="6"/>
  <c r="J4641" i="6"/>
  <c r="B4642" i="6"/>
  <c r="J4642" i="6"/>
  <c r="B4643" i="6"/>
  <c r="J4643" i="6"/>
  <c r="B4644" i="6"/>
  <c r="J4644" i="6"/>
  <c r="B4645" i="6"/>
  <c r="J4645" i="6"/>
  <c r="B4646" i="6"/>
  <c r="J4646" i="6"/>
  <c r="B4647" i="6"/>
  <c r="J4647" i="6"/>
  <c r="B4648" i="6"/>
  <c r="J4648" i="6"/>
  <c r="B4649" i="6"/>
  <c r="J4649" i="6"/>
  <c r="B4650" i="6"/>
  <c r="J4650" i="6"/>
  <c r="B4651" i="6"/>
  <c r="J4651" i="6"/>
  <c r="B4652" i="6"/>
  <c r="J4652" i="6"/>
  <c r="B4653" i="6"/>
  <c r="J4653" i="6"/>
  <c r="B4654" i="6"/>
  <c r="J4654" i="6"/>
  <c r="B4655" i="6"/>
  <c r="J4655" i="6"/>
  <c r="B4656" i="6"/>
  <c r="J4656" i="6"/>
  <c r="B4657" i="6"/>
  <c r="J4657" i="6"/>
  <c r="B4658" i="6"/>
  <c r="J4658" i="6"/>
  <c r="B4659" i="6"/>
  <c r="J4659" i="6"/>
  <c r="B4660" i="6"/>
  <c r="J4660" i="6"/>
  <c r="B4661" i="6"/>
  <c r="J4661" i="6"/>
  <c r="B4662" i="6"/>
  <c r="J4662" i="6"/>
  <c r="B4663" i="6"/>
  <c r="J4663" i="6"/>
  <c r="B4664" i="6"/>
  <c r="J4664" i="6"/>
  <c r="B4665" i="6"/>
  <c r="J4665" i="6"/>
  <c r="B4666" i="6"/>
  <c r="J4666" i="6"/>
  <c r="B4667" i="6"/>
  <c r="J4667" i="6"/>
  <c r="B4668" i="6"/>
  <c r="J4668" i="6"/>
  <c r="B4669" i="6"/>
  <c r="J4669" i="6"/>
  <c r="B4670" i="6"/>
  <c r="J4670" i="6"/>
  <c r="B4671" i="6"/>
  <c r="J4671" i="6"/>
  <c r="B4672" i="6"/>
  <c r="J4672" i="6"/>
  <c r="B4673" i="6"/>
  <c r="J4673" i="6"/>
  <c r="B4674" i="6"/>
  <c r="J4674" i="6"/>
  <c r="B4675" i="6"/>
  <c r="J4675" i="6"/>
  <c r="B4676" i="6"/>
  <c r="J4676" i="6"/>
  <c r="B4677" i="6"/>
  <c r="J4677" i="6"/>
  <c r="B4678" i="6"/>
  <c r="J4678" i="6"/>
  <c r="B4679" i="6"/>
  <c r="J4679" i="6"/>
  <c r="B4680" i="6"/>
  <c r="J4680" i="6"/>
  <c r="B4681" i="6"/>
  <c r="J4681" i="6"/>
  <c r="B4682" i="6"/>
  <c r="J4682" i="6"/>
  <c r="B4683" i="6"/>
  <c r="J4683" i="6"/>
  <c r="B4684" i="6"/>
  <c r="J4684" i="6"/>
  <c r="B4685" i="6"/>
  <c r="J4685" i="6"/>
  <c r="B4686" i="6"/>
  <c r="J4686" i="6"/>
  <c r="B4687" i="6"/>
  <c r="J4687" i="6"/>
  <c r="B4688" i="6"/>
  <c r="J4688" i="6"/>
  <c r="B4689" i="6"/>
  <c r="J4689" i="6"/>
  <c r="B4690" i="6"/>
  <c r="J4690" i="6"/>
  <c r="B4691" i="6"/>
  <c r="J4691" i="6"/>
  <c r="B4692" i="6"/>
  <c r="J4692" i="6"/>
  <c r="B4693" i="6"/>
  <c r="J4693" i="6"/>
  <c r="B4694" i="6"/>
  <c r="J4694" i="6"/>
  <c r="B4695" i="6"/>
  <c r="J4695" i="6"/>
  <c r="B4696" i="6"/>
  <c r="J4696" i="6"/>
  <c r="B4697" i="6"/>
  <c r="J4697" i="6"/>
  <c r="B4698" i="6"/>
  <c r="J4698" i="6"/>
  <c r="B4699" i="6"/>
  <c r="J4699" i="6"/>
  <c r="B4700" i="6"/>
  <c r="J4700" i="6"/>
  <c r="B4701" i="6"/>
  <c r="J4701" i="6"/>
  <c r="B4702" i="6"/>
  <c r="J4702" i="6"/>
  <c r="B4703" i="6"/>
  <c r="J4703" i="6"/>
  <c r="B4704" i="6"/>
  <c r="J4704" i="6"/>
  <c r="B4705" i="6"/>
  <c r="J4705" i="6"/>
  <c r="B4706" i="6"/>
  <c r="J4706" i="6"/>
  <c r="B4707" i="6"/>
  <c r="J4707" i="6"/>
  <c r="B4708" i="6"/>
  <c r="J4708" i="6"/>
  <c r="B4709" i="6"/>
  <c r="J4709" i="6"/>
  <c r="B4710" i="6"/>
  <c r="J4710" i="6"/>
  <c r="B4711" i="6"/>
  <c r="J4711" i="6"/>
  <c r="B4712" i="6"/>
  <c r="J4712" i="6"/>
  <c r="B4713" i="6"/>
  <c r="J4713" i="6"/>
  <c r="B4714" i="6"/>
  <c r="J4714" i="6"/>
  <c r="B4715" i="6"/>
  <c r="J4715" i="6"/>
  <c r="B4716" i="6"/>
  <c r="J4716" i="6"/>
  <c r="B4717" i="6"/>
  <c r="J4717" i="6"/>
  <c r="B4718" i="6"/>
  <c r="J4718" i="6"/>
  <c r="B4719" i="6"/>
  <c r="J4719" i="6"/>
  <c r="B4720" i="6"/>
  <c r="J4720" i="6"/>
  <c r="B4721" i="6"/>
  <c r="J4721" i="6"/>
  <c r="B4722" i="6"/>
  <c r="J4722" i="6"/>
  <c r="B4723" i="6"/>
  <c r="J4723" i="6"/>
  <c r="B4724" i="6"/>
  <c r="J4724" i="6"/>
  <c r="B4725" i="6"/>
  <c r="J4725" i="6"/>
  <c r="B4726" i="6"/>
  <c r="J4726" i="6"/>
  <c r="B4727" i="6"/>
  <c r="J4727" i="6"/>
  <c r="B4728" i="6"/>
  <c r="J4728" i="6"/>
  <c r="B4729" i="6"/>
  <c r="J4729" i="6"/>
  <c r="B4730" i="6"/>
  <c r="J4730" i="6"/>
  <c r="B4731" i="6"/>
  <c r="J4731" i="6"/>
  <c r="B4732" i="6"/>
  <c r="J4732" i="6"/>
  <c r="B4733" i="6"/>
  <c r="J4733" i="6"/>
  <c r="B4734" i="6"/>
  <c r="J4734" i="6"/>
  <c r="B4735" i="6"/>
  <c r="J4735" i="6"/>
  <c r="B4736" i="6"/>
  <c r="J4736" i="6"/>
  <c r="B4737" i="6"/>
  <c r="J4737" i="6"/>
  <c r="B4738" i="6"/>
  <c r="J4738" i="6"/>
  <c r="B4739" i="6"/>
  <c r="J4739" i="6"/>
  <c r="B4740" i="6"/>
  <c r="J4740" i="6"/>
  <c r="B4741" i="6"/>
  <c r="J4741" i="6"/>
  <c r="B4742" i="6"/>
  <c r="J4742" i="6"/>
  <c r="B4743" i="6"/>
  <c r="J4743" i="6"/>
  <c r="B4744" i="6"/>
  <c r="J4744" i="6"/>
  <c r="B4745" i="6"/>
  <c r="J4745" i="6"/>
  <c r="B4746" i="6"/>
  <c r="J4746" i="6"/>
  <c r="B4747" i="6"/>
  <c r="J4747" i="6"/>
  <c r="B4748" i="6"/>
  <c r="J4748" i="6"/>
  <c r="B4749" i="6"/>
  <c r="J4749" i="6"/>
  <c r="B4750" i="6"/>
  <c r="J4750" i="6"/>
  <c r="B4751" i="6"/>
  <c r="J4751" i="6"/>
  <c r="B4752" i="6"/>
  <c r="J4752" i="6"/>
  <c r="B4753" i="6"/>
  <c r="J4753" i="6"/>
  <c r="B4754" i="6"/>
  <c r="J4754" i="6"/>
  <c r="B4755" i="6"/>
  <c r="J4755" i="6"/>
  <c r="B4756" i="6"/>
  <c r="J4756" i="6"/>
  <c r="B4757" i="6"/>
  <c r="J4757" i="6"/>
  <c r="B4758" i="6"/>
  <c r="J4758" i="6"/>
  <c r="B4759" i="6"/>
  <c r="J4759" i="6"/>
  <c r="B4760" i="6"/>
  <c r="J4760" i="6"/>
  <c r="B4761" i="6"/>
  <c r="J4761" i="6"/>
  <c r="B4762" i="6"/>
  <c r="J4762" i="6"/>
  <c r="B4763" i="6"/>
  <c r="J4763" i="6"/>
  <c r="B4764" i="6"/>
  <c r="J4764" i="6"/>
  <c r="B4765" i="6"/>
  <c r="J4765" i="6"/>
  <c r="B4766" i="6"/>
  <c r="J4766" i="6"/>
  <c r="B4767" i="6"/>
  <c r="J4767" i="6"/>
  <c r="B4768" i="6"/>
  <c r="J4768" i="6"/>
  <c r="B4769" i="6"/>
  <c r="J4769" i="6"/>
  <c r="B4770" i="6"/>
  <c r="J4770" i="6"/>
  <c r="B4771" i="6"/>
  <c r="J4771" i="6"/>
  <c r="B4772" i="6"/>
  <c r="J4772" i="6"/>
  <c r="B4773" i="6"/>
  <c r="J4773" i="6"/>
  <c r="B4774" i="6"/>
  <c r="J4774" i="6"/>
  <c r="B4775" i="6"/>
  <c r="J4775" i="6"/>
  <c r="B4776" i="6"/>
  <c r="J4776" i="6"/>
  <c r="B4777" i="6"/>
  <c r="J4777" i="6"/>
  <c r="B4778" i="6"/>
  <c r="J4778" i="6"/>
  <c r="B4779" i="6"/>
  <c r="J4779" i="6"/>
  <c r="B4780" i="6"/>
  <c r="J4780" i="6"/>
  <c r="B4781" i="6"/>
  <c r="J4781" i="6"/>
  <c r="B4782" i="6"/>
  <c r="J4782" i="6"/>
  <c r="B4783" i="6"/>
  <c r="J4783" i="6"/>
  <c r="B4784" i="6"/>
  <c r="J4784" i="6"/>
  <c r="B4785" i="6"/>
  <c r="J4785" i="6"/>
  <c r="B4786" i="6"/>
  <c r="J4786" i="6"/>
  <c r="B4787" i="6"/>
  <c r="J4787" i="6"/>
  <c r="B4788" i="6"/>
  <c r="J4788" i="6"/>
  <c r="B4789" i="6"/>
  <c r="J4789" i="6"/>
  <c r="B4790" i="6"/>
  <c r="J4790" i="6"/>
  <c r="B4791" i="6"/>
  <c r="J4791" i="6"/>
  <c r="B4792" i="6"/>
  <c r="J4792" i="6"/>
  <c r="B4793" i="6"/>
  <c r="J4793" i="6"/>
  <c r="B4794" i="6"/>
  <c r="J4794" i="6"/>
  <c r="B4795" i="6"/>
  <c r="J4795" i="6"/>
  <c r="B4796" i="6"/>
  <c r="J4796" i="6"/>
  <c r="B4797" i="6"/>
  <c r="J4797" i="6"/>
  <c r="B4798" i="6"/>
  <c r="J4798" i="6"/>
  <c r="B4799" i="6"/>
  <c r="J4799" i="6"/>
  <c r="B4800" i="6"/>
  <c r="J4800" i="6"/>
  <c r="B4801" i="6"/>
  <c r="J4801" i="6"/>
  <c r="B4802" i="6"/>
  <c r="J4802" i="6"/>
  <c r="B4803" i="6"/>
  <c r="J4803" i="6"/>
  <c r="B4804" i="6"/>
  <c r="J4804" i="6"/>
  <c r="B4805" i="6"/>
  <c r="J4805" i="6"/>
  <c r="B4806" i="6"/>
  <c r="J4806" i="6"/>
  <c r="B4807" i="6"/>
  <c r="J4807" i="6"/>
  <c r="B4808" i="6"/>
  <c r="J4808" i="6"/>
  <c r="B4809" i="6"/>
  <c r="J4809" i="6"/>
  <c r="B4810" i="6"/>
  <c r="J4810" i="6"/>
  <c r="B4811" i="6"/>
  <c r="J4811" i="6"/>
  <c r="B4812" i="6"/>
  <c r="J4812" i="6"/>
  <c r="B4813" i="6"/>
  <c r="J4813" i="6"/>
  <c r="B4814" i="6"/>
  <c r="J4814" i="6"/>
  <c r="B4815" i="6"/>
  <c r="J4815" i="6"/>
  <c r="B4816" i="6"/>
  <c r="J4816" i="6"/>
  <c r="B4817" i="6"/>
  <c r="J4817" i="6"/>
  <c r="B4818" i="6"/>
  <c r="J4818" i="6"/>
  <c r="B4819" i="6"/>
  <c r="J4819" i="6"/>
  <c r="B4820" i="6"/>
  <c r="J4820" i="6"/>
  <c r="B4821" i="6"/>
  <c r="J4821" i="6"/>
  <c r="B4822" i="6"/>
  <c r="J4822" i="6"/>
  <c r="B4823" i="6"/>
  <c r="J4823" i="6"/>
  <c r="B4824" i="6"/>
  <c r="J4824" i="6"/>
  <c r="B4825" i="6"/>
  <c r="J4825" i="6"/>
  <c r="B4826" i="6"/>
  <c r="J4826" i="6"/>
  <c r="B4827" i="6"/>
  <c r="J4827" i="6"/>
  <c r="B4828" i="6"/>
  <c r="J4828" i="6"/>
  <c r="B4829" i="6"/>
  <c r="J4829" i="6"/>
  <c r="B4830" i="6"/>
  <c r="J4830" i="6"/>
  <c r="B4831" i="6"/>
  <c r="J4831" i="6"/>
  <c r="B4832" i="6"/>
  <c r="J4832" i="6"/>
  <c r="B4833" i="6"/>
  <c r="J4833" i="6"/>
  <c r="B4834" i="6"/>
  <c r="J4834" i="6"/>
  <c r="B4835" i="6"/>
  <c r="J4835" i="6"/>
  <c r="B4836" i="6"/>
  <c r="J4836" i="6"/>
  <c r="B4837" i="6"/>
  <c r="J4837" i="6"/>
  <c r="B4838" i="6"/>
  <c r="J4838" i="6"/>
  <c r="B4839" i="6"/>
  <c r="J4839" i="6"/>
  <c r="B4840" i="6"/>
  <c r="J4840" i="6"/>
  <c r="B4841" i="6"/>
  <c r="J4841" i="6"/>
  <c r="B4842" i="6"/>
  <c r="J4842" i="6"/>
  <c r="B4843" i="6"/>
  <c r="J4843" i="6"/>
  <c r="B4844" i="6"/>
  <c r="J4844" i="6"/>
  <c r="B4845" i="6"/>
  <c r="J4845" i="6"/>
  <c r="B4846" i="6"/>
  <c r="J4846" i="6"/>
  <c r="B4847" i="6"/>
  <c r="J4847" i="6"/>
  <c r="B4848" i="6"/>
  <c r="J4848" i="6"/>
  <c r="B4849" i="6"/>
  <c r="J4849" i="6"/>
  <c r="B4850" i="6"/>
  <c r="J4850" i="6"/>
  <c r="B4851" i="6"/>
  <c r="J4851" i="6"/>
  <c r="B4852" i="6"/>
  <c r="J4852" i="6"/>
  <c r="B4853" i="6"/>
  <c r="J4853" i="6"/>
  <c r="B4854" i="6"/>
  <c r="J4854" i="6"/>
  <c r="B4855" i="6"/>
  <c r="J4855" i="6"/>
  <c r="B4856" i="6"/>
  <c r="J4856" i="6"/>
  <c r="B4857" i="6"/>
  <c r="J4857" i="6"/>
  <c r="B4858" i="6"/>
  <c r="J4858" i="6"/>
  <c r="B4859" i="6"/>
  <c r="J4859" i="6"/>
  <c r="B4860" i="6"/>
  <c r="J4860" i="6"/>
  <c r="B4861" i="6"/>
  <c r="J4861" i="6"/>
  <c r="B4862" i="6"/>
  <c r="J4862" i="6"/>
  <c r="B4863" i="6"/>
  <c r="J4863" i="6"/>
  <c r="B4864" i="6"/>
  <c r="J4864" i="6"/>
  <c r="B4865" i="6"/>
  <c r="J4865" i="6"/>
  <c r="B4866" i="6"/>
  <c r="J4866" i="6"/>
  <c r="B4867" i="6"/>
  <c r="J4867" i="6"/>
  <c r="B4868" i="6"/>
  <c r="J4868" i="6"/>
  <c r="B4869" i="6"/>
  <c r="J4869" i="6"/>
  <c r="B4870" i="6"/>
  <c r="J4870" i="6"/>
  <c r="B4871" i="6"/>
  <c r="J4871" i="6"/>
  <c r="B4872" i="6"/>
  <c r="J4872" i="6"/>
  <c r="B4873" i="6"/>
  <c r="J4873" i="6"/>
  <c r="B4874" i="6"/>
  <c r="J4874" i="6"/>
  <c r="B4875" i="6"/>
  <c r="J4875" i="6"/>
  <c r="B4876" i="6"/>
  <c r="J4876" i="6"/>
  <c r="B4877" i="6"/>
  <c r="J4877" i="6"/>
  <c r="B4878" i="6"/>
  <c r="J4878" i="6"/>
  <c r="B4879" i="6"/>
  <c r="J4879" i="6"/>
  <c r="B4880" i="6"/>
  <c r="J4880" i="6"/>
  <c r="B4881" i="6"/>
  <c r="J4881" i="6"/>
  <c r="B4882" i="6"/>
  <c r="J4882" i="6"/>
  <c r="B4883" i="6"/>
  <c r="J4883" i="6"/>
  <c r="B4884" i="6"/>
  <c r="J4884" i="6"/>
  <c r="B4885" i="6"/>
  <c r="J4885" i="6"/>
  <c r="B4886" i="6"/>
  <c r="J4886" i="6"/>
  <c r="B4887" i="6"/>
  <c r="J4887" i="6"/>
  <c r="B4888" i="6"/>
  <c r="J4888" i="6"/>
  <c r="B4889" i="6"/>
  <c r="J4889" i="6"/>
  <c r="B4890" i="6"/>
  <c r="J4890" i="6"/>
  <c r="B4891" i="6"/>
  <c r="J4891" i="6"/>
  <c r="B4892" i="6"/>
  <c r="J4892" i="6"/>
  <c r="B4893" i="6"/>
  <c r="J4893" i="6"/>
  <c r="B4894" i="6"/>
  <c r="J4894" i="6"/>
  <c r="B4895" i="6"/>
  <c r="J4895" i="6"/>
  <c r="B4896" i="6"/>
  <c r="J4896" i="6"/>
  <c r="B4897" i="6"/>
  <c r="J4897" i="6"/>
  <c r="B4898" i="6"/>
  <c r="J4898" i="6"/>
  <c r="B4899" i="6"/>
  <c r="J4899" i="6"/>
  <c r="B4900" i="6"/>
  <c r="J4900" i="6"/>
  <c r="B4901" i="6"/>
  <c r="J4901" i="6"/>
  <c r="B4902" i="6"/>
  <c r="J4902" i="6"/>
  <c r="B4903" i="6"/>
  <c r="J4903" i="6"/>
  <c r="B4904" i="6"/>
  <c r="J4904" i="6"/>
  <c r="B4905" i="6"/>
  <c r="J4905" i="6"/>
  <c r="B4906" i="6"/>
  <c r="J4906" i="6"/>
  <c r="B4907" i="6"/>
  <c r="J4907" i="6"/>
  <c r="B4908" i="6"/>
  <c r="J4908" i="6"/>
  <c r="B4909" i="6"/>
  <c r="J4909" i="6"/>
  <c r="B4910" i="6"/>
  <c r="J4910" i="6"/>
  <c r="B4911" i="6"/>
  <c r="J4911" i="6"/>
  <c r="B4912" i="6"/>
  <c r="J4912" i="6"/>
  <c r="B4913" i="6"/>
  <c r="J4913" i="6"/>
  <c r="B4914" i="6"/>
  <c r="J4914" i="6"/>
  <c r="B4915" i="6"/>
  <c r="J4915" i="6"/>
  <c r="B4916" i="6"/>
  <c r="J4916" i="6"/>
  <c r="B4917" i="6"/>
  <c r="J4917" i="6"/>
  <c r="B4918" i="6"/>
  <c r="J4918" i="6"/>
  <c r="B4919" i="6"/>
  <c r="J4919" i="6"/>
  <c r="B4920" i="6"/>
  <c r="J4920" i="6"/>
  <c r="B4921" i="6"/>
  <c r="J4921" i="6"/>
  <c r="B4922" i="6"/>
  <c r="J4922" i="6"/>
  <c r="B4923" i="6"/>
  <c r="J4923" i="6"/>
  <c r="B4924" i="6"/>
  <c r="J4924" i="6"/>
  <c r="B4925" i="6"/>
  <c r="J4925" i="6"/>
  <c r="B4926" i="6"/>
  <c r="J4926" i="6"/>
  <c r="B4927" i="6"/>
  <c r="J4927" i="6"/>
  <c r="B4928" i="6"/>
  <c r="J4928" i="6"/>
  <c r="B4929" i="6"/>
  <c r="J4929" i="6"/>
  <c r="B4930" i="6"/>
  <c r="J4930" i="6"/>
  <c r="B4931" i="6"/>
  <c r="J4931" i="6"/>
  <c r="B4932" i="6"/>
  <c r="J4932" i="6"/>
  <c r="B4933" i="6"/>
  <c r="J4933" i="6"/>
  <c r="B4934" i="6"/>
  <c r="J4934" i="6"/>
  <c r="B4935" i="6"/>
  <c r="J4935" i="6"/>
  <c r="B4936" i="6"/>
  <c r="J4936" i="6"/>
  <c r="B4937" i="6"/>
  <c r="J4937" i="6"/>
  <c r="B4938" i="6"/>
  <c r="J4938" i="6"/>
  <c r="B4939" i="6"/>
  <c r="J4939" i="6"/>
  <c r="B4940" i="6"/>
  <c r="J4940" i="6"/>
  <c r="B4941" i="6"/>
  <c r="J4941" i="6"/>
  <c r="B4942" i="6"/>
  <c r="J4942" i="6"/>
  <c r="B4943" i="6"/>
  <c r="J4943" i="6"/>
  <c r="B4944" i="6"/>
  <c r="J4944" i="6"/>
  <c r="B4945" i="6"/>
  <c r="J4945" i="6"/>
  <c r="B4946" i="6"/>
  <c r="J4946" i="6"/>
  <c r="B4947" i="6"/>
  <c r="J4947" i="6"/>
  <c r="B4948" i="6"/>
  <c r="J4948" i="6"/>
  <c r="B4949" i="6"/>
  <c r="J4949" i="6"/>
  <c r="B4950" i="6"/>
  <c r="J4950" i="6"/>
  <c r="B4951" i="6"/>
  <c r="J4951" i="6"/>
  <c r="B4952" i="6"/>
  <c r="J4952" i="6"/>
  <c r="B4953" i="6"/>
  <c r="J4953" i="6"/>
  <c r="B4954" i="6"/>
  <c r="J4954" i="6"/>
  <c r="B4955" i="6"/>
  <c r="J4955" i="6"/>
  <c r="B4956" i="6"/>
  <c r="J4956" i="6"/>
  <c r="B4957" i="6"/>
  <c r="J4957" i="6"/>
  <c r="B4958" i="6"/>
  <c r="J4958" i="6"/>
  <c r="B4959" i="6"/>
  <c r="J4959" i="6"/>
  <c r="B4960" i="6"/>
  <c r="J4960" i="6"/>
  <c r="B4961" i="6"/>
  <c r="J4961" i="6"/>
  <c r="B4962" i="6"/>
  <c r="J4962" i="6"/>
  <c r="B4963" i="6"/>
  <c r="J4963" i="6"/>
  <c r="B4964" i="6"/>
  <c r="J4964" i="6"/>
  <c r="B4965" i="6"/>
  <c r="J4965" i="6"/>
  <c r="B4966" i="6"/>
  <c r="J4966" i="6"/>
  <c r="B4967" i="6"/>
  <c r="J4967" i="6"/>
  <c r="B4968" i="6"/>
  <c r="J4968" i="6"/>
  <c r="B4969" i="6"/>
  <c r="J4969" i="6"/>
  <c r="B4970" i="6"/>
  <c r="J4970" i="6"/>
  <c r="B4971" i="6"/>
  <c r="J4971" i="6"/>
  <c r="B4972" i="6"/>
  <c r="J4972" i="6"/>
  <c r="B4973" i="6"/>
  <c r="J4973" i="6"/>
  <c r="B4974" i="6"/>
  <c r="J4974" i="6"/>
  <c r="B4975" i="6"/>
  <c r="J4975" i="6"/>
  <c r="B4976" i="6"/>
  <c r="J4976" i="6"/>
  <c r="B4977" i="6"/>
  <c r="J4977" i="6"/>
  <c r="B4978" i="6"/>
  <c r="J4978" i="6"/>
  <c r="B4979" i="6"/>
  <c r="J4979" i="6"/>
  <c r="B4980" i="6"/>
  <c r="J4980" i="6"/>
  <c r="B4981" i="6"/>
  <c r="J4981" i="6"/>
  <c r="B4982" i="6"/>
  <c r="J4982" i="6"/>
  <c r="B4983" i="6"/>
  <c r="J4983" i="6"/>
  <c r="B4984" i="6"/>
  <c r="J4984" i="6"/>
  <c r="B4985" i="6"/>
  <c r="J4985" i="6"/>
  <c r="B4986" i="6"/>
  <c r="J4986" i="6"/>
  <c r="B4987" i="6"/>
  <c r="J4987" i="6"/>
  <c r="B4988" i="6"/>
  <c r="J4988" i="6"/>
  <c r="B4989" i="6"/>
  <c r="J4989" i="6"/>
  <c r="B4990" i="6"/>
  <c r="J4990" i="6"/>
  <c r="B4991" i="6"/>
  <c r="J4991" i="6"/>
  <c r="B4992" i="6"/>
  <c r="J4992" i="6"/>
  <c r="B4993" i="6"/>
  <c r="J4993" i="6"/>
  <c r="B4994" i="6"/>
  <c r="J4994" i="6"/>
  <c r="B4995" i="6"/>
  <c r="J4995" i="6"/>
  <c r="B4996" i="6"/>
  <c r="J4996" i="6"/>
  <c r="B4997" i="6"/>
  <c r="J4997" i="6"/>
  <c r="B4998" i="6"/>
  <c r="J4998" i="6"/>
  <c r="B4999" i="6"/>
  <c r="J4999" i="6"/>
  <c r="B5000" i="6"/>
  <c r="J5000" i="6"/>
  <c r="B5001" i="6"/>
  <c r="J5001" i="6"/>
  <c r="B5002" i="6"/>
  <c r="J5002" i="6"/>
  <c r="B5003" i="6"/>
  <c r="J5003" i="6"/>
  <c r="B5004" i="6"/>
  <c r="J5004" i="6"/>
  <c r="B5005" i="6"/>
  <c r="J5005" i="6"/>
  <c r="B5006" i="6"/>
  <c r="J5006" i="6"/>
  <c r="B5007" i="6"/>
  <c r="J5007" i="6"/>
  <c r="B5008" i="6"/>
  <c r="J5008" i="6"/>
  <c r="B5009" i="6"/>
  <c r="J5009" i="6"/>
  <c r="B5010" i="6"/>
  <c r="J5010" i="6"/>
  <c r="B5011" i="6"/>
  <c r="J5011" i="6"/>
  <c r="B5012" i="6"/>
  <c r="J5012" i="6"/>
  <c r="B5013" i="6"/>
  <c r="J5013" i="6"/>
  <c r="B5014" i="6"/>
  <c r="J5014" i="6"/>
  <c r="B5015" i="6"/>
  <c r="J5015" i="6"/>
  <c r="B5016" i="6"/>
  <c r="J5016" i="6"/>
  <c r="B5017" i="6"/>
  <c r="J5017" i="6"/>
  <c r="B5018" i="6"/>
  <c r="J5018" i="6"/>
  <c r="B5019" i="6"/>
  <c r="J5019" i="6"/>
  <c r="B5020" i="6"/>
  <c r="J5020" i="6"/>
  <c r="B5021" i="6"/>
  <c r="J5021" i="6"/>
  <c r="B5022" i="6"/>
  <c r="J5022" i="6"/>
  <c r="B5023" i="6"/>
  <c r="J5023" i="6"/>
  <c r="B5024" i="6"/>
  <c r="J5024" i="6"/>
  <c r="B5025" i="6"/>
  <c r="J5025" i="6"/>
  <c r="B5026" i="6"/>
  <c r="J5026" i="6"/>
  <c r="B5027" i="6"/>
  <c r="J5027" i="6"/>
  <c r="B5028" i="6"/>
  <c r="J5028" i="6"/>
  <c r="B5029" i="6"/>
  <c r="J5029" i="6"/>
  <c r="B5030" i="6"/>
  <c r="J5030" i="6"/>
  <c r="B5031" i="6"/>
  <c r="J5031" i="6"/>
  <c r="B5032" i="6"/>
  <c r="J5032" i="6"/>
  <c r="B5033" i="6"/>
  <c r="J5033" i="6"/>
  <c r="B5034" i="6"/>
  <c r="J5034" i="6"/>
  <c r="B5035" i="6"/>
  <c r="J5035" i="6"/>
  <c r="B5036" i="6"/>
  <c r="J5036" i="6"/>
  <c r="B5037" i="6"/>
  <c r="J5037" i="6"/>
  <c r="B5038" i="6"/>
  <c r="J5038" i="6"/>
  <c r="B5039" i="6"/>
  <c r="J5039" i="6"/>
  <c r="B5040" i="6"/>
  <c r="J5040" i="6"/>
  <c r="B5041" i="6"/>
  <c r="J5041" i="6"/>
  <c r="B5042" i="6"/>
  <c r="J5042" i="6"/>
  <c r="B5043" i="6"/>
  <c r="J5043" i="6"/>
  <c r="B5044" i="6"/>
  <c r="J5044" i="6"/>
  <c r="B5045" i="6"/>
  <c r="J5045" i="6"/>
  <c r="B5046" i="6"/>
  <c r="J5046" i="6"/>
  <c r="B5047" i="6"/>
  <c r="J5047" i="6"/>
  <c r="B5048" i="6"/>
  <c r="J5048" i="6"/>
  <c r="B5049" i="6"/>
  <c r="J5049" i="6"/>
  <c r="B5050" i="6"/>
  <c r="J5050" i="6"/>
  <c r="B5051" i="6"/>
  <c r="J5051" i="6"/>
  <c r="B5052" i="6"/>
  <c r="J5052" i="6"/>
  <c r="B5053" i="6"/>
  <c r="J5053" i="6"/>
  <c r="B5054" i="6"/>
  <c r="J5054" i="6"/>
  <c r="B5055" i="6"/>
  <c r="J5055" i="6"/>
  <c r="B5056" i="6"/>
  <c r="J5056" i="6"/>
  <c r="B5057" i="6"/>
  <c r="J5057" i="6"/>
  <c r="B5058" i="6"/>
  <c r="J5058" i="6"/>
  <c r="B5059" i="6"/>
  <c r="J5059" i="6"/>
  <c r="B5060" i="6"/>
  <c r="J5060" i="6"/>
  <c r="B5061" i="6"/>
  <c r="J5061" i="6"/>
  <c r="B5062" i="6"/>
  <c r="J5062" i="6"/>
  <c r="B5063" i="6"/>
  <c r="J5063" i="6"/>
  <c r="B5064" i="6"/>
  <c r="J5064" i="6"/>
  <c r="B5065" i="6"/>
  <c r="J5065" i="6"/>
  <c r="B5066" i="6"/>
  <c r="J5066" i="6"/>
  <c r="B5067" i="6"/>
  <c r="J5067" i="6"/>
  <c r="B5068" i="6"/>
  <c r="J5068" i="6"/>
  <c r="B5069" i="6"/>
  <c r="J5069" i="6"/>
  <c r="B5070" i="6"/>
  <c r="J5070" i="6"/>
  <c r="B5071" i="6"/>
  <c r="J5071" i="6"/>
  <c r="B5072" i="6"/>
  <c r="J5072" i="6"/>
  <c r="B5073" i="6"/>
  <c r="J5073" i="6"/>
  <c r="B5074" i="6"/>
  <c r="J5074" i="6"/>
  <c r="B5075" i="6"/>
  <c r="J5075" i="6"/>
  <c r="B5076" i="6"/>
  <c r="J5076" i="6"/>
  <c r="B5077" i="6"/>
  <c r="J5077" i="6"/>
  <c r="B5078" i="6"/>
  <c r="J5078" i="6"/>
  <c r="B5079" i="6"/>
  <c r="J5079" i="6"/>
  <c r="B5080" i="6"/>
  <c r="J5080" i="6"/>
  <c r="B5081" i="6"/>
  <c r="J5081" i="6"/>
  <c r="B5082" i="6"/>
  <c r="J5082" i="6"/>
  <c r="B5083" i="6"/>
  <c r="J5083" i="6"/>
  <c r="B5084" i="6"/>
  <c r="J5084" i="6"/>
  <c r="B5085" i="6"/>
  <c r="J5085" i="6"/>
  <c r="B5086" i="6"/>
  <c r="J5086" i="6"/>
  <c r="B5087" i="6"/>
  <c r="J5087" i="6"/>
  <c r="B5088" i="6"/>
  <c r="J5088" i="6"/>
  <c r="B5089" i="6"/>
  <c r="J5089" i="6"/>
  <c r="B5090" i="6"/>
  <c r="J5090" i="6"/>
  <c r="B5091" i="6"/>
  <c r="J5091" i="6"/>
  <c r="B5092" i="6"/>
  <c r="J5092" i="6"/>
  <c r="B5093" i="6"/>
  <c r="J5093" i="6"/>
  <c r="B5094" i="6"/>
  <c r="J5094" i="6"/>
  <c r="B5095" i="6"/>
  <c r="J5095" i="6"/>
  <c r="B5096" i="6"/>
  <c r="J5096" i="6"/>
  <c r="B5097" i="6"/>
  <c r="J5097" i="6"/>
  <c r="B5098" i="6"/>
  <c r="J5098" i="6"/>
  <c r="B5099" i="6"/>
  <c r="J5099" i="6"/>
  <c r="B5100" i="6"/>
  <c r="J5100" i="6"/>
  <c r="B5101" i="6"/>
  <c r="J5101" i="6"/>
  <c r="B5102" i="6"/>
  <c r="J5102" i="6"/>
  <c r="B5103" i="6"/>
  <c r="J5103" i="6"/>
  <c r="B5104" i="6"/>
  <c r="J5104" i="6"/>
  <c r="B5105" i="6"/>
  <c r="J5105" i="6"/>
  <c r="B5106" i="6"/>
  <c r="J5106" i="6"/>
  <c r="B5107" i="6"/>
  <c r="J5107" i="6"/>
  <c r="B5108" i="6"/>
  <c r="J5108" i="6"/>
  <c r="B5109" i="6"/>
  <c r="J5109" i="6"/>
  <c r="B5110" i="6"/>
  <c r="J5110" i="6"/>
  <c r="B5111" i="6"/>
  <c r="J5111" i="6"/>
  <c r="B5112" i="6"/>
  <c r="J5112" i="6"/>
  <c r="B5113" i="6"/>
  <c r="J5113" i="6"/>
  <c r="B5114" i="6"/>
  <c r="J5114" i="6"/>
  <c r="B5115" i="6"/>
  <c r="J5115" i="6"/>
  <c r="B5116" i="6"/>
  <c r="J5116" i="6"/>
  <c r="B5117" i="6"/>
  <c r="J5117" i="6"/>
  <c r="B5118" i="6"/>
  <c r="J5118" i="6"/>
  <c r="B5119" i="6"/>
  <c r="J5119" i="6"/>
  <c r="B5120" i="6"/>
  <c r="J5120" i="6"/>
  <c r="B5121" i="6"/>
  <c r="J5121" i="6"/>
  <c r="B5122" i="6"/>
  <c r="J5122" i="6"/>
  <c r="B5123" i="6"/>
  <c r="J5123" i="6"/>
  <c r="B5124" i="6"/>
  <c r="J5124" i="6"/>
  <c r="B5125" i="6"/>
  <c r="J5125" i="6"/>
  <c r="B5126" i="6"/>
  <c r="J5126" i="6"/>
  <c r="B5127" i="6"/>
  <c r="J5127" i="6"/>
  <c r="B5128" i="6"/>
  <c r="J5128" i="6"/>
  <c r="B5129" i="6"/>
  <c r="J5129" i="6"/>
  <c r="B5130" i="6"/>
  <c r="J5130" i="6"/>
  <c r="B5131" i="6"/>
  <c r="J5131" i="6"/>
  <c r="B5132" i="6"/>
  <c r="J5132" i="6"/>
  <c r="B5133" i="6"/>
  <c r="J5133" i="6"/>
  <c r="B5134" i="6"/>
  <c r="J5134" i="6"/>
  <c r="B5135" i="6"/>
  <c r="J5135" i="6"/>
  <c r="B5136" i="6"/>
  <c r="J5136" i="6"/>
  <c r="B5137" i="6"/>
  <c r="J5137" i="6"/>
  <c r="B5138" i="6"/>
  <c r="J5138" i="6"/>
  <c r="B5139" i="6"/>
  <c r="J5139" i="6"/>
  <c r="B5140" i="6"/>
  <c r="J5140" i="6"/>
  <c r="B5141" i="6"/>
  <c r="J5141" i="6"/>
  <c r="B5142" i="6"/>
  <c r="J5142" i="6"/>
  <c r="B5143" i="6"/>
  <c r="J5143" i="6"/>
  <c r="B5144" i="6"/>
  <c r="J5144" i="6"/>
  <c r="B5145" i="6"/>
  <c r="J5145" i="6"/>
  <c r="B5146" i="6"/>
  <c r="J5146" i="6"/>
  <c r="B5147" i="6"/>
  <c r="J5147" i="6"/>
  <c r="B5148" i="6"/>
  <c r="J5148" i="6"/>
  <c r="B5149" i="6"/>
  <c r="J5149" i="6"/>
  <c r="B5150" i="6"/>
  <c r="J5150" i="6"/>
  <c r="B5151" i="6"/>
  <c r="J5151" i="6"/>
  <c r="B5152" i="6"/>
  <c r="J5152" i="6"/>
  <c r="B5153" i="6"/>
  <c r="J5153" i="6"/>
  <c r="B5154" i="6"/>
  <c r="J5154" i="6"/>
  <c r="B5155" i="6"/>
  <c r="J5155" i="6"/>
  <c r="B5156" i="6"/>
  <c r="J5156" i="6"/>
  <c r="B5157" i="6"/>
  <c r="J5157" i="6"/>
  <c r="B5158" i="6"/>
  <c r="J5158" i="6"/>
  <c r="B5159" i="6"/>
  <c r="J5159" i="6"/>
  <c r="B5160" i="6"/>
  <c r="J5160" i="6"/>
  <c r="B5161" i="6"/>
  <c r="J5161" i="6"/>
  <c r="B5162" i="6"/>
  <c r="J5162" i="6"/>
  <c r="B5163" i="6"/>
  <c r="J5163" i="6"/>
  <c r="B5164" i="6"/>
  <c r="J5164" i="6"/>
  <c r="B5165" i="6"/>
  <c r="J5165" i="6"/>
  <c r="B5166" i="6"/>
  <c r="J5166" i="6"/>
  <c r="B5167" i="6"/>
  <c r="J5167" i="6"/>
  <c r="B5168" i="6"/>
  <c r="J5168" i="6"/>
  <c r="B5169" i="6"/>
  <c r="J5169" i="6"/>
  <c r="B5170" i="6"/>
  <c r="J5170" i="6"/>
  <c r="B5171" i="6"/>
  <c r="J5171" i="6"/>
  <c r="B5172" i="6"/>
  <c r="J5172" i="6"/>
  <c r="B5173" i="6"/>
  <c r="J5173" i="6"/>
  <c r="B5174" i="6"/>
  <c r="J5174" i="6"/>
  <c r="B5175" i="6"/>
  <c r="J5175" i="6"/>
  <c r="B5176" i="6"/>
  <c r="J5176" i="6"/>
  <c r="B5177" i="6"/>
  <c r="J5177" i="6"/>
  <c r="B5178" i="6"/>
  <c r="J5178" i="6"/>
  <c r="B5179" i="6"/>
  <c r="J5179" i="6"/>
  <c r="B5180" i="6"/>
  <c r="J5180" i="6"/>
  <c r="B5181" i="6"/>
  <c r="J5181" i="6"/>
  <c r="B5182" i="6"/>
  <c r="J5182" i="6"/>
  <c r="B5183" i="6"/>
  <c r="J5183" i="6"/>
  <c r="B5184" i="6"/>
  <c r="J5184" i="6"/>
  <c r="B5185" i="6"/>
  <c r="J5185" i="6"/>
  <c r="B5186" i="6"/>
  <c r="J5186" i="6"/>
  <c r="B5187" i="6"/>
  <c r="J5187" i="6"/>
  <c r="B5188" i="6"/>
  <c r="J5188" i="6"/>
  <c r="B5189" i="6"/>
  <c r="J5189" i="6"/>
  <c r="B5190" i="6"/>
  <c r="J5190" i="6"/>
  <c r="B5191" i="6"/>
  <c r="J5191" i="6"/>
  <c r="B5192" i="6"/>
  <c r="J5192" i="6"/>
  <c r="B5193" i="6"/>
  <c r="J5193" i="6"/>
  <c r="B5194" i="6"/>
  <c r="J5194" i="6"/>
  <c r="B5195" i="6"/>
  <c r="J5195" i="6"/>
  <c r="B5196" i="6"/>
  <c r="J5196" i="6"/>
  <c r="B5197" i="6"/>
  <c r="J5197" i="6"/>
  <c r="B5198" i="6"/>
  <c r="J5198" i="6"/>
  <c r="B5199" i="6"/>
  <c r="J5199" i="6"/>
  <c r="B5200" i="6"/>
  <c r="J5200" i="6"/>
  <c r="B5201" i="6"/>
  <c r="J5201" i="6"/>
  <c r="B5202" i="6"/>
  <c r="J5202" i="6"/>
  <c r="B5203" i="6"/>
  <c r="J5203" i="6"/>
  <c r="B5204" i="6"/>
  <c r="J5204" i="6"/>
  <c r="B5205" i="6"/>
  <c r="J5205" i="6"/>
  <c r="B5206" i="6"/>
  <c r="J5206" i="6"/>
  <c r="B5207" i="6"/>
  <c r="J5207" i="6"/>
  <c r="B5208" i="6"/>
  <c r="J5208" i="6"/>
  <c r="B5209" i="6"/>
  <c r="J5209" i="6"/>
  <c r="B5210" i="6"/>
  <c r="J5210" i="6"/>
  <c r="B5211" i="6"/>
  <c r="J5211" i="6"/>
  <c r="B5212" i="6"/>
  <c r="J5212" i="6"/>
  <c r="B5213" i="6"/>
  <c r="J5213" i="6"/>
  <c r="B5214" i="6"/>
  <c r="J5214" i="6"/>
  <c r="B5215" i="6"/>
  <c r="J5215" i="6"/>
  <c r="B5216" i="6"/>
  <c r="J5216" i="6"/>
  <c r="B5217" i="6"/>
  <c r="J5217" i="6"/>
  <c r="B5218" i="6"/>
  <c r="J5218" i="6"/>
  <c r="B5219" i="6"/>
  <c r="J5219" i="6"/>
  <c r="B5220" i="6"/>
  <c r="J5220" i="6"/>
  <c r="B5221" i="6"/>
  <c r="J5221" i="6"/>
  <c r="B5222" i="6"/>
  <c r="J5222" i="6"/>
  <c r="B5223" i="6"/>
  <c r="J5223" i="6"/>
  <c r="B5224" i="6"/>
  <c r="J5224" i="6"/>
  <c r="B5225" i="6"/>
  <c r="J5225" i="6"/>
  <c r="B5226" i="6"/>
  <c r="J5226" i="6"/>
  <c r="B5227" i="6"/>
  <c r="J5227" i="6"/>
  <c r="B5228" i="6"/>
  <c r="J5228" i="6"/>
  <c r="B5229" i="6"/>
  <c r="J5229" i="6"/>
  <c r="B5230" i="6"/>
  <c r="J5230" i="6"/>
  <c r="B5231" i="6"/>
  <c r="J5231" i="6"/>
  <c r="B5232" i="6"/>
  <c r="J5232" i="6"/>
  <c r="B5233" i="6"/>
  <c r="J5233" i="6"/>
  <c r="B5234" i="6"/>
  <c r="J5234" i="6"/>
  <c r="B5235" i="6"/>
  <c r="J5235" i="6"/>
  <c r="B5236" i="6"/>
  <c r="J5236" i="6"/>
  <c r="B5237" i="6"/>
  <c r="J5237" i="6"/>
  <c r="B5238" i="6"/>
  <c r="J5238" i="6"/>
  <c r="B5239" i="6"/>
  <c r="J5239" i="6"/>
  <c r="B5240" i="6"/>
  <c r="J5240" i="6"/>
  <c r="B5241" i="6"/>
  <c r="J5241" i="6"/>
  <c r="B5242" i="6"/>
  <c r="J5242" i="6"/>
  <c r="B5243" i="6"/>
  <c r="J5243" i="6"/>
  <c r="B5244" i="6"/>
  <c r="J5244" i="6"/>
  <c r="B5245" i="6"/>
  <c r="J5245" i="6"/>
  <c r="B5246" i="6"/>
  <c r="J5246" i="6"/>
  <c r="B5247" i="6"/>
  <c r="J5247" i="6"/>
  <c r="B5248" i="6"/>
  <c r="J5248" i="6"/>
  <c r="B5249" i="6"/>
  <c r="J5249" i="6"/>
  <c r="B5250" i="6"/>
  <c r="J5250" i="6"/>
  <c r="B5251" i="6"/>
  <c r="J5251" i="6"/>
  <c r="B5252" i="6"/>
  <c r="J5252" i="6"/>
  <c r="B5253" i="6"/>
  <c r="J5253" i="6"/>
  <c r="B5254" i="6"/>
  <c r="J5254" i="6"/>
  <c r="B5255" i="6"/>
  <c r="J5255" i="6"/>
  <c r="B5256" i="6"/>
  <c r="J5256" i="6"/>
  <c r="B5257" i="6"/>
  <c r="J5257" i="6"/>
  <c r="B5258" i="6"/>
  <c r="J5258" i="6"/>
  <c r="B5259" i="6"/>
  <c r="J5259" i="6"/>
  <c r="B5260" i="6"/>
  <c r="J5260" i="6"/>
  <c r="B5261" i="6"/>
  <c r="J5261" i="6"/>
  <c r="B5262" i="6"/>
  <c r="J5262" i="6"/>
  <c r="B5263" i="6"/>
  <c r="J5263" i="6"/>
  <c r="B5264" i="6"/>
  <c r="J5264" i="6"/>
  <c r="B5265" i="6"/>
  <c r="J5265" i="6"/>
  <c r="B5266" i="6"/>
  <c r="J5266" i="6"/>
  <c r="B5267" i="6"/>
  <c r="J5267" i="6"/>
  <c r="B5268" i="6"/>
  <c r="J5268" i="6"/>
  <c r="B5269" i="6"/>
  <c r="J5269" i="6"/>
  <c r="B5270" i="6"/>
  <c r="J5270" i="6"/>
  <c r="B5271" i="6"/>
  <c r="J5271" i="6"/>
  <c r="B5272" i="6"/>
  <c r="J5272" i="6"/>
  <c r="B5273" i="6"/>
  <c r="J5273" i="6"/>
  <c r="B5274" i="6"/>
  <c r="J5274" i="6"/>
  <c r="B5275" i="6"/>
  <c r="J5275" i="6"/>
  <c r="B5276" i="6"/>
  <c r="J5276" i="6"/>
  <c r="B5277" i="6"/>
  <c r="J5277" i="6"/>
  <c r="B5278" i="6"/>
  <c r="J5278" i="6"/>
  <c r="B5279" i="6"/>
  <c r="J5279" i="6"/>
  <c r="B5280" i="6"/>
  <c r="J5280" i="6"/>
  <c r="B5281" i="6"/>
  <c r="J5281" i="6"/>
  <c r="B5282" i="6"/>
  <c r="J5282" i="6"/>
  <c r="B5283" i="6"/>
  <c r="J5283" i="6"/>
  <c r="B5284" i="6"/>
  <c r="J5284" i="6"/>
  <c r="B5285" i="6"/>
  <c r="J5285" i="6"/>
  <c r="B5286" i="6"/>
  <c r="J5286" i="6"/>
  <c r="B5287" i="6"/>
  <c r="J5287" i="6"/>
  <c r="B5288" i="6"/>
  <c r="J5288" i="6"/>
  <c r="B5289" i="6"/>
  <c r="J5289" i="6"/>
  <c r="B5290" i="6"/>
  <c r="J5290" i="6"/>
  <c r="B5291" i="6"/>
  <c r="J5291" i="6"/>
  <c r="B5292" i="6"/>
  <c r="J5292" i="6"/>
  <c r="B5293" i="6"/>
  <c r="J5293" i="6"/>
  <c r="B5294" i="6"/>
  <c r="J5294" i="6"/>
  <c r="B5295" i="6"/>
  <c r="J5295" i="6"/>
  <c r="B5296" i="6"/>
  <c r="J5296" i="6"/>
  <c r="B5297" i="6"/>
  <c r="J5297" i="6"/>
  <c r="B5298" i="6"/>
  <c r="J5298" i="6"/>
  <c r="B5299" i="6"/>
  <c r="J5299" i="6"/>
  <c r="B5300" i="6"/>
  <c r="J5300" i="6"/>
  <c r="B5301" i="6"/>
  <c r="J5301" i="6"/>
  <c r="B5302" i="6"/>
  <c r="J5302" i="6"/>
  <c r="B5303" i="6"/>
  <c r="J5303" i="6"/>
  <c r="B5304" i="6"/>
  <c r="J5304" i="6"/>
  <c r="B5305" i="6"/>
  <c r="J5305" i="6"/>
  <c r="B5306" i="6"/>
  <c r="J5306" i="6"/>
  <c r="B5307" i="6"/>
  <c r="J5307" i="6"/>
  <c r="B5308" i="6"/>
  <c r="J5308" i="6"/>
  <c r="B5309" i="6"/>
  <c r="J5309" i="6"/>
  <c r="B5310" i="6"/>
  <c r="J5310" i="6"/>
  <c r="B5311" i="6"/>
  <c r="J5311" i="6"/>
  <c r="B5312" i="6"/>
  <c r="J5312" i="6"/>
  <c r="B5313" i="6"/>
  <c r="J5313" i="6"/>
  <c r="B5314" i="6"/>
  <c r="J5314" i="6"/>
  <c r="B5315" i="6"/>
  <c r="J5315" i="6"/>
  <c r="B5316" i="6"/>
  <c r="J5316" i="6"/>
  <c r="B5317" i="6"/>
  <c r="J5317" i="6"/>
  <c r="B5318" i="6"/>
  <c r="J5318" i="6"/>
  <c r="B5319" i="6"/>
  <c r="J5319" i="6"/>
  <c r="B5320" i="6"/>
  <c r="J5320" i="6"/>
  <c r="B5321" i="6"/>
  <c r="J5321" i="6"/>
  <c r="B5322" i="6"/>
  <c r="J5322" i="6"/>
  <c r="B5323" i="6"/>
  <c r="J5323" i="6"/>
  <c r="B5324" i="6"/>
  <c r="J5324" i="6"/>
  <c r="B5325" i="6"/>
  <c r="J5325" i="6"/>
  <c r="B5326" i="6"/>
  <c r="J5326" i="6"/>
  <c r="B5327" i="6"/>
  <c r="J5327" i="6"/>
  <c r="B5328" i="6"/>
  <c r="J5328" i="6"/>
  <c r="B5329" i="6"/>
  <c r="J5329" i="6"/>
  <c r="B5330" i="6"/>
  <c r="J5330" i="6"/>
  <c r="B5331" i="6"/>
  <c r="J5331" i="6"/>
  <c r="B5332" i="6"/>
  <c r="J5332" i="6"/>
  <c r="B5333" i="6"/>
  <c r="J5333" i="6"/>
  <c r="B5334" i="6"/>
  <c r="J5334" i="6"/>
  <c r="B5335" i="6"/>
  <c r="J5335" i="6"/>
  <c r="B5336" i="6"/>
  <c r="J5336" i="6"/>
  <c r="B5337" i="6"/>
  <c r="J5337" i="6"/>
  <c r="B5338" i="6"/>
  <c r="J5338" i="6"/>
  <c r="B5339" i="6"/>
  <c r="J5339" i="6"/>
  <c r="B5340" i="6"/>
  <c r="J5340" i="6"/>
  <c r="B5341" i="6"/>
  <c r="J5341" i="6"/>
  <c r="B5342" i="6"/>
  <c r="J5342" i="6"/>
  <c r="B5343" i="6"/>
  <c r="J5343" i="6"/>
  <c r="B5344" i="6"/>
  <c r="J5344" i="6"/>
  <c r="B5345" i="6"/>
  <c r="J5345" i="6"/>
  <c r="B5346" i="6"/>
  <c r="J5346" i="6"/>
  <c r="B5347" i="6"/>
  <c r="J5347" i="6"/>
  <c r="B5348" i="6"/>
  <c r="J5348" i="6"/>
  <c r="B5349" i="6"/>
  <c r="J5349" i="6"/>
  <c r="B5350" i="6"/>
  <c r="J5350" i="6"/>
  <c r="B5351" i="6"/>
  <c r="J5351" i="6"/>
  <c r="B5352" i="6"/>
  <c r="J5352" i="6"/>
  <c r="B5353" i="6"/>
  <c r="J5353" i="6"/>
  <c r="B5354" i="6"/>
  <c r="J5354" i="6"/>
  <c r="B5355" i="6"/>
  <c r="J5355" i="6"/>
  <c r="B5356" i="6"/>
  <c r="J5356" i="6"/>
  <c r="B5357" i="6"/>
  <c r="J5357" i="6"/>
  <c r="B5358" i="6"/>
  <c r="J5358" i="6"/>
  <c r="B5359" i="6"/>
  <c r="J5359" i="6"/>
  <c r="B5360" i="6"/>
  <c r="J5360" i="6"/>
  <c r="B5361" i="6"/>
  <c r="J5361" i="6"/>
  <c r="B5362" i="6"/>
  <c r="J5362" i="6"/>
  <c r="B5363" i="6"/>
  <c r="J5363" i="6"/>
  <c r="B5364" i="6"/>
  <c r="J5364" i="6"/>
  <c r="B5365" i="6"/>
  <c r="J5365" i="6"/>
  <c r="B5366" i="6"/>
  <c r="J5366" i="6"/>
  <c r="B5367" i="6"/>
  <c r="J5367" i="6"/>
  <c r="B5368" i="6"/>
  <c r="J5368" i="6"/>
  <c r="B5369" i="6"/>
  <c r="J5369" i="6"/>
  <c r="B5370" i="6"/>
  <c r="J5370" i="6"/>
  <c r="B5371" i="6"/>
  <c r="J5371" i="6"/>
  <c r="B5372" i="6"/>
  <c r="J5372" i="6"/>
  <c r="B5373" i="6"/>
  <c r="J5373" i="6"/>
  <c r="B5374" i="6"/>
  <c r="J5374" i="6"/>
  <c r="B5375" i="6"/>
  <c r="J5375" i="6"/>
  <c r="B5376" i="6"/>
  <c r="J5376" i="6"/>
  <c r="B5377" i="6"/>
  <c r="J5377" i="6"/>
  <c r="B5378" i="6"/>
  <c r="J5378" i="6"/>
  <c r="B5379" i="6"/>
  <c r="J5379" i="6"/>
  <c r="B5380" i="6"/>
  <c r="J5380" i="6"/>
  <c r="B5381" i="6"/>
  <c r="J5381" i="6"/>
  <c r="B5382" i="6"/>
  <c r="J5382" i="6"/>
  <c r="B5383" i="6"/>
  <c r="J5383" i="6"/>
  <c r="B5384" i="6"/>
  <c r="J5384" i="6"/>
  <c r="B5385" i="6"/>
  <c r="J5385" i="6"/>
  <c r="B5386" i="6"/>
  <c r="J5386" i="6"/>
  <c r="B5387" i="6"/>
  <c r="J5387" i="6"/>
  <c r="B5388" i="6"/>
  <c r="J5388" i="6"/>
  <c r="B5389" i="6"/>
  <c r="J5389" i="6"/>
  <c r="B5390" i="6"/>
  <c r="J5390" i="6"/>
  <c r="B5391" i="6"/>
  <c r="J5391" i="6"/>
  <c r="B5392" i="6"/>
  <c r="J5392" i="6"/>
  <c r="B5393" i="6"/>
  <c r="J5393" i="6"/>
  <c r="B5394" i="6"/>
  <c r="J5394" i="6"/>
  <c r="B5395" i="6"/>
  <c r="J5395" i="6"/>
  <c r="B5396" i="6"/>
  <c r="J5396" i="6"/>
  <c r="B5397" i="6"/>
  <c r="J5397" i="6"/>
  <c r="B5398" i="6"/>
  <c r="J5398" i="6"/>
  <c r="B5399" i="6"/>
  <c r="J5399" i="6"/>
  <c r="B5400" i="6"/>
  <c r="J5400" i="6"/>
  <c r="B5401" i="6"/>
  <c r="J5401" i="6"/>
  <c r="B5402" i="6"/>
  <c r="J5402" i="6"/>
  <c r="B5403" i="6"/>
  <c r="J5403" i="6"/>
  <c r="B5404" i="6"/>
  <c r="J5404" i="6"/>
  <c r="B5405" i="6"/>
  <c r="J5405" i="6"/>
  <c r="B5406" i="6"/>
  <c r="J5406" i="6"/>
  <c r="B5407" i="6"/>
  <c r="J5407" i="6"/>
  <c r="B5408" i="6"/>
  <c r="J5408" i="6"/>
  <c r="B5409" i="6"/>
  <c r="J5409" i="6"/>
  <c r="B5410" i="6"/>
  <c r="J5410" i="6"/>
  <c r="B5411" i="6"/>
  <c r="J5411" i="6"/>
  <c r="B5412" i="6"/>
  <c r="J5412" i="6"/>
  <c r="B5413" i="6"/>
  <c r="J5413" i="6"/>
  <c r="B5414" i="6"/>
  <c r="J5414" i="6"/>
  <c r="B5415" i="6"/>
  <c r="J5415" i="6"/>
  <c r="B5416" i="6"/>
  <c r="J5416" i="6"/>
  <c r="B5417" i="6"/>
  <c r="J5417" i="6"/>
  <c r="B5418" i="6"/>
  <c r="J5418" i="6"/>
  <c r="B5419" i="6"/>
  <c r="J5419" i="6"/>
  <c r="B5420" i="6"/>
  <c r="J5420" i="6"/>
  <c r="B5421" i="6"/>
  <c r="J5421" i="6"/>
  <c r="B5422" i="6"/>
  <c r="J5422" i="6"/>
  <c r="B5423" i="6"/>
  <c r="J5423" i="6"/>
  <c r="B5424" i="6"/>
  <c r="J5424" i="6"/>
  <c r="B5425" i="6"/>
  <c r="J5425" i="6"/>
  <c r="B5426" i="6"/>
  <c r="J5426" i="6"/>
  <c r="B5427" i="6"/>
  <c r="J5427" i="6"/>
  <c r="B5428" i="6"/>
  <c r="J5428" i="6"/>
  <c r="B5429" i="6"/>
  <c r="J5429" i="6"/>
  <c r="B5430" i="6"/>
  <c r="J5430" i="6"/>
  <c r="B5431" i="6"/>
  <c r="J5431" i="6"/>
  <c r="B5432" i="6"/>
  <c r="J5432" i="6"/>
  <c r="B5433" i="6"/>
  <c r="J5433" i="6"/>
  <c r="B5434" i="6"/>
  <c r="J5434" i="6"/>
  <c r="B5435" i="6"/>
  <c r="J5435" i="6"/>
  <c r="B5436" i="6"/>
  <c r="J5436" i="6"/>
  <c r="B5437" i="6"/>
  <c r="J5437" i="6"/>
  <c r="B5438" i="6"/>
  <c r="J5438" i="6"/>
  <c r="B5439" i="6"/>
  <c r="J5439" i="6"/>
  <c r="B5440" i="6"/>
  <c r="J5440" i="6"/>
  <c r="B5441" i="6"/>
  <c r="J5441" i="6"/>
  <c r="B5442" i="6"/>
  <c r="J5442" i="6"/>
  <c r="B5443" i="6"/>
  <c r="J5443" i="6"/>
  <c r="B5444" i="6"/>
  <c r="J5444" i="6"/>
  <c r="B5445" i="6"/>
  <c r="J5445" i="6"/>
  <c r="B5446" i="6"/>
  <c r="J5446" i="6"/>
  <c r="B5447" i="6"/>
  <c r="J5447" i="6"/>
  <c r="B5448" i="6"/>
  <c r="J5448" i="6"/>
  <c r="B5449" i="6"/>
  <c r="J5449" i="6"/>
  <c r="B5450" i="6"/>
  <c r="J5450" i="6"/>
  <c r="B5451" i="6"/>
  <c r="J5451" i="6"/>
  <c r="B5452" i="6"/>
  <c r="J5452" i="6"/>
  <c r="B5453" i="6"/>
  <c r="J5453" i="6"/>
  <c r="B5454" i="6"/>
  <c r="J5454" i="6"/>
  <c r="B5455" i="6"/>
  <c r="J5455" i="6"/>
  <c r="B5456" i="6"/>
  <c r="J5456" i="6"/>
  <c r="B5457" i="6"/>
  <c r="J5457" i="6"/>
  <c r="B5458" i="6"/>
  <c r="J5458" i="6"/>
  <c r="B5459" i="6"/>
  <c r="J5459" i="6"/>
  <c r="B5460" i="6"/>
  <c r="J5460" i="6"/>
  <c r="B5461" i="6"/>
  <c r="J5461" i="6"/>
  <c r="B5462" i="6"/>
  <c r="J5462" i="6"/>
  <c r="B5463" i="6"/>
  <c r="J5463" i="6"/>
  <c r="B5464" i="6"/>
  <c r="J5464" i="6"/>
  <c r="B5465" i="6"/>
  <c r="J5465" i="6"/>
  <c r="B5466" i="6"/>
  <c r="J5466" i="6"/>
  <c r="B5467" i="6"/>
  <c r="J5467" i="6"/>
  <c r="B5468" i="6"/>
  <c r="J5468" i="6"/>
  <c r="B5469" i="6"/>
  <c r="J5469" i="6"/>
  <c r="B5470" i="6"/>
  <c r="J5470" i="6"/>
  <c r="B5471" i="6"/>
  <c r="J5471" i="6"/>
  <c r="B5472" i="6"/>
  <c r="J5472" i="6"/>
  <c r="B5473" i="6"/>
  <c r="J5473" i="6"/>
  <c r="B5474" i="6"/>
  <c r="J5474" i="6"/>
  <c r="B5475" i="6"/>
  <c r="J5475" i="6"/>
  <c r="B5476" i="6"/>
  <c r="J5476" i="6"/>
  <c r="B5477" i="6"/>
  <c r="J5477" i="6"/>
  <c r="B5478" i="6"/>
  <c r="J5478" i="6"/>
  <c r="B5479" i="6"/>
  <c r="J5479" i="6"/>
  <c r="B5480" i="6"/>
  <c r="J5480" i="6"/>
  <c r="B5481" i="6"/>
  <c r="J5481" i="6"/>
  <c r="B5482" i="6"/>
  <c r="J5482" i="6"/>
  <c r="B5483" i="6"/>
  <c r="J5483" i="6"/>
  <c r="B5484" i="6"/>
  <c r="J5484" i="6"/>
  <c r="B5485" i="6"/>
  <c r="J5485" i="6"/>
  <c r="B5486" i="6"/>
  <c r="J5486" i="6"/>
  <c r="B5487" i="6"/>
  <c r="J5487" i="6"/>
  <c r="B5488" i="6"/>
  <c r="J5488" i="6"/>
  <c r="B5489" i="6"/>
  <c r="J5489" i="6"/>
  <c r="B5490" i="6"/>
  <c r="J5490" i="6"/>
  <c r="B5491" i="6"/>
  <c r="J5491" i="6"/>
  <c r="B5492" i="6"/>
  <c r="J5492" i="6"/>
  <c r="B5493" i="6"/>
  <c r="J5493" i="6"/>
  <c r="B5494" i="6"/>
  <c r="J5494" i="6"/>
  <c r="B5495" i="6"/>
  <c r="J5495" i="6"/>
  <c r="B5496" i="6"/>
  <c r="J5496" i="6"/>
  <c r="B5497" i="6"/>
  <c r="J5497" i="6"/>
  <c r="B5498" i="6"/>
  <c r="J5498" i="6"/>
  <c r="B5499" i="6"/>
  <c r="J5499" i="6"/>
  <c r="B5500" i="6"/>
  <c r="J5500" i="6"/>
  <c r="B5501" i="6"/>
  <c r="J5501" i="6"/>
  <c r="B5502" i="6"/>
  <c r="J5502" i="6"/>
  <c r="B5503" i="6"/>
  <c r="J5503" i="6"/>
  <c r="B5504" i="6"/>
  <c r="J5504" i="6"/>
  <c r="B5505" i="6"/>
  <c r="J5505" i="6"/>
  <c r="B5506" i="6"/>
  <c r="J5506" i="6"/>
  <c r="B5507" i="6"/>
  <c r="J5507" i="6"/>
  <c r="B5508" i="6"/>
  <c r="J5508" i="6"/>
  <c r="B5509" i="6"/>
  <c r="J5509" i="6"/>
  <c r="B5510" i="6"/>
  <c r="J5510" i="6"/>
  <c r="B5511" i="6"/>
  <c r="J5511" i="6"/>
  <c r="B5512" i="6"/>
  <c r="J5512" i="6"/>
  <c r="B5513" i="6"/>
  <c r="J5513" i="6"/>
  <c r="B5514" i="6"/>
  <c r="J5514" i="6"/>
  <c r="B5515" i="6"/>
  <c r="J5515" i="6"/>
  <c r="B5516" i="6"/>
  <c r="J5516" i="6"/>
  <c r="B5517" i="6"/>
  <c r="J5517" i="6"/>
  <c r="B5518" i="6"/>
  <c r="J5518" i="6"/>
  <c r="B5519" i="6"/>
  <c r="J5519" i="6"/>
  <c r="B5520" i="6"/>
  <c r="J5520" i="6"/>
  <c r="B5521" i="6"/>
  <c r="J5521" i="6"/>
  <c r="B5522" i="6"/>
  <c r="J5522" i="6"/>
  <c r="B5523" i="6"/>
  <c r="J5523" i="6"/>
  <c r="B5524" i="6"/>
  <c r="J5524" i="6"/>
  <c r="B5525" i="6"/>
  <c r="J5525" i="6"/>
  <c r="B5526" i="6"/>
  <c r="J5526" i="6"/>
  <c r="B5527" i="6"/>
  <c r="J5527" i="6"/>
  <c r="B5528" i="6"/>
  <c r="J5528" i="6"/>
  <c r="B5529" i="6"/>
  <c r="J5529" i="6"/>
  <c r="B5530" i="6"/>
  <c r="J5530" i="6"/>
  <c r="B5531" i="6"/>
  <c r="J5531" i="6"/>
  <c r="B5532" i="6"/>
  <c r="J5532" i="6"/>
  <c r="B5533" i="6"/>
  <c r="J5533" i="6"/>
  <c r="B5534" i="6"/>
  <c r="J5534" i="6"/>
  <c r="B5535" i="6"/>
  <c r="J5535" i="6"/>
  <c r="B5536" i="6"/>
  <c r="J5536" i="6"/>
  <c r="B5537" i="6"/>
  <c r="J5537" i="6"/>
  <c r="B5538" i="6"/>
  <c r="J5538" i="6"/>
  <c r="B5539" i="6"/>
  <c r="J5539" i="6"/>
  <c r="B5540" i="6"/>
  <c r="J5540" i="6"/>
  <c r="B5541" i="6"/>
  <c r="J5541" i="6"/>
  <c r="B5542" i="6"/>
  <c r="J5542" i="6"/>
  <c r="B5543" i="6"/>
  <c r="J5543" i="6"/>
  <c r="B5544" i="6"/>
  <c r="J5544" i="6"/>
  <c r="B5545" i="6"/>
  <c r="J5545" i="6"/>
  <c r="B5546" i="6"/>
  <c r="J5546" i="6"/>
  <c r="B5547" i="6"/>
  <c r="J5547" i="6"/>
  <c r="B5548" i="6"/>
  <c r="J5548" i="6"/>
  <c r="B5549" i="6"/>
  <c r="J5549" i="6"/>
  <c r="B5550" i="6"/>
  <c r="J5550" i="6"/>
  <c r="B5551" i="6"/>
  <c r="J5551" i="6"/>
  <c r="B5552" i="6"/>
  <c r="J5552" i="6"/>
  <c r="B5553" i="6"/>
  <c r="J5553" i="6"/>
  <c r="B5554" i="6"/>
  <c r="J5554" i="6"/>
  <c r="B5555" i="6"/>
  <c r="J5555" i="6"/>
  <c r="B5556" i="6"/>
  <c r="J5556" i="6"/>
  <c r="B5557" i="6"/>
  <c r="J5557" i="6"/>
  <c r="B5558" i="6"/>
  <c r="J5558" i="6"/>
  <c r="B5559" i="6"/>
  <c r="J5559" i="6"/>
  <c r="B5560" i="6"/>
  <c r="J5560" i="6"/>
  <c r="B5561" i="6"/>
  <c r="J5561" i="6"/>
  <c r="B5562" i="6"/>
  <c r="J5562" i="6"/>
  <c r="B5563" i="6"/>
  <c r="J5563" i="6"/>
  <c r="B5564" i="6"/>
  <c r="J5564" i="6"/>
  <c r="B5565" i="6"/>
  <c r="J5565" i="6"/>
  <c r="B5566" i="6"/>
  <c r="J5566" i="6"/>
  <c r="B5567" i="6"/>
  <c r="J5567" i="6"/>
  <c r="B5568" i="6"/>
  <c r="J5568" i="6"/>
  <c r="B5569" i="6"/>
  <c r="J5569" i="6"/>
  <c r="B5570" i="6"/>
  <c r="J5570" i="6"/>
  <c r="B5571" i="6"/>
  <c r="J5571" i="6"/>
  <c r="B5572" i="6"/>
  <c r="J5572" i="6"/>
  <c r="B5573" i="6"/>
  <c r="J5573" i="6"/>
  <c r="B5574" i="6"/>
  <c r="J5574" i="6"/>
  <c r="B5575" i="6"/>
  <c r="J5575" i="6"/>
  <c r="B5576" i="6"/>
  <c r="J5576" i="6"/>
  <c r="B5577" i="6"/>
  <c r="J5577" i="6"/>
  <c r="B5578" i="6"/>
  <c r="J5578" i="6"/>
  <c r="B5579" i="6"/>
  <c r="J5579" i="6"/>
  <c r="B5580" i="6"/>
  <c r="J5580" i="6"/>
  <c r="B5581" i="6"/>
  <c r="J5581" i="6"/>
  <c r="B5582" i="6"/>
  <c r="J5582" i="6"/>
  <c r="B5583" i="6"/>
  <c r="J5583" i="6"/>
  <c r="B5584" i="6"/>
  <c r="J5584" i="6"/>
  <c r="B5585" i="6"/>
  <c r="J5585" i="6"/>
  <c r="B5586" i="6"/>
  <c r="J5586" i="6"/>
  <c r="B5587" i="6"/>
  <c r="J5587" i="6"/>
  <c r="B5588" i="6"/>
  <c r="J5588" i="6"/>
  <c r="B5589" i="6"/>
  <c r="J5589" i="6"/>
  <c r="B5590" i="6"/>
  <c r="J5590" i="6"/>
  <c r="B5591" i="6"/>
  <c r="J5591" i="6"/>
  <c r="B5592" i="6"/>
  <c r="J5592" i="6"/>
  <c r="B5593" i="6"/>
  <c r="J5593" i="6"/>
  <c r="B5594" i="6"/>
  <c r="J5594" i="6"/>
  <c r="B5595" i="6"/>
  <c r="J5595" i="6"/>
  <c r="B5596" i="6"/>
  <c r="J5596" i="6"/>
  <c r="B5597" i="6"/>
  <c r="J5597" i="6"/>
  <c r="B5598" i="6"/>
  <c r="J5598" i="6"/>
  <c r="B5599" i="6"/>
  <c r="J5599" i="6"/>
  <c r="B5600" i="6"/>
  <c r="J5600" i="6"/>
  <c r="B5601" i="6"/>
  <c r="J5601" i="6"/>
  <c r="B5602" i="6"/>
  <c r="J5602" i="6"/>
  <c r="B5603" i="6"/>
  <c r="J5603" i="6"/>
  <c r="B5604" i="6"/>
  <c r="J5604" i="6"/>
  <c r="B5605" i="6"/>
  <c r="J5605" i="6"/>
  <c r="B5606" i="6"/>
  <c r="J5606" i="6"/>
  <c r="B5607" i="6"/>
  <c r="J5607" i="6"/>
  <c r="B5608" i="6"/>
  <c r="J5608" i="6"/>
  <c r="B5609" i="6"/>
  <c r="J5609" i="6"/>
  <c r="B5610" i="6"/>
  <c r="J5610" i="6"/>
  <c r="B5611" i="6"/>
  <c r="J5611" i="6"/>
  <c r="B5612" i="6"/>
  <c r="J5612" i="6"/>
  <c r="B5613" i="6"/>
  <c r="J5613" i="6"/>
  <c r="B5614" i="6"/>
  <c r="J5614" i="6"/>
  <c r="B5615" i="6"/>
  <c r="J5615" i="6"/>
  <c r="B5616" i="6"/>
  <c r="J5616" i="6"/>
  <c r="B5617" i="6"/>
  <c r="J5617" i="6"/>
  <c r="B5618" i="6"/>
  <c r="J5618" i="6"/>
  <c r="B5619" i="6"/>
  <c r="J5619" i="6"/>
  <c r="B5620" i="6"/>
  <c r="J5620" i="6"/>
  <c r="B5621" i="6"/>
  <c r="J5621" i="6"/>
  <c r="B5622" i="6"/>
  <c r="J5622" i="6"/>
  <c r="B5623" i="6"/>
  <c r="J5623" i="6"/>
  <c r="B5624" i="6"/>
  <c r="J5624" i="6"/>
  <c r="B5625" i="6"/>
  <c r="J5625" i="6"/>
  <c r="B5626" i="6"/>
  <c r="J5626" i="6"/>
  <c r="B5627" i="6"/>
  <c r="J5627" i="6"/>
  <c r="B5628" i="6"/>
  <c r="J5628" i="6"/>
  <c r="B5629" i="6"/>
  <c r="J5629" i="6"/>
  <c r="B5630" i="6"/>
  <c r="J5630" i="6"/>
  <c r="B5631" i="6"/>
  <c r="J5631" i="6"/>
  <c r="B5632" i="6"/>
  <c r="J5632" i="6"/>
  <c r="B5633" i="6"/>
  <c r="J5633" i="6"/>
  <c r="B5634" i="6"/>
  <c r="J5634" i="6"/>
  <c r="B5635" i="6"/>
  <c r="J5635" i="6"/>
  <c r="B5636" i="6"/>
  <c r="J5636" i="6"/>
  <c r="B5637" i="6"/>
  <c r="J5637" i="6"/>
  <c r="B5638" i="6"/>
  <c r="J5638" i="6"/>
  <c r="B5639" i="6"/>
  <c r="J5639" i="6"/>
  <c r="B5640" i="6"/>
  <c r="J5640" i="6"/>
  <c r="B5641" i="6"/>
  <c r="J5641" i="6"/>
  <c r="B5642" i="6"/>
  <c r="J5642" i="6"/>
  <c r="B5643" i="6"/>
  <c r="J5643" i="6"/>
  <c r="B5644" i="6"/>
  <c r="J5644" i="6"/>
  <c r="B5645" i="6"/>
  <c r="J5645" i="6"/>
  <c r="B5646" i="6"/>
  <c r="J5646" i="6"/>
  <c r="B5647" i="6"/>
  <c r="J5647" i="6"/>
  <c r="B5648" i="6"/>
  <c r="J5648" i="6"/>
  <c r="B5649" i="6"/>
  <c r="J5649" i="6"/>
  <c r="B5650" i="6"/>
  <c r="J5650" i="6"/>
  <c r="B5651" i="6"/>
  <c r="J5651" i="6"/>
  <c r="B5652" i="6"/>
  <c r="J5652" i="6"/>
  <c r="B5653" i="6"/>
  <c r="J5653" i="6"/>
  <c r="B5654" i="6"/>
  <c r="J5654" i="6"/>
  <c r="B5655" i="6"/>
  <c r="J5655" i="6"/>
  <c r="B5656" i="6"/>
  <c r="J5656" i="6"/>
  <c r="B5657" i="6"/>
  <c r="J5657" i="6"/>
  <c r="B5658" i="6"/>
  <c r="J5658" i="6"/>
  <c r="B5659" i="6"/>
  <c r="J5659" i="6"/>
  <c r="B5660" i="6"/>
  <c r="J5660" i="6"/>
  <c r="B5661" i="6"/>
  <c r="J5661" i="6"/>
  <c r="B5662" i="6"/>
  <c r="J5662" i="6"/>
  <c r="B5663" i="6"/>
  <c r="J5663" i="6"/>
  <c r="B5664" i="6"/>
  <c r="J5664" i="6"/>
  <c r="B5665" i="6"/>
  <c r="J5665" i="6"/>
  <c r="B5666" i="6"/>
  <c r="J5666" i="6"/>
  <c r="B5667" i="6"/>
  <c r="J5667" i="6"/>
  <c r="B5668" i="6"/>
  <c r="J5668" i="6"/>
  <c r="B5669" i="6"/>
  <c r="J5669" i="6"/>
  <c r="B5670" i="6"/>
  <c r="J5670" i="6"/>
  <c r="B5671" i="6"/>
  <c r="J5671" i="6"/>
  <c r="B5672" i="6"/>
  <c r="J5672" i="6"/>
  <c r="B5673" i="6"/>
  <c r="J5673" i="6"/>
  <c r="B5674" i="6"/>
  <c r="J5674" i="6"/>
  <c r="B5675" i="6"/>
  <c r="J5675" i="6"/>
  <c r="B5676" i="6"/>
  <c r="J5676" i="6"/>
  <c r="B5677" i="6"/>
  <c r="J5677" i="6"/>
  <c r="B5678" i="6"/>
  <c r="J5678" i="6"/>
  <c r="B5679" i="6"/>
  <c r="J5679" i="6"/>
  <c r="B5680" i="6"/>
  <c r="J5680" i="6"/>
  <c r="B5681" i="6"/>
  <c r="J5681" i="6"/>
  <c r="B5682" i="6"/>
  <c r="J5682" i="6"/>
  <c r="B5683" i="6"/>
  <c r="J5683" i="6"/>
  <c r="B5684" i="6"/>
  <c r="J5684" i="6"/>
  <c r="B5685" i="6"/>
  <c r="J5685" i="6"/>
  <c r="B5686" i="6"/>
  <c r="J5686" i="6"/>
  <c r="B5687" i="6"/>
  <c r="J5687" i="6"/>
  <c r="B5688" i="6"/>
  <c r="J5688" i="6"/>
  <c r="B5689" i="6"/>
  <c r="J5689" i="6"/>
  <c r="B5690" i="6"/>
  <c r="J5690" i="6"/>
  <c r="B5691" i="6"/>
  <c r="J5691" i="6"/>
  <c r="B5692" i="6"/>
  <c r="J5692" i="6"/>
  <c r="B5693" i="6"/>
  <c r="J5693" i="6"/>
  <c r="B5694" i="6"/>
  <c r="J5694" i="6"/>
  <c r="B5695" i="6"/>
  <c r="J5695" i="6"/>
  <c r="B5696" i="6"/>
  <c r="J5696" i="6"/>
  <c r="B5697" i="6"/>
  <c r="J5697" i="6"/>
  <c r="B5698" i="6"/>
  <c r="J5698" i="6"/>
  <c r="B5699" i="6"/>
  <c r="J5699" i="6"/>
  <c r="B5700" i="6"/>
  <c r="J5700" i="6"/>
  <c r="B5701" i="6"/>
  <c r="J5701" i="6"/>
  <c r="B5702" i="6"/>
  <c r="J5702" i="6"/>
  <c r="B5703" i="6"/>
  <c r="J5703" i="6"/>
  <c r="B5704" i="6"/>
  <c r="J5704" i="6"/>
  <c r="B5705" i="6"/>
  <c r="J5705" i="6"/>
  <c r="B5706" i="6"/>
  <c r="J5706" i="6"/>
  <c r="B5707" i="6"/>
  <c r="J5707" i="6"/>
  <c r="B5708" i="6"/>
  <c r="J5708" i="6"/>
  <c r="B5709" i="6"/>
  <c r="J5709" i="6"/>
  <c r="B5710" i="6"/>
  <c r="J5710" i="6"/>
  <c r="B5711" i="6"/>
  <c r="J5711" i="6"/>
  <c r="B5712" i="6"/>
  <c r="J5712" i="6"/>
  <c r="B5713" i="6"/>
  <c r="J5713" i="6"/>
  <c r="B5714" i="6"/>
  <c r="J5714" i="6"/>
  <c r="B5715" i="6"/>
  <c r="J5715" i="6"/>
  <c r="B5716" i="6"/>
  <c r="J5716" i="6"/>
  <c r="B5717" i="6"/>
  <c r="J5717" i="6"/>
  <c r="B5718" i="6"/>
  <c r="J5718" i="6"/>
  <c r="B5719" i="6"/>
  <c r="J5719" i="6"/>
  <c r="B5720" i="6"/>
  <c r="J5720" i="6"/>
  <c r="B5721" i="6"/>
  <c r="J5721" i="6"/>
  <c r="B5722" i="6"/>
  <c r="J5722" i="6"/>
  <c r="B5723" i="6"/>
  <c r="J5723" i="6"/>
  <c r="B5724" i="6"/>
  <c r="J5724" i="6"/>
  <c r="B5725" i="6"/>
  <c r="J5725" i="6"/>
  <c r="B5726" i="6"/>
  <c r="J5726" i="6"/>
  <c r="B5727" i="6"/>
  <c r="J5727" i="6"/>
  <c r="B5728" i="6"/>
  <c r="J5728" i="6"/>
  <c r="B5729" i="6"/>
  <c r="J5729" i="6"/>
  <c r="B5730" i="6"/>
  <c r="J5730" i="6"/>
  <c r="B5731" i="6"/>
  <c r="J5731" i="6"/>
  <c r="B5732" i="6"/>
  <c r="J5732" i="6"/>
  <c r="B5733" i="6"/>
  <c r="J5733" i="6"/>
  <c r="B5734" i="6"/>
  <c r="J5734" i="6"/>
  <c r="B5735" i="6"/>
  <c r="J5735" i="6"/>
  <c r="B5736" i="6"/>
  <c r="J5736" i="6"/>
  <c r="B5737" i="6"/>
  <c r="J5737" i="6"/>
  <c r="B5738" i="6"/>
  <c r="J5738" i="6"/>
  <c r="B5739" i="6"/>
  <c r="J5739" i="6"/>
  <c r="B5740" i="6"/>
  <c r="J5740" i="6"/>
  <c r="B5741" i="6"/>
  <c r="J5741" i="6"/>
  <c r="B5742" i="6"/>
  <c r="J5742" i="6"/>
  <c r="B5743" i="6"/>
  <c r="J5743" i="6"/>
  <c r="B5744" i="6"/>
  <c r="J5744" i="6"/>
  <c r="B5745" i="6"/>
  <c r="J5745" i="6"/>
  <c r="B5746" i="6"/>
  <c r="J5746" i="6"/>
  <c r="B5747" i="6"/>
  <c r="J5747" i="6"/>
  <c r="B5748" i="6"/>
  <c r="J5748" i="6"/>
  <c r="B5749" i="6"/>
  <c r="J5749" i="6"/>
  <c r="B5750" i="6"/>
  <c r="J5750" i="6"/>
  <c r="B5751" i="6"/>
  <c r="J5751" i="6"/>
  <c r="B5752" i="6"/>
  <c r="J5752" i="6"/>
  <c r="B5753" i="6"/>
  <c r="J5753" i="6"/>
  <c r="B5754" i="6"/>
  <c r="J5754" i="6"/>
  <c r="B5755" i="6"/>
  <c r="J5755" i="6"/>
  <c r="B5756" i="6"/>
  <c r="J5756" i="6"/>
  <c r="B5757" i="6"/>
  <c r="J5757" i="6"/>
  <c r="B5758" i="6"/>
  <c r="J5758" i="6"/>
  <c r="B5759" i="6"/>
  <c r="J5759" i="6"/>
  <c r="B5760" i="6"/>
  <c r="J5760" i="6"/>
  <c r="B5761" i="6"/>
  <c r="J5761" i="6"/>
  <c r="B5762" i="6"/>
  <c r="J5762" i="6"/>
  <c r="B5763" i="6"/>
  <c r="J5763" i="6"/>
  <c r="B5764" i="6"/>
  <c r="J5764" i="6"/>
  <c r="B5765" i="6"/>
  <c r="J5765" i="6"/>
  <c r="B5766" i="6"/>
  <c r="J5766" i="6"/>
  <c r="B5767" i="6"/>
  <c r="J5767" i="6"/>
  <c r="B5768" i="6"/>
  <c r="J5768" i="6"/>
  <c r="B5769" i="6"/>
  <c r="J5769" i="6"/>
  <c r="B5770" i="6"/>
  <c r="J5770" i="6"/>
  <c r="B5771" i="6"/>
  <c r="J5771" i="6"/>
  <c r="B5772" i="6"/>
  <c r="J5772" i="6"/>
  <c r="B5773" i="6"/>
  <c r="J5773" i="6"/>
  <c r="B5774" i="6"/>
  <c r="J5774" i="6"/>
  <c r="B5775" i="6"/>
  <c r="J5775" i="6"/>
  <c r="B5776" i="6"/>
  <c r="J5776" i="6"/>
  <c r="B5777" i="6"/>
  <c r="J5777" i="6"/>
  <c r="B5778" i="6"/>
  <c r="J5778" i="6"/>
  <c r="B5779" i="6"/>
  <c r="J5779" i="6"/>
  <c r="B5780" i="6"/>
  <c r="J5780" i="6"/>
  <c r="B5781" i="6"/>
  <c r="J5781" i="6"/>
  <c r="B5782" i="6"/>
  <c r="J5782" i="6"/>
  <c r="B5783" i="6"/>
  <c r="J5783" i="6"/>
  <c r="B5784" i="6"/>
  <c r="J5784" i="6"/>
  <c r="B5785" i="6"/>
  <c r="J5785" i="6"/>
  <c r="B5786" i="6"/>
  <c r="J5786" i="6"/>
  <c r="B5787" i="6"/>
  <c r="J5787" i="6"/>
  <c r="B5788" i="6"/>
  <c r="J5788" i="6"/>
  <c r="B5789" i="6"/>
  <c r="J5789" i="6"/>
  <c r="B5790" i="6"/>
  <c r="J5790" i="6"/>
  <c r="B5791" i="6"/>
  <c r="J5791" i="6"/>
  <c r="B5792" i="6"/>
  <c r="J5792" i="6"/>
  <c r="B5793" i="6"/>
  <c r="J5793" i="6"/>
  <c r="B5794" i="6"/>
  <c r="J5794" i="6"/>
  <c r="B5795" i="6"/>
  <c r="J5795" i="6"/>
  <c r="B5796" i="6"/>
  <c r="J5796" i="6"/>
  <c r="B5797" i="6"/>
  <c r="J5797" i="6"/>
  <c r="B5798" i="6"/>
  <c r="J5798" i="6"/>
  <c r="B5799" i="6"/>
  <c r="J5799" i="6"/>
  <c r="B5800" i="6"/>
  <c r="J5800" i="6"/>
  <c r="B5801" i="6"/>
  <c r="J5801" i="6"/>
  <c r="B5802" i="6"/>
  <c r="J5802" i="6"/>
  <c r="B5803" i="6"/>
  <c r="J5803" i="6"/>
  <c r="B5804" i="6"/>
  <c r="J5804" i="6"/>
  <c r="B5805" i="6"/>
  <c r="J5805" i="6"/>
  <c r="B5806" i="6"/>
  <c r="J5806" i="6"/>
  <c r="B5807" i="6"/>
  <c r="J5807" i="6"/>
  <c r="B5808" i="6"/>
  <c r="J5808" i="6"/>
  <c r="B5809" i="6"/>
  <c r="J5809" i="6"/>
  <c r="B5810" i="6"/>
  <c r="J5810" i="6"/>
  <c r="B5811" i="6"/>
  <c r="J5811" i="6"/>
  <c r="B5812" i="6"/>
  <c r="J5812" i="6"/>
  <c r="B5813" i="6"/>
  <c r="J5813" i="6"/>
  <c r="B5814" i="6"/>
  <c r="J5814" i="6"/>
  <c r="B5815" i="6"/>
  <c r="J5815" i="6"/>
  <c r="B5816" i="6"/>
  <c r="J5816" i="6"/>
  <c r="B5817" i="6"/>
  <c r="J5817" i="6"/>
  <c r="B5818" i="6"/>
  <c r="J5818" i="6"/>
  <c r="B5819" i="6"/>
  <c r="J5819" i="6"/>
  <c r="B5820" i="6"/>
  <c r="J5820" i="6"/>
  <c r="B5821" i="6"/>
  <c r="J5821" i="6"/>
  <c r="B5822" i="6"/>
  <c r="J5822" i="6"/>
  <c r="B5823" i="6"/>
  <c r="J5823" i="6"/>
  <c r="B5824" i="6"/>
  <c r="J5824" i="6"/>
  <c r="B5825" i="6"/>
  <c r="J5825" i="6"/>
  <c r="B5826" i="6"/>
  <c r="J5826" i="6"/>
  <c r="B5827" i="6"/>
  <c r="J5827" i="6"/>
  <c r="B5828" i="6"/>
  <c r="J5828" i="6"/>
  <c r="B5829" i="6"/>
  <c r="J5829" i="6"/>
  <c r="B5830" i="6"/>
  <c r="J5830" i="6"/>
  <c r="B5831" i="6"/>
  <c r="J5831" i="6"/>
  <c r="B5832" i="6"/>
  <c r="J5832" i="6"/>
  <c r="B5833" i="6"/>
  <c r="J5833" i="6"/>
  <c r="B5834" i="6"/>
  <c r="J5834" i="6"/>
  <c r="B5835" i="6"/>
  <c r="J5835" i="6"/>
  <c r="B5836" i="6"/>
  <c r="J5836" i="6"/>
  <c r="B5837" i="6"/>
  <c r="J5837" i="6"/>
  <c r="B5838" i="6"/>
  <c r="J5838" i="6"/>
  <c r="B5839" i="6"/>
  <c r="J5839" i="6"/>
  <c r="B5840" i="6"/>
  <c r="J5840" i="6"/>
  <c r="B5841" i="6"/>
  <c r="J5841" i="6"/>
  <c r="B5842" i="6"/>
  <c r="J5842" i="6"/>
  <c r="B5843" i="6"/>
  <c r="J5843" i="6"/>
  <c r="B5844" i="6"/>
  <c r="J5844" i="6"/>
  <c r="B5845" i="6"/>
  <c r="J5845" i="6"/>
  <c r="B5846" i="6"/>
  <c r="J5846" i="6"/>
  <c r="B5847" i="6"/>
  <c r="J5847" i="6"/>
  <c r="B5848" i="6"/>
  <c r="J5848" i="6"/>
  <c r="B5849" i="6"/>
  <c r="J5849" i="6"/>
  <c r="B5850" i="6"/>
  <c r="J5850" i="6"/>
  <c r="B5851" i="6"/>
  <c r="J5851" i="6"/>
  <c r="B5852" i="6"/>
  <c r="J5852" i="6"/>
  <c r="B5853" i="6"/>
  <c r="J5853" i="6"/>
  <c r="B5854" i="6"/>
  <c r="J5854" i="6"/>
  <c r="B5855" i="6"/>
  <c r="J5855" i="6"/>
  <c r="B5856" i="6"/>
  <c r="J5856" i="6"/>
  <c r="B5857" i="6"/>
  <c r="J5857" i="6"/>
  <c r="B5858" i="6"/>
  <c r="J5858" i="6"/>
  <c r="B5859" i="6"/>
  <c r="J5859" i="6"/>
  <c r="B5860" i="6"/>
  <c r="J5860" i="6"/>
  <c r="B5861" i="6"/>
  <c r="J5861" i="6"/>
  <c r="B5862" i="6"/>
  <c r="J5862" i="6"/>
  <c r="B5863" i="6"/>
  <c r="J5863" i="6"/>
  <c r="B5864" i="6"/>
  <c r="J5864" i="6"/>
  <c r="B5865" i="6"/>
  <c r="J5865" i="6"/>
  <c r="B5866" i="6"/>
  <c r="J5866" i="6"/>
  <c r="B5867" i="6"/>
  <c r="J5867" i="6"/>
  <c r="B5868" i="6"/>
  <c r="J5868" i="6"/>
  <c r="B5869" i="6"/>
  <c r="J5869" i="6"/>
  <c r="B5870" i="6"/>
  <c r="J5870" i="6"/>
  <c r="B5871" i="6"/>
  <c r="J5871" i="6"/>
  <c r="B5872" i="6"/>
  <c r="J5872" i="6"/>
  <c r="B5873" i="6"/>
  <c r="J5873" i="6"/>
  <c r="B5874" i="6"/>
  <c r="J5874" i="6"/>
  <c r="B5875" i="6"/>
  <c r="J5875" i="6"/>
  <c r="B5876" i="6"/>
  <c r="J5876" i="6"/>
  <c r="B5877" i="6"/>
  <c r="J5877" i="6"/>
  <c r="B5878" i="6"/>
  <c r="J5878" i="6"/>
  <c r="B5879" i="6"/>
  <c r="J5879" i="6"/>
  <c r="B5880" i="6"/>
  <c r="J5880" i="6"/>
  <c r="B5881" i="6"/>
  <c r="J5881" i="6"/>
  <c r="B5882" i="6"/>
  <c r="J5882" i="6"/>
  <c r="B5883" i="6"/>
  <c r="J5883" i="6"/>
  <c r="B5884" i="6"/>
  <c r="J5884" i="6"/>
  <c r="B5885" i="6"/>
  <c r="J5885" i="6"/>
  <c r="B5886" i="6"/>
  <c r="J5886" i="6"/>
  <c r="B5887" i="6"/>
  <c r="J5887" i="6"/>
  <c r="B5888" i="6"/>
  <c r="J5888" i="6"/>
  <c r="B5889" i="6"/>
  <c r="J5889" i="6"/>
  <c r="B5890" i="6"/>
  <c r="J5890" i="6"/>
  <c r="B5891" i="6"/>
  <c r="J5891" i="6"/>
  <c r="B5892" i="6"/>
  <c r="J5892" i="6"/>
  <c r="B5893" i="6"/>
  <c r="J5893" i="6"/>
  <c r="B5894" i="6"/>
  <c r="J5894" i="6"/>
  <c r="B5895" i="6"/>
  <c r="J5895" i="6"/>
  <c r="B5896" i="6"/>
  <c r="J5896" i="6"/>
  <c r="B5897" i="6"/>
  <c r="J5897" i="6"/>
  <c r="B5898" i="6"/>
  <c r="J5898" i="6"/>
  <c r="B5899" i="6"/>
  <c r="J5899" i="6"/>
  <c r="B5900" i="6"/>
  <c r="J5900" i="6"/>
  <c r="B5901" i="6"/>
  <c r="J5901" i="6"/>
  <c r="B5902" i="6"/>
  <c r="J5902" i="6"/>
  <c r="B5903" i="6"/>
  <c r="J5903" i="6"/>
  <c r="B5904" i="6"/>
  <c r="J5904" i="6"/>
  <c r="B5905" i="6"/>
  <c r="J5905" i="6"/>
  <c r="B5906" i="6"/>
  <c r="J5906" i="6"/>
  <c r="B5907" i="6"/>
  <c r="J5907" i="6"/>
  <c r="B5908" i="6"/>
  <c r="J5908" i="6"/>
  <c r="B5909" i="6"/>
  <c r="J5909" i="6"/>
  <c r="B5910" i="6"/>
  <c r="J5910" i="6"/>
  <c r="B5911" i="6"/>
  <c r="J5911" i="6"/>
  <c r="B5912" i="6"/>
  <c r="J5912" i="6"/>
  <c r="B5913" i="6"/>
  <c r="J5913" i="6"/>
  <c r="B5914" i="6"/>
  <c r="J5914" i="6"/>
  <c r="B5915" i="6"/>
  <c r="J5915" i="6"/>
  <c r="B5916" i="6"/>
  <c r="J5916" i="6"/>
  <c r="B5917" i="6"/>
  <c r="J5917" i="6"/>
  <c r="B5918" i="6"/>
  <c r="J5918" i="6"/>
  <c r="B5919" i="6"/>
  <c r="J5919" i="6"/>
  <c r="B5920" i="6"/>
  <c r="J5920" i="6"/>
  <c r="B5921" i="6"/>
  <c r="J5921" i="6"/>
  <c r="B5922" i="6"/>
  <c r="J5922" i="6"/>
  <c r="B5923" i="6"/>
  <c r="J5923" i="6"/>
  <c r="B5924" i="6"/>
  <c r="J5924" i="6"/>
  <c r="B5925" i="6"/>
  <c r="J5925" i="6"/>
  <c r="B5926" i="6"/>
  <c r="J5926" i="6"/>
  <c r="B5927" i="6"/>
  <c r="J5927" i="6"/>
  <c r="B5928" i="6"/>
  <c r="J5928" i="6"/>
  <c r="B5929" i="6"/>
  <c r="J5929" i="6"/>
  <c r="B5930" i="6"/>
  <c r="J5930" i="6"/>
  <c r="B5931" i="6"/>
  <c r="J5931" i="6"/>
  <c r="B5932" i="6"/>
  <c r="J5932" i="6"/>
  <c r="B5933" i="6"/>
  <c r="J5933" i="6"/>
  <c r="B5934" i="6"/>
  <c r="J5934" i="6"/>
  <c r="B5935" i="6"/>
  <c r="J5935" i="6"/>
  <c r="B5936" i="6"/>
  <c r="J5936" i="6"/>
  <c r="B5937" i="6"/>
  <c r="J5937" i="6"/>
  <c r="B5938" i="6"/>
  <c r="J5938" i="6"/>
  <c r="B5939" i="6"/>
  <c r="J5939" i="6"/>
  <c r="B5940" i="6"/>
  <c r="J5940" i="6"/>
  <c r="B5941" i="6"/>
  <c r="J5941" i="6"/>
  <c r="B5942" i="6"/>
  <c r="J5942" i="6"/>
  <c r="B5943" i="6"/>
  <c r="J5943" i="6"/>
  <c r="B5944" i="6"/>
  <c r="J5944" i="6"/>
  <c r="B5945" i="6"/>
  <c r="J5945" i="6"/>
  <c r="B5946" i="6"/>
  <c r="J5946" i="6"/>
  <c r="B5947" i="6"/>
  <c r="J5947" i="6"/>
  <c r="B5948" i="6"/>
  <c r="J5948" i="6"/>
  <c r="B5949" i="6"/>
  <c r="J5949" i="6"/>
  <c r="B5950" i="6"/>
  <c r="J5950" i="6"/>
  <c r="B5951" i="6"/>
  <c r="J5951" i="6"/>
  <c r="B5952" i="6"/>
  <c r="J5952" i="6"/>
  <c r="B5953" i="6"/>
  <c r="J5953" i="6"/>
  <c r="B5954" i="6"/>
  <c r="J5954" i="6"/>
  <c r="B5955" i="6"/>
  <c r="J5955" i="6"/>
  <c r="B5956" i="6"/>
  <c r="J5956" i="6"/>
  <c r="B5957" i="6"/>
  <c r="J5957" i="6"/>
  <c r="B5958" i="6"/>
  <c r="J5958" i="6"/>
  <c r="B5959" i="6"/>
  <c r="J5959" i="6"/>
  <c r="B5960" i="6"/>
  <c r="J5960" i="6"/>
  <c r="B5961" i="6"/>
  <c r="J5961" i="6"/>
  <c r="B5962" i="6"/>
  <c r="J5962" i="6"/>
  <c r="B5963" i="6"/>
  <c r="J5963" i="6"/>
  <c r="B5964" i="6"/>
  <c r="J5964" i="6"/>
  <c r="B5965" i="6"/>
  <c r="J5965" i="6"/>
  <c r="B5966" i="6"/>
  <c r="J5966" i="6"/>
  <c r="B5967" i="6"/>
  <c r="J5967" i="6"/>
  <c r="B5968" i="6"/>
  <c r="J5968" i="6"/>
  <c r="B5969" i="6"/>
  <c r="J5969" i="6"/>
  <c r="B5970" i="6"/>
  <c r="J5970" i="6"/>
  <c r="B5971" i="6"/>
  <c r="J5971" i="6"/>
  <c r="B5972" i="6"/>
  <c r="J5972" i="6"/>
  <c r="B5973" i="6"/>
  <c r="J5973" i="6"/>
  <c r="B5974" i="6"/>
  <c r="J5974" i="6"/>
  <c r="B5975" i="6"/>
  <c r="J5975" i="6"/>
  <c r="B5976" i="6"/>
  <c r="J5976" i="6"/>
  <c r="B5977" i="6"/>
  <c r="J5977" i="6"/>
  <c r="B5978" i="6"/>
  <c r="J5978" i="6"/>
  <c r="B5979" i="6"/>
  <c r="J5979" i="6"/>
  <c r="B5980" i="6"/>
  <c r="J5980" i="6"/>
  <c r="B5981" i="6"/>
  <c r="J5981" i="6"/>
  <c r="B5982" i="6"/>
  <c r="J5982" i="6"/>
  <c r="B5983" i="6"/>
  <c r="J5983" i="6"/>
  <c r="B5984" i="6"/>
  <c r="J5984" i="6"/>
  <c r="B5985" i="6"/>
  <c r="J5985" i="6"/>
  <c r="B5986" i="6"/>
  <c r="J5986" i="6"/>
  <c r="B5987" i="6"/>
  <c r="J5987" i="6"/>
  <c r="B5988" i="6"/>
  <c r="J5988" i="6"/>
  <c r="B5989" i="6"/>
  <c r="J5989" i="6"/>
  <c r="B5990" i="6"/>
  <c r="J5990" i="6"/>
  <c r="B5991" i="6"/>
  <c r="J5991" i="6"/>
  <c r="B5992" i="6"/>
  <c r="J5992" i="6"/>
  <c r="B5993" i="6"/>
  <c r="J5993" i="6"/>
  <c r="B5994" i="6"/>
  <c r="J5994" i="6"/>
  <c r="B5995" i="6"/>
  <c r="J5995" i="6"/>
  <c r="B5996" i="6"/>
  <c r="J5996" i="6"/>
  <c r="B5997" i="6"/>
  <c r="J5997" i="6"/>
  <c r="B5998" i="6"/>
  <c r="J5998" i="6"/>
  <c r="B5999" i="6"/>
  <c r="J5999" i="6"/>
  <c r="B6000" i="6"/>
  <c r="J6000" i="6"/>
  <c r="B6001" i="6"/>
  <c r="J6001" i="6"/>
  <c r="B6002" i="6"/>
  <c r="J6002" i="6"/>
  <c r="B6003" i="6"/>
  <c r="J6003" i="6"/>
  <c r="B6004" i="6"/>
  <c r="J6004" i="6"/>
  <c r="B6005" i="6"/>
  <c r="J6005" i="6"/>
  <c r="B6006" i="6"/>
  <c r="J6006" i="6"/>
  <c r="B6007" i="6"/>
  <c r="J6007" i="6"/>
  <c r="B6008" i="6"/>
  <c r="J6008" i="6"/>
  <c r="B6009" i="6"/>
  <c r="J6009" i="6"/>
  <c r="B6010" i="6"/>
  <c r="J6010" i="6"/>
  <c r="B6011" i="6"/>
  <c r="J6011" i="6"/>
  <c r="B6012" i="6"/>
  <c r="J6012" i="6"/>
  <c r="B6013" i="6"/>
  <c r="J6013" i="6"/>
  <c r="B6014" i="6"/>
  <c r="J6014" i="6"/>
  <c r="B6015" i="6"/>
  <c r="J6015" i="6"/>
  <c r="B6016" i="6"/>
  <c r="J6016" i="6"/>
  <c r="B6017" i="6"/>
  <c r="J6017" i="6"/>
  <c r="B6018" i="6"/>
  <c r="J6018" i="6"/>
  <c r="B6019" i="6"/>
  <c r="J6019" i="6"/>
  <c r="B6020" i="6"/>
  <c r="J6020" i="6"/>
  <c r="B6021" i="6"/>
  <c r="J6021" i="6"/>
  <c r="B6022" i="6"/>
  <c r="J6022" i="6"/>
  <c r="B6023" i="6"/>
  <c r="J6023" i="6"/>
  <c r="B6024" i="6"/>
  <c r="J6024" i="6"/>
  <c r="B6025" i="6"/>
  <c r="J6025" i="6"/>
  <c r="B6026" i="6"/>
  <c r="J6026" i="6"/>
  <c r="B6027" i="6"/>
  <c r="J6027" i="6"/>
  <c r="B6028" i="6"/>
  <c r="J6028" i="6"/>
  <c r="B6029" i="6"/>
  <c r="J6029" i="6"/>
  <c r="B6030" i="6"/>
  <c r="J6030" i="6"/>
  <c r="B6031" i="6"/>
  <c r="J6031" i="6"/>
  <c r="B6032" i="6"/>
  <c r="J6032" i="6"/>
  <c r="B6033" i="6"/>
  <c r="J6033" i="6"/>
  <c r="B6034" i="6"/>
  <c r="J6034" i="6"/>
  <c r="B6035" i="6"/>
  <c r="J6035" i="6"/>
  <c r="B6036" i="6"/>
  <c r="J6036" i="6"/>
  <c r="B6037" i="6"/>
  <c r="J6037" i="6"/>
  <c r="B6038" i="6"/>
  <c r="J6038" i="6"/>
  <c r="B6039" i="6"/>
  <c r="J6039" i="6"/>
  <c r="B6040" i="6"/>
  <c r="J6040" i="6"/>
  <c r="B6041" i="6"/>
  <c r="J6041" i="6"/>
  <c r="B6042" i="6"/>
  <c r="J6042" i="6"/>
  <c r="B6043" i="6"/>
  <c r="J6043" i="6"/>
  <c r="B6044" i="6"/>
  <c r="J6044" i="6"/>
  <c r="B6045" i="6"/>
  <c r="J6045" i="6"/>
  <c r="B6046" i="6"/>
  <c r="J6046" i="6"/>
  <c r="B6047" i="6"/>
  <c r="J6047" i="6"/>
  <c r="B6048" i="6"/>
  <c r="J6048" i="6"/>
  <c r="B6049" i="6"/>
  <c r="J6049" i="6"/>
  <c r="B6050" i="6"/>
  <c r="J6050" i="6"/>
  <c r="B6051" i="6"/>
  <c r="J6051" i="6"/>
  <c r="B6052" i="6"/>
  <c r="J6052" i="6"/>
  <c r="B6053" i="6"/>
  <c r="J6053" i="6"/>
  <c r="B6054" i="6"/>
  <c r="J6054" i="6"/>
  <c r="B6055" i="6"/>
  <c r="J6055" i="6"/>
  <c r="B6056" i="6"/>
  <c r="J6056" i="6"/>
  <c r="B6057" i="6"/>
  <c r="J6057" i="6"/>
  <c r="B6058" i="6"/>
  <c r="J6058" i="6"/>
  <c r="B6059" i="6"/>
  <c r="J6059" i="6"/>
  <c r="B6060" i="6"/>
  <c r="J6060" i="6"/>
  <c r="B6061" i="6"/>
  <c r="J6061" i="6"/>
  <c r="B6062" i="6"/>
  <c r="J6062" i="6"/>
  <c r="B6063" i="6"/>
  <c r="J6063" i="6"/>
  <c r="B6064" i="6"/>
  <c r="J6064" i="6"/>
  <c r="B6065" i="6"/>
  <c r="J6065" i="6"/>
  <c r="B6066" i="6"/>
  <c r="J6066" i="6"/>
  <c r="B6067" i="6"/>
  <c r="J6067" i="6"/>
  <c r="B6068" i="6"/>
  <c r="J6068" i="6"/>
  <c r="B6069" i="6"/>
  <c r="J6069" i="6"/>
  <c r="B6070" i="6"/>
  <c r="J6070" i="6"/>
  <c r="B6071" i="6"/>
  <c r="J6071" i="6"/>
  <c r="B6072" i="6"/>
  <c r="J6072" i="6"/>
  <c r="B6073" i="6"/>
  <c r="J6073" i="6"/>
  <c r="B6074" i="6"/>
  <c r="J6074" i="6"/>
  <c r="B6075" i="6"/>
  <c r="J6075" i="6"/>
  <c r="B6076" i="6"/>
  <c r="J6076" i="6"/>
  <c r="B6077" i="6"/>
  <c r="J6077" i="6"/>
  <c r="B6078" i="6"/>
  <c r="J6078" i="6"/>
  <c r="B6079" i="6"/>
  <c r="J6079" i="6"/>
  <c r="B6080" i="6"/>
  <c r="J6080" i="6"/>
  <c r="B6081" i="6"/>
  <c r="J6081" i="6"/>
  <c r="B6082" i="6"/>
  <c r="J6082" i="6"/>
  <c r="B6083" i="6"/>
  <c r="J6083" i="6"/>
  <c r="B6084" i="6"/>
  <c r="J6084" i="6"/>
  <c r="B6085" i="6"/>
  <c r="J6085" i="6"/>
  <c r="B6086" i="6"/>
  <c r="J6086" i="6"/>
  <c r="B6087" i="6"/>
  <c r="J6087" i="6"/>
  <c r="B6088" i="6"/>
  <c r="J6088" i="6"/>
  <c r="B6089" i="6"/>
  <c r="J6089" i="6"/>
  <c r="B6090" i="6"/>
  <c r="J6090" i="6"/>
  <c r="B6091" i="6"/>
  <c r="J6091" i="6"/>
  <c r="B6092" i="6"/>
  <c r="J6092" i="6"/>
  <c r="B6093" i="6"/>
  <c r="J6093" i="6"/>
  <c r="B6094" i="6"/>
  <c r="J6094" i="6"/>
  <c r="B6095" i="6"/>
  <c r="J6095" i="6"/>
  <c r="B6096" i="6"/>
  <c r="J6096" i="6"/>
  <c r="B6097" i="6"/>
  <c r="J6097" i="6"/>
  <c r="B6098" i="6"/>
  <c r="J6098" i="6"/>
  <c r="B6099" i="6"/>
  <c r="J6099" i="6"/>
  <c r="B6100" i="6"/>
  <c r="J6100" i="6"/>
  <c r="B6101" i="6"/>
  <c r="J6101" i="6"/>
  <c r="B6102" i="6"/>
  <c r="J6102" i="6"/>
  <c r="B6103" i="6"/>
  <c r="J6103" i="6"/>
  <c r="B6104" i="6"/>
  <c r="J6104" i="6"/>
  <c r="B6105" i="6"/>
  <c r="J6105" i="6"/>
  <c r="B6106" i="6"/>
  <c r="J6106" i="6"/>
  <c r="B6107" i="6"/>
  <c r="J6107" i="6"/>
  <c r="B6108" i="6"/>
  <c r="J6108" i="6"/>
  <c r="B6109" i="6"/>
  <c r="J6109" i="6"/>
  <c r="B6110" i="6"/>
  <c r="J6110" i="6"/>
  <c r="B6111" i="6"/>
  <c r="J6111" i="6"/>
  <c r="B6112" i="6"/>
  <c r="J6112" i="6"/>
  <c r="B6113" i="6"/>
  <c r="J6113" i="6"/>
  <c r="B6114" i="6"/>
  <c r="J6114" i="6"/>
  <c r="B6115" i="6"/>
  <c r="J6115" i="6"/>
  <c r="B6116" i="6"/>
  <c r="J6116" i="6"/>
  <c r="B6117" i="6"/>
  <c r="J6117" i="6"/>
  <c r="B6118" i="6"/>
  <c r="J6118" i="6"/>
  <c r="B6119" i="6"/>
  <c r="J6119" i="6"/>
  <c r="B6120" i="6"/>
  <c r="J6120" i="6"/>
  <c r="B6121" i="6"/>
  <c r="J6121" i="6"/>
  <c r="B6122" i="6"/>
  <c r="J6122" i="6"/>
  <c r="B6123" i="6"/>
  <c r="J6123" i="6"/>
  <c r="B6124" i="6"/>
  <c r="J6124" i="6"/>
  <c r="B6125" i="6"/>
  <c r="J6125" i="6"/>
  <c r="B6126" i="6"/>
  <c r="J6126" i="6"/>
  <c r="B6127" i="6"/>
  <c r="J6127" i="6"/>
  <c r="B6128" i="6"/>
  <c r="J6128" i="6"/>
  <c r="B6129" i="6"/>
  <c r="J6129" i="6"/>
  <c r="B6130" i="6"/>
  <c r="J6130" i="6"/>
  <c r="B6131" i="6"/>
  <c r="J6131" i="6"/>
  <c r="B6132" i="6"/>
  <c r="J6132" i="6"/>
  <c r="B6133" i="6"/>
  <c r="J6133" i="6"/>
  <c r="B6134" i="6"/>
  <c r="J6134" i="6"/>
  <c r="B6135" i="6"/>
  <c r="J6135" i="6"/>
  <c r="B6136" i="6"/>
  <c r="J6136" i="6"/>
  <c r="B6137" i="6"/>
  <c r="J6137" i="6"/>
  <c r="B6138" i="6"/>
  <c r="J6138" i="6"/>
  <c r="B6139" i="6"/>
  <c r="J6139" i="6"/>
  <c r="B6140" i="6"/>
  <c r="J6140" i="6"/>
  <c r="B6141" i="6"/>
  <c r="J6141" i="6"/>
  <c r="B6142" i="6"/>
  <c r="J6142" i="6"/>
  <c r="B6143" i="6"/>
  <c r="J6143" i="6"/>
  <c r="B6144" i="6"/>
  <c r="J6144" i="6"/>
  <c r="B6145" i="6"/>
  <c r="J6145" i="6"/>
  <c r="B6146" i="6"/>
  <c r="J6146" i="6"/>
  <c r="B6147" i="6"/>
  <c r="J6147" i="6"/>
  <c r="B6148" i="6"/>
  <c r="J6148" i="6"/>
  <c r="B6149" i="6"/>
  <c r="J6149" i="6"/>
  <c r="B6150" i="6"/>
  <c r="J6150" i="6"/>
  <c r="B6151" i="6"/>
  <c r="J6151" i="6"/>
  <c r="B6152" i="6"/>
  <c r="J6152" i="6"/>
  <c r="B6153" i="6"/>
  <c r="J6153" i="6"/>
  <c r="B6154" i="6"/>
  <c r="J6154" i="6"/>
  <c r="B6155" i="6"/>
  <c r="J6155" i="6"/>
  <c r="B6156" i="6"/>
  <c r="J6156" i="6"/>
  <c r="B6157" i="6"/>
  <c r="J6157" i="6"/>
  <c r="B6158" i="6"/>
  <c r="J6158" i="6"/>
  <c r="B6159" i="6"/>
  <c r="J6159" i="6"/>
  <c r="B6160" i="6"/>
  <c r="J6160" i="6"/>
  <c r="B6161" i="6"/>
  <c r="J6161" i="6"/>
  <c r="B6162" i="6"/>
  <c r="J6162" i="6"/>
  <c r="B6163" i="6"/>
  <c r="J6163" i="6"/>
  <c r="B6164" i="6"/>
  <c r="J6164" i="6"/>
  <c r="B6165" i="6"/>
  <c r="J6165" i="6"/>
  <c r="B6166" i="6"/>
  <c r="J6166" i="6"/>
  <c r="B6167" i="6"/>
  <c r="J6167" i="6"/>
  <c r="B6168" i="6"/>
  <c r="J6168" i="6"/>
  <c r="B6169" i="6"/>
  <c r="J6169" i="6"/>
  <c r="B6170" i="6"/>
  <c r="J6170" i="6"/>
  <c r="B6171" i="6"/>
  <c r="J6171" i="6"/>
  <c r="B6172" i="6"/>
  <c r="J6172" i="6"/>
  <c r="B6173" i="6"/>
  <c r="J6173" i="6"/>
  <c r="B6174" i="6"/>
  <c r="J6174" i="6"/>
  <c r="B6175" i="6"/>
  <c r="J6175" i="6"/>
  <c r="B6176" i="6"/>
  <c r="J6176" i="6"/>
  <c r="B6177" i="6"/>
  <c r="J6177" i="6"/>
  <c r="B6178" i="6"/>
  <c r="J6178" i="6"/>
  <c r="B6179" i="6"/>
  <c r="J6179" i="6"/>
  <c r="B6180" i="6"/>
  <c r="J6180" i="6"/>
  <c r="B6181" i="6"/>
  <c r="J6181" i="6"/>
  <c r="B6182" i="6"/>
  <c r="J6182" i="6"/>
  <c r="B6183" i="6"/>
  <c r="J6183" i="6"/>
  <c r="B6184" i="6"/>
  <c r="J6184" i="6"/>
  <c r="B6185" i="6"/>
  <c r="J6185" i="6"/>
  <c r="B6186" i="6"/>
  <c r="J6186" i="6"/>
  <c r="B6187" i="6"/>
  <c r="J6187" i="6"/>
  <c r="B6188" i="6"/>
  <c r="J6188" i="6"/>
  <c r="B6189" i="6"/>
  <c r="J6189" i="6"/>
  <c r="B6190" i="6"/>
  <c r="J6190" i="6"/>
  <c r="B6191" i="6"/>
  <c r="J6191" i="6"/>
  <c r="B6192" i="6"/>
  <c r="J6192" i="6"/>
  <c r="B6193" i="6"/>
  <c r="J6193" i="6"/>
  <c r="B6194" i="6"/>
  <c r="J6194" i="6"/>
  <c r="B6195" i="6"/>
  <c r="J6195" i="6"/>
  <c r="B6196" i="6"/>
  <c r="J6196" i="6"/>
  <c r="B6197" i="6"/>
  <c r="J6197" i="6"/>
  <c r="B6198" i="6"/>
  <c r="J6198" i="6"/>
  <c r="B6199" i="6"/>
  <c r="J6199" i="6"/>
  <c r="B6200" i="6"/>
  <c r="J6200" i="6"/>
  <c r="B6201" i="6"/>
  <c r="J6201" i="6"/>
  <c r="B6202" i="6"/>
  <c r="J6202" i="6"/>
  <c r="B6203" i="6"/>
  <c r="J6203" i="6"/>
  <c r="B6204" i="6"/>
  <c r="J6204" i="6"/>
  <c r="B6205" i="6"/>
  <c r="J6205" i="6"/>
  <c r="B6206" i="6"/>
  <c r="J6206" i="6"/>
  <c r="B6207" i="6"/>
  <c r="J6207" i="6"/>
  <c r="B6208" i="6"/>
  <c r="J6208" i="6"/>
  <c r="B6209" i="6"/>
  <c r="J6209" i="6"/>
  <c r="B6210" i="6"/>
  <c r="J6210" i="6"/>
  <c r="B6211" i="6"/>
  <c r="J6211" i="6"/>
  <c r="B6212" i="6"/>
  <c r="J6212" i="6"/>
  <c r="B6213" i="6"/>
  <c r="J6213" i="6"/>
  <c r="B6214" i="6"/>
  <c r="J6214" i="6"/>
  <c r="B6215" i="6"/>
  <c r="J6215" i="6"/>
  <c r="B6216" i="6"/>
  <c r="J6216" i="6"/>
  <c r="B6217" i="6"/>
  <c r="J6217" i="6"/>
  <c r="B6218" i="6"/>
  <c r="J6218" i="6"/>
  <c r="B6219" i="6"/>
  <c r="J6219" i="6"/>
  <c r="B6220" i="6"/>
  <c r="J6220" i="6"/>
  <c r="B6221" i="6"/>
  <c r="J6221" i="6"/>
  <c r="B6222" i="6"/>
  <c r="J6222" i="6"/>
  <c r="B6223" i="6"/>
  <c r="J6223" i="6"/>
  <c r="B6224" i="6"/>
  <c r="J6224" i="6"/>
  <c r="B6225" i="6"/>
  <c r="J6225" i="6"/>
  <c r="B6226" i="6"/>
  <c r="J6226" i="6"/>
  <c r="B6227" i="6"/>
  <c r="J6227" i="6"/>
  <c r="B6228" i="6"/>
  <c r="J6228" i="6"/>
  <c r="B6229" i="6"/>
  <c r="J6229" i="6"/>
  <c r="B6230" i="6"/>
  <c r="J6230" i="6"/>
  <c r="B6231" i="6"/>
  <c r="J6231" i="6"/>
  <c r="B6232" i="6"/>
  <c r="J6232" i="6"/>
  <c r="B6233" i="6"/>
  <c r="J6233" i="6"/>
  <c r="B6234" i="6"/>
  <c r="J6234" i="6"/>
  <c r="B6235" i="6"/>
  <c r="J6235" i="6"/>
  <c r="B6236" i="6"/>
  <c r="J6236" i="6"/>
  <c r="B6237" i="6"/>
  <c r="J6237" i="6"/>
  <c r="B6238" i="6"/>
  <c r="J6238" i="6"/>
  <c r="B6239" i="6"/>
  <c r="J6239" i="6"/>
  <c r="B6240" i="6"/>
  <c r="J6240" i="6"/>
  <c r="B6241" i="6"/>
  <c r="J6241" i="6"/>
  <c r="B6242" i="6"/>
  <c r="J6242" i="6"/>
  <c r="B6243" i="6"/>
  <c r="J6243" i="6"/>
  <c r="B6244" i="6"/>
  <c r="J6244" i="6"/>
  <c r="B6245" i="6"/>
  <c r="J6245" i="6"/>
  <c r="B6246" i="6"/>
  <c r="J6246" i="6"/>
  <c r="B6247" i="6"/>
  <c r="J6247" i="6"/>
  <c r="B6248" i="6"/>
  <c r="J6248" i="6"/>
  <c r="B6249" i="6"/>
  <c r="J6249" i="6"/>
  <c r="B6250" i="6"/>
  <c r="J6250" i="6"/>
  <c r="B6251" i="6"/>
  <c r="J6251" i="6"/>
  <c r="B6252" i="6"/>
  <c r="J6252" i="6"/>
  <c r="B6253" i="6"/>
  <c r="J6253" i="6"/>
  <c r="B6254" i="6"/>
  <c r="J6254" i="6"/>
  <c r="B6255" i="6"/>
  <c r="J6255" i="6"/>
  <c r="B6256" i="6"/>
  <c r="J6256" i="6"/>
  <c r="B6257" i="6"/>
  <c r="J6257" i="6"/>
  <c r="B6258" i="6"/>
  <c r="J6258" i="6"/>
  <c r="B6259" i="6"/>
  <c r="J6259" i="6"/>
  <c r="B6260" i="6"/>
  <c r="J6260" i="6"/>
  <c r="B6261" i="6"/>
  <c r="J6261" i="6"/>
  <c r="B6262" i="6"/>
  <c r="J6262" i="6"/>
  <c r="B6263" i="6"/>
  <c r="J6263" i="6"/>
  <c r="B6264" i="6"/>
  <c r="J6264" i="6"/>
  <c r="B6265" i="6"/>
  <c r="J6265" i="6"/>
  <c r="B6266" i="6"/>
  <c r="J6266" i="6"/>
  <c r="B6267" i="6"/>
  <c r="J6267" i="6"/>
  <c r="B6268" i="6"/>
  <c r="J6268" i="6"/>
  <c r="B6269" i="6"/>
  <c r="J6269" i="6"/>
  <c r="B6270" i="6"/>
  <c r="J6270" i="6"/>
  <c r="B6271" i="6"/>
  <c r="J6271" i="6"/>
  <c r="B6272" i="6"/>
  <c r="J6272" i="6"/>
  <c r="B6273" i="6"/>
  <c r="J6273" i="6"/>
  <c r="B6274" i="6"/>
  <c r="J6274" i="6"/>
  <c r="B6275" i="6"/>
  <c r="J6275" i="6"/>
  <c r="B6276" i="6"/>
  <c r="J6276" i="6"/>
  <c r="B6277" i="6"/>
  <c r="J6277" i="6"/>
  <c r="B6278" i="6"/>
  <c r="J6278" i="6"/>
  <c r="B6279" i="6"/>
  <c r="J6279" i="6"/>
  <c r="B6280" i="6"/>
  <c r="J6280" i="6"/>
  <c r="B6281" i="6"/>
  <c r="J6281" i="6"/>
  <c r="B6282" i="6"/>
  <c r="J6282" i="6"/>
  <c r="B6283" i="6"/>
  <c r="J6283" i="6"/>
  <c r="B6284" i="6"/>
  <c r="J6284" i="6"/>
  <c r="B6285" i="6"/>
  <c r="J6285" i="6"/>
  <c r="B6286" i="6"/>
  <c r="J6286" i="6"/>
  <c r="B6287" i="6"/>
  <c r="J6287" i="6"/>
  <c r="B6288" i="6"/>
  <c r="J6288" i="6"/>
  <c r="B6289" i="6"/>
  <c r="J6289" i="6"/>
  <c r="B6290" i="6"/>
  <c r="J6290" i="6"/>
  <c r="B6291" i="6"/>
  <c r="J6291" i="6"/>
  <c r="B6292" i="6"/>
  <c r="J6292" i="6"/>
  <c r="B6293" i="6"/>
  <c r="J6293" i="6"/>
  <c r="B6294" i="6"/>
  <c r="J6294" i="6"/>
  <c r="B6295" i="6"/>
  <c r="J6295" i="6"/>
  <c r="B6296" i="6"/>
  <c r="J6296" i="6"/>
  <c r="B6297" i="6"/>
  <c r="J6297" i="6"/>
  <c r="B6298" i="6"/>
  <c r="J6298" i="6"/>
  <c r="B6299" i="6"/>
  <c r="J6299" i="6"/>
  <c r="B6300" i="6"/>
  <c r="J6300" i="6"/>
  <c r="B6301" i="6"/>
  <c r="J6301" i="6"/>
  <c r="B6302" i="6"/>
  <c r="J6302" i="6"/>
  <c r="B6303" i="6"/>
  <c r="J6303" i="6"/>
  <c r="B6304" i="6"/>
  <c r="J6304" i="6"/>
  <c r="B6305" i="6"/>
  <c r="J6305" i="6"/>
  <c r="B6306" i="6"/>
  <c r="J6306" i="6"/>
  <c r="B6307" i="6"/>
  <c r="J6307" i="6"/>
  <c r="B6308" i="6"/>
  <c r="J6308" i="6"/>
  <c r="B6309" i="6"/>
  <c r="J6309" i="6"/>
  <c r="B6310" i="6"/>
  <c r="J6310" i="6"/>
  <c r="B6311" i="6"/>
  <c r="J6311" i="6"/>
  <c r="B6312" i="6"/>
  <c r="J6312" i="6"/>
  <c r="B6313" i="6"/>
  <c r="J6313" i="6"/>
  <c r="B6314" i="6"/>
  <c r="J6314" i="6"/>
  <c r="B6315" i="6"/>
  <c r="J6315" i="6"/>
  <c r="B6316" i="6"/>
  <c r="J6316" i="6"/>
  <c r="B6317" i="6"/>
  <c r="J6317" i="6"/>
  <c r="B6318" i="6"/>
  <c r="J6318" i="6"/>
  <c r="B6319" i="6"/>
  <c r="J6319" i="6"/>
  <c r="B6320" i="6"/>
  <c r="J6320" i="6"/>
  <c r="B6321" i="6"/>
  <c r="J6321" i="6"/>
  <c r="B6322" i="6"/>
  <c r="J6322" i="6"/>
  <c r="B6323" i="6"/>
  <c r="J6323" i="6"/>
  <c r="B6324" i="6"/>
  <c r="J6324" i="6"/>
  <c r="B6325" i="6"/>
  <c r="J6325" i="6"/>
  <c r="B6326" i="6"/>
  <c r="J6326" i="6"/>
  <c r="B6327" i="6"/>
  <c r="J6327" i="6"/>
  <c r="B6328" i="6"/>
  <c r="J6328" i="6"/>
  <c r="B6329" i="6"/>
  <c r="J6329" i="6"/>
  <c r="B6330" i="6"/>
  <c r="J6330" i="6"/>
  <c r="B6331" i="6"/>
  <c r="J6331" i="6"/>
  <c r="B6332" i="6"/>
  <c r="J6332" i="6"/>
  <c r="B6333" i="6"/>
  <c r="J6333" i="6"/>
  <c r="B6334" i="6"/>
  <c r="J6334" i="6"/>
  <c r="B6335" i="6"/>
  <c r="J6335" i="6"/>
  <c r="B6336" i="6"/>
  <c r="J6336" i="6"/>
  <c r="B6337" i="6"/>
  <c r="J6337" i="6"/>
  <c r="B6338" i="6"/>
  <c r="J6338" i="6"/>
  <c r="B6339" i="6"/>
  <c r="J6339" i="6"/>
  <c r="B6340" i="6"/>
  <c r="J6340" i="6"/>
  <c r="B6341" i="6"/>
  <c r="J6341" i="6"/>
  <c r="B6342" i="6"/>
  <c r="J6342" i="6"/>
  <c r="B6343" i="6"/>
  <c r="J6343" i="6"/>
  <c r="B6344" i="6"/>
  <c r="J6344" i="6"/>
  <c r="B6345" i="6"/>
  <c r="J6345" i="6"/>
  <c r="B6346" i="6"/>
  <c r="J6346" i="6"/>
  <c r="B6347" i="6"/>
  <c r="J6347" i="6"/>
  <c r="B6348" i="6"/>
  <c r="J6348" i="6"/>
  <c r="B6349" i="6"/>
  <c r="J6349" i="6"/>
  <c r="B6350" i="6"/>
  <c r="J6350" i="6"/>
  <c r="B6351" i="6"/>
  <c r="J6351" i="6"/>
  <c r="B6352" i="6"/>
  <c r="J6352" i="6"/>
  <c r="B6353" i="6"/>
  <c r="J6353" i="6"/>
  <c r="B6354" i="6"/>
  <c r="J6354" i="6"/>
  <c r="B6355" i="6"/>
  <c r="J6355" i="6"/>
  <c r="B6356" i="6"/>
  <c r="J6356" i="6"/>
  <c r="B6357" i="6"/>
  <c r="J6357" i="6"/>
  <c r="B6358" i="6"/>
  <c r="J6358" i="6"/>
  <c r="B6359" i="6"/>
  <c r="J6359" i="6"/>
  <c r="B6360" i="6"/>
  <c r="J6360" i="6"/>
  <c r="B6361" i="6"/>
  <c r="J6361" i="6"/>
  <c r="B6362" i="6"/>
  <c r="J6362" i="6"/>
  <c r="B6363" i="6"/>
  <c r="J6363" i="6"/>
  <c r="B6364" i="6"/>
  <c r="J6364" i="6"/>
  <c r="B6365" i="6"/>
  <c r="J6365" i="6"/>
  <c r="B6366" i="6"/>
  <c r="J6366" i="6"/>
  <c r="B6367" i="6"/>
  <c r="J6367" i="6"/>
  <c r="B6368" i="6"/>
  <c r="J6368" i="6"/>
  <c r="B6369" i="6"/>
  <c r="J6369" i="6"/>
  <c r="B6370" i="6"/>
  <c r="J6370" i="6"/>
  <c r="B6371" i="6"/>
  <c r="J6371" i="6"/>
  <c r="B6372" i="6"/>
  <c r="J6372" i="6"/>
  <c r="B6373" i="6"/>
  <c r="J6373" i="6"/>
  <c r="B6374" i="6"/>
  <c r="J6374" i="6"/>
  <c r="B6375" i="6"/>
  <c r="J6375" i="6"/>
  <c r="B6376" i="6"/>
  <c r="J6376" i="6"/>
  <c r="B6377" i="6"/>
  <c r="J6377" i="6"/>
  <c r="B6378" i="6"/>
  <c r="J6378" i="6"/>
  <c r="B6379" i="6"/>
  <c r="J6379" i="6"/>
  <c r="B6380" i="6"/>
  <c r="J6380" i="6"/>
  <c r="B6381" i="6"/>
  <c r="J6381" i="6"/>
  <c r="B6382" i="6"/>
  <c r="J6382" i="6"/>
  <c r="B6383" i="6"/>
  <c r="J6383" i="6"/>
  <c r="B6384" i="6"/>
  <c r="J6384" i="6"/>
  <c r="B6385" i="6"/>
  <c r="J6385" i="6"/>
  <c r="B6386" i="6"/>
  <c r="J6386" i="6"/>
  <c r="B6387" i="6"/>
  <c r="J6387" i="6"/>
  <c r="B6388" i="6"/>
  <c r="J6388" i="6"/>
  <c r="B6389" i="6"/>
  <c r="J6389" i="6"/>
  <c r="B6390" i="6"/>
  <c r="J6390" i="6"/>
  <c r="B6391" i="6"/>
  <c r="J6391" i="6"/>
  <c r="B6392" i="6"/>
  <c r="J6392" i="6"/>
  <c r="B6393" i="6"/>
  <c r="J6393" i="6"/>
  <c r="B6394" i="6"/>
  <c r="J6394" i="6"/>
  <c r="B6395" i="6"/>
  <c r="J6395" i="6"/>
  <c r="B6396" i="6"/>
  <c r="J6396" i="6"/>
  <c r="B6397" i="6"/>
  <c r="J6397" i="6"/>
  <c r="B6398" i="6"/>
  <c r="J6398" i="6"/>
  <c r="B6399" i="6"/>
  <c r="J6399" i="6"/>
  <c r="B6400" i="6"/>
  <c r="J6400" i="6"/>
  <c r="B6401" i="6"/>
  <c r="J6401" i="6"/>
  <c r="B6402" i="6"/>
  <c r="J6402" i="6"/>
  <c r="B6403" i="6"/>
  <c r="J6403" i="6"/>
  <c r="B6404" i="6"/>
  <c r="J6404" i="6"/>
  <c r="B6405" i="6"/>
  <c r="J6405" i="6"/>
  <c r="B6406" i="6"/>
  <c r="J6406" i="6"/>
  <c r="B6407" i="6"/>
  <c r="J6407" i="6"/>
  <c r="B6408" i="6"/>
  <c r="J6408" i="6"/>
  <c r="B6409" i="6"/>
  <c r="J6409" i="6"/>
  <c r="B6410" i="6"/>
  <c r="J6410" i="6"/>
  <c r="B6411" i="6"/>
  <c r="J6411" i="6"/>
  <c r="B6412" i="6"/>
  <c r="J6412" i="6"/>
  <c r="B6413" i="6"/>
  <c r="J6413" i="6"/>
  <c r="B6414" i="6"/>
  <c r="J6414" i="6"/>
  <c r="B6415" i="6"/>
  <c r="J6415" i="6"/>
  <c r="B6416" i="6"/>
  <c r="J6416" i="6"/>
  <c r="B6417" i="6"/>
  <c r="J6417" i="6"/>
  <c r="B6418" i="6"/>
  <c r="J6418" i="6"/>
  <c r="B6419" i="6"/>
  <c r="J6419" i="6"/>
  <c r="B6420" i="6"/>
  <c r="J6420" i="6"/>
  <c r="B6421" i="6"/>
  <c r="J6421" i="6"/>
  <c r="B6422" i="6"/>
  <c r="J6422" i="6"/>
  <c r="B6423" i="6"/>
  <c r="J6423" i="6"/>
  <c r="B6424" i="6"/>
  <c r="J6424" i="6"/>
  <c r="B6425" i="6"/>
  <c r="J6425" i="6"/>
  <c r="B6426" i="6"/>
  <c r="J6426" i="6"/>
  <c r="B6427" i="6"/>
  <c r="J6427" i="6"/>
  <c r="B6428" i="6"/>
  <c r="J6428" i="6"/>
  <c r="B6429" i="6"/>
  <c r="J6429" i="6"/>
  <c r="B6430" i="6"/>
  <c r="J6430" i="6"/>
  <c r="B6431" i="6"/>
  <c r="J6431" i="6"/>
  <c r="B6432" i="6"/>
  <c r="J6432" i="6"/>
  <c r="B6433" i="6"/>
  <c r="J6433" i="6"/>
  <c r="B6434" i="6"/>
  <c r="J6434" i="6"/>
  <c r="B6435" i="6"/>
  <c r="J6435" i="6"/>
  <c r="B6436" i="6"/>
  <c r="J6436" i="6"/>
  <c r="B6437" i="6"/>
  <c r="J6437" i="6"/>
  <c r="B6438" i="6"/>
  <c r="J6438" i="6"/>
  <c r="B6439" i="6"/>
  <c r="J6439" i="6"/>
  <c r="B6440" i="6"/>
  <c r="J6440" i="6"/>
  <c r="B6441" i="6"/>
  <c r="J6441" i="6"/>
  <c r="B6442" i="6"/>
  <c r="J6442" i="6"/>
  <c r="B6443" i="6"/>
  <c r="J6443" i="6"/>
  <c r="B6444" i="6"/>
  <c r="J6444" i="6"/>
  <c r="B6445" i="6"/>
  <c r="J6445" i="6"/>
  <c r="B6446" i="6"/>
  <c r="J6446" i="6"/>
  <c r="B6447" i="6"/>
  <c r="J6447" i="6"/>
  <c r="B6448" i="6"/>
  <c r="J6448" i="6"/>
  <c r="B6449" i="6"/>
  <c r="J6449" i="6"/>
  <c r="B6450" i="6"/>
  <c r="J6450" i="6"/>
  <c r="B6451" i="6"/>
  <c r="J6451" i="6"/>
  <c r="B6452" i="6"/>
  <c r="J6452" i="6"/>
  <c r="B6453" i="6"/>
  <c r="J6453" i="6"/>
  <c r="B6454" i="6"/>
  <c r="J6454" i="6"/>
  <c r="B6455" i="6"/>
  <c r="J6455" i="6"/>
  <c r="B6456" i="6"/>
  <c r="J6456" i="6"/>
  <c r="B6457" i="6"/>
  <c r="J6457" i="6"/>
  <c r="B6458" i="6"/>
  <c r="J6458" i="6"/>
  <c r="B6459" i="6"/>
  <c r="J6459" i="6"/>
  <c r="B6460" i="6"/>
  <c r="J6460" i="6"/>
  <c r="B6461" i="6"/>
  <c r="J6461" i="6"/>
  <c r="B6462" i="6"/>
  <c r="J6462" i="6"/>
  <c r="B6463" i="6"/>
  <c r="J6463" i="6"/>
  <c r="B6464" i="6"/>
  <c r="J6464" i="6"/>
  <c r="B6465" i="6"/>
  <c r="J6465" i="6"/>
  <c r="B6466" i="6"/>
  <c r="J6466" i="6"/>
  <c r="B6467" i="6"/>
  <c r="J6467" i="6"/>
  <c r="B6468" i="6"/>
  <c r="J6468" i="6"/>
  <c r="B6469" i="6"/>
  <c r="J6469" i="6"/>
  <c r="B6470" i="6"/>
  <c r="J6470" i="6"/>
  <c r="B6471" i="6"/>
  <c r="J6471" i="6"/>
  <c r="B6472" i="6"/>
  <c r="J6472" i="6"/>
  <c r="B6473" i="6"/>
  <c r="J6473" i="6"/>
  <c r="B6474" i="6"/>
  <c r="J6474" i="6"/>
  <c r="B6475" i="6"/>
  <c r="J6475" i="6"/>
  <c r="B6476" i="6"/>
  <c r="J6476" i="6"/>
  <c r="B6477" i="6"/>
  <c r="J6477" i="6"/>
  <c r="B6478" i="6"/>
  <c r="J6478" i="6"/>
  <c r="B6479" i="6"/>
  <c r="J6479" i="6"/>
  <c r="B6480" i="6"/>
  <c r="J6480" i="6"/>
  <c r="B6481" i="6"/>
  <c r="J6481" i="6"/>
  <c r="B6482" i="6"/>
  <c r="J6482" i="6"/>
  <c r="B6483" i="6"/>
  <c r="J6483" i="6"/>
  <c r="B6484" i="6"/>
  <c r="J6484" i="6"/>
  <c r="B6485" i="6"/>
  <c r="J6485" i="6"/>
  <c r="B6486" i="6"/>
  <c r="J6486" i="6"/>
  <c r="B6487" i="6"/>
  <c r="J6487" i="6"/>
  <c r="B6488" i="6"/>
  <c r="J6488" i="6"/>
  <c r="B6489" i="6"/>
  <c r="J6489" i="6"/>
  <c r="B6490" i="6"/>
  <c r="J6490" i="6"/>
  <c r="B6491" i="6"/>
  <c r="J6491" i="6"/>
  <c r="B6492" i="6"/>
  <c r="J6492" i="6"/>
  <c r="B6493" i="6"/>
  <c r="J6493" i="6"/>
  <c r="B6494" i="6"/>
  <c r="J6494" i="6"/>
  <c r="B6495" i="6"/>
  <c r="J6495" i="6"/>
  <c r="B6496" i="6"/>
  <c r="J6496" i="6"/>
  <c r="B6497" i="6"/>
  <c r="J6497" i="6"/>
  <c r="B6498" i="6"/>
  <c r="J6498" i="6"/>
  <c r="B6499" i="6"/>
  <c r="J6499" i="6"/>
  <c r="B6500" i="6"/>
  <c r="J6500" i="6"/>
  <c r="B6501" i="6"/>
  <c r="J6501" i="6"/>
  <c r="B6502" i="6"/>
  <c r="J6502" i="6"/>
  <c r="B6503" i="6"/>
  <c r="J6503" i="6"/>
  <c r="B6504" i="6"/>
  <c r="J6504" i="6"/>
  <c r="B6505" i="6"/>
  <c r="J6505" i="6"/>
  <c r="B6506" i="6"/>
  <c r="J6506" i="6"/>
  <c r="B6507" i="6"/>
  <c r="J6507" i="6"/>
  <c r="B6508" i="6"/>
  <c r="J6508" i="6"/>
  <c r="B6509" i="6"/>
  <c r="J6509" i="6"/>
  <c r="B6510" i="6"/>
  <c r="J6510" i="6"/>
  <c r="B6511" i="6"/>
  <c r="J6511" i="6"/>
  <c r="B6512" i="6"/>
  <c r="J6512" i="6"/>
  <c r="B6513" i="6"/>
  <c r="J6513" i="6"/>
  <c r="B6514" i="6"/>
  <c r="J6514" i="6"/>
  <c r="B6515" i="6"/>
  <c r="J6515" i="6"/>
  <c r="B6516" i="6"/>
  <c r="J6516" i="6"/>
  <c r="B6517" i="6"/>
  <c r="J6517" i="6"/>
  <c r="B6518" i="6"/>
  <c r="J6518" i="6"/>
  <c r="B6519" i="6"/>
  <c r="J6519" i="6"/>
  <c r="B6520" i="6"/>
  <c r="J6520" i="6"/>
  <c r="B6521" i="6"/>
  <c r="J6521" i="6"/>
  <c r="B6522" i="6"/>
  <c r="J6522" i="6"/>
  <c r="B6523" i="6"/>
  <c r="J6523" i="6"/>
  <c r="B6524" i="6"/>
  <c r="J6524" i="6"/>
  <c r="B6525" i="6"/>
  <c r="J6525" i="6"/>
  <c r="B6526" i="6"/>
  <c r="J6526" i="6"/>
  <c r="B6527" i="6"/>
  <c r="J6527" i="6"/>
  <c r="B6528" i="6"/>
  <c r="J6528" i="6"/>
  <c r="B6529" i="6"/>
  <c r="J6529" i="6"/>
  <c r="B6530" i="6"/>
  <c r="J6530" i="6"/>
  <c r="B6531" i="6"/>
  <c r="J6531" i="6"/>
  <c r="B6532" i="6"/>
  <c r="J6532" i="6"/>
  <c r="B6533" i="6"/>
  <c r="J6533" i="6"/>
  <c r="B6534" i="6"/>
  <c r="J6534" i="6"/>
  <c r="B6535" i="6"/>
  <c r="J6535" i="6"/>
  <c r="B6536" i="6"/>
  <c r="J6536" i="6"/>
  <c r="B6537" i="6"/>
  <c r="J6537" i="6"/>
  <c r="B6538" i="6"/>
  <c r="J6538" i="6"/>
  <c r="B6539" i="6"/>
  <c r="J6539" i="6"/>
  <c r="B6540" i="6"/>
  <c r="J6540" i="6"/>
  <c r="B6541" i="6"/>
  <c r="J6541" i="6"/>
  <c r="B6542" i="6"/>
  <c r="J6542" i="6"/>
  <c r="B6543" i="6"/>
  <c r="J6543" i="6"/>
  <c r="B6544" i="6"/>
  <c r="J6544" i="6"/>
  <c r="B6545" i="6"/>
  <c r="J6545" i="6"/>
  <c r="B6546" i="6"/>
  <c r="J6546" i="6"/>
  <c r="B6547" i="6"/>
  <c r="J6547" i="6"/>
  <c r="B6548" i="6"/>
  <c r="J6548" i="6"/>
  <c r="B6549" i="6"/>
  <c r="J6549" i="6"/>
  <c r="B6550" i="6"/>
  <c r="J6550" i="6"/>
  <c r="B6551" i="6"/>
  <c r="J6551" i="6"/>
  <c r="B6552" i="6"/>
  <c r="J6552" i="6"/>
  <c r="B6553" i="6"/>
  <c r="J6553" i="6"/>
  <c r="B6554" i="6"/>
  <c r="J6554" i="6"/>
  <c r="B6555" i="6"/>
  <c r="J6555" i="6"/>
  <c r="B6556" i="6"/>
  <c r="J6556" i="6"/>
  <c r="B6557" i="6"/>
  <c r="J6557" i="6"/>
  <c r="B6558" i="6"/>
  <c r="J6558" i="6"/>
  <c r="B6559" i="6"/>
  <c r="J6559" i="6"/>
  <c r="B6560" i="6"/>
  <c r="J6560" i="6"/>
  <c r="B6561" i="6"/>
  <c r="J6561" i="6"/>
  <c r="B6562" i="6"/>
  <c r="J6562" i="6"/>
  <c r="B6563" i="6"/>
  <c r="J6563" i="6"/>
  <c r="B6564" i="6"/>
  <c r="J6564" i="6"/>
  <c r="B6565" i="6"/>
  <c r="J6565" i="6"/>
  <c r="B6566" i="6"/>
  <c r="J6566" i="6"/>
  <c r="B6567" i="6"/>
  <c r="J6567" i="6"/>
  <c r="B6568" i="6"/>
  <c r="J6568" i="6"/>
  <c r="B6569" i="6"/>
  <c r="J6569" i="6"/>
  <c r="B6570" i="6"/>
  <c r="J6570" i="6"/>
  <c r="B6571" i="6"/>
  <c r="J6571" i="6"/>
  <c r="B6572" i="6"/>
  <c r="J6572" i="6"/>
  <c r="B6573" i="6"/>
  <c r="J6573" i="6"/>
  <c r="B6574" i="6"/>
  <c r="J6574" i="6"/>
  <c r="B6575" i="6"/>
  <c r="J6575" i="6"/>
  <c r="B6576" i="6"/>
  <c r="J6576" i="6"/>
  <c r="B6577" i="6"/>
  <c r="J6577" i="6"/>
  <c r="B6578" i="6"/>
  <c r="J6578" i="6"/>
  <c r="B6579" i="6"/>
  <c r="J6579" i="6"/>
  <c r="B6580" i="6"/>
  <c r="J6580" i="6"/>
  <c r="B6581" i="6"/>
  <c r="J6581" i="6"/>
  <c r="B6582" i="6"/>
  <c r="J6582" i="6"/>
  <c r="B6583" i="6"/>
  <c r="J6583" i="6"/>
  <c r="B6584" i="6"/>
  <c r="J6584" i="6"/>
  <c r="B6585" i="6"/>
  <c r="J6585" i="6"/>
  <c r="B6586" i="6"/>
  <c r="J6586" i="6"/>
  <c r="B6587" i="6"/>
  <c r="J6587" i="6"/>
  <c r="B6588" i="6"/>
  <c r="J6588" i="6"/>
  <c r="B6589" i="6"/>
  <c r="J6589" i="6"/>
  <c r="B6590" i="6"/>
  <c r="J6590" i="6"/>
  <c r="B6591" i="6"/>
  <c r="J6591" i="6"/>
  <c r="B6592" i="6"/>
  <c r="J6592" i="6"/>
  <c r="B6593" i="6"/>
  <c r="J6593" i="6"/>
  <c r="B6594" i="6"/>
  <c r="J6594" i="6"/>
  <c r="B6595" i="6"/>
  <c r="J6595" i="6"/>
  <c r="B6596" i="6"/>
  <c r="J6596" i="6"/>
  <c r="B6597" i="6"/>
  <c r="J6597" i="6"/>
  <c r="B6598" i="6"/>
  <c r="J6598" i="6"/>
  <c r="B6599" i="6"/>
  <c r="J6599" i="6"/>
  <c r="B6600" i="6"/>
  <c r="J6600" i="6"/>
  <c r="B6601" i="6"/>
  <c r="J6601" i="6"/>
  <c r="B6602" i="6"/>
  <c r="J6602" i="6"/>
  <c r="B6603" i="6"/>
  <c r="J6603" i="6"/>
  <c r="B6604" i="6"/>
  <c r="J6604" i="6"/>
  <c r="B6605" i="6"/>
  <c r="J6605" i="6"/>
  <c r="B6606" i="6"/>
  <c r="J6606" i="6"/>
  <c r="B6607" i="6"/>
  <c r="J6607" i="6"/>
  <c r="B6608" i="6"/>
  <c r="J6608" i="6"/>
  <c r="B6609" i="6"/>
  <c r="J6609" i="6"/>
  <c r="B6610" i="6"/>
  <c r="J6610" i="6"/>
  <c r="B6611" i="6"/>
  <c r="J6611" i="6"/>
  <c r="B6612" i="6"/>
  <c r="J6612" i="6"/>
  <c r="B6613" i="6"/>
  <c r="J6613" i="6"/>
  <c r="B6614" i="6"/>
  <c r="J6614" i="6"/>
  <c r="B6615" i="6"/>
  <c r="J6615" i="6"/>
  <c r="B6616" i="6"/>
  <c r="J6616" i="6"/>
  <c r="B6617" i="6"/>
  <c r="J6617" i="6"/>
  <c r="B6618" i="6"/>
  <c r="J6618" i="6"/>
  <c r="B6619" i="6"/>
  <c r="J6619" i="6"/>
  <c r="B6620" i="6"/>
  <c r="J6620" i="6"/>
  <c r="B6621" i="6"/>
  <c r="J6621" i="6"/>
  <c r="B6622" i="6"/>
  <c r="J6622" i="6"/>
  <c r="B6623" i="6"/>
  <c r="J6623" i="6"/>
  <c r="B6624" i="6"/>
  <c r="J6624" i="6"/>
  <c r="B6625" i="6"/>
  <c r="J6625" i="6"/>
  <c r="B6626" i="6"/>
  <c r="J6626" i="6"/>
  <c r="B6627" i="6"/>
  <c r="J6627" i="6"/>
  <c r="B6628" i="6"/>
  <c r="J6628" i="6"/>
  <c r="B6629" i="6"/>
  <c r="J6629" i="6"/>
  <c r="B6630" i="6"/>
  <c r="J6630" i="6"/>
  <c r="B6631" i="6"/>
  <c r="J6631" i="6"/>
  <c r="B6632" i="6"/>
  <c r="J6632" i="6"/>
  <c r="B6633" i="6"/>
  <c r="J6633" i="6"/>
  <c r="B6634" i="6"/>
  <c r="J6634" i="6"/>
  <c r="B6635" i="6"/>
  <c r="J6635" i="6"/>
  <c r="B6636" i="6"/>
  <c r="J6636" i="6"/>
  <c r="B6637" i="6"/>
  <c r="J6637" i="6"/>
  <c r="B6638" i="6"/>
  <c r="J6638" i="6"/>
  <c r="B6639" i="6"/>
  <c r="J6639" i="6"/>
  <c r="B6640" i="6"/>
  <c r="J6640" i="6"/>
  <c r="B6641" i="6"/>
  <c r="J6641" i="6"/>
  <c r="B6642" i="6"/>
  <c r="J6642" i="6"/>
  <c r="B6643" i="6"/>
  <c r="J6643" i="6"/>
  <c r="B6644" i="6"/>
  <c r="J6644" i="6"/>
  <c r="B6645" i="6"/>
  <c r="J6645" i="6"/>
  <c r="B6646" i="6"/>
  <c r="J6646" i="6"/>
  <c r="B6647" i="6"/>
  <c r="J6647" i="6"/>
  <c r="B6648" i="6"/>
  <c r="J6648" i="6"/>
  <c r="B6649" i="6"/>
  <c r="J6649" i="6"/>
  <c r="B6650" i="6"/>
  <c r="J6650" i="6"/>
  <c r="B6651" i="6"/>
  <c r="J6651" i="6"/>
  <c r="B6652" i="6"/>
  <c r="J6652" i="6"/>
  <c r="B6653" i="6"/>
  <c r="J6653" i="6"/>
  <c r="B6654" i="6"/>
  <c r="J6654" i="6"/>
  <c r="B6655" i="6"/>
  <c r="J6655" i="6"/>
  <c r="B6656" i="6"/>
  <c r="J6656" i="6"/>
  <c r="B6657" i="6"/>
  <c r="J6657" i="6"/>
  <c r="B6658" i="6"/>
  <c r="J6658" i="6"/>
  <c r="B6659" i="6"/>
  <c r="J6659" i="6"/>
  <c r="B6660" i="6"/>
  <c r="J6660" i="6"/>
  <c r="B6661" i="6"/>
  <c r="J6661" i="6"/>
  <c r="B6662" i="6"/>
  <c r="J6662" i="6"/>
  <c r="B6663" i="6"/>
  <c r="J6663" i="6"/>
  <c r="B6664" i="6"/>
  <c r="J6664" i="6"/>
  <c r="B6665" i="6"/>
  <c r="J6665" i="6"/>
  <c r="B6666" i="6"/>
  <c r="J6666" i="6"/>
  <c r="B6667" i="6"/>
  <c r="J6667" i="6"/>
  <c r="B6668" i="6"/>
  <c r="J6668" i="6"/>
  <c r="B6669" i="6"/>
  <c r="J6669" i="6"/>
  <c r="B6670" i="6"/>
  <c r="J6670" i="6"/>
  <c r="B6671" i="6"/>
  <c r="J6671" i="6"/>
  <c r="B6672" i="6"/>
  <c r="J6672" i="6"/>
  <c r="B6673" i="6"/>
  <c r="J6673" i="6"/>
  <c r="B6674" i="6"/>
  <c r="J6674" i="6"/>
  <c r="B6675" i="6"/>
  <c r="J6675" i="6"/>
  <c r="B6676" i="6"/>
  <c r="J6676" i="6"/>
  <c r="B6677" i="6"/>
  <c r="J6677" i="6"/>
  <c r="B6678" i="6"/>
  <c r="J6678" i="6"/>
  <c r="B6679" i="6"/>
  <c r="J6679" i="6"/>
  <c r="B6680" i="6"/>
  <c r="J6680" i="6"/>
  <c r="B6681" i="6"/>
  <c r="J6681" i="6"/>
  <c r="B6682" i="6"/>
  <c r="J6682" i="6"/>
  <c r="B6683" i="6"/>
  <c r="J6683" i="6"/>
  <c r="B6684" i="6"/>
  <c r="J6684" i="6"/>
  <c r="B6685" i="6"/>
  <c r="J6685" i="6"/>
  <c r="B6686" i="6"/>
  <c r="J6686" i="6"/>
  <c r="B6687" i="6"/>
  <c r="J6687" i="6"/>
  <c r="B6688" i="6"/>
  <c r="J6688" i="6"/>
  <c r="B6689" i="6"/>
  <c r="J6689" i="6"/>
  <c r="B6690" i="6"/>
  <c r="J6690" i="6"/>
  <c r="B6691" i="6"/>
  <c r="J6691" i="6"/>
  <c r="B6692" i="6"/>
  <c r="J6692" i="6"/>
  <c r="B6693" i="6"/>
  <c r="J6693" i="6"/>
  <c r="B6694" i="6"/>
  <c r="J6694" i="6"/>
  <c r="B6695" i="6"/>
  <c r="J6695" i="6"/>
  <c r="B6696" i="6"/>
  <c r="J6696" i="6"/>
  <c r="B6697" i="6"/>
  <c r="J6697" i="6"/>
  <c r="B6698" i="6"/>
  <c r="J6698" i="6"/>
  <c r="B6699" i="6"/>
  <c r="J6699" i="6"/>
  <c r="B6700" i="6"/>
  <c r="J6700" i="6"/>
  <c r="B6701" i="6"/>
  <c r="J6701" i="6"/>
  <c r="B6702" i="6"/>
  <c r="J6702" i="6"/>
  <c r="B6703" i="6"/>
  <c r="J6703" i="6"/>
  <c r="B6704" i="6"/>
  <c r="J6704" i="6"/>
  <c r="B6705" i="6"/>
  <c r="J6705" i="6"/>
  <c r="B6706" i="6"/>
  <c r="J6706" i="6"/>
  <c r="B6707" i="6"/>
  <c r="J6707" i="6"/>
  <c r="B6708" i="6"/>
  <c r="J6708" i="6"/>
  <c r="B6709" i="6"/>
  <c r="J6709" i="6"/>
  <c r="B6710" i="6"/>
  <c r="J6710" i="6"/>
  <c r="B6711" i="6"/>
  <c r="J6711" i="6"/>
  <c r="B6712" i="6"/>
  <c r="J6712" i="6"/>
  <c r="B6713" i="6"/>
  <c r="J6713" i="6"/>
  <c r="B6714" i="6"/>
  <c r="J6714" i="6"/>
  <c r="B6715" i="6"/>
  <c r="J6715" i="6"/>
  <c r="B6716" i="6"/>
  <c r="J6716" i="6"/>
  <c r="B6717" i="6"/>
  <c r="J6717" i="6"/>
  <c r="B6718" i="6"/>
  <c r="J6718" i="6"/>
  <c r="B6719" i="6"/>
  <c r="J6719" i="6"/>
  <c r="B6720" i="6"/>
  <c r="J6720" i="6"/>
  <c r="B6721" i="6"/>
  <c r="J6721" i="6"/>
  <c r="B6722" i="6"/>
  <c r="J6722" i="6"/>
  <c r="B6723" i="6"/>
  <c r="J6723" i="6"/>
  <c r="B6724" i="6"/>
  <c r="J6724" i="6"/>
  <c r="B6725" i="6"/>
  <c r="J6725" i="6"/>
  <c r="B6726" i="6"/>
  <c r="J6726" i="6"/>
  <c r="B6727" i="6"/>
  <c r="J6727" i="6"/>
  <c r="B6728" i="6"/>
  <c r="J6728" i="6"/>
  <c r="B6729" i="6"/>
  <c r="J6729" i="6"/>
  <c r="B6730" i="6"/>
  <c r="J6730" i="6"/>
  <c r="B6731" i="6"/>
  <c r="J6731" i="6"/>
  <c r="B6732" i="6"/>
  <c r="J6732" i="6"/>
  <c r="B6733" i="6"/>
  <c r="J6733" i="6"/>
  <c r="B6734" i="6"/>
  <c r="J6734" i="6"/>
  <c r="B6735" i="6"/>
  <c r="J6735" i="6"/>
  <c r="B6736" i="6"/>
  <c r="J6736" i="6"/>
  <c r="B6737" i="6"/>
  <c r="J6737" i="6"/>
  <c r="B6738" i="6"/>
  <c r="J6738" i="6"/>
  <c r="B6739" i="6"/>
  <c r="J6739" i="6"/>
  <c r="B6740" i="6"/>
  <c r="J6740" i="6"/>
  <c r="B6741" i="6"/>
  <c r="J6741" i="6"/>
  <c r="B6742" i="6"/>
  <c r="J6742" i="6"/>
  <c r="B6743" i="6"/>
  <c r="J6743" i="6"/>
  <c r="B6744" i="6"/>
  <c r="J6744" i="6"/>
  <c r="B6745" i="6"/>
  <c r="J6745" i="6"/>
  <c r="B6746" i="6"/>
  <c r="J6746" i="6"/>
  <c r="B6747" i="6"/>
  <c r="J6747" i="6"/>
  <c r="B6748" i="6"/>
  <c r="J6748" i="6"/>
  <c r="B6749" i="6"/>
  <c r="J6749" i="6"/>
  <c r="B6750" i="6"/>
  <c r="J6750" i="6"/>
  <c r="B6751" i="6"/>
  <c r="J6751" i="6"/>
  <c r="B6752" i="6"/>
  <c r="J6752" i="6"/>
  <c r="B6753" i="6"/>
  <c r="J6753" i="6"/>
  <c r="B6754" i="6"/>
  <c r="J6754" i="6"/>
  <c r="B6755" i="6"/>
  <c r="J6755" i="6"/>
  <c r="B6756" i="6"/>
  <c r="J6756" i="6"/>
  <c r="B6757" i="6"/>
  <c r="J6757" i="6"/>
  <c r="B6758" i="6"/>
  <c r="J6758" i="6"/>
  <c r="B6759" i="6"/>
  <c r="J6759" i="6"/>
  <c r="B6760" i="6"/>
  <c r="J6760" i="6"/>
  <c r="B6761" i="6"/>
  <c r="J6761" i="6"/>
  <c r="B6762" i="6"/>
  <c r="J6762" i="6"/>
  <c r="B6763" i="6"/>
  <c r="J6763" i="6"/>
  <c r="B6764" i="6"/>
  <c r="J6764" i="6"/>
  <c r="B6765" i="6"/>
  <c r="J6765" i="6"/>
  <c r="B6766" i="6"/>
  <c r="J6766" i="6"/>
  <c r="B6767" i="6"/>
  <c r="J6767" i="6"/>
  <c r="B6768" i="6"/>
  <c r="J6768" i="6"/>
  <c r="B6769" i="6"/>
  <c r="J6769" i="6"/>
  <c r="B6770" i="6"/>
  <c r="J6770" i="6"/>
  <c r="B6771" i="6"/>
  <c r="J6771" i="6"/>
  <c r="B6772" i="6"/>
  <c r="J6772" i="6"/>
  <c r="B6773" i="6"/>
  <c r="J6773" i="6"/>
  <c r="B6774" i="6"/>
  <c r="J6774" i="6"/>
  <c r="B6775" i="6"/>
  <c r="J6775" i="6"/>
  <c r="B6776" i="6"/>
  <c r="J6776" i="6"/>
  <c r="B6777" i="6"/>
  <c r="J6777" i="6"/>
  <c r="B6778" i="6"/>
  <c r="J6778" i="6"/>
  <c r="B6779" i="6"/>
  <c r="J6779" i="6"/>
  <c r="B6780" i="6"/>
  <c r="J6780" i="6"/>
  <c r="B6781" i="6"/>
  <c r="J6781" i="6"/>
  <c r="B6782" i="6"/>
  <c r="J6782" i="6"/>
  <c r="B6783" i="6"/>
  <c r="J6783" i="6"/>
  <c r="B6784" i="6"/>
  <c r="J6784" i="6"/>
  <c r="B6785" i="6"/>
  <c r="J6785" i="6"/>
  <c r="B6786" i="6"/>
  <c r="J6786" i="6"/>
  <c r="B6787" i="6"/>
  <c r="J6787" i="6"/>
  <c r="B6788" i="6"/>
  <c r="J6788" i="6"/>
  <c r="B6789" i="6"/>
  <c r="J6789" i="6"/>
  <c r="B6790" i="6"/>
  <c r="J6790" i="6"/>
  <c r="B6791" i="6"/>
  <c r="J6791" i="6"/>
  <c r="B6792" i="6"/>
  <c r="J6792" i="6"/>
  <c r="B6793" i="6"/>
  <c r="J6793" i="6"/>
  <c r="B6794" i="6"/>
  <c r="J6794" i="6"/>
  <c r="B6795" i="6"/>
  <c r="J6795" i="6"/>
  <c r="B6796" i="6"/>
  <c r="J6796" i="6"/>
  <c r="B6797" i="6"/>
  <c r="J6797" i="6"/>
  <c r="B6798" i="6"/>
  <c r="J6798" i="6"/>
  <c r="B6799" i="6"/>
  <c r="J6799" i="6"/>
  <c r="B6800" i="6"/>
  <c r="J6800" i="6"/>
  <c r="B6801" i="6"/>
  <c r="J6801" i="6"/>
  <c r="B6802" i="6"/>
  <c r="J6802" i="6"/>
  <c r="B6803" i="6"/>
  <c r="J6803" i="6"/>
  <c r="B6804" i="6"/>
  <c r="J6804" i="6"/>
  <c r="B6805" i="6"/>
  <c r="J6805" i="6"/>
  <c r="B6806" i="6"/>
  <c r="J6806" i="6"/>
  <c r="B6807" i="6"/>
  <c r="J6807" i="6"/>
  <c r="B6808" i="6"/>
  <c r="J6808" i="6"/>
  <c r="B6809" i="6"/>
  <c r="J6809" i="6"/>
  <c r="B6810" i="6"/>
  <c r="J6810" i="6"/>
  <c r="B6811" i="6"/>
  <c r="J6811" i="6"/>
  <c r="B6812" i="6"/>
  <c r="J6812" i="6"/>
  <c r="B6813" i="6"/>
  <c r="J6813" i="6"/>
  <c r="B6814" i="6"/>
  <c r="J6814" i="6"/>
  <c r="B6815" i="6"/>
  <c r="J6815" i="6"/>
  <c r="B6816" i="6"/>
  <c r="J6816" i="6"/>
  <c r="B6817" i="6"/>
  <c r="J6817" i="6"/>
  <c r="B6818" i="6"/>
  <c r="J6818" i="6"/>
  <c r="B6819" i="6"/>
  <c r="J6819" i="6"/>
  <c r="B6820" i="6"/>
  <c r="J6820" i="6"/>
  <c r="B6821" i="6"/>
  <c r="J6821" i="6"/>
  <c r="B6822" i="6"/>
  <c r="J6822" i="6"/>
  <c r="B6823" i="6"/>
  <c r="J6823" i="6"/>
  <c r="B6824" i="6"/>
  <c r="J6824" i="6"/>
  <c r="B6825" i="6"/>
  <c r="J6825" i="6"/>
  <c r="B6826" i="6"/>
  <c r="J6826" i="6"/>
  <c r="B6827" i="6"/>
  <c r="J6827" i="6"/>
  <c r="B6828" i="6"/>
  <c r="J6828" i="6"/>
  <c r="B6829" i="6"/>
  <c r="J6829" i="6"/>
  <c r="B6830" i="6"/>
  <c r="J6830" i="6"/>
  <c r="B6831" i="6"/>
  <c r="J6831" i="6"/>
  <c r="B6832" i="6"/>
  <c r="J6832" i="6"/>
  <c r="B6833" i="6"/>
  <c r="J6833" i="6"/>
  <c r="B6834" i="6"/>
  <c r="J6834" i="6"/>
  <c r="B6835" i="6"/>
  <c r="J6835" i="6"/>
  <c r="B6836" i="6"/>
  <c r="J6836" i="6"/>
  <c r="B6837" i="6"/>
  <c r="J6837" i="6"/>
  <c r="B6838" i="6"/>
  <c r="J6838" i="6"/>
  <c r="B6839" i="6"/>
  <c r="J6839" i="6"/>
  <c r="B6840" i="6"/>
  <c r="J6840" i="6"/>
  <c r="B6841" i="6"/>
  <c r="J6841" i="6"/>
  <c r="B6842" i="6"/>
  <c r="J6842" i="6"/>
  <c r="B6843" i="6"/>
  <c r="J6843" i="6"/>
  <c r="B6844" i="6"/>
  <c r="J6844" i="6"/>
  <c r="B6845" i="6"/>
  <c r="J6845" i="6"/>
  <c r="B6846" i="6"/>
  <c r="J6846" i="6"/>
  <c r="B6847" i="6"/>
  <c r="J6847" i="6"/>
  <c r="B6848" i="6"/>
  <c r="J6848" i="6"/>
  <c r="B6849" i="6"/>
  <c r="J6849" i="6"/>
  <c r="B6850" i="6"/>
  <c r="J6850" i="6"/>
  <c r="B6851" i="6"/>
  <c r="J6851" i="6"/>
  <c r="B6852" i="6"/>
  <c r="J6852" i="6"/>
  <c r="B6853" i="6"/>
  <c r="J6853" i="6"/>
  <c r="B6854" i="6"/>
  <c r="J6854" i="6"/>
  <c r="B6855" i="6"/>
  <c r="J6855" i="6"/>
  <c r="B6856" i="6"/>
  <c r="J6856" i="6"/>
  <c r="B6857" i="6"/>
  <c r="J6857" i="6"/>
  <c r="B6858" i="6"/>
  <c r="J6858" i="6"/>
  <c r="B6859" i="6"/>
  <c r="J6859" i="6"/>
  <c r="B6860" i="6"/>
  <c r="J6860" i="6"/>
  <c r="B6861" i="6"/>
  <c r="J6861" i="6"/>
  <c r="B6862" i="6"/>
  <c r="J6862" i="6"/>
  <c r="B6863" i="6"/>
  <c r="J6863" i="6"/>
  <c r="B6864" i="6"/>
  <c r="J6864" i="6"/>
  <c r="B6865" i="6"/>
  <c r="J6865" i="6"/>
  <c r="B6866" i="6"/>
  <c r="J6866" i="6"/>
  <c r="B6867" i="6"/>
  <c r="J6867" i="6"/>
  <c r="B6868" i="6"/>
  <c r="J6868" i="6"/>
  <c r="B6869" i="6"/>
  <c r="J6869" i="6"/>
  <c r="B6870" i="6"/>
  <c r="J6870" i="6"/>
  <c r="B6871" i="6"/>
  <c r="J6871" i="6"/>
  <c r="B6872" i="6"/>
  <c r="J6872" i="6"/>
  <c r="B6873" i="6"/>
  <c r="J6873" i="6"/>
  <c r="B6874" i="6"/>
  <c r="J6874" i="6"/>
  <c r="B6875" i="6"/>
  <c r="J6875" i="6"/>
  <c r="B6876" i="6"/>
  <c r="J6876" i="6"/>
  <c r="B6877" i="6"/>
  <c r="J6877" i="6"/>
  <c r="B6878" i="6"/>
  <c r="J6878" i="6"/>
  <c r="B6879" i="6"/>
  <c r="J6879" i="6"/>
  <c r="B6880" i="6"/>
  <c r="J6880" i="6"/>
  <c r="B6881" i="6"/>
  <c r="J6881" i="6"/>
  <c r="B6882" i="6"/>
  <c r="J6882" i="6"/>
  <c r="B6883" i="6"/>
  <c r="J6883" i="6"/>
  <c r="B6884" i="6"/>
  <c r="J6884" i="6"/>
  <c r="B6885" i="6"/>
  <c r="J6885" i="6"/>
  <c r="B6886" i="6"/>
  <c r="J6886" i="6"/>
  <c r="B6887" i="6"/>
  <c r="J6887" i="6"/>
  <c r="B6888" i="6"/>
  <c r="J6888" i="6"/>
  <c r="B6889" i="6"/>
  <c r="J6889" i="6"/>
  <c r="B6890" i="6"/>
  <c r="J6890" i="6"/>
  <c r="B6891" i="6"/>
  <c r="J6891" i="6"/>
  <c r="B6892" i="6"/>
  <c r="J6892" i="6"/>
  <c r="B6893" i="6"/>
  <c r="J6893" i="6"/>
  <c r="B6894" i="6"/>
  <c r="J6894" i="6"/>
  <c r="B6895" i="6"/>
  <c r="J6895" i="6"/>
  <c r="B6896" i="6"/>
  <c r="J6896" i="6"/>
  <c r="B6897" i="6"/>
  <c r="J6897" i="6"/>
  <c r="B6898" i="6"/>
  <c r="J6898" i="6"/>
  <c r="B6899" i="6"/>
  <c r="J6899" i="6"/>
  <c r="B6900" i="6"/>
  <c r="J6900" i="6"/>
  <c r="B6901" i="6"/>
  <c r="J6901" i="6"/>
  <c r="B6902" i="6"/>
  <c r="J6902" i="6"/>
  <c r="B6903" i="6"/>
  <c r="J6903" i="6"/>
  <c r="B6904" i="6"/>
  <c r="J6904" i="6"/>
  <c r="B6905" i="6"/>
  <c r="J6905" i="6"/>
  <c r="B6906" i="6"/>
  <c r="J6906" i="6"/>
  <c r="B6907" i="6"/>
  <c r="J6907" i="6"/>
  <c r="B6908" i="6"/>
  <c r="J6908" i="6"/>
  <c r="B6909" i="6"/>
  <c r="J6909" i="6"/>
  <c r="B6910" i="6"/>
  <c r="J6910" i="6"/>
  <c r="B6911" i="6"/>
  <c r="J6911" i="6"/>
  <c r="B6912" i="6"/>
  <c r="J6912" i="6"/>
  <c r="B6913" i="6"/>
  <c r="J6913" i="6"/>
  <c r="B6914" i="6"/>
  <c r="J6914" i="6"/>
  <c r="B6915" i="6"/>
  <c r="J6915" i="6"/>
  <c r="B6916" i="6"/>
  <c r="J6916" i="6"/>
  <c r="B6917" i="6"/>
  <c r="J6917" i="6"/>
  <c r="B6918" i="6"/>
  <c r="J6918" i="6"/>
  <c r="B6919" i="6"/>
  <c r="J6919" i="6"/>
  <c r="B6920" i="6"/>
  <c r="J6920" i="6"/>
  <c r="B6921" i="6"/>
  <c r="J6921" i="6"/>
  <c r="B6922" i="6"/>
  <c r="J6922" i="6"/>
  <c r="B6923" i="6"/>
  <c r="J6923" i="6"/>
  <c r="B6924" i="6"/>
  <c r="J6924" i="6"/>
  <c r="B6925" i="6"/>
  <c r="J6925" i="6"/>
  <c r="B6926" i="6"/>
  <c r="J6926" i="6"/>
  <c r="B6927" i="6"/>
  <c r="J6927" i="6"/>
  <c r="B6928" i="6"/>
  <c r="J6928" i="6"/>
  <c r="B6929" i="6"/>
  <c r="J6929" i="6"/>
  <c r="B6930" i="6"/>
  <c r="J6930" i="6"/>
  <c r="B6931" i="6"/>
  <c r="J6931" i="6"/>
  <c r="B6932" i="6"/>
  <c r="J6932" i="6"/>
  <c r="B6933" i="6"/>
  <c r="J6933" i="6"/>
  <c r="B6934" i="6"/>
  <c r="J6934" i="6"/>
  <c r="B6935" i="6"/>
  <c r="J6935" i="6"/>
  <c r="B6936" i="6"/>
  <c r="J6936" i="6"/>
  <c r="B6937" i="6"/>
  <c r="J6937" i="6"/>
  <c r="B6938" i="6"/>
  <c r="J6938" i="6"/>
  <c r="B6939" i="6"/>
  <c r="J6939" i="6"/>
  <c r="B6940" i="6"/>
  <c r="J6940" i="6"/>
  <c r="B6941" i="6"/>
  <c r="J6941" i="6"/>
  <c r="B6942" i="6"/>
  <c r="J6942" i="6"/>
  <c r="B6943" i="6"/>
  <c r="J6943" i="6"/>
  <c r="B6944" i="6"/>
  <c r="J6944" i="6"/>
  <c r="B6945" i="6"/>
  <c r="J6945" i="6"/>
  <c r="B6946" i="6"/>
  <c r="J6946" i="6"/>
  <c r="B6947" i="6"/>
  <c r="J6947" i="6"/>
  <c r="B6948" i="6"/>
  <c r="J6948" i="6"/>
  <c r="B6949" i="6"/>
  <c r="J6949" i="6"/>
  <c r="B6950" i="6"/>
  <c r="J6950" i="6"/>
  <c r="B6951" i="6"/>
  <c r="J6951" i="6"/>
  <c r="B6952" i="6"/>
  <c r="J6952" i="6"/>
  <c r="B6953" i="6"/>
  <c r="J6953" i="6"/>
  <c r="B6954" i="6"/>
  <c r="J6954" i="6"/>
  <c r="B6955" i="6"/>
  <c r="J6955" i="6"/>
  <c r="B6956" i="6"/>
  <c r="J6956" i="6"/>
  <c r="B6957" i="6"/>
  <c r="J6957" i="6"/>
  <c r="B6958" i="6"/>
  <c r="J6958" i="6"/>
  <c r="B6959" i="6"/>
  <c r="J6959" i="6"/>
  <c r="B6960" i="6"/>
  <c r="J6960" i="6"/>
  <c r="B6961" i="6"/>
  <c r="J6961" i="6"/>
  <c r="B6962" i="6"/>
  <c r="J6962" i="6"/>
  <c r="B6963" i="6"/>
  <c r="J6963" i="6"/>
  <c r="B6964" i="6"/>
  <c r="J6964" i="6"/>
  <c r="B6965" i="6"/>
  <c r="J6965" i="6"/>
  <c r="B6966" i="6"/>
  <c r="J6966" i="6"/>
  <c r="B6967" i="6"/>
  <c r="J6967" i="6"/>
  <c r="B6968" i="6"/>
  <c r="J6968" i="6"/>
  <c r="B6969" i="6"/>
  <c r="J6969" i="6"/>
  <c r="B6970" i="6"/>
  <c r="J6970" i="6"/>
  <c r="B6971" i="6"/>
  <c r="J6971" i="6"/>
  <c r="B6972" i="6"/>
  <c r="J6972" i="6"/>
  <c r="B6973" i="6"/>
  <c r="J6973" i="6"/>
  <c r="B6974" i="6"/>
  <c r="J6974" i="6"/>
  <c r="B6975" i="6"/>
  <c r="J6975" i="6"/>
  <c r="B6976" i="6"/>
  <c r="J6976" i="6"/>
  <c r="B6977" i="6"/>
  <c r="J6977" i="6"/>
  <c r="B6978" i="6"/>
  <c r="J6978" i="6"/>
  <c r="B6979" i="6"/>
  <c r="J6979" i="6"/>
  <c r="B6980" i="6"/>
  <c r="J6980" i="6"/>
  <c r="B6981" i="6"/>
  <c r="J6981" i="6"/>
  <c r="B6982" i="6"/>
  <c r="J6982" i="6"/>
  <c r="B6983" i="6"/>
  <c r="J6983" i="6"/>
  <c r="B6984" i="6"/>
  <c r="J6984" i="6"/>
  <c r="B6985" i="6"/>
  <c r="J6985" i="6"/>
  <c r="B6986" i="6"/>
  <c r="J6986" i="6"/>
  <c r="B6987" i="6"/>
  <c r="J6987" i="6"/>
  <c r="B6988" i="6"/>
  <c r="J6988" i="6"/>
  <c r="B6989" i="6"/>
  <c r="J6989" i="6"/>
  <c r="B6990" i="6"/>
  <c r="J6990" i="6"/>
  <c r="B6991" i="6"/>
  <c r="J6991" i="6"/>
  <c r="B6992" i="6"/>
  <c r="J6992" i="6"/>
  <c r="B6993" i="6"/>
  <c r="J6993" i="6"/>
  <c r="B6994" i="6"/>
  <c r="J6994" i="6"/>
  <c r="B6995" i="6"/>
  <c r="J6995" i="6"/>
  <c r="B6996" i="6"/>
  <c r="J6996" i="6"/>
  <c r="B6997" i="6"/>
  <c r="J6997" i="6"/>
  <c r="B6998" i="6"/>
  <c r="J6998" i="6"/>
  <c r="B6999" i="6"/>
  <c r="J6999" i="6"/>
  <c r="B7000" i="6"/>
  <c r="J7000" i="6"/>
  <c r="B7001" i="6"/>
  <c r="J7001" i="6"/>
  <c r="B7002" i="6"/>
  <c r="J7002" i="6"/>
  <c r="B7003" i="6"/>
  <c r="J7003" i="6"/>
  <c r="B7004" i="6"/>
  <c r="J7004" i="6"/>
  <c r="B7005" i="6"/>
  <c r="J7005" i="6"/>
  <c r="B7006" i="6"/>
  <c r="J7006" i="6"/>
  <c r="B7007" i="6"/>
  <c r="J7007" i="6"/>
  <c r="B7008" i="6"/>
  <c r="J7008" i="6"/>
  <c r="B7009" i="6"/>
  <c r="J7009" i="6"/>
  <c r="B7010" i="6"/>
  <c r="J7010" i="6"/>
  <c r="B7011" i="6"/>
  <c r="J7011" i="6"/>
  <c r="B7012" i="6"/>
  <c r="J7012" i="6"/>
  <c r="B7013" i="6"/>
  <c r="J7013" i="6"/>
  <c r="B7014" i="6"/>
  <c r="J7014" i="6"/>
  <c r="B7015" i="6"/>
  <c r="J7015" i="6"/>
  <c r="B7016" i="6"/>
  <c r="J7016" i="6"/>
  <c r="B7017" i="6"/>
  <c r="J7017" i="6"/>
  <c r="B7018" i="6"/>
  <c r="J7018" i="6"/>
  <c r="B7019" i="6"/>
  <c r="J7019" i="6"/>
  <c r="B7020" i="6"/>
  <c r="J7020" i="6"/>
  <c r="B7021" i="6"/>
  <c r="J7021" i="6"/>
  <c r="B7022" i="6"/>
  <c r="J7022" i="6"/>
  <c r="B7023" i="6"/>
  <c r="J7023" i="6"/>
  <c r="B7024" i="6"/>
  <c r="J7024" i="6"/>
  <c r="B7025" i="6"/>
  <c r="J7025" i="6"/>
  <c r="B7026" i="6"/>
  <c r="J7026" i="6"/>
  <c r="B7027" i="6"/>
  <c r="J7027" i="6"/>
  <c r="B7028" i="6"/>
  <c r="J7028" i="6"/>
  <c r="B7029" i="6"/>
  <c r="J7029" i="6"/>
  <c r="B7030" i="6"/>
  <c r="J7030" i="6"/>
  <c r="B7031" i="6"/>
  <c r="J7031" i="6"/>
  <c r="B7032" i="6"/>
  <c r="J7032" i="6"/>
  <c r="B7033" i="6"/>
  <c r="J7033" i="6"/>
  <c r="B7034" i="6"/>
  <c r="J7034" i="6"/>
  <c r="B7035" i="6"/>
  <c r="J7035" i="6"/>
  <c r="B7036" i="6"/>
  <c r="J7036" i="6"/>
  <c r="B7037" i="6"/>
  <c r="J7037" i="6"/>
  <c r="B7038" i="6"/>
  <c r="J7038" i="6"/>
  <c r="B7039" i="6"/>
  <c r="J7039" i="6"/>
  <c r="B7040" i="6"/>
  <c r="J7040" i="6"/>
  <c r="B7041" i="6"/>
  <c r="J7041" i="6"/>
  <c r="B7042" i="6"/>
  <c r="J7042" i="6"/>
  <c r="B7043" i="6"/>
  <c r="J7043" i="6"/>
  <c r="B7044" i="6"/>
  <c r="J7044" i="6"/>
  <c r="B7045" i="6"/>
  <c r="J7045" i="6"/>
  <c r="B7046" i="6"/>
  <c r="J7046" i="6"/>
  <c r="B7047" i="6"/>
  <c r="J7047" i="6"/>
  <c r="B7048" i="6"/>
  <c r="J7048" i="6"/>
  <c r="B7049" i="6"/>
  <c r="J7049" i="6"/>
  <c r="B7050" i="6"/>
  <c r="J7050" i="6"/>
  <c r="B7051" i="6"/>
  <c r="J7051" i="6"/>
  <c r="B7052" i="6"/>
  <c r="J7052" i="6"/>
  <c r="B7053" i="6"/>
  <c r="J7053" i="6"/>
  <c r="B7054" i="6"/>
  <c r="J7054" i="6"/>
  <c r="B7055" i="6"/>
  <c r="J7055" i="6"/>
  <c r="B7056" i="6"/>
  <c r="J7056" i="6"/>
  <c r="B7057" i="6"/>
  <c r="J7057" i="6"/>
  <c r="B7058" i="6"/>
  <c r="J7058" i="6"/>
  <c r="B7059" i="6"/>
  <c r="J7059" i="6"/>
  <c r="B7060" i="6"/>
  <c r="J7060" i="6"/>
  <c r="B7061" i="6"/>
  <c r="J7061" i="6"/>
  <c r="B7062" i="6"/>
  <c r="J7062" i="6"/>
  <c r="B7063" i="6"/>
  <c r="J7063" i="6"/>
  <c r="B7064" i="6"/>
  <c r="J7064" i="6"/>
  <c r="B7065" i="6"/>
  <c r="J7065" i="6"/>
  <c r="B7066" i="6"/>
  <c r="J7066" i="6"/>
  <c r="B7067" i="6"/>
  <c r="J7067" i="6"/>
  <c r="B7068" i="6"/>
  <c r="J7068" i="6"/>
  <c r="B7069" i="6"/>
  <c r="J7069" i="6"/>
  <c r="B7070" i="6"/>
  <c r="J7070" i="6"/>
  <c r="B7071" i="6"/>
  <c r="J7071" i="6"/>
  <c r="B7072" i="6"/>
  <c r="J7072" i="6"/>
  <c r="B7073" i="6"/>
  <c r="J7073" i="6"/>
  <c r="B7074" i="6"/>
  <c r="J7074" i="6"/>
  <c r="B7075" i="6"/>
  <c r="J7075" i="6"/>
  <c r="B7076" i="6"/>
  <c r="J7076" i="6"/>
  <c r="B7077" i="6"/>
  <c r="J7077" i="6"/>
  <c r="B7078" i="6"/>
  <c r="J7078" i="6"/>
  <c r="B7079" i="6"/>
  <c r="J7079" i="6"/>
  <c r="B7080" i="6"/>
  <c r="J7080" i="6"/>
  <c r="B7081" i="6"/>
  <c r="J7081" i="6"/>
  <c r="B7082" i="6"/>
  <c r="J7082" i="6"/>
  <c r="B7083" i="6"/>
  <c r="J7083" i="6"/>
  <c r="B7084" i="6"/>
  <c r="J7084" i="6"/>
  <c r="B7085" i="6"/>
  <c r="J7085" i="6"/>
  <c r="B7086" i="6"/>
  <c r="J7086" i="6"/>
  <c r="B7087" i="6"/>
  <c r="J7087" i="6"/>
  <c r="B7088" i="6"/>
  <c r="J7088" i="6"/>
  <c r="B7089" i="6"/>
  <c r="J7089" i="6"/>
  <c r="B7090" i="6"/>
  <c r="J7090" i="6"/>
  <c r="B7091" i="6"/>
  <c r="J7091" i="6"/>
  <c r="B7092" i="6"/>
  <c r="J7092" i="6"/>
  <c r="B7093" i="6"/>
  <c r="J7093" i="6"/>
  <c r="B7094" i="6"/>
  <c r="J7094" i="6"/>
  <c r="B7095" i="6"/>
  <c r="J7095" i="6"/>
  <c r="B7096" i="6"/>
  <c r="J7096" i="6"/>
  <c r="B7097" i="6"/>
  <c r="J7097" i="6"/>
  <c r="B7098" i="6"/>
  <c r="J7098" i="6"/>
  <c r="B7099" i="6"/>
  <c r="J7099" i="6"/>
  <c r="B7100" i="6"/>
  <c r="J7100" i="6"/>
  <c r="B7101" i="6"/>
  <c r="J7101" i="6"/>
  <c r="B7102" i="6"/>
  <c r="J7102" i="6"/>
  <c r="B7103" i="6"/>
  <c r="J7103" i="6"/>
  <c r="B7104" i="6"/>
  <c r="J7104" i="6"/>
  <c r="B7105" i="6"/>
  <c r="J7105" i="6"/>
  <c r="B7106" i="6"/>
  <c r="J7106" i="6"/>
  <c r="B7107" i="6"/>
  <c r="J7107" i="6"/>
  <c r="B7108" i="6"/>
  <c r="J7108" i="6"/>
  <c r="B7109" i="6"/>
  <c r="J7109" i="6"/>
  <c r="B7110" i="6"/>
  <c r="J7110" i="6"/>
  <c r="B7111" i="6"/>
  <c r="J7111" i="6"/>
  <c r="B7112" i="6"/>
  <c r="J7112" i="6"/>
  <c r="B7113" i="6"/>
  <c r="J7113" i="6"/>
  <c r="B7114" i="6"/>
  <c r="J7114" i="6"/>
  <c r="B7115" i="6"/>
  <c r="J7115" i="6"/>
  <c r="B7116" i="6"/>
  <c r="J7116" i="6"/>
  <c r="B7117" i="6"/>
  <c r="J7117" i="6"/>
  <c r="B7118" i="6"/>
  <c r="J7118" i="6"/>
  <c r="B7119" i="6"/>
  <c r="J7119" i="6"/>
  <c r="B7120" i="6"/>
  <c r="J7120" i="6"/>
  <c r="B7121" i="6"/>
  <c r="J7121" i="6"/>
  <c r="B7122" i="6"/>
  <c r="J7122" i="6"/>
  <c r="B7123" i="6"/>
  <c r="J7123" i="6"/>
  <c r="B7124" i="6"/>
  <c r="J7124" i="6"/>
  <c r="B7125" i="6"/>
  <c r="J7125" i="6"/>
  <c r="B7126" i="6"/>
  <c r="J7126" i="6"/>
  <c r="B7127" i="6"/>
  <c r="J7127" i="6"/>
  <c r="B7128" i="6"/>
  <c r="J7128" i="6"/>
  <c r="B7129" i="6"/>
  <c r="J7129" i="6"/>
  <c r="B7130" i="6"/>
  <c r="J7130" i="6"/>
  <c r="B7131" i="6"/>
  <c r="J7131" i="6"/>
  <c r="B7132" i="6"/>
  <c r="J7132" i="6"/>
  <c r="B7133" i="6"/>
  <c r="J7133" i="6"/>
  <c r="B7134" i="6"/>
  <c r="J7134" i="6"/>
  <c r="B7135" i="6"/>
  <c r="J7135" i="6"/>
  <c r="B7136" i="6"/>
  <c r="J7136" i="6"/>
  <c r="B7137" i="6"/>
  <c r="J7137" i="6"/>
  <c r="B7138" i="6"/>
  <c r="J7138" i="6"/>
  <c r="B7139" i="6"/>
  <c r="J7139" i="6"/>
  <c r="B7140" i="6"/>
  <c r="J7140" i="6"/>
  <c r="B7141" i="6"/>
  <c r="J7141" i="6"/>
  <c r="B7142" i="6"/>
  <c r="J7142" i="6"/>
  <c r="B7143" i="6"/>
  <c r="J7143" i="6"/>
  <c r="B7144" i="6"/>
  <c r="J7144" i="6"/>
  <c r="B7145" i="6"/>
  <c r="J7145" i="6"/>
  <c r="B7146" i="6"/>
  <c r="J7146" i="6"/>
  <c r="B7147" i="6"/>
  <c r="J7147" i="6"/>
  <c r="B7148" i="6"/>
  <c r="J7148" i="6"/>
  <c r="B7149" i="6"/>
  <c r="J7149" i="6"/>
  <c r="B7150" i="6"/>
  <c r="J7150" i="6"/>
  <c r="B7151" i="6"/>
  <c r="J7151" i="6"/>
  <c r="B7152" i="6"/>
  <c r="J7152" i="6"/>
  <c r="B7153" i="6"/>
  <c r="J7153" i="6"/>
  <c r="B7154" i="6"/>
  <c r="J7154" i="6"/>
  <c r="B7155" i="6"/>
  <c r="J7155" i="6"/>
  <c r="B7156" i="6"/>
  <c r="J7156" i="6"/>
  <c r="B7157" i="6"/>
  <c r="J7157" i="6"/>
  <c r="B7158" i="6"/>
  <c r="J7158" i="6"/>
  <c r="B7159" i="6"/>
  <c r="J7159" i="6"/>
  <c r="B7160" i="6"/>
  <c r="J7160" i="6"/>
  <c r="B7161" i="6"/>
  <c r="J7161" i="6"/>
  <c r="B7162" i="6"/>
  <c r="J7162" i="6"/>
  <c r="B7163" i="6"/>
  <c r="J7163" i="6"/>
  <c r="B7164" i="6"/>
  <c r="J7164" i="6"/>
  <c r="B7165" i="6"/>
  <c r="J7165" i="6"/>
  <c r="B7166" i="6"/>
  <c r="J7166" i="6"/>
  <c r="B7167" i="6"/>
  <c r="J7167" i="6"/>
  <c r="B7168" i="6"/>
  <c r="J7168" i="6"/>
  <c r="B7169" i="6"/>
  <c r="J7169" i="6"/>
  <c r="B7170" i="6"/>
  <c r="J7170" i="6"/>
  <c r="B7171" i="6"/>
  <c r="J7171" i="6"/>
  <c r="B7172" i="6"/>
  <c r="J7172" i="6"/>
  <c r="B7173" i="6"/>
  <c r="J7173" i="6"/>
  <c r="B7174" i="6"/>
  <c r="J7174" i="6"/>
  <c r="B7175" i="6"/>
  <c r="J7175" i="6"/>
  <c r="B7176" i="6"/>
  <c r="J7176" i="6"/>
  <c r="B7177" i="6"/>
  <c r="J7177" i="6"/>
  <c r="B7178" i="6"/>
  <c r="J7178" i="6"/>
  <c r="B7179" i="6"/>
  <c r="J7179" i="6"/>
  <c r="B7180" i="6"/>
  <c r="J7180" i="6"/>
  <c r="B7181" i="6"/>
  <c r="J7181" i="6"/>
  <c r="B7182" i="6"/>
  <c r="J7182" i="6"/>
  <c r="B7183" i="6"/>
  <c r="J7183" i="6"/>
  <c r="B7184" i="6"/>
  <c r="J7184" i="6"/>
  <c r="B7185" i="6"/>
  <c r="J7185" i="6"/>
  <c r="B7186" i="6"/>
  <c r="J7186" i="6"/>
  <c r="B7187" i="6"/>
  <c r="J7187" i="6"/>
  <c r="B7188" i="6"/>
  <c r="J7188" i="6"/>
  <c r="B7189" i="6"/>
  <c r="J7189" i="6"/>
  <c r="B7190" i="6"/>
  <c r="J7190" i="6"/>
  <c r="B7191" i="6"/>
  <c r="J7191" i="6"/>
  <c r="B7192" i="6"/>
  <c r="J7192" i="6"/>
  <c r="B7193" i="6"/>
  <c r="J7193" i="6"/>
  <c r="B7194" i="6"/>
  <c r="J7194" i="6"/>
  <c r="B7195" i="6"/>
  <c r="J7195" i="6"/>
  <c r="B7196" i="6"/>
  <c r="J7196" i="6"/>
  <c r="B7197" i="6"/>
  <c r="J7197" i="6"/>
  <c r="B7198" i="6"/>
  <c r="J7198" i="6"/>
  <c r="B7199" i="6"/>
  <c r="J7199" i="6"/>
  <c r="B7200" i="6"/>
  <c r="J7200" i="6"/>
  <c r="B7201" i="6"/>
  <c r="J7201" i="6"/>
  <c r="B7202" i="6"/>
  <c r="J7202" i="6"/>
  <c r="B7203" i="6"/>
  <c r="J7203" i="6"/>
  <c r="B7204" i="6"/>
  <c r="J7204" i="6"/>
  <c r="B7205" i="6"/>
  <c r="J7205" i="6"/>
  <c r="B7206" i="6"/>
  <c r="J7206" i="6"/>
  <c r="B7207" i="6"/>
  <c r="J7207" i="6"/>
  <c r="B7208" i="6"/>
  <c r="J7208" i="6"/>
  <c r="B7209" i="6"/>
  <c r="J7209" i="6"/>
  <c r="B7210" i="6"/>
  <c r="J7210" i="6"/>
  <c r="B7211" i="6"/>
  <c r="J7211" i="6"/>
  <c r="B7212" i="6"/>
  <c r="J7212" i="6"/>
  <c r="B7213" i="6"/>
  <c r="J7213" i="6"/>
  <c r="B7214" i="6"/>
  <c r="J7214" i="6"/>
  <c r="B7215" i="6"/>
  <c r="J7215" i="6"/>
  <c r="B7216" i="6"/>
  <c r="J7216" i="6"/>
  <c r="B7217" i="6"/>
  <c r="J7217" i="6"/>
  <c r="B7218" i="6"/>
  <c r="J7218" i="6"/>
  <c r="B7219" i="6"/>
  <c r="J7219" i="6"/>
  <c r="B7220" i="6"/>
  <c r="J7220" i="6"/>
  <c r="B7221" i="6"/>
  <c r="J7221" i="6"/>
  <c r="B7222" i="6"/>
  <c r="J7222" i="6"/>
  <c r="B7223" i="6"/>
  <c r="J7223" i="6"/>
  <c r="B7224" i="6"/>
  <c r="J7224" i="6"/>
  <c r="B7225" i="6"/>
  <c r="J7225" i="6"/>
  <c r="B7226" i="6"/>
  <c r="J7226" i="6"/>
  <c r="B7227" i="6"/>
  <c r="J7227" i="6"/>
  <c r="B7228" i="6"/>
  <c r="J7228" i="6"/>
  <c r="B7229" i="6"/>
  <c r="J7229" i="6"/>
  <c r="B7230" i="6"/>
  <c r="J7230" i="6"/>
  <c r="B7231" i="6"/>
  <c r="J7231" i="6"/>
  <c r="B7232" i="6"/>
  <c r="J7232" i="6"/>
  <c r="B7233" i="6"/>
  <c r="J7233" i="6"/>
  <c r="B7234" i="6"/>
  <c r="J7234" i="6"/>
  <c r="B7235" i="6"/>
  <c r="J7235" i="6"/>
  <c r="B7236" i="6"/>
  <c r="J7236" i="6"/>
  <c r="B7237" i="6"/>
  <c r="J7237" i="6"/>
  <c r="B7238" i="6"/>
  <c r="J7238" i="6"/>
  <c r="B7239" i="6"/>
  <c r="J7239" i="6"/>
  <c r="B7240" i="6"/>
  <c r="J7240" i="6"/>
  <c r="B7241" i="6"/>
  <c r="J7241" i="6"/>
  <c r="B7242" i="6"/>
  <c r="J7242" i="6"/>
  <c r="B7243" i="6"/>
  <c r="J7243" i="6"/>
  <c r="B7244" i="6"/>
  <c r="J7244" i="6"/>
  <c r="B7245" i="6"/>
  <c r="J7245" i="6"/>
  <c r="B7246" i="6"/>
  <c r="J7246" i="6"/>
  <c r="B7247" i="6"/>
  <c r="J7247" i="6"/>
  <c r="B7248" i="6"/>
  <c r="J7248" i="6"/>
  <c r="B7249" i="6"/>
  <c r="J7249" i="6"/>
  <c r="B7250" i="6"/>
  <c r="J7250" i="6"/>
  <c r="B7251" i="6"/>
  <c r="J7251" i="6"/>
  <c r="B7252" i="6"/>
  <c r="J7252" i="6"/>
  <c r="B7253" i="6"/>
  <c r="J7253" i="6"/>
  <c r="B7254" i="6"/>
  <c r="J7254" i="6"/>
  <c r="B7255" i="6"/>
  <c r="J7255" i="6"/>
  <c r="B7256" i="6"/>
  <c r="J7256" i="6"/>
  <c r="B7257" i="6"/>
  <c r="J7257" i="6"/>
  <c r="B7258" i="6"/>
  <c r="J7258" i="6"/>
  <c r="B7259" i="6"/>
  <c r="J7259" i="6"/>
  <c r="B7260" i="6"/>
  <c r="J7260" i="6"/>
  <c r="B7261" i="6"/>
  <c r="J7261" i="6"/>
  <c r="B7262" i="6"/>
  <c r="J7262" i="6"/>
  <c r="B7263" i="6"/>
  <c r="J7263" i="6"/>
  <c r="B7264" i="6"/>
  <c r="J7264" i="6"/>
  <c r="B7265" i="6"/>
  <c r="J7265" i="6"/>
  <c r="B7266" i="6"/>
  <c r="J7266" i="6"/>
  <c r="B7267" i="6"/>
  <c r="J7267" i="6"/>
  <c r="B7268" i="6"/>
  <c r="J7268" i="6"/>
  <c r="B7269" i="6"/>
  <c r="J7269" i="6"/>
  <c r="B7270" i="6"/>
  <c r="J7270" i="6"/>
  <c r="B7271" i="6"/>
  <c r="J7271" i="6"/>
  <c r="B7272" i="6"/>
  <c r="J7272" i="6"/>
  <c r="B7273" i="6"/>
  <c r="J7273" i="6"/>
  <c r="B7274" i="6"/>
  <c r="J7274" i="6"/>
  <c r="B7275" i="6"/>
  <c r="J7275" i="6"/>
  <c r="B7276" i="6"/>
  <c r="J7276" i="6"/>
  <c r="B7277" i="6"/>
  <c r="J7277" i="6"/>
  <c r="B7278" i="6"/>
  <c r="J7278" i="6"/>
  <c r="B7279" i="6"/>
  <c r="J7279" i="6"/>
  <c r="B7280" i="6"/>
  <c r="J7280" i="6"/>
  <c r="B7281" i="6"/>
  <c r="J7281" i="6"/>
  <c r="B7282" i="6"/>
  <c r="J7282" i="6"/>
  <c r="B7283" i="6"/>
  <c r="J7283" i="6"/>
  <c r="B7284" i="6"/>
  <c r="J7284" i="6"/>
  <c r="B7285" i="6"/>
  <c r="J7285" i="6"/>
  <c r="B7286" i="6"/>
  <c r="J7286" i="6"/>
  <c r="B7287" i="6"/>
  <c r="J7287" i="6"/>
  <c r="B7288" i="6"/>
  <c r="J7288" i="6"/>
  <c r="B7289" i="6"/>
  <c r="J7289" i="6"/>
  <c r="B7290" i="6"/>
  <c r="J7290" i="6"/>
  <c r="B7291" i="6"/>
  <c r="J7291" i="6"/>
  <c r="B7292" i="6"/>
  <c r="J7292" i="6"/>
  <c r="B7293" i="6"/>
  <c r="J7293" i="6"/>
  <c r="B7294" i="6"/>
  <c r="J7294" i="6"/>
  <c r="B7295" i="6"/>
  <c r="J7295" i="6"/>
  <c r="B7296" i="6"/>
  <c r="J7296" i="6"/>
  <c r="B7297" i="6"/>
  <c r="J7297" i="6"/>
  <c r="B7298" i="6"/>
  <c r="J7298" i="6"/>
  <c r="B7299" i="6"/>
  <c r="J7299" i="6"/>
  <c r="B7300" i="6"/>
  <c r="J7300" i="6"/>
  <c r="B7301" i="6"/>
  <c r="J7301" i="6"/>
  <c r="B7302" i="6"/>
  <c r="J7302" i="6"/>
  <c r="B7303" i="6"/>
  <c r="J7303" i="6"/>
  <c r="B7304" i="6"/>
  <c r="J7304" i="6"/>
  <c r="B7305" i="6"/>
  <c r="J7305" i="6"/>
  <c r="B7306" i="6"/>
  <c r="J7306" i="6"/>
  <c r="B7307" i="6"/>
  <c r="J7307" i="6"/>
  <c r="B7308" i="6"/>
  <c r="J7308" i="6"/>
  <c r="B7309" i="6"/>
  <c r="J7309" i="6"/>
  <c r="B7310" i="6"/>
  <c r="J7310" i="6"/>
  <c r="B7311" i="6"/>
  <c r="J7311" i="6"/>
  <c r="B7312" i="6"/>
  <c r="J7312" i="6"/>
  <c r="B7313" i="6"/>
  <c r="J7313" i="6"/>
  <c r="B7314" i="6"/>
  <c r="J7314" i="6"/>
  <c r="B7315" i="6"/>
  <c r="J7315" i="6"/>
  <c r="B7316" i="6"/>
  <c r="J7316" i="6"/>
  <c r="B7317" i="6"/>
  <c r="J7317" i="6"/>
  <c r="B7318" i="6"/>
  <c r="J7318" i="6"/>
  <c r="B7319" i="6"/>
  <c r="J7319" i="6"/>
  <c r="B7320" i="6"/>
  <c r="J7320" i="6"/>
  <c r="B7321" i="6"/>
  <c r="J7321" i="6"/>
  <c r="B7322" i="6"/>
  <c r="J7322" i="6"/>
  <c r="B7323" i="6"/>
  <c r="J7323" i="6"/>
  <c r="B7324" i="6"/>
  <c r="J7324" i="6"/>
  <c r="B7325" i="6"/>
  <c r="J7325" i="6"/>
  <c r="B7326" i="6"/>
  <c r="J7326" i="6"/>
  <c r="B7327" i="6"/>
  <c r="J7327" i="6"/>
  <c r="B7328" i="6"/>
  <c r="J7328" i="6"/>
  <c r="B7329" i="6"/>
  <c r="J7329" i="6"/>
  <c r="B7330" i="6"/>
  <c r="J7330" i="6"/>
  <c r="B7331" i="6"/>
  <c r="J7331" i="6"/>
  <c r="B7332" i="6"/>
  <c r="J7332" i="6"/>
  <c r="B7333" i="6"/>
  <c r="J7333" i="6"/>
  <c r="B7334" i="6"/>
  <c r="J7334" i="6"/>
  <c r="B7335" i="6"/>
  <c r="J7335" i="6"/>
  <c r="B7336" i="6"/>
  <c r="J7336" i="6"/>
  <c r="B7337" i="6"/>
  <c r="J7337" i="6"/>
  <c r="B7338" i="6"/>
  <c r="J7338" i="6"/>
  <c r="B7339" i="6"/>
  <c r="J7339" i="6"/>
  <c r="B7340" i="6"/>
  <c r="J7340" i="6"/>
  <c r="B7341" i="6"/>
  <c r="J7341" i="6"/>
  <c r="B7342" i="6"/>
  <c r="J7342" i="6"/>
  <c r="B7343" i="6"/>
  <c r="J7343" i="6"/>
  <c r="B7344" i="6"/>
  <c r="J7344" i="6"/>
  <c r="B7345" i="6"/>
  <c r="J7345" i="6"/>
  <c r="B7346" i="6"/>
  <c r="J7346" i="6"/>
  <c r="B7347" i="6"/>
  <c r="J7347" i="6"/>
  <c r="B7348" i="6"/>
  <c r="J7348" i="6"/>
  <c r="B7349" i="6"/>
  <c r="J7349" i="6"/>
  <c r="B7350" i="6"/>
  <c r="J7350" i="6"/>
  <c r="B7351" i="6"/>
  <c r="J7351" i="6"/>
  <c r="B7352" i="6"/>
  <c r="J7352" i="6"/>
  <c r="B7353" i="6"/>
  <c r="J7353" i="6"/>
  <c r="B7354" i="6"/>
  <c r="J7354" i="6"/>
  <c r="B7355" i="6"/>
  <c r="J7355" i="6"/>
  <c r="B7356" i="6"/>
  <c r="J7356" i="6"/>
  <c r="B7357" i="6"/>
  <c r="J7357" i="6"/>
  <c r="B7358" i="6"/>
  <c r="J7358" i="6"/>
  <c r="B7359" i="6"/>
  <c r="J7359" i="6"/>
  <c r="B7360" i="6"/>
  <c r="J7360" i="6"/>
  <c r="B7361" i="6"/>
  <c r="J7361" i="6"/>
  <c r="B7362" i="6"/>
  <c r="J7362" i="6"/>
  <c r="B7363" i="6"/>
  <c r="J7363" i="6"/>
  <c r="B7364" i="6"/>
  <c r="J7364" i="6"/>
  <c r="B7365" i="6"/>
  <c r="J7365" i="6"/>
  <c r="B7366" i="6"/>
  <c r="J7366" i="6"/>
  <c r="B7367" i="6"/>
  <c r="J7367" i="6"/>
  <c r="B7368" i="6"/>
  <c r="J7368" i="6"/>
  <c r="B7369" i="6"/>
  <c r="J7369" i="6"/>
  <c r="B7370" i="6"/>
  <c r="J7370" i="6"/>
  <c r="B7371" i="6"/>
  <c r="J7371" i="6"/>
  <c r="B7372" i="6"/>
  <c r="J7372" i="6"/>
  <c r="B7373" i="6"/>
  <c r="J7373" i="6"/>
  <c r="B7374" i="6"/>
  <c r="J7374" i="6"/>
  <c r="B7375" i="6"/>
  <c r="J7375" i="6"/>
  <c r="B7376" i="6"/>
  <c r="J7376" i="6"/>
  <c r="B7377" i="6"/>
  <c r="J7377" i="6"/>
  <c r="B7378" i="6"/>
  <c r="J7378" i="6"/>
  <c r="B7379" i="6"/>
  <c r="J7379" i="6"/>
  <c r="B7380" i="6"/>
  <c r="J7380" i="6"/>
  <c r="B7381" i="6"/>
  <c r="J7381" i="6"/>
  <c r="B7382" i="6"/>
  <c r="J7382" i="6"/>
  <c r="B7383" i="6"/>
  <c r="J7383" i="6"/>
  <c r="B7384" i="6"/>
  <c r="J7384" i="6"/>
  <c r="B7385" i="6"/>
  <c r="J7385" i="6"/>
  <c r="B7386" i="6"/>
  <c r="J7386" i="6"/>
  <c r="B7387" i="6"/>
  <c r="J7387" i="6"/>
  <c r="B7388" i="6"/>
  <c r="J7388" i="6"/>
  <c r="B7389" i="6"/>
  <c r="J7389" i="6"/>
  <c r="B7390" i="6"/>
  <c r="J7390" i="6"/>
  <c r="B7391" i="6"/>
  <c r="J7391" i="6"/>
  <c r="B7392" i="6"/>
  <c r="J7392" i="6"/>
  <c r="B7393" i="6"/>
  <c r="J7393" i="6"/>
  <c r="B7394" i="6"/>
  <c r="J7394" i="6"/>
  <c r="B7395" i="6"/>
  <c r="J7395" i="6"/>
  <c r="B7396" i="6"/>
  <c r="J7396" i="6"/>
  <c r="B7397" i="6"/>
  <c r="J7397" i="6"/>
  <c r="B7398" i="6"/>
  <c r="J7398" i="6"/>
  <c r="B7399" i="6"/>
  <c r="J7399" i="6"/>
  <c r="B7400" i="6"/>
  <c r="J7400" i="6"/>
  <c r="B7401" i="6"/>
  <c r="J7401" i="6"/>
  <c r="B7402" i="6"/>
  <c r="J7402" i="6"/>
  <c r="B7403" i="6"/>
  <c r="J7403" i="6"/>
  <c r="B7404" i="6"/>
  <c r="J7404" i="6"/>
  <c r="B7405" i="6"/>
  <c r="J7405" i="6"/>
  <c r="B7406" i="6"/>
  <c r="J7406" i="6"/>
  <c r="B7407" i="6"/>
  <c r="J7407" i="6"/>
  <c r="B7408" i="6"/>
  <c r="J7408" i="6"/>
  <c r="B7409" i="6"/>
  <c r="J7409" i="6"/>
  <c r="B7410" i="6"/>
  <c r="J7410" i="6"/>
  <c r="B7411" i="6"/>
  <c r="J7411" i="6"/>
  <c r="B7412" i="6"/>
  <c r="J7412" i="6"/>
  <c r="B7413" i="6"/>
  <c r="J7413" i="6"/>
  <c r="B7414" i="6"/>
  <c r="J7414" i="6"/>
  <c r="B7415" i="6"/>
  <c r="J7415" i="6"/>
  <c r="B7416" i="6"/>
  <c r="J7416" i="6"/>
  <c r="B7417" i="6"/>
  <c r="J7417" i="6"/>
  <c r="B7418" i="6"/>
  <c r="J7418" i="6"/>
  <c r="B7419" i="6"/>
  <c r="J7419" i="6"/>
  <c r="B7420" i="6"/>
  <c r="J7420" i="6"/>
  <c r="B7421" i="6"/>
  <c r="J7421" i="6"/>
  <c r="B7422" i="6"/>
  <c r="J7422" i="6"/>
  <c r="B7423" i="6"/>
  <c r="J7423" i="6"/>
  <c r="B7424" i="6"/>
  <c r="J7424" i="6"/>
  <c r="B7425" i="6"/>
  <c r="J7425" i="6"/>
  <c r="B7426" i="6"/>
  <c r="J7426" i="6"/>
  <c r="B7427" i="6"/>
  <c r="J7427" i="6"/>
  <c r="B7428" i="6"/>
  <c r="J7428" i="6"/>
  <c r="B7429" i="6"/>
  <c r="J7429" i="6"/>
  <c r="B7430" i="6"/>
  <c r="J7430" i="6"/>
  <c r="B7431" i="6"/>
  <c r="J7431" i="6"/>
  <c r="B7432" i="6"/>
  <c r="J7432" i="6"/>
  <c r="B7433" i="6"/>
  <c r="J7433" i="6"/>
  <c r="B7434" i="6"/>
  <c r="J7434" i="6"/>
  <c r="B7435" i="6"/>
  <c r="J7435" i="6"/>
  <c r="B7436" i="6"/>
  <c r="J7436" i="6"/>
  <c r="B7437" i="6"/>
  <c r="J7437" i="6"/>
  <c r="B7438" i="6"/>
  <c r="J7438" i="6"/>
  <c r="B7439" i="6"/>
  <c r="J7439" i="6"/>
  <c r="B7440" i="6"/>
  <c r="J7440" i="6"/>
  <c r="B7441" i="6"/>
  <c r="J7441" i="6"/>
  <c r="B7442" i="6"/>
  <c r="J7442" i="6"/>
  <c r="B7443" i="6"/>
  <c r="J7443" i="6"/>
  <c r="B7444" i="6"/>
  <c r="J7444" i="6"/>
  <c r="B7445" i="6"/>
  <c r="J7445" i="6"/>
  <c r="B7446" i="6"/>
  <c r="J7446" i="6"/>
  <c r="B7447" i="6"/>
  <c r="J7447" i="6"/>
  <c r="B7448" i="6"/>
  <c r="J7448" i="6"/>
  <c r="B7449" i="6"/>
  <c r="J7449" i="6"/>
  <c r="B7450" i="6"/>
  <c r="J7450" i="6"/>
  <c r="B7451" i="6"/>
  <c r="J7451" i="6"/>
  <c r="B7452" i="6"/>
  <c r="J7452" i="6"/>
  <c r="B7453" i="6"/>
  <c r="J7453" i="6"/>
  <c r="B7454" i="6"/>
  <c r="J7454" i="6"/>
  <c r="B7455" i="6"/>
  <c r="J7455" i="6"/>
  <c r="B7456" i="6"/>
  <c r="J7456" i="6"/>
  <c r="B7457" i="6"/>
  <c r="J7457" i="6"/>
  <c r="B7458" i="6"/>
  <c r="J7458" i="6"/>
  <c r="B7459" i="6"/>
  <c r="J7459" i="6"/>
  <c r="B7460" i="6"/>
  <c r="J7460" i="6"/>
  <c r="B7461" i="6"/>
  <c r="J7461" i="6"/>
  <c r="B7462" i="6"/>
  <c r="J7462" i="6"/>
  <c r="B7463" i="6"/>
  <c r="J7463" i="6"/>
  <c r="B7464" i="6"/>
  <c r="J7464" i="6"/>
  <c r="B7465" i="6"/>
  <c r="J7465" i="6"/>
  <c r="B7466" i="6"/>
  <c r="J7466" i="6"/>
  <c r="B7467" i="6"/>
  <c r="J7467" i="6"/>
  <c r="B7468" i="6"/>
  <c r="J7468" i="6"/>
  <c r="B7469" i="6"/>
  <c r="J7469" i="6"/>
  <c r="B7470" i="6"/>
  <c r="J7470" i="6"/>
  <c r="B7471" i="6"/>
  <c r="J7471" i="6"/>
  <c r="B7472" i="6"/>
  <c r="J7472" i="6"/>
  <c r="B7473" i="6"/>
  <c r="J7473" i="6"/>
  <c r="B7474" i="6"/>
  <c r="J7474" i="6"/>
  <c r="B7475" i="6"/>
  <c r="J7475" i="6"/>
  <c r="B7476" i="6"/>
  <c r="J7476" i="6"/>
  <c r="B7477" i="6"/>
  <c r="J7477" i="6"/>
  <c r="B7478" i="6"/>
  <c r="J7478" i="6"/>
  <c r="B7479" i="6"/>
  <c r="J7479" i="6"/>
  <c r="B7480" i="6"/>
  <c r="J7480" i="6"/>
  <c r="B7481" i="6"/>
  <c r="J7481" i="6"/>
  <c r="B7482" i="6"/>
  <c r="J7482" i="6"/>
  <c r="B7483" i="6"/>
  <c r="J7483" i="6"/>
  <c r="B7484" i="6"/>
  <c r="J7484" i="6"/>
  <c r="B7485" i="6"/>
  <c r="J7485" i="6"/>
  <c r="B7486" i="6"/>
  <c r="J7486" i="6"/>
  <c r="B7487" i="6"/>
  <c r="J7487" i="6"/>
  <c r="B7488" i="6"/>
  <c r="J7488" i="6"/>
  <c r="B7489" i="6"/>
  <c r="J7489" i="6"/>
  <c r="B7490" i="6"/>
  <c r="J7490" i="6"/>
  <c r="B7491" i="6"/>
  <c r="J7491" i="6"/>
  <c r="B7492" i="6"/>
  <c r="J7492" i="6"/>
  <c r="B7493" i="6"/>
  <c r="J7493" i="6"/>
  <c r="B7494" i="6"/>
  <c r="J7494" i="6"/>
  <c r="B7495" i="6"/>
  <c r="J7495" i="6"/>
  <c r="B7496" i="6"/>
  <c r="J7496" i="6"/>
  <c r="B7497" i="6"/>
  <c r="J7497" i="6"/>
  <c r="B7498" i="6"/>
  <c r="J7498" i="6"/>
  <c r="B7499" i="6"/>
  <c r="J7499" i="6"/>
  <c r="B7500" i="6"/>
  <c r="J7500" i="6"/>
  <c r="B7501" i="6"/>
  <c r="J7501" i="6"/>
  <c r="B7502" i="6"/>
  <c r="J7502" i="6"/>
  <c r="B7503" i="6"/>
  <c r="J7503" i="6"/>
  <c r="B7504" i="6"/>
  <c r="J7504" i="6"/>
  <c r="B7505" i="6"/>
  <c r="J7505" i="6"/>
  <c r="B7506" i="6"/>
  <c r="J7506" i="6"/>
  <c r="B7507" i="6"/>
  <c r="J7507" i="6"/>
  <c r="B7508" i="6"/>
  <c r="J7508" i="6"/>
  <c r="B7509" i="6"/>
  <c r="J7509" i="6"/>
  <c r="B7510" i="6"/>
  <c r="J7510" i="6"/>
  <c r="B7511" i="6"/>
  <c r="J7511" i="6"/>
  <c r="B7512" i="6"/>
  <c r="J7512" i="6"/>
  <c r="B7513" i="6"/>
  <c r="J7513" i="6"/>
  <c r="B7514" i="6"/>
  <c r="J7514" i="6"/>
  <c r="B7515" i="6"/>
  <c r="J7515" i="6"/>
  <c r="B7516" i="6"/>
  <c r="J7516" i="6"/>
  <c r="B7517" i="6"/>
  <c r="J7517" i="6"/>
  <c r="B7518" i="6"/>
  <c r="J7518" i="6"/>
  <c r="B7519" i="6"/>
  <c r="J7519" i="6"/>
  <c r="B7520" i="6"/>
  <c r="J7520" i="6"/>
  <c r="B7521" i="6"/>
  <c r="J7521" i="6"/>
  <c r="B7522" i="6"/>
  <c r="J7522" i="6"/>
  <c r="B7523" i="6"/>
  <c r="J7523" i="6"/>
  <c r="B7524" i="6"/>
  <c r="J7524" i="6"/>
  <c r="B7525" i="6"/>
  <c r="J7525" i="6"/>
  <c r="B7526" i="6"/>
  <c r="J7526" i="6"/>
  <c r="B7527" i="6"/>
  <c r="J7527" i="6"/>
  <c r="B7528" i="6"/>
  <c r="J7528" i="6"/>
  <c r="B7529" i="6"/>
  <c r="J7529" i="6"/>
  <c r="B7530" i="6"/>
  <c r="J7530" i="6"/>
  <c r="B7531" i="6"/>
  <c r="J7531" i="6"/>
  <c r="B7532" i="6"/>
  <c r="J7532" i="6"/>
  <c r="B7533" i="6"/>
  <c r="J7533" i="6"/>
  <c r="B7534" i="6"/>
  <c r="J7534" i="6"/>
  <c r="B7535" i="6"/>
  <c r="J7535" i="6"/>
  <c r="B7536" i="6"/>
  <c r="J7536" i="6"/>
  <c r="B7537" i="6"/>
  <c r="J7537" i="6"/>
  <c r="B7538" i="6"/>
  <c r="J7538" i="6"/>
  <c r="B7539" i="6"/>
  <c r="J7539" i="6"/>
  <c r="B7540" i="6"/>
  <c r="J7540" i="6"/>
  <c r="B7541" i="6"/>
  <c r="J7541" i="6"/>
  <c r="B7542" i="6"/>
  <c r="J7542" i="6"/>
  <c r="B7543" i="6"/>
  <c r="J7543" i="6"/>
  <c r="B7544" i="6"/>
  <c r="J7544" i="6"/>
  <c r="B7545" i="6"/>
  <c r="J7545" i="6"/>
  <c r="B7546" i="6"/>
  <c r="J7546" i="6"/>
  <c r="B7547" i="6"/>
  <c r="J7547" i="6"/>
  <c r="B7548" i="6"/>
  <c r="J7548" i="6"/>
  <c r="B7549" i="6"/>
  <c r="J7549" i="6"/>
  <c r="B7550" i="6"/>
  <c r="J7550" i="6"/>
  <c r="B7551" i="6"/>
  <c r="J7551" i="6"/>
  <c r="B7552" i="6"/>
  <c r="J7552" i="6"/>
  <c r="B7553" i="6"/>
  <c r="J7553" i="6"/>
  <c r="B7554" i="6"/>
  <c r="J7554" i="6"/>
  <c r="B7555" i="6"/>
  <c r="J7555" i="6"/>
  <c r="B7556" i="6"/>
  <c r="J7556" i="6"/>
  <c r="B7557" i="6"/>
  <c r="J7557" i="6"/>
  <c r="B7558" i="6"/>
  <c r="J7558" i="6"/>
  <c r="B7559" i="6"/>
  <c r="J7559" i="6"/>
  <c r="B7560" i="6"/>
  <c r="J7560" i="6"/>
  <c r="B7561" i="6"/>
  <c r="J7561" i="6"/>
  <c r="B7562" i="6"/>
  <c r="J7562" i="6"/>
  <c r="B7563" i="6"/>
  <c r="J7563" i="6"/>
  <c r="B7564" i="6"/>
  <c r="J7564" i="6"/>
  <c r="B7565" i="6"/>
  <c r="J7565" i="6"/>
  <c r="B7566" i="6"/>
  <c r="J7566" i="6"/>
  <c r="B7567" i="6"/>
  <c r="J7567" i="6"/>
  <c r="B7568" i="6"/>
  <c r="J7568" i="6"/>
  <c r="B7569" i="6"/>
  <c r="J7569" i="6"/>
  <c r="B7570" i="6"/>
  <c r="J7570" i="6"/>
  <c r="B7571" i="6"/>
  <c r="J7571" i="6"/>
  <c r="B7572" i="6"/>
  <c r="J7572" i="6"/>
  <c r="B7573" i="6"/>
  <c r="J7573" i="6"/>
  <c r="B7574" i="6"/>
  <c r="J7574" i="6"/>
  <c r="B7575" i="6"/>
  <c r="J7575" i="6"/>
  <c r="B7576" i="6"/>
  <c r="J7576" i="6"/>
  <c r="B7577" i="6"/>
  <c r="J7577" i="6"/>
  <c r="B7578" i="6"/>
  <c r="J7578" i="6"/>
  <c r="B7579" i="6"/>
  <c r="J7579" i="6"/>
  <c r="B7580" i="6"/>
  <c r="J7580" i="6"/>
  <c r="B7581" i="6"/>
  <c r="J7581" i="6"/>
  <c r="B7582" i="6"/>
  <c r="J7582" i="6"/>
  <c r="B7583" i="6"/>
  <c r="J7583" i="6"/>
  <c r="B7584" i="6"/>
  <c r="J7584" i="6"/>
  <c r="B7585" i="6"/>
  <c r="J7585" i="6"/>
  <c r="B7586" i="6"/>
  <c r="J7586" i="6"/>
  <c r="B7587" i="6"/>
  <c r="J7587" i="6"/>
  <c r="B7588" i="6"/>
  <c r="J7588" i="6"/>
  <c r="B7589" i="6"/>
  <c r="J7589" i="6"/>
  <c r="B7590" i="6"/>
  <c r="J7590" i="6"/>
  <c r="B7591" i="6"/>
  <c r="J7591" i="6"/>
  <c r="B7592" i="6"/>
  <c r="J7592" i="6"/>
  <c r="B7593" i="6"/>
  <c r="J7593" i="6"/>
  <c r="B7594" i="6"/>
  <c r="J7594" i="6"/>
  <c r="B7595" i="6"/>
  <c r="J7595" i="6"/>
  <c r="B7596" i="6"/>
  <c r="J7596" i="6"/>
  <c r="B7597" i="6"/>
  <c r="J7597" i="6"/>
  <c r="B7598" i="6"/>
  <c r="J7598" i="6"/>
  <c r="B7599" i="6"/>
  <c r="J7599" i="6"/>
  <c r="B7600" i="6"/>
  <c r="J7600" i="6"/>
  <c r="B7601" i="6"/>
  <c r="J7601" i="6"/>
  <c r="B7602" i="6"/>
  <c r="J7602" i="6"/>
  <c r="B7603" i="6"/>
  <c r="J7603" i="6"/>
  <c r="B7604" i="6"/>
  <c r="J7604" i="6"/>
  <c r="B7605" i="6"/>
  <c r="J7605" i="6"/>
  <c r="B7606" i="6"/>
  <c r="J7606" i="6"/>
  <c r="B7607" i="6"/>
  <c r="J7607" i="6"/>
  <c r="B7608" i="6"/>
  <c r="J7608" i="6"/>
  <c r="B7609" i="6"/>
  <c r="J7609" i="6"/>
  <c r="B7610" i="6"/>
  <c r="J7610" i="6"/>
  <c r="B7611" i="6"/>
  <c r="J7611" i="6"/>
  <c r="B7612" i="6"/>
  <c r="J7612" i="6"/>
  <c r="B7613" i="6"/>
  <c r="J7613" i="6"/>
  <c r="B7614" i="6"/>
  <c r="J7614" i="6"/>
  <c r="B7615" i="6"/>
  <c r="J7615" i="6"/>
  <c r="B7616" i="6"/>
  <c r="J7616" i="6"/>
  <c r="B7617" i="6"/>
  <c r="J7617" i="6"/>
  <c r="B7618" i="6"/>
  <c r="J7618" i="6"/>
  <c r="B7619" i="6"/>
  <c r="J7619" i="6"/>
  <c r="B7620" i="6"/>
  <c r="J7620" i="6"/>
  <c r="B7621" i="6"/>
  <c r="J7621" i="6"/>
  <c r="B7622" i="6"/>
  <c r="J7622" i="6"/>
  <c r="B7623" i="6"/>
  <c r="J7623" i="6"/>
  <c r="B7624" i="6"/>
  <c r="J7624" i="6"/>
  <c r="B7625" i="6"/>
  <c r="J7625" i="6"/>
  <c r="B7626" i="6"/>
  <c r="J7626" i="6"/>
  <c r="B7627" i="6"/>
  <c r="J7627" i="6"/>
  <c r="B7628" i="6"/>
  <c r="J7628" i="6"/>
  <c r="B7629" i="6"/>
  <c r="J7629" i="6"/>
  <c r="B7630" i="6"/>
  <c r="J7630" i="6"/>
  <c r="B7631" i="6"/>
  <c r="J7631" i="6"/>
  <c r="B7632" i="6"/>
  <c r="J7632" i="6"/>
  <c r="B7633" i="6"/>
  <c r="J7633" i="6"/>
  <c r="B7634" i="6"/>
  <c r="J7634" i="6"/>
  <c r="B7635" i="6"/>
  <c r="J7635" i="6"/>
  <c r="B7636" i="6"/>
  <c r="J7636" i="6"/>
  <c r="B7637" i="6"/>
  <c r="J7637" i="6"/>
  <c r="B7638" i="6"/>
  <c r="J7638" i="6"/>
  <c r="B7639" i="6"/>
  <c r="J7639" i="6"/>
  <c r="B7640" i="6"/>
  <c r="J7640" i="6"/>
  <c r="B7641" i="6"/>
  <c r="J7641" i="6"/>
  <c r="B7642" i="6"/>
  <c r="J7642" i="6"/>
  <c r="B7643" i="6"/>
  <c r="J7643" i="6"/>
  <c r="B7644" i="6"/>
  <c r="J7644" i="6"/>
  <c r="B7645" i="6"/>
  <c r="J7645" i="6"/>
  <c r="B7646" i="6"/>
  <c r="J7646" i="6"/>
  <c r="B7647" i="6"/>
  <c r="J7647" i="6"/>
  <c r="B7648" i="6"/>
  <c r="J7648" i="6"/>
  <c r="B7649" i="6"/>
  <c r="J7649" i="6"/>
  <c r="B7650" i="6"/>
  <c r="J7650" i="6"/>
  <c r="B7651" i="6"/>
  <c r="J7651" i="6"/>
  <c r="B7652" i="6"/>
  <c r="J7652" i="6"/>
  <c r="B7653" i="6"/>
  <c r="J7653" i="6"/>
  <c r="B7654" i="6"/>
  <c r="J7654" i="6"/>
  <c r="B7655" i="6"/>
  <c r="J7655" i="6"/>
  <c r="B7656" i="6"/>
  <c r="J7656" i="6"/>
  <c r="B7657" i="6"/>
  <c r="J7657" i="6"/>
  <c r="B7658" i="6"/>
  <c r="J7658" i="6"/>
  <c r="B7659" i="6"/>
  <c r="J7659" i="6"/>
  <c r="B7660" i="6"/>
  <c r="J7660" i="6"/>
  <c r="B7661" i="6"/>
  <c r="J7661" i="6"/>
  <c r="B7662" i="6"/>
  <c r="J7662" i="6"/>
  <c r="B7663" i="6"/>
  <c r="J7663" i="6"/>
  <c r="B7664" i="6"/>
  <c r="J7664" i="6"/>
  <c r="B7665" i="6"/>
  <c r="J7665" i="6"/>
  <c r="B7666" i="6"/>
  <c r="J7666" i="6"/>
  <c r="B7667" i="6"/>
  <c r="J7667" i="6"/>
  <c r="B7668" i="6"/>
  <c r="J7668" i="6"/>
  <c r="B7669" i="6"/>
  <c r="J7669" i="6"/>
  <c r="B7670" i="6"/>
  <c r="J7670" i="6"/>
  <c r="B7671" i="6"/>
  <c r="J7671" i="6"/>
  <c r="B18" i="2"/>
  <c r="F5847" i="5"/>
  <c r="F5846" i="5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F505" i="5"/>
  <c r="F506" i="5"/>
  <c r="F507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575" i="5"/>
  <c r="F576" i="5"/>
  <c r="F577" i="5"/>
  <c r="F578" i="5"/>
  <c r="F579" i="5"/>
  <c r="F580" i="5"/>
  <c r="F581" i="5"/>
  <c r="F582" i="5"/>
  <c r="F583" i="5"/>
  <c r="F584" i="5"/>
  <c r="F585" i="5"/>
  <c r="F586" i="5"/>
  <c r="F587" i="5"/>
  <c r="F588" i="5"/>
  <c r="F589" i="5"/>
  <c r="F590" i="5"/>
  <c r="F591" i="5"/>
  <c r="F592" i="5"/>
  <c r="F593" i="5"/>
  <c r="F594" i="5"/>
  <c r="F595" i="5"/>
  <c r="F596" i="5"/>
  <c r="F597" i="5"/>
  <c r="F598" i="5"/>
  <c r="F599" i="5"/>
  <c r="F600" i="5"/>
  <c r="F601" i="5"/>
  <c r="F602" i="5"/>
  <c r="F603" i="5"/>
  <c r="F604" i="5"/>
  <c r="F605" i="5"/>
  <c r="F606" i="5"/>
  <c r="F607" i="5"/>
  <c r="F608" i="5"/>
  <c r="F609" i="5"/>
  <c r="F610" i="5"/>
  <c r="F611" i="5"/>
  <c r="F612" i="5"/>
  <c r="F613" i="5"/>
  <c r="F614" i="5"/>
  <c r="F615" i="5"/>
  <c r="F616" i="5"/>
  <c r="F617" i="5"/>
  <c r="F618" i="5"/>
  <c r="F619" i="5"/>
  <c r="F620" i="5"/>
  <c r="F621" i="5"/>
  <c r="F622" i="5"/>
  <c r="F623" i="5"/>
  <c r="F624" i="5"/>
  <c r="F625" i="5"/>
  <c r="F626" i="5"/>
  <c r="F627" i="5"/>
  <c r="F628" i="5"/>
  <c r="F629" i="5"/>
  <c r="F630" i="5"/>
  <c r="F631" i="5"/>
  <c r="F632" i="5"/>
  <c r="F633" i="5"/>
  <c r="F634" i="5"/>
  <c r="F635" i="5"/>
  <c r="F636" i="5"/>
  <c r="F637" i="5"/>
  <c r="F638" i="5"/>
  <c r="F639" i="5"/>
  <c r="F640" i="5"/>
  <c r="F641" i="5"/>
  <c r="F642" i="5"/>
  <c r="F643" i="5"/>
  <c r="F644" i="5"/>
  <c r="F645" i="5"/>
  <c r="F646" i="5"/>
  <c r="F647" i="5"/>
  <c r="F648" i="5"/>
  <c r="F649" i="5"/>
  <c r="F650" i="5"/>
  <c r="F651" i="5"/>
  <c r="F652" i="5"/>
  <c r="F653" i="5"/>
  <c r="F654" i="5"/>
  <c r="F655" i="5"/>
  <c r="F656" i="5"/>
  <c r="F657" i="5"/>
  <c r="F658" i="5"/>
  <c r="F659" i="5"/>
  <c r="F660" i="5"/>
  <c r="F661" i="5"/>
  <c r="F662" i="5"/>
  <c r="F663" i="5"/>
  <c r="F664" i="5"/>
  <c r="F665" i="5"/>
  <c r="F666" i="5"/>
  <c r="F667" i="5"/>
  <c r="F668" i="5"/>
  <c r="F669" i="5"/>
  <c r="F670" i="5"/>
  <c r="F671" i="5"/>
  <c r="F672" i="5"/>
  <c r="F673" i="5"/>
  <c r="F674" i="5"/>
  <c r="F675" i="5"/>
  <c r="F676" i="5"/>
  <c r="F677" i="5"/>
  <c r="F678" i="5"/>
  <c r="F679" i="5"/>
  <c r="F680" i="5"/>
  <c r="F681" i="5"/>
  <c r="F682" i="5"/>
  <c r="F683" i="5"/>
  <c r="F684" i="5"/>
  <c r="F685" i="5"/>
  <c r="F686" i="5"/>
  <c r="F687" i="5"/>
  <c r="F688" i="5"/>
  <c r="F689" i="5"/>
  <c r="F690" i="5"/>
  <c r="F691" i="5"/>
  <c r="F692" i="5"/>
  <c r="F693" i="5"/>
  <c r="F694" i="5"/>
  <c r="F695" i="5"/>
  <c r="F696" i="5"/>
  <c r="F697" i="5"/>
  <c r="F698" i="5"/>
  <c r="F699" i="5"/>
  <c r="F700" i="5"/>
  <c r="F701" i="5"/>
  <c r="F702" i="5"/>
  <c r="F703" i="5"/>
  <c r="F704" i="5"/>
  <c r="F705" i="5"/>
  <c r="F706" i="5"/>
  <c r="F707" i="5"/>
  <c r="F708" i="5"/>
  <c r="F709" i="5"/>
  <c r="F710" i="5"/>
  <c r="F711" i="5"/>
  <c r="F712" i="5"/>
  <c r="F713" i="5"/>
  <c r="F714" i="5"/>
  <c r="F715" i="5"/>
  <c r="F716" i="5"/>
  <c r="F717" i="5"/>
  <c r="F718" i="5"/>
  <c r="F719" i="5"/>
  <c r="F720" i="5"/>
  <c r="F721" i="5"/>
  <c r="F722" i="5"/>
  <c r="F723" i="5"/>
  <c r="F724" i="5"/>
  <c r="F725" i="5"/>
  <c r="F726" i="5"/>
  <c r="F727" i="5"/>
  <c r="F728" i="5"/>
  <c r="F729" i="5"/>
  <c r="F730" i="5"/>
  <c r="F731" i="5"/>
  <c r="F732" i="5"/>
  <c r="F733" i="5"/>
  <c r="F734" i="5"/>
  <c r="F735" i="5"/>
  <c r="F736" i="5"/>
  <c r="F737" i="5"/>
  <c r="F738" i="5"/>
  <c r="F739" i="5"/>
  <c r="F740" i="5"/>
  <c r="F741" i="5"/>
  <c r="F742" i="5"/>
  <c r="F743" i="5"/>
  <c r="F744" i="5"/>
  <c r="F745" i="5"/>
  <c r="F746" i="5"/>
  <c r="F747" i="5"/>
  <c r="F748" i="5"/>
  <c r="F749" i="5"/>
  <c r="F750" i="5"/>
  <c r="F751" i="5"/>
  <c r="F752" i="5"/>
  <c r="F753" i="5"/>
  <c r="F754" i="5"/>
  <c r="F755" i="5"/>
  <c r="F756" i="5"/>
  <c r="F757" i="5"/>
  <c r="F758" i="5"/>
  <c r="F759" i="5"/>
  <c r="F760" i="5"/>
  <c r="F761" i="5"/>
  <c r="F762" i="5"/>
  <c r="F763" i="5"/>
  <c r="F764" i="5"/>
  <c r="F765" i="5"/>
  <c r="F766" i="5"/>
  <c r="F767" i="5"/>
  <c r="F768" i="5"/>
  <c r="F769" i="5"/>
  <c r="F770" i="5"/>
  <c r="F771" i="5"/>
  <c r="F772" i="5"/>
  <c r="F773" i="5"/>
  <c r="F774" i="5"/>
  <c r="F775" i="5"/>
  <c r="F776" i="5"/>
  <c r="F777" i="5"/>
  <c r="F778" i="5"/>
  <c r="F779" i="5"/>
  <c r="F780" i="5"/>
  <c r="F781" i="5"/>
  <c r="F782" i="5"/>
  <c r="F783" i="5"/>
  <c r="F784" i="5"/>
  <c r="F785" i="5"/>
  <c r="F786" i="5"/>
  <c r="F787" i="5"/>
  <c r="F788" i="5"/>
  <c r="F789" i="5"/>
  <c r="F790" i="5"/>
  <c r="F791" i="5"/>
  <c r="F792" i="5"/>
  <c r="F793" i="5"/>
  <c r="F794" i="5"/>
  <c r="F795" i="5"/>
  <c r="F796" i="5"/>
  <c r="F797" i="5"/>
  <c r="F798" i="5"/>
  <c r="F799" i="5"/>
  <c r="F800" i="5"/>
  <c r="F801" i="5"/>
  <c r="F802" i="5"/>
  <c r="F803" i="5"/>
  <c r="F804" i="5"/>
  <c r="F805" i="5"/>
  <c r="F806" i="5"/>
  <c r="F807" i="5"/>
  <c r="F808" i="5"/>
  <c r="F809" i="5"/>
  <c r="F810" i="5"/>
  <c r="F811" i="5"/>
  <c r="F812" i="5"/>
  <c r="F813" i="5"/>
  <c r="F814" i="5"/>
  <c r="F815" i="5"/>
  <c r="F816" i="5"/>
  <c r="F817" i="5"/>
  <c r="F818" i="5"/>
  <c r="F819" i="5"/>
  <c r="F820" i="5"/>
  <c r="F821" i="5"/>
  <c r="F822" i="5"/>
  <c r="F823" i="5"/>
  <c r="F824" i="5"/>
  <c r="F825" i="5"/>
  <c r="F826" i="5"/>
  <c r="F827" i="5"/>
  <c r="F828" i="5"/>
  <c r="F829" i="5"/>
  <c r="F830" i="5"/>
  <c r="F831" i="5"/>
  <c r="F832" i="5"/>
  <c r="F833" i="5"/>
  <c r="F834" i="5"/>
  <c r="F835" i="5"/>
  <c r="F836" i="5"/>
  <c r="F837" i="5"/>
  <c r="F838" i="5"/>
  <c r="F839" i="5"/>
  <c r="F840" i="5"/>
  <c r="F841" i="5"/>
  <c r="F842" i="5"/>
  <c r="F843" i="5"/>
  <c r="F844" i="5"/>
  <c r="F845" i="5"/>
  <c r="F846" i="5"/>
  <c r="F847" i="5"/>
  <c r="F848" i="5"/>
  <c r="F849" i="5"/>
  <c r="F850" i="5"/>
  <c r="F851" i="5"/>
  <c r="F852" i="5"/>
  <c r="F853" i="5"/>
  <c r="F854" i="5"/>
  <c r="F855" i="5"/>
  <c r="F856" i="5"/>
  <c r="F857" i="5"/>
  <c r="F858" i="5"/>
  <c r="F859" i="5"/>
  <c r="F860" i="5"/>
  <c r="F861" i="5"/>
  <c r="F862" i="5"/>
  <c r="F863" i="5"/>
  <c r="F864" i="5"/>
  <c r="F865" i="5"/>
  <c r="F866" i="5"/>
  <c r="F867" i="5"/>
  <c r="F868" i="5"/>
  <c r="F869" i="5"/>
  <c r="F870" i="5"/>
  <c r="F871" i="5"/>
  <c r="F872" i="5"/>
  <c r="F873" i="5"/>
  <c r="F874" i="5"/>
  <c r="F875" i="5"/>
  <c r="F876" i="5"/>
  <c r="F877" i="5"/>
  <c r="F878" i="5"/>
  <c r="F879" i="5"/>
  <c r="F880" i="5"/>
  <c r="F881" i="5"/>
  <c r="F882" i="5"/>
  <c r="F883" i="5"/>
  <c r="F884" i="5"/>
  <c r="F885" i="5"/>
  <c r="F886" i="5"/>
  <c r="F887" i="5"/>
  <c r="F888" i="5"/>
  <c r="F889" i="5"/>
  <c r="F890" i="5"/>
  <c r="F891" i="5"/>
  <c r="F892" i="5"/>
  <c r="F893" i="5"/>
  <c r="F894" i="5"/>
  <c r="F895" i="5"/>
  <c r="F896" i="5"/>
  <c r="F897" i="5"/>
  <c r="F898" i="5"/>
  <c r="F899" i="5"/>
  <c r="F900" i="5"/>
  <c r="F901" i="5"/>
  <c r="F902" i="5"/>
  <c r="F903" i="5"/>
  <c r="F904" i="5"/>
  <c r="F905" i="5"/>
  <c r="F906" i="5"/>
  <c r="F907" i="5"/>
  <c r="F908" i="5"/>
  <c r="F909" i="5"/>
  <c r="F910" i="5"/>
  <c r="F911" i="5"/>
  <c r="F912" i="5"/>
  <c r="F913" i="5"/>
  <c r="F914" i="5"/>
  <c r="F915" i="5"/>
  <c r="F916" i="5"/>
  <c r="F917" i="5"/>
  <c r="F918" i="5"/>
  <c r="F919" i="5"/>
  <c r="F920" i="5"/>
  <c r="F921" i="5"/>
  <c r="F922" i="5"/>
  <c r="F923" i="5"/>
  <c r="F924" i="5"/>
  <c r="F925" i="5"/>
  <c r="F926" i="5"/>
  <c r="F927" i="5"/>
  <c r="F928" i="5"/>
  <c r="F929" i="5"/>
  <c r="F930" i="5"/>
  <c r="F931" i="5"/>
  <c r="F932" i="5"/>
  <c r="F933" i="5"/>
  <c r="F934" i="5"/>
  <c r="F935" i="5"/>
  <c r="F936" i="5"/>
  <c r="F937" i="5"/>
  <c r="F938" i="5"/>
  <c r="F939" i="5"/>
  <c r="F940" i="5"/>
  <c r="F941" i="5"/>
  <c r="F942" i="5"/>
  <c r="F943" i="5"/>
  <c r="F944" i="5"/>
  <c r="F945" i="5"/>
  <c r="F946" i="5"/>
  <c r="F947" i="5"/>
  <c r="F948" i="5"/>
  <c r="F949" i="5"/>
  <c r="F950" i="5"/>
  <c r="F951" i="5"/>
  <c r="F952" i="5"/>
  <c r="F953" i="5"/>
  <c r="F954" i="5"/>
  <c r="F955" i="5"/>
  <c r="F956" i="5"/>
  <c r="F957" i="5"/>
  <c r="F958" i="5"/>
  <c r="F959" i="5"/>
  <c r="F960" i="5"/>
  <c r="F961" i="5"/>
  <c r="F962" i="5"/>
  <c r="F963" i="5"/>
  <c r="F964" i="5"/>
  <c r="F965" i="5"/>
  <c r="F966" i="5"/>
  <c r="F967" i="5"/>
  <c r="F968" i="5"/>
  <c r="F969" i="5"/>
  <c r="F970" i="5"/>
  <c r="F971" i="5"/>
  <c r="F972" i="5"/>
  <c r="F973" i="5"/>
  <c r="F974" i="5"/>
  <c r="F975" i="5"/>
  <c r="F976" i="5"/>
  <c r="F977" i="5"/>
  <c r="F978" i="5"/>
  <c r="F979" i="5"/>
  <c r="F980" i="5"/>
  <c r="F981" i="5"/>
  <c r="F982" i="5"/>
  <c r="F983" i="5"/>
  <c r="F984" i="5"/>
  <c r="F985" i="5"/>
  <c r="F986" i="5"/>
  <c r="F987" i="5"/>
  <c r="F988" i="5"/>
  <c r="F989" i="5"/>
  <c r="F990" i="5"/>
  <c r="F991" i="5"/>
  <c r="F992" i="5"/>
  <c r="F993" i="5"/>
  <c r="F994" i="5"/>
  <c r="F995" i="5"/>
  <c r="F996" i="5"/>
  <c r="F997" i="5"/>
  <c r="F998" i="5"/>
  <c r="F999" i="5"/>
  <c r="F1000" i="5"/>
  <c r="F1001" i="5"/>
  <c r="F1002" i="5"/>
  <c r="F1003" i="5"/>
  <c r="F1004" i="5"/>
  <c r="F1005" i="5"/>
  <c r="F1006" i="5"/>
  <c r="F1007" i="5"/>
  <c r="F1008" i="5"/>
  <c r="F1009" i="5"/>
  <c r="F1010" i="5"/>
  <c r="F1011" i="5"/>
  <c r="F1012" i="5"/>
  <c r="F1013" i="5"/>
  <c r="F1014" i="5"/>
  <c r="F1015" i="5"/>
  <c r="F1016" i="5"/>
  <c r="F1017" i="5"/>
  <c r="F1018" i="5"/>
  <c r="F1019" i="5"/>
  <c r="F1020" i="5"/>
  <c r="F1021" i="5"/>
  <c r="F1022" i="5"/>
  <c r="F1023" i="5"/>
  <c r="F1024" i="5"/>
  <c r="F1025" i="5"/>
  <c r="F1026" i="5"/>
  <c r="F1027" i="5"/>
  <c r="F1028" i="5"/>
  <c r="F1029" i="5"/>
  <c r="F1030" i="5"/>
  <c r="F1031" i="5"/>
  <c r="F1032" i="5"/>
  <c r="F1033" i="5"/>
  <c r="F1034" i="5"/>
  <c r="F1035" i="5"/>
  <c r="F1036" i="5"/>
  <c r="F1037" i="5"/>
  <c r="F1038" i="5"/>
  <c r="F1039" i="5"/>
  <c r="F1040" i="5"/>
  <c r="F1041" i="5"/>
  <c r="F1042" i="5"/>
  <c r="F1043" i="5"/>
  <c r="F1044" i="5"/>
  <c r="F1045" i="5"/>
  <c r="F1046" i="5"/>
  <c r="F1047" i="5"/>
  <c r="F1048" i="5"/>
  <c r="F1049" i="5"/>
  <c r="F1050" i="5"/>
  <c r="F1051" i="5"/>
  <c r="F1052" i="5"/>
  <c r="F1053" i="5"/>
  <c r="F1054" i="5"/>
  <c r="F1055" i="5"/>
  <c r="F1056" i="5"/>
  <c r="F1057" i="5"/>
  <c r="F1058" i="5"/>
  <c r="F1059" i="5"/>
  <c r="F1060" i="5"/>
  <c r="F1061" i="5"/>
  <c r="F1062" i="5"/>
  <c r="F1063" i="5"/>
  <c r="F1064" i="5"/>
  <c r="F1065" i="5"/>
  <c r="F1066" i="5"/>
  <c r="F1067" i="5"/>
  <c r="F1068" i="5"/>
  <c r="F1069" i="5"/>
  <c r="F1070" i="5"/>
  <c r="F1071" i="5"/>
  <c r="F1072" i="5"/>
  <c r="F1073" i="5"/>
  <c r="F1074" i="5"/>
  <c r="F1075" i="5"/>
  <c r="F1076" i="5"/>
  <c r="F1077" i="5"/>
  <c r="F1078" i="5"/>
  <c r="F1079" i="5"/>
  <c r="F1080" i="5"/>
  <c r="F1081" i="5"/>
  <c r="F1082" i="5"/>
  <c r="F1083" i="5"/>
  <c r="F1084" i="5"/>
  <c r="F1085" i="5"/>
  <c r="F1086" i="5"/>
  <c r="F1087" i="5"/>
  <c r="F1088" i="5"/>
  <c r="F1089" i="5"/>
  <c r="F1090" i="5"/>
  <c r="F1091" i="5"/>
  <c r="F1092" i="5"/>
  <c r="F1093" i="5"/>
  <c r="F1094" i="5"/>
  <c r="F1095" i="5"/>
  <c r="F1096" i="5"/>
  <c r="F1097" i="5"/>
  <c r="F1098" i="5"/>
  <c r="F1099" i="5"/>
  <c r="F1100" i="5"/>
  <c r="F1101" i="5"/>
  <c r="F1102" i="5"/>
  <c r="F1103" i="5"/>
  <c r="F1104" i="5"/>
  <c r="F1105" i="5"/>
  <c r="F1106" i="5"/>
  <c r="F1107" i="5"/>
  <c r="F1108" i="5"/>
  <c r="F1109" i="5"/>
  <c r="F1110" i="5"/>
  <c r="F1111" i="5"/>
  <c r="F1112" i="5"/>
  <c r="F1113" i="5"/>
  <c r="F1114" i="5"/>
  <c r="F1115" i="5"/>
  <c r="F1116" i="5"/>
  <c r="F1117" i="5"/>
  <c r="F1118" i="5"/>
  <c r="F1119" i="5"/>
  <c r="F1120" i="5"/>
  <c r="F1121" i="5"/>
  <c r="F1122" i="5"/>
  <c r="F1123" i="5"/>
  <c r="F1124" i="5"/>
  <c r="F1125" i="5"/>
  <c r="F1126" i="5"/>
  <c r="F1127" i="5"/>
  <c r="F1128" i="5"/>
  <c r="F1129" i="5"/>
  <c r="F1130" i="5"/>
  <c r="F1131" i="5"/>
  <c r="F1132" i="5"/>
  <c r="F1133" i="5"/>
  <c r="F1134" i="5"/>
  <c r="F1135" i="5"/>
  <c r="F1136" i="5"/>
  <c r="F1137" i="5"/>
  <c r="F1138" i="5"/>
  <c r="F1139" i="5"/>
  <c r="F1140" i="5"/>
  <c r="F1141" i="5"/>
  <c r="F1142" i="5"/>
  <c r="F1143" i="5"/>
  <c r="F1144" i="5"/>
  <c r="F1145" i="5"/>
  <c r="F1146" i="5"/>
  <c r="F1147" i="5"/>
  <c r="F1148" i="5"/>
  <c r="F1149" i="5"/>
  <c r="F1150" i="5"/>
  <c r="F1151" i="5"/>
  <c r="F1152" i="5"/>
  <c r="F1153" i="5"/>
  <c r="F1154" i="5"/>
  <c r="F1155" i="5"/>
  <c r="F1156" i="5"/>
  <c r="F1157" i="5"/>
  <c r="F1158" i="5"/>
  <c r="F1159" i="5"/>
  <c r="F1160" i="5"/>
  <c r="F1161" i="5"/>
  <c r="F1162" i="5"/>
  <c r="F1163" i="5"/>
  <c r="F1164" i="5"/>
  <c r="F1165" i="5"/>
  <c r="F1166" i="5"/>
  <c r="F1167" i="5"/>
  <c r="F1168" i="5"/>
  <c r="F1169" i="5"/>
  <c r="F1170" i="5"/>
  <c r="F1171" i="5"/>
  <c r="F1172" i="5"/>
  <c r="F1173" i="5"/>
  <c r="F1174" i="5"/>
  <c r="F1175" i="5"/>
  <c r="F1176" i="5"/>
  <c r="F1177" i="5"/>
  <c r="F1178" i="5"/>
  <c r="F1179" i="5"/>
  <c r="F1180" i="5"/>
  <c r="F1181" i="5"/>
  <c r="F1182" i="5"/>
  <c r="F1183" i="5"/>
  <c r="F1184" i="5"/>
  <c r="F1185" i="5"/>
  <c r="F1186" i="5"/>
  <c r="F1187" i="5"/>
  <c r="F1188" i="5"/>
  <c r="F1189" i="5"/>
  <c r="F1190" i="5"/>
  <c r="F1191" i="5"/>
  <c r="F1192" i="5"/>
  <c r="F1193" i="5"/>
  <c r="F1194" i="5"/>
  <c r="F1195" i="5"/>
  <c r="F1196" i="5"/>
  <c r="F1197" i="5"/>
  <c r="F1198" i="5"/>
  <c r="F1199" i="5"/>
  <c r="F1200" i="5"/>
  <c r="F1201" i="5"/>
  <c r="F1202" i="5"/>
  <c r="F1203" i="5"/>
  <c r="F1204" i="5"/>
  <c r="F1205" i="5"/>
  <c r="F1206" i="5"/>
  <c r="F1207" i="5"/>
  <c r="F1208" i="5"/>
  <c r="F1209" i="5"/>
  <c r="F1210" i="5"/>
  <c r="F1211" i="5"/>
  <c r="F1212" i="5"/>
  <c r="F1213" i="5"/>
  <c r="F1214" i="5"/>
  <c r="F1215" i="5"/>
  <c r="F1216" i="5"/>
  <c r="F1217" i="5"/>
  <c r="F1218" i="5"/>
  <c r="F1219" i="5"/>
  <c r="F1220" i="5"/>
  <c r="F1221" i="5"/>
  <c r="F1222" i="5"/>
  <c r="F1223" i="5"/>
  <c r="F1224" i="5"/>
  <c r="F1225" i="5"/>
  <c r="F1226" i="5"/>
  <c r="F1227" i="5"/>
  <c r="F1228" i="5"/>
  <c r="F1229" i="5"/>
  <c r="F1230" i="5"/>
  <c r="F1231" i="5"/>
  <c r="F1232" i="5"/>
  <c r="F1233" i="5"/>
  <c r="F1234" i="5"/>
  <c r="F1235" i="5"/>
  <c r="F1236" i="5"/>
  <c r="F1237" i="5"/>
  <c r="F1238" i="5"/>
  <c r="F1239" i="5"/>
  <c r="F1240" i="5"/>
  <c r="F1241" i="5"/>
  <c r="F1242" i="5"/>
  <c r="F1243" i="5"/>
  <c r="F1244" i="5"/>
  <c r="F1245" i="5"/>
  <c r="F1246" i="5"/>
  <c r="F1247" i="5"/>
  <c r="F1248" i="5"/>
  <c r="F1249" i="5"/>
  <c r="F1250" i="5"/>
  <c r="F1251" i="5"/>
  <c r="F1252" i="5"/>
  <c r="F1253" i="5"/>
  <c r="F1254" i="5"/>
  <c r="F1255" i="5"/>
  <c r="F1256" i="5"/>
  <c r="F1257" i="5"/>
  <c r="F1258" i="5"/>
  <c r="F1259" i="5"/>
  <c r="F1260" i="5"/>
  <c r="F1261" i="5"/>
  <c r="F1262" i="5"/>
  <c r="F1263" i="5"/>
  <c r="F1264" i="5"/>
  <c r="F1265" i="5"/>
  <c r="F1266" i="5"/>
  <c r="F1267" i="5"/>
  <c r="F1268" i="5"/>
  <c r="F1269" i="5"/>
  <c r="F1270" i="5"/>
  <c r="F1271" i="5"/>
  <c r="F1272" i="5"/>
  <c r="F1273" i="5"/>
  <c r="F1274" i="5"/>
  <c r="F1275" i="5"/>
  <c r="F1276" i="5"/>
  <c r="F1277" i="5"/>
  <c r="F1278" i="5"/>
  <c r="F1279" i="5"/>
  <c r="F1280" i="5"/>
  <c r="F1281" i="5"/>
  <c r="F1282" i="5"/>
  <c r="F1283" i="5"/>
  <c r="F1284" i="5"/>
  <c r="F1285" i="5"/>
  <c r="F1286" i="5"/>
  <c r="F1287" i="5"/>
  <c r="F1288" i="5"/>
  <c r="F1289" i="5"/>
  <c r="F1290" i="5"/>
  <c r="F1291" i="5"/>
  <c r="F1292" i="5"/>
  <c r="F1293" i="5"/>
  <c r="F1294" i="5"/>
  <c r="F1295" i="5"/>
  <c r="F1296" i="5"/>
  <c r="F1297" i="5"/>
  <c r="F1298" i="5"/>
  <c r="F1299" i="5"/>
  <c r="F1300" i="5"/>
  <c r="F1301" i="5"/>
  <c r="F1302" i="5"/>
  <c r="F1303" i="5"/>
  <c r="F1304" i="5"/>
  <c r="F1305" i="5"/>
  <c r="F1306" i="5"/>
  <c r="F1307" i="5"/>
  <c r="F1308" i="5"/>
  <c r="F1309" i="5"/>
  <c r="F1310" i="5"/>
  <c r="F1311" i="5"/>
  <c r="F1312" i="5"/>
  <c r="F1313" i="5"/>
  <c r="F1314" i="5"/>
  <c r="F1315" i="5"/>
  <c r="F1316" i="5"/>
  <c r="F1317" i="5"/>
  <c r="F1318" i="5"/>
  <c r="F1319" i="5"/>
  <c r="F1320" i="5"/>
  <c r="F1321" i="5"/>
  <c r="F1322" i="5"/>
  <c r="F1323" i="5"/>
  <c r="F1324" i="5"/>
  <c r="F1325" i="5"/>
  <c r="F1326" i="5"/>
  <c r="F1327" i="5"/>
  <c r="F1328" i="5"/>
  <c r="F1329" i="5"/>
  <c r="F1330" i="5"/>
  <c r="F1331" i="5"/>
  <c r="F1332" i="5"/>
  <c r="F1333" i="5"/>
  <c r="F1334" i="5"/>
  <c r="F1335" i="5"/>
  <c r="F1336" i="5"/>
  <c r="F1337" i="5"/>
  <c r="F1338" i="5"/>
  <c r="F1339" i="5"/>
  <c r="F1340" i="5"/>
  <c r="F1341" i="5"/>
  <c r="F1342" i="5"/>
  <c r="F1343" i="5"/>
  <c r="F1344" i="5"/>
  <c r="F1345" i="5"/>
  <c r="F1346" i="5"/>
  <c r="F1347" i="5"/>
  <c r="F1348" i="5"/>
  <c r="F1349" i="5"/>
  <c r="F1350" i="5"/>
  <c r="F1351" i="5"/>
  <c r="F1352" i="5"/>
  <c r="F1353" i="5"/>
  <c r="F1354" i="5"/>
  <c r="F1355" i="5"/>
  <c r="F1356" i="5"/>
  <c r="F1357" i="5"/>
  <c r="F1358" i="5"/>
  <c r="F1359" i="5"/>
  <c r="F1360" i="5"/>
  <c r="F1361" i="5"/>
  <c r="F1362" i="5"/>
  <c r="F1363" i="5"/>
  <c r="F1364" i="5"/>
  <c r="F1365" i="5"/>
  <c r="F1366" i="5"/>
  <c r="F1367" i="5"/>
  <c r="F1368" i="5"/>
  <c r="F1369" i="5"/>
  <c r="F1370" i="5"/>
  <c r="F1371" i="5"/>
  <c r="F1372" i="5"/>
  <c r="F1373" i="5"/>
  <c r="F1374" i="5"/>
  <c r="F1375" i="5"/>
  <c r="F1376" i="5"/>
  <c r="F1377" i="5"/>
  <c r="F1378" i="5"/>
  <c r="F1379" i="5"/>
  <c r="F1380" i="5"/>
  <c r="F1381" i="5"/>
  <c r="F1382" i="5"/>
  <c r="F1383" i="5"/>
  <c r="F1384" i="5"/>
  <c r="F1385" i="5"/>
  <c r="F1386" i="5"/>
  <c r="F1387" i="5"/>
  <c r="F1388" i="5"/>
  <c r="F1389" i="5"/>
  <c r="F1390" i="5"/>
  <c r="F1391" i="5"/>
  <c r="F1392" i="5"/>
  <c r="F1393" i="5"/>
  <c r="F1394" i="5"/>
  <c r="F1395" i="5"/>
  <c r="F1396" i="5"/>
  <c r="F1397" i="5"/>
  <c r="F1398" i="5"/>
  <c r="F1399" i="5"/>
  <c r="F1400" i="5"/>
  <c r="F1401" i="5"/>
  <c r="F1402" i="5"/>
  <c r="F1403" i="5"/>
  <c r="F1404" i="5"/>
  <c r="F1405" i="5"/>
  <c r="F1406" i="5"/>
  <c r="F1407" i="5"/>
  <c r="F1408" i="5"/>
  <c r="F1409" i="5"/>
  <c r="F1410" i="5"/>
  <c r="F1411" i="5"/>
  <c r="F1412" i="5"/>
  <c r="F1413" i="5"/>
  <c r="F1414" i="5"/>
  <c r="F1415" i="5"/>
  <c r="F1416" i="5"/>
  <c r="F1417" i="5"/>
  <c r="F1418" i="5"/>
  <c r="F1419" i="5"/>
  <c r="F1420" i="5"/>
  <c r="F1421" i="5"/>
  <c r="F1422" i="5"/>
  <c r="F1423" i="5"/>
  <c r="F1424" i="5"/>
  <c r="F1425" i="5"/>
  <c r="F1426" i="5"/>
  <c r="F1427" i="5"/>
  <c r="F1428" i="5"/>
  <c r="F1429" i="5"/>
  <c r="F1430" i="5"/>
  <c r="F1431" i="5"/>
  <c r="F1432" i="5"/>
  <c r="F1433" i="5"/>
  <c r="F1434" i="5"/>
  <c r="F1435" i="5"/>
  <c r="F1436" i="5"/>
  <c r="F1437" i="5"/>
  <c r="F1438" i="5"/>
  <c r="F1439" i="5"/>
  <c r="F1440" i="5"/>
  <c r="F1441" i="5"/>
  <c r="F1442" i="5"/>
  <c r="F1443" i="5"/>
  <c r="F1444" i="5"/>
  <c r="F1445" i="5"/>
  <c r="F1446" i="5"/>
  <c r="F1447" i="5"/>
  <c r="F1448" i="5"/>
  <c r="F1449" i="5"/>
  <c r="F1450" i="5"/>
  <c r="F1451" i="5"/>
  <c r="F1452" i="5"/>
  <c r="F1453" i="5"/>
  <c r="F1454" i="5"/>
  <c r="F1455" i="5"/>
  <c r="F1456" i="5"/>
  <c r="F1457" i="5"/>
  <c r="F1458" i="5"/>
  <c r="F1459" i="5"/>
  <c r="F1460" i="5"/>
  <c r="F1461" i="5"/>
  <c r="F1462" i="5"/>
  <c r="F1463" i="5"/>
  <c r="F1464" i="5"/>
  <c r="F1465" i="5"/>
  <c r="F1466" i="5"/>
  <c r="F1467" i="5"/>
  <c r="F1468" i="5"/>
  <c r="F1469" i="5"/>
  <c r="F1470" i="5"/>
  <c r="F1471" i="5"/>
  <c r="F1472" i="5"/>
  <c r="F1473" i="5"/>
  <c r="F1474" i="5"/>
  <c r="F1475" i="5"/>
  <c r="F1476" i="5"/>
  <c r="F1477" i="5"/>
  <c r="F1478" i="5"/>
  <c r="F1479" i="5"/>
  <c r="F1480" i="5"/>
  <c r="F1481" i="5"/>
  <c r="F1482" i="5"/>
  <c r="F1483" i="5"/>
  <c r="F1484" i="5"/>
  <c r="F1485" i="5"/>
  <c r="F1486" i="5"/>
  <c r="F1487" i="5"/>
  <c r="F1488" i="5"/>
  <c r="F1489" i="5"/>
  <c r="F1490" i="5"/>
  <c r="F1491" i="5"/>
  <c r="F1492" i="5"/>
  <c r="F1493" i="5"/>
  <c r="F1494" i="5"/>
  <c r="F1495" i="5"/>
  <c r="F1496" i="5"/>
  <c r="F1497" i="5"/>
  <c r="F1498" i="5"/>
  <c r="F1499" i="5"/>
  <c r="F1500" i="5"/>
  <c r="F1501" i="5"/>
  <c r="F1502" i="5"/>
  <c r="F1503" i="5"/>
  <c r="F1504" i="5"/>
  <c r="F1505" i="5"/>
  <c r="F1506" i="5"/>
  <c r="F1507" i="5"/>
  <c r="F1508" i="5"/>
  <c r="F1509" i="5"/>
  <c r="F1510" i="5"/>
  <c r="F1511" i="5"/>
  <c r="F1512" i="5"/>
  <c r="F1513" i="5"/>
  <c r="F1514" i="5"/>
  <c r="F1515" i="5"/>
  <c r="F1516" i="5"/>
  <c r="F1517" i="5"/>
  <c r="F1518" i="5"/>
  <c r="F1519" i="5"/>
  <c r="F1520" i="5"/>
  <c r="F1521" i="5"/>
  <c r="F1522" i="5"/>
  <c r="F1523" i="5"/>
  <c r="F1524" i="5"/>
  <c r="F1525" i="5"/>
  <c r="F1526" i="5"/>
  <c r="F1527" i="5"/>
  <c r="F1528" i="5"/>
  <c r="F1529" i="5"/>
  <c r="F1530" i="5"/>
  <c r="F1531" i="5"/>
  <c r="F1532" i="5"/>
  <c r="F1533" i="5"/>
  <c r="F1534" i="5"/>
  <c r="F1535" i="5"/>
  <c r="F1536" i="5"/>
  <c r="F1537" i="5"/>
  <c r="F1538" i="5"/>
  <c r="F1539" i="5"/>
  <c r="F1540" i="5"/>
  <c r="F1541" i="5"/>
  <c r="F1542" i="5"/>
  <c r="F1543" i="5"/>
  <c r="F1544" i="5"/>
  <c r="F1545" i="5"/>
  <c r="F1546" i="5"/>
  <c r="F1547" i="5"/>
  <c r="F1548" i="5"/>
  <c r="F1549" i="5"/>
  <c r="F1550" i="5"/>
  <c r="F1551" i="5"/>
  <c r="F1552" i="5"/>
  <c r="F1553" i="5"/>
  <c r="F1554" i="5"/>
  <c r="F1555" i="5"/>
  <c r="F1556" i="5"/>
  <c r="F1557" i="5"/>
  <c r="F1558" i="5"/>
  <c r="F1559" i="5"/>
  <c r="F1560" i="5"/>
  <c r="F1561" i="5"/>
  <c r="F1562" i="5"/>
  <c r="F1563" i="5"/>
  <c r="F1564" i="5"/>
  <c r="F1565" i="5"/>
  <c r="F1566" i="5"/>
  <c r="F1567" i="5"/>
  <c r="F1568" i="5"/>
  <c r="F1569" i="5"/>
  <c r="F1570" i="5"/>
  <c r="F1571" i="5"/>
  <c r="F1572" i="5"/>
  <c r="F1573" i="5"/>
  <c r="F1574" i="5"/>
  <c r="F1575" i="5"/>
  <c r="F1576" i="5"/>
  <c r="F1577" i="5"/>
  <c r="F1578" i="5"/>
  <c r="F1579" i="5"/>
  <c r="F1580" i="5"/>
  <c r="F1581" i="5"/>
  <c r="F1582" i="5"/>
  <c r="F1583" i="5"/>
  <c r="F1584" i="5"/>
  <c r="F1585" i="5"/>
  <c r="F1586" i="5"/>
  <c r="F1587" i="5"/>
  <c r="F1588" i="5"/>
  <c r="F1589" i="5"/>
  <c r="F1590" i="5"/>
  <c r="F1591" i="5"/>
  <c r="F1592" i="5"/>
  <c r="F1593" i="5"/>
  <c r="F1594" i="5"/>
  <c r="F1595" i="5"/>
  <c r="F1596" i="5"/>
  <c r="F1597" i="5"/>
  <c r="F1598" i="5"/>
  <c r="F1599" i="5"/>
  <c r="F1600" i="5"/>
  <c r="F1601" i="5"/>
  <c r="F1602" i="5"/>
  <c r="F1603" i="5"/>
  <c r="F1604" i="5"/>
  <c r="F1605" i="5"/>
  <c r="F1606" i="5"/>
  <c r="F1607" i="5"/>
  <c r="F1608" i="5"/>
  <c r="F1609" i="5"/>
  <c r="F1610" i="5"/>
  <c r="F1611" i="5"/>
  <c r="F1612" i="5"/>
  <c r="F1613" i="5"/>
  <c r="F1614" i="5"/>
  <c r="F1615" i="5"/>
  <c r="F1616" i="5"/>
  <c r="F1617" i="5"/>
  <c r="F1618" i="5"/>
  <c r="F1619" i="5"/>
  <c r="F1620" i="5"/>
  <c r="F1621" i="5"/>
  <c r="F1622" i="5"/>
  <c r="F1623" i="5"/>
  <c r="F1624" i="5"/>
  <c r="F1625" i="5"/>
  <c r="F1626" i="5"/>
  <c r="F1627" i="5"/>
  <c r="F1628" i="5"/>
  <c r="F1629" i="5"/>
  <c r="F1630" i="5"/>
  <c r="F1631" i="5"/>
  <c r="F1632" i="5"/>
  <c r="F1633" i="5"/>
  <c r="F1634" i="5"/>
  <c r="F1635" i="5"/>
  <c r="F1636" i="5"/>
  <c r="F1637" i="5"/>
  <c r="F1638" i="5"/>
  <c r="F1639" i="5"/>
  <c r="F1640" i="5"/>
  <c r="F1641" i="5"/>
  <c r="F1642" i="5"/>
  <c r="F1643" i="5"/>
  <c r="F1644" i="5"/>
  <c r="F1645" i="5"/>
  <c r="F1646" i="5"/>
  <c r="F1647" i="5"/>
  <c r="F1648" i="5"/>
  <c r="F1649" i="5"/>
  <c r="F1650" i="5"/>
  <c r="F1651" i="5"/>
  <c r="F1652" i="5"/>
  <c r="F1653" i="5"/>
  <c r="F1654" i="5"/>
  <c r="F1655" i="5"/>
  <c r="F1656" i="5"/>
  <c r="F1657" i="5"/>
  <c r="F1658" i="5"/>
  <c r="F1659" i="5"/>
  <c r="F1660" i="5"/>
  <c r="F1661" i="5"/>
  <c r="F1662" i="5"/>
  <c r="F1663" i="5"/>
  <c r="F1664" i="5"/>
  <c r="F1665" i="5"/>
  <c r="F1666" i="5"/>
  <c r="F1667" i="5"/>
  <c r="F1668" i="5"/>
  <c r="F1669" i="5"/>
  <c r="F1670" i="5"/>
  <c r="F1671" i="5"/>
  <c r="F1672" i="5"/>
  <c r="F1673" i="5"/>
  <c r="F1674" i="5"/>
  <c r="F1675" i="5"/>
  <c r="F1676" i="5"/>
  <c r="F1677" i="5"/>
  <c r="F1678" i="5"/>
  <c r="F1679" i="5"/>
  <c r="F1680" i="5"/>
  <c r="F1681" i="5"/>
  <c r="F1682" i="5"/>
  <c r="F1683" i="5"/>
  <c r="F1684" i="5"/>
  <c r="F1685" i="5"/>
  <c r="F1686" i="5"/>
  <c r="F1687" i="5"/>
  <c r="F1688" i="5"/>
  <c r="F1689" i="5"/>
  <c r="F1690" i="5"/>
  <c r="F1691" i="5"/>
  <c r="F1692" i="5"/>
  <c r="F1693" i="5"/>
  <c r="F1694" i="5"/>
  <c r="F1695" i="5"/>
  <c r="F1696" i="5"/>
  <c r="F1697" i="5"/>
  <c r="F1698" i="5"/>
  <c r="F1699" i="5"/>
  <c r="F1700" i="5"/>
  <c r="F1701" i="5"/>
  <c r="F1702" i="5"/>
  <c r="F1703" i="5"/>
  <c r="F1704" i="5"/>
  <c r="F1705" i="5"/>
  <c r="F1706" i="5"/>
  <c r="F1707" i="5"/>
  <c r="F1708" i="5"/>
  <c r="F1709" i="5"/>
  <c r="F1710" i="5"/>
  <c r="F1711" i="5"/>
  <c r="F1712" i="5"/>
  <c r="F1713" i="5"/>
  <c r="F1714" i="5"/>
  <c r="F1715" i="5"/>
  <c r="F1716" i="5"/>
  <c r="F1717" i="5"/>
  <c r="F1718" i="5"/>
  <c r="F1719" i="5"/>
  <c r="F1720" i="5"/>
  <c r="F1721" i="5"/>
  <c r="F1722" i="5"/>
  <c r="F1723" i="5"/>
  <c r="F1724" i="5"/>
  <c r="F1725" i="5"/>
  <c r="F1726" i="5"/>
  <c r="F1727" i="5"/>
  <c r="F1728" i="5"/>
  <c r="F1729" i="5"/>
  <c r="F1730" i="5"/>
  <c r="F1731" i="5"/>
  <c r="F1732" i="5"/>
  <c r="F1733" i="5"/>
  <c r="F1734" i="5"/>
  <c r="F1735" i="5"/>
  <c r="F1736" i="5"/>
  <c r="F1737" i="5"/>
  <c r="F1738" i="5"/>
  <c r="F1739" i="5"/>
  <c r="F1740" i="5"/>
  <c r="F1741" i="5"/>
  <c r="F1742" i="5"/>
  <c r="F1743" i="5"/>
  <c r="F1744" i="5"/>
  <c r="F1745" i="5"/>
  <c r="F1746" i="5"/>
  <c r="F1747" i="5"/>
  <c r="F1748" i="5"/>
  <c r="F1749" i="5"/>
  <c r="F1750" i="5"/>
  <c r="F1751" i="5"/>
  <c r="F1752" i="5"/>
  <c r="F1753" i="5"/>
  <c r="F1754" i="5"/>
  <c r="F1755" i="5"/>
  <c r="F1756" i="5"/>
  <c r="F1757" i="5"/>
  <c r="F1758" i="5"/>
  <c r="F1759" i="5"/>
  <c r="F1760" i="5"/>
  <c r="F1761" i="5"/>
  <c r="F1762" i="5"/>
  <c r="F1763" i="5"/>
  <c r="F1764" i="5"/>
  <c r="F1765" i="5"/>
  <c r="F1766" i="5"/>
  <c r="F1767" i="5"/>
  <c r="F1768" i="5"/>
  <c r="F1769" i="5"/>
  <c r="F1770" i="5"/>
  <c r="F1771" i="5"/>
  <c r="F1772" i="5"/>
  <c r="F1773" i="5"/>
  <c r="F1774" i="5"/>
  <c r="F1775" i="5"/>
  <c r="F1776" i="5"/>
  <c r="F1777" i="5"/>
  <c r="F1778" i="5"/>
  <c r="F1779" i="5"/>
  <c r="F1780" i="5"/>
  <c r="F1781" i="5"/>
  <c r="F1782" i="5"/>
  <c r="F1783" i="5"/>
  <c r="F1784" i="5"/>
  <c r="F1785" i="5"/>
  <c r="F1786" i="5"/>
  <c r="F1787" i="5"/>
  <c r="F1788" i="5"/>
  <c r="F1789" i="5"/>
  <c r="F1790" i="5"/>
  <c r="F1791" i="5"/>
  <c r="F1792" i="5"/>
  <c r="F1793" i="5"/>
  <c r="F1794" i="5"/>
  <c r="F1795" i="5"/>
  <c r="F1796" i="5"/>
  <c r="F1797" i="5"/>
  <c r="F1798" i="5"/>
  <c r="F1799" i="5"/>
  <c r="F1800" i="5"/>
  <c r="F1801" i="5"/>
  <c r="F1802" i="5"/>
  <c r="F1803" i="5"/>
  <c r="F1804" i="5"/>
  <c r="F1805" i="5"/>
  <c r="F1806" i="5"/>
  <c r="F1807" i="5"/>
  <c r="F1808" i="5"/>
  <c r="F1809" i="5"/>
  <c r="F1810" i="5"/>
  <c r="F1811" i="5"/>
  <c r="F1812" i="5"/>
  <c r="F1813" i="5"/>
  <c r="F1814" i="5"/>
  <c r="F1815" i="5"/>
  <c r="F1816" i="5"/>
  <c r="F1817" i="5"/>
  <c r="F1818" i="5"/>
  <c r="F1819" i="5"/>
  <c r="F1820" i="5"/>
  <c r="F1821" i="5"/>
  <c r="F1822" i="5"/>
  <c r="F1823" i="5"/>
  <c r="F1824" i="5"/>
  <c r="F1825" i="5"/>
  <c r="F1826" i="5"/>
  <c r="F1827" i="5"/>
  <c r="F1828" i="5"/>
  <c r="F1829" i="5"/>
  <c r="F1830" i="5"/>
  <c r="F1831" i="5"/>
  <c r="F1832" i="5"/>
  <c r="F1833" i="5"/>
  <c r="F1834" i="5"/>
  <c r="F1835" i="5"/>
  <c r="F1836" i="5"/>
  <c r="F1837" i="5"/>
  <c r="F1838" i="5"/>
  <c r="F1839" i="5"/>
  <c r="F1840" i="5"/>
  <c r="F1841" i="5"/>
  <c r="F1842" i="5"/>
  <c r="F1843" i="5"/>
  <c r="F1844" i="5"/>
  <c r="F1845" i="5"/>
  <c r="F1846" i="5"/>
  <c r="F1847" i="5"/>
  <c r="F1848" i="5"/>
  <c r="F1849" i="5"/>
  <c r="F1850" i="5"/>
  <c r="F1851" i="5"/>
  <c r="F1852" i="5"/>
  <c r="F1853" i="5"/>
  <c r="F1854" i="5"/>
  <c r="F1855" i="5"/>
  <c r="F1856" i="5"/>
  <c r="F1857" i="5"/>
  <c r="F1858" i="5"/>
  <c r="F1859" i="5"/>
  <c r="F1860" i="5"/>
  <c r="F1861" i="5"/>
  <c r="F1862" i="5"/>
  <c r="F1863" i="5"/>
  <c r="F1864" i="5"/>
  <c r="F1865" i="5"/>
  <c r="F1866" i="5"/>
  <c r="F1867" i="5"/>
  <c r="F1868" i="5"/>
  <c r="F1869" i="5"/>
  <c r="F1870" i="5"/>
  <c r="F1871" i="5"/>
  <c r="F1872" i="5"/>
  <c r="F1873" i="5"/>
  <c r="F1874" i="5"/>
  <c r="F1875" i="5"/>
  <c r="F1876" i="5"/>
  <c r="F1877" i="5"/>
  <c r="F1878" i="5"/>
  <c r="F1879" i="5"/>
  <c r="F1880" i="5"/>
  <c r="F1881" i="5"/>
  <c r="F1882" i="5"/>
  <c r="F1883" i="5"/>
  <c r="F1884" i="5"/>
  <c r="F1885" i="5"/>
  <c r="F1886" i="5"/>
  <c r="F1887" i="5"/>
  <c r="F1888" i="5"/>
  <c r="F1889" i="5"/>
  <c r="F1890" i="5"/>
  <c r="F1891" i="5"/>
  <c r="F1892" i="5"/>
  <c r="F1893" i="5"/>
  <c r="F1894" i="5"/>
  <c r="F1895" i="5"/>
  <c r="F1896" i="5"/>
  <c r="F1897" i="5"/>
  <c r="F1898" i="5"/>
  <c r="F1899" i="5"/>
  <c r="F1900" i="5"/>
  <c r="F1901" i="5"/>
  <c r="F1902" i="5"/>
  <c r="F1903" i="5"/>
  <c r="F1904" i="5"/>
  <c r="F1905" i="5"/>
  <c r="F1906" i="5"/>
  <c r="F1907" i="5"/>
  <c r="F1908" i="5"/>
  <c r="F1909" i="5"/>
  <c r="F1910" i="5"/>
  <c r="F1911" i="5"/>
  <c r="F1912" i="5"/>
  <c r="F1913" i="5"/>
  <c r="F1914" i="5"/>
  <c r="F1915" i="5"/>
  <c r="F1916" i="5"/>
  <c r="F1917" i="5"/>
  <c r="F1918" i="5"/>
  <c r="F1919" i="5"/>
  <c r="F1920" i="5"/>
  <c r="F1921" i="5"/>
  <c r="F1922" i="5"/>
  <c r="F1923" i="5"/>
  <c r="F1924" i="5"/>
  <c r="F1925" i="5"/>
  <c r="F1926" i="5"/>
  <c r="F1927" i="5"/>
  <c r="F1928" i="5"/>
  <c r="F1929" i="5"/>
  <c r="F1930" i="5"/>
  <c r="F1931" i="5"/>
  <c r="F1932" i="5"/>
  <c r="F1933" i="5"/>
  <c r="F1934" i="5"/>
  <c r="F1935" i="5"/>
  <c r="F1936" i="5"/>
  <c r="F1937" i="5"/>
  <c r="F1938" i="5"/>
  <c r="F1939" i="5"/>
  <c r="F1940" i="5"/>
  <c r="F1941" i="5"/>
  <c r="F1942" i="5"/>
  <c r="F1943" i="5"/>
  <c r="F1944" i="5"/>
  <c r="F1945" i="5"/>
  <c r="F1946" i="5"/>
  <c r="F1947" i="5"/>
  <c r="F1948" i="5"/>
  <c r="F1949" i="5"/>
  <c r="F1950" i="5"/>
  <c r="F1951" i="5"/>
  <c r="F1952" i="5"/>
  <c r="F1953" i="5"/>
  <c r="F1954" i="5"/>
  <c r="F1955" i="5"/>
  <c r="F1956" i="5"/>
  <c r="F1957" i="5"/>
  <c r="F1958" i="5"/>
  <c r="F1959" i="5"/>
  <c r="F1960" i="5"/>
  <c r="F1961" i="5"/>
  <c r="F1962" i="5"/>
  <c r="F1963" i="5"/>
  <c r="F1964" i="5"/>
  <c r="F1965" i="5"/>
  <c r="F1966" i="5"/>
  <c r="F1967" i="5"/>
  <c r="F1968" i="5"/>
  <c r="F1969" i="5"/>
  <c r="F1970" i="5"/>
  <c r="F1971" i="5"/>
  <c r="F1972" i="5"/>
  <c r="F1973" i="5"/>
  <c r="F1974" i="5"/>
  <c r="F1975" i="5"/>
  <c r="F1976" i="5"/>
  <c r="F1977" i="5"/>
  <c r="F1978" i="5"/>
  <c r="F1979" i="5"/>
  <c r="F1980" i="5"/>
  <c r="F1981" i="5"/>
  <c r="F1982" i="5"/>
  <c r="F1983" i="5"/>
  <c r="F1984" i="5"/>
  <c r="F1985" i="5"/>
  <c r="F1986" i="5"/>
  <c r="F1987" i="5"/>
  <c r="F1988" i="5"/>
  <c r="F1989" i="5"/>
  <c r="F1990" i="5"/>
  <c r="F1991" i="5"/>
  <c r="F1992" i="5"/>
  <c r="F1993" i="5"/>
  <c r="F1994" i="5"/>
  <c r="F1995" i="5"/>
  <c r="F1996" i="5"/>
  <c r="F1997" i="5"/>
  <c r="F1998" i="5"/>
  <c r="F1999" i="5"/>
  <c r="F2000" i="5"/>
  <c r="F2001" i="5"/>
  <c r="F2002" i="5"/>
  <c r="F2003" i="5"/>
  <c r="F2004" i="5"/>
  <c r="F2005" i="5"/>
  <c r="F2006" i="5"/>
  <c r="F2007" i="5"/>
  <c r="F2008" i="5"/>
  <c r="F2009" i="5"/>
  <c r="F2010" i="5"/>
  <c r="F2011" i="5"/>
  <c r="F2012" i="5"/>
  <c r="F2013" i="5"/>
  <c r="F2014" i="5"/>
  <c r="F2015" i="5"/>
  <c r="F2016" i="5"/>
  <c r="F2017" i="5"/>
  <c r="F2018" i="5"/>
  <c r="F2019" i="5"/>
  <c r="F2020" i="5"/>
  <c r="F2021" i="5"/>
  <c r="F2022" i="5"/>
  <c r="F2023" i="5"/>
  <c r="F2024" i="5"/>
  <c r="F2025" i="5"/>
  <c r="F2026" i="5"/>
  <c r="F2027" i="5"/>
  <c r="F2028" i="5"/>
  <c r="F2029" i="5"/>
  <c r="F2030" i="5"/>
  <c r="F2031" i="5"/>
  <c r="F2032" i="5"/>
  <c r="F2033" i="5"/>
  <c r="F2034" i="5"/>
  <c r="F2035" i="5"/>
  <c r="F2036" i="5"/>
  <c r="F2037" i="5"/>
  <c r="F2038" i="5"/>
  <c r="F2039" i="5"/>
  <c r="F2040" i="5"/>
  <c r="F2041" i="5"/>
  <c r="F2042" i="5"/>
  <c r="F2043" i="5"/>
  <c r="F2044" i="5"/>
  <c r="F2045" i="5"/>
  <c r="F2046" i="5"/>
  <c r="F2047" i="5"/>
  <c r="F2048" i="5"/>
  <c r="F2049" i="5"/>
  <c r="F2050" i="5"/>
  <c r="F2051" i="5"/>
  <c r="F2052" i="5"/>
  <c r="F2053" i="5"/>
  <c r="F2054" i="5"/>
  <c r="F2055" i="5"/>
  <c r="F2056" i="5"/>
  <c r="F2057" i="5"/>
  <c r="F2058" i="5"/>
  <c r="F2059" i="5"/>
  <c r="F2060" i="5"/>
  <c r="F2061" i="5"/>
  <c r="F2062" i="5"/>
  <c r="F2063" i="5"/>
  <c r="F2064" i="5"/>
  <c r="F2065" i="5"/>
  <c r="F2066" i="5"/>
  <c r="F2067" i="5"/>
  <c r="F2068" i="5"/>
  <c r="F2069" i="5"/>
  <c r="F2070" i="5"/>
  <c r="F2071" i="5"/>
  <c r="F2072" i="5"/>
  <c r="F2073" i="5"/>
  <c r="F2074" i="5"/>
  <c r="F2075" i="5"/>
  <c r="F2076" i="5"/>
  <c r="F2077" i="5"/>
  <c r="F2078" i="5"/>
  <c r="F2079" i="5"/>
  <c r="F2080" i="5"/>
  <c r="F2081" i="5"/>
  <c r="F2082" i="5"/>
  <c r="F2083" i="5"/>
  <c r="F2084" i="5"/>
  <c r="F2085" i="5"/>
  <c r="F2086" i="5"/>
  <c r="F2087" i="5"/>
  <c r="F2088" i="5"/>
  <c r="F2089" i="5"/>
  <c r="F2090" i="5"/>
  <c r="F2091" i="5"/>
  <c r="F2092" i="5"/>
  <c r="F2093" i="5"/>
  <c r="F2094" i="5"/>
  <c r="F2095" i="5"/>
  <c r="F2096" i="5"/>
  <c r="F2097" i="5"/>
  <c r="F2098" i="5"/>
  <c r="F2099" i="5"/>
  <c r="F2100" i="5"/>
  <c r="F2101" i="5"/>
  <c r="F2102" i="5"/>
  <c r="F2103" i="5"/>
  <c r="F2104" i="5"/>
  <c r="F2105" i="5"/>
  <c r="F2106" i="5"/>
  <c r="F2107" i="5"/>
  <c r="F2108" i="5"/>
  <c r="F2109" i="5"/>
  <c r="F2110" i="5"/>
  <c r="F2111" i="5"/>
  <c r="F2112" i="5"/>
  <c r="F2113" i="5"/>
  <c r="F2114" i="5"/>
  <c r="F2115" i="5"/>
  <c r="F2116" i="5"/>
  <c r="F2117" i="5"/>
  <c r="F2118" i="5"/>
  <c r="F2119" i="5"/>
  <c r="F2120" i="5"/>
  <c r="F2121" i="5"/>
  <c r="F2122" i="5"/>
  <c r="F2123" i="5"/>
  <c r="F2124" i="5"/>
  <c r="F2125" i="5"/>
  <c r="F2126" i="5"/>
  <c r="F2127" i="5"/>
  <c r="F2128" i="5"/>
  <c r="F2129" i="5"/>
  <c r="F2130" i="5"/>
  <c r="F2131" i="5"/>
  <c r="F2132" i="5"/>
  <c r="F2133" i="5"/>
  <c r="F2134" i="5"/>
  <c r="F2135" i="5"/>
  <c r="F2136" i="5"/>
  <c r="F2137" i="5"/>
  <c r="F2138" i="5"/>
  <c r="F2139" i="5"/>
  <c r="F2140" i="5"/>
  <c r="F2141" i="5"/>
  <c r="F2142" i="5"/>
  <c r="F2143" i="5"/>
  <c r="F2144" i="5"/>
  <c r="F2145" i="5"/>
  <c r="F2146" i="5"/>
  <c r="F2147" i="5"/>
  <c r="F2148" i="5"/>
  <c r="F2149" i="5"/>
  <c r="F2150" i="5"/>
  <c r="F2151" i="5"/>
  <c r="F2152" i="5"/>
  <c r="F2153" i="5"/>
  <c r="F2154" i="5"/>
  <c r="F2155" i="5"/>
  <c r="F2156" i="5"/>
  <c r="F2157" i="5"/>
  <c r="F2158" i="5"/>
  <c r="F2159" i="5"/>
  <c r="F2160" i="5"/>
  <c r="F2161" i="5"/>
  <c r="F2162" i="5"/>
  <c r="F2163" i="5"/>
  <c r="F2164" i="5"/>
  <c r="F2165" i="5"/>
  <c r="F2166" i="5"/>
  <c r="F2167" i="5"/>
  <c r="F2168" i="5"/>
  <c r="F2169" i="5"/>
  <c r="F2170" i="5"/>
  <c r="F2171" i="5"/>
  <c r="F2172" i="5"/>
  <c r="F2173" i="5"/>
  <c r="F2174" i="5"/>
  <c r="F2175" i="5"/>
  <c r="F2176" i="5"/>
  <c r="F2177" i="5"/>
  <c r="F2178" i="5"/>
  <c r="F2179" i="5"/>
  <c r="F2180" i="5"/>
  <c r="F2181" i="5"/>
  <c r="F2182" i="5"/>
  <c r="F2183" i="5"/>
  <c r="F2184" i="5"/>
  <c r="F2185" i="5"/>
  <c r="F2186" i="5"/>
  <c r="F2187" i="5"/>
  <c r="F2188" i="5"/>
  <c r="F2189" i="5"/>
  <c r="F2190" i="5"/>
  <c r="F2191" i="5"/>
  <c r="F2192" i="5"/>
  <c r="F2193" i="5"/>
  <c r="F2194" i="5"/>
  <c r="F2195" i="5"/>
  <c r="F2196" i="5"/>
  <c r="F2197" i="5"/>
  <c r="F2198" i="5"/>
  <c r="F2199" i="5"/>
  <c r="F2200" i="5"/>
  <c r="F2201" i="5"/>
  <c r="F2202" i="5"/>
  <c r="F2203" i="5"/>
  <c r="F2204" i="5"/>
  <c r="F2205" i="5"/>
  <c r="F2206" i="5"/>
  <c r="F2207" i="5"/>
  <c r="F2208" i="5"/>
  <c r="F2209" i="5"/>
  <c r="F2210" i="5"/>
  <c r="F2211" i="5"/>
  <c r="F2212" i="5"/>
  <c r="F2213" i="5"/>
  <c r="F2214" i="5"/>
  <c r="F2215" i="5"/>
  <c r="F2216" i="5"/>
  <c r="F2217" i="5"/>
  <c r="F2218" i="5"/>
  <c r="F2219" i="5"/>
  <c r="F2220" i="5"/>
  <c r="F2221" i="5"/>
  <c r="F2222" i="5"/>
  <c r="F2223" i="5"/>
  <c r="F2224" i="5"/>
  <c r="F2225" i="5"/>
  <c r="F2226" i="5"/>
  <c r="F2227" i="5"/>
  <c r="F2228" i="5"/>
  <c r="F2229" i="5"/>
  <c r="F2230" i="5"/>
  <c r="F2231" i="5"/>
  <c r="F2232" i="5"/>
  <c r="F2233" i="5"/>
  <c r="F2234" i="5"/>
  <c r="F2235" i="5"/>
  <c r="F2236" i="5"/>
  <c r="F2237" i="5"/>
  <c r="F2238" i="5"/>
  <c r="F2239" i="5"/>
  <c r="F2240" i="5"/>
  <c r="F2241" i="5"/>
  <c r="F2242" i="5"/>
  <c r="F2243" i="5"/>
  <c r="F2244" i="5"/>
  <c r="F2245" i="5"/>
  <c r="F2246" i="5"/>
  <c r="F2247" i="5"/>
  <c r="F2248" i="5"/>
  <c r="F2249" i="5"/>
  <c r="F2250" i="5"/>
  <c r="F2251" i="5"/>
  <c r="F2252" i="5"/>
  <c r="F2253" i="5"/>
  <c r="F2254" i="5"/>
  <c r="F2255" i="5"/>
  <c r="F2256" i="5"/>
  <c r="F2257" i="5"/>
  <c r="F2258" i="5"/>
  <c r="F2259" i="5"/>
  <c r="F2260" i="5"/>
  <c r="F2261" i="5"/>
  <c r="F2262" i="5"/>
  <c r="F2263" i="5"/>
  <c r="F2264" i="5"/>
  <c r="F2265" i="5"/>
  <c r="F2266" i="5"/>
  <c r="F2267" i="5"/>
  <c r="F2268" i="5"/>
  <c r="F2269" i="5"/>
  <c r="F2270" i="5"/>
  <c r="F2271" i="5"/>
  <c r="F2272" i="5"/>
  <c r="F2273" i="5"/>
  <c r="F2274" i="5"/>
  <c r="F2275" i="5"/>
  <c r="F2276" i="5"/>
  <c r="F2277" i="5"/>
  <c r="F2278" i="5"/>
  <c r="F2279" i="5"/>
  <c r="F2280" i="5"/>
  <c r="F2281" i="5"/>
  <c r="F2282" i="5"/>
  <c r="F2283" i="5"/>
  <c r="F2284" i="5"/>
  <c r="F2285" i="5"/>
  <c r="F2286" i="5"/>
  <c r="F2287" i="5"/>
  <c r="F2288" i="5"/>
  <c r="F2289" i="5"/>
  <c r="F2290" i="5"/>
  <c r="F2291" i="5"/>
  <c r="F2292" i="5"/>
  <c r="F2293" i="5"/>
  <c r="F2294" i="5"/>
  <c r="F2295" i="5"/>
  <c r="F2296" i="5"/>
  <c r="F2297" i="5"/>
  <c r="F2298" i="5"/>
  <c r="F2299" i="5"/>
  <c r="F2300" i="5"/>
  <c r="F2301" i="5"/>
  <c r="F2302" i="5"/>
  <c r="F2303" i="5"/>
  <c r="F2304" i="5"/>
  <c r="F2305" i="5"/>
  <c r="F2306" i="5"/>
  <c r="F2307" i="5"/>
  <c r="F2308" i="5"/>
  <c r="F2309" i="5"/>
  <c r="F2310" i="5"/>
  <c r="F2311" i="5"/>
  <c r="F2312" i="5"/>
  <c r="F2313" i="5"/>
  <c r="F2314" i="5"/>
  <c r="F2315" i="5"/>
  <c r="F2316" i="5"/>
  <c r="F2317" i="5"/>
  <c r="F2318" i="5"/>
  <c r="F2319" i="5"/>
  <c r="F2320" i="5"/>
  <c r="F2321" i="5"/>
  <c r="F2322" i="5"/>
  <c r="F2323" i="5"/>
  <c r="F2324" i="5"/>
  <c r="F2325" i="5"/>
  <c r="F2326" i="5"/>
  <c r="F2327" i="5"/>
  <c r="F2328" i="5"/>
  <c r="F2329" i="5"/>
  <c r="F2330" i="5"/>
  <c r="F2331" i="5"/>
  <c r="F2332" i="5"/>
  <c r="F2333" i="5"/>
  <c r="F2334" i="5"/>
  <c r="F2335" i="5"/>
  <c r="F2336" i="5"/>
  <c r="F2337" i="5"/>
  <c r="F2338" i="5"/>
  <c r="F2339" i="5"/>
  <c r="F2340" i="5"/>
  <c r="F2341" i="5"/>
  <c r="F2342" i="5"/>
  <c r="F2343" i="5"/>
  <c r="F2344" i="5"/>
  <c r="F2345" i="5"/>
  <c r="F2346" i="5"/>
  <c r="F2347" i="5"/>
  <c r="F2348" i="5"/>
  <c r="F2349" i="5"/>
  <c r="F2350" i="5"/>
  <c r="F2351" i="5"/>
  <c r="F2352" i="5"/>
  <c r="F2353" i="5"/>
  <c r="F2354" i="5"/>
  <c r="F2355" i="5"/>
  <c r="F2356" i="5"/>
  <c r="F2357" i="5"/>
  <c r="F2358" i="5"/>
  <c r="F2359" i="5"/>
  <c r="F2360" i="5"/>
  <c r="F2361" i="5"/>
  <c r="F2362" i="5"/>
  <c r="F2363" i="5"/>
  <c r="F2364" i="5"/>
  <c r="F2365" i="5"/>
  <c r="F2366" i="5"/>
  <c r="F2367" i="5"/>
  <c r="F2368" i="5"/>
  <c r="F2369" i="5"/>
  <c r="F2370" i="5"/>
  <c r="F2371" i="5"/>
  <c r="F2372" i="5"/>
  <c r="F2373" i="5"/>
  <c r="F2374" i="5"/>
  <c r="F2375" i="5"/>
  <c r="F2376" i="5"/>
  <c r="F2377" i="5"/>
  <c r="F2378" i="5"/>
  <c r="F2379" i="5"/>
  <c r="F2380" i="5"/>
  <c r="F2381" i="5"/>
  <c r="F2382" i="5"/>
  <c r="F2383" i="5"/>
  <c r="F2384" i="5"/>
  <c r="F2385" i="5"/>
  <c r="F2386" i="5"/>
  <c r="F2387" i="5"/>
  <c r="F2388" i="5"/>
  <c r="F2389" i="5"/>
  <c r="F2390" i="5"/>
  <c r="F2391" i="5"/>
  <c r="F2392" i="5"/>
  <c r="F2393" i="5"/>
  <c r="F2394" i="5"/>
  <c r="F2395" i="5"/>
  <c r="F2396" i="5"/>
  <c r="F2397" i="5"/>
  <c r="F2398" i="5"/>
  <c r="F2399" i="5"/>
  <c r="F2400" i="5"/>
  <c r="F2401" i="5"/>
  <c r="F2402" i="5"/>
  <c r="F2403" i="5"/>
  <c r="F2404" i="5"/>
  <c r="F2405" i="5"/>
  <c r="F2406" i="5"/>
  <c r="F2407" i="5"/>
  <c r="F2408" i="5"/>
  <c r="F2409" i="5"/>
  <c r="F2410" i="5"/>
  <c r="F2411" i="5"/>
  <c r="F2412" i="5"/>
  <c r="F2413" i="5"/>
  <c r="F2414" i="5"/>
  <c r="F2415" i="5"/>
  <c r="F2416" i="5"/>
  <c r="F2417" i="5"/>
  <c r="F2418" i="5"/>
  <c r="F2419" i="5"/>
  <c r="F2420" i="5"/>
  <c r="F2421" i="5"/>
  <c r="F2422" i="5"/>
  <c r="F2423" i="5"/>
  <c r="F2424" i="5"/>
  <c r="F2425" i="5"/>
  <c r="F2426" i="5"/>
  <c r="F2427" i="5"/>
  <c r="F2428" i="5"/>
  <c r="F2429" i="5"/>
  <c r="F2430" i="5"/>
  <c r="F2431" i="5"/>
  <c r="F2432" i="5"/>
  <c r="F2433" i="5"/>
  <c r="F2434" i="5"/>
  <c r="F2435" i="5"/>
  <c r="F2436" i="5"/>
  <c r="F2437" i="5"/>
  <c r="F2438" i="5"/>
  <c r="F2439" i="5"/>
  <c r="F2440" i="5"/>
  <c r="F2441" i="5"/>
  <c r="F2442" i="5"/>
  <c r="F2443" i="5"/>
  <c r="F2444" i="5"/>
  <c r="F2445" i="5"/>
  <c r="F2446" i="5"/>
  <c r="F2447" i="5"/>
  <c r="F2448" i="5"/>
  <c r="F2449" i="5"/>
  <c r="F2450" i="5"/>
  <c r="F2451" i="5"/>
  <c r="F2452" i="5"/>
  <c r="F2453" i="5"/>
  <c r="F2454" i="5"/>
  <c r="F2455" i="5"/>
  <c r="F2456" i="5"/>
  <c r="F2457" i="5"/>
  <c r="F2458" i="5"/>
  <c r="F2459" i="5"/>
  <c r="F2460" i="5"/>
  <c r="F2461" i="5"/>
  <c r="F2462" i="5"/>
  <c r="F2463" i="5"/>
  <c r="F2464" i="5"/>
  <c r="F2465" i="5"/>
  <c r="F2466" i="5"/>
  <c r="F2467" i="5"/>
  <c r="F2468" i="5"/>
  <c r="F2469" i="5"/>
  <c r="F2470" i="5"/>
  <c r="F2471" i="5"/>
  <c r="F2472" i="5"/>
  <c r="F2473" i="5"/>
  <c r="F2474" i="5"/>
  <c r="F2475" i="5"/>
  <c r="F2476" i="5"/>
  <c r="F2477" i="5"/>
  <c r="F2478" i="5"/>
  <c r="F2479" i="5"/>
  <c r="F2480" i="5"/>
  <c r="F2481" i="5"/>
  <c r="F2482" i="5"/>
  <c r="F2483" i="5"/>
  <c r="F2484" i="5"/>
  <c r="F2485" i="5"/>
  <c r="F2486" i="5"/>
  <c r="F2487" i="5"/>
  <c r="F2488" i="5"/>
  <c r="F2489" i="5"/>
  <c r="F2490" i="5"/>
  <c r="F2491" i="5"/>
  <c r="F2492" i="5"/>
  <c r="F2493" i="5"/>
  <c r="F2494" i="5"/>
  <c r="F2495" i="5"/>
  <c r="F2496" i="5"/>
  <c r="F2497" i="5"/>
  <c r="F2498" i="5"/>
  <c r="F2499" i="5"/>
  <c r="F2500" i="5"/>
  <c r="F2501" i="5"/>
  <c r="F2502" i="5"/>
  <c r="F2503" i="5"/>
  <c r="F2504" i="5"/>
  <c r="F2505" i="5"/>
  <c r="F2506" i="5"/>
  <c r="F2507" i="5"/>
  <c r="F2508" i="5"/>
  <c r="F2509" i="5"/>
  <c r="F2510" i="5"/>
  <c r="F2511" i="5"/>
  <c r="F2512" i="5"/>
  <c r="F2513" i="5"/>
  <c r="F2514" i="5"/>
  <c r="F2515" i="5"/>
  <c r="F2516" i="5"/>
  <c r="F2517" i="5"/>
  <c r="F2518" i="5"/>
  <c r="F2519" i="5"/>
  <c r="F2520" i="5"/>
  <c r="F2521" i="5"/>
  <c r="F2522" i="5"/>
  <c r="F2523" i="5"/>
  <c r="F2524" i="5"/>
  <c r="F2525" i="5"/>
  <c r="F2526" i="5"/>
  <c r="F2527" i="5"/>
  <c r="F2528" i="5"/>
  <c r="F2529" i="5"/>
  <c r="F2530" i="5"/>
  <c r="F2531" i="5"/>
  <c r="F2532" i="5"/>
  <c r="F2533" i="5"/>
  <c r="F2534" i="5"/>
  <c r="F2535" i="5"/>
  <c r="F2536" i="5"/>
  <c r="F2537" i="5"/>
  <c r="F2538" i="5"/>
  <c r="F2539" i="5"/>
  <c r="F2540" i="5"/>
  <c r="F2541" i="5"/>
  <c r="F2542" i="5"/>
  <c r="F2543" i="5"/>
  <c r="F2544" i="5"/>
  <c r="F2545" i="5"/>
  <c r="F2546" i="5"/>
  <c r="F2547" i="5"/>
  <c r="F2548" i="5"/>
  <c r="F2549" i="5"/>
  <c r="F2550" i="5"/>
  <c r="F2551" i="5"/>
  <c r="F2552" i="5"/>
  <c r="F2553" i="5"/>
  <c r="F2554" i="5"/>
  <c r="F2555" i="5"/>
  <c r="F2556" i="5"/>
  <c r="F2557" i="5"/>
  <c r="F2558" i="5"/>
  <c r="F2559" i="5"/>
  <c r="F2560" i="5"/>
  <c r="F2561" i="5"/>
  <c r="F2562" i="5"/>
  <c r="F2563" i="5"/>
  <c r="F2564" i="5"/>
  <c r="F2565" i="5"/>
  <c r="F2566" i="5"/>
  <c r="F2567" i="5"/>
  <c r="F2568" i="5"/>
  <c r="F2569" i="5"/>
  <c r="F2570" i="5"/>
  <c r="F2571" i="5"/>
  <c r="F2572" i="5"/>
  <c r="F2573" i="5"/>
  <c r="F2574" i="5"/>
  <c r="F2575" i="5"/>
  <c r="F2576" i="5"/>
  <c r="F2577" i="5"/>
  <c r="F2578" i="5"/>
  <c r="F2579" i="5"/>
  <c r="F2580" i="5"/>
  <c r="F2581" i="5"/>
  <c r="F2582" i="5"/>
  <c r="F2583" i="5"/>
  <c r="F2584" i="5"/>
  <c r="F2585" i="5"/>
  <c r="F2586" i="5"/>
  <c r="F2587" i="5"/>
  <c r="F2588" i="5"/>
  <c r="F2589" i="5"/>
  <c r="F2590" i="5"/>
  <c r="F2591" i="5"/>
  <c r="F2592" i="5"/>
  <c r="F2593" i="5"/>
  <c r="F2594" i="5"/>
  <c r="F2595" i="5"/>
  <c r="F2596" i="5"/>
  <c r="F2597" i="5"/>
  <c r="F2598" i="5"/>
  <c r="F2599" i="5"/>
  <c r="F2600" i="5"/>
  <c r="F2601" i="5"/>
  <c r="F2602" i="5"/>
  <c r="F2603" i="5"/>
  <c r="F2604" i="5"/>
  <c r="F2605" i="5"/>
  <c r="F2606" i="5"/>
  <c r="F2607" i="5"/>
  <c r="F2608" i="5"/>
  <c r="F2609" i="5"/>
  <c r="F2610" i="5"/>
  <c r="F2611" i="5"/>
  <c r="F2612" i="5"/>
  <c r="F2613" i="5"/>
  <c r="F2614" i="5"/>
  <c r="F2615" i="5"/>
  <c r="F2616" i="5"/>
  <c r="F2617" i="5"/>
  <c r="F2618" i="5"/>
  <c r="F2619" i="5"/>
  <c r="F2620" i="5"/>
  <c r="F2621" i="5"/>
  <c r="F2622" i="5"/>
  <c r="F2623" i="5"/>
  <c r="F2624" i="5"/>
  <c r="F2625" i="5"/>
  <c r="F2626" i="5"/>
  <c r="F2627" i="5"/>
  <c r="F2628" i="5"/>
  <c r="F2629" i="5"/>
  <c r="F2630" i="5"/>
  <c r="F2631" i="5"/>
  <c r="F2632" i="5"/>
  <c r="F2633" i="5"/>
  <c r="F2634" i="5"/>
  <c r="F2635" i="5"/>
  <c r="F2636" i="5"/>
  <c r="F2637" i="5"/>
  <c r="F2638" i="5"/>
  <c r="F2639" i="5"/>
  <c r="F2640" i="5"/>
  <c r="F2641" i="5"/>
  <c r="F2642" i="5"/>
  <c r="F2643" i="5"/>
  <c r="F2644" i="5"/>
  <c r="F2645" i="5"/>
  <c r="F2646" i="5"/>
  <c r="F2647" i="5"/>
  <c r="F2648" i="5"/>
  <c r="F2649" i="5"/>
  <c r="F2650" i="5"/>
  <c r="F2651" i="5"/>
  <c r="F2652" i="5"/>
  <c r="F2653" i="5"/>
  <c r="F2654" i="5"/>
  <c r="F2655" i="5"/>
  <c r="F2656" i="5"/>
  <c r="F2657" i="5"/>
  <c r="F2658" i="5"/>
  <c r="F2659" i="5"/>
  <c r="F2660" i="5"/>
  <c r="F2661" i="5"/>
  <c r="F2662" i="5"/>
  <c r="F2663" i="5"/>
  <c r="F2664" i="5"/>
  <c r="F2665" i="5"/>
  <c r="F2666" i="5"/>
  <c r="F2667" i="5"/>
  <c r="F2668" i="5"/>
  <c r="F2669" i="5"/>
  <c r="F2670" i="5"/>
  <c r="F2671" i="5"/>
  <c r="F2672" i="5"/>
  <c r="F2673" i="5"/>
  <c r="F2674" i="5"/>
  <c r="F2675" i="5"/>
  <c r="F2676" i="5"/>
  <c r="F2677" i="5"/>
  <c r="F2678" i="5"/>
  <c r="F2679" i="5"/>
  <c r="F2680" i="5"/>
  <c r="F2681" i="5"/>
  <c r="F2682" i="5"/>
  <c r="F2683" i="5"/>
  <c r="F2684" i="5"/>
  <c r="F2685" i="5"/>
  <c r="F2686" i="5"/>
  <c r="F2687" i="5"/>
  <c r="F2688" i="5"/>
  <c r="F2689" i="5"/>
  <c r="F2690" i="5"/>
  <c r="F2691" i="5"/>
  <c r="F2692" i="5"/>
  <c r="F2693" i="5"/>
  <c r="F2694" i="5"/>
  <c r="F2695" i="5"/>
  <c r="F2696" i="5"/>
  <c r="F2697" i="5"/>
  <c r="F2698" i="5"/>
  <c r="F2699" i="5"/>
  <c r="F2700" i="5"/>
  <c r="F2701" i="5"/>
  <c r="F2702" i="5"/>
  <c r="F2703" i="5"/>
  <c r="F2704" i="5"/>
  <c r="F2705" i="5"/>
  <c r="F2706" i="5"/>
  <c r="F2707" i="5"/>
  <c r="F2708" i="5"/>
  <c r="F2709" i="5"/>
  <c r="F2710" i="5"/>
  <c r="F2711" i="5"/>
  <c r="F2712" i="5"/>
  <c r="F2713" i="5"/>
  <c r="F2714" i="5"/>
  <c r="F2715" i="5"/>
  <c r="F2716" i="5"/>
  <c r="F2717" i="5"/>
  <c r="F2718" i="5"/>
  <c r="F2719" i="5"/>
  <c r="F2720" i="5"/>
  <c r="F2721" i="5"/>
  <c r="F2722" i="5"/>
  <c r="F2723" i="5"/>
  <c r="F2724" i="5"/>
  <c r="F2725" i="5"/>
  <c r="F2726" i="5"/>
  <c r="F2727" i="5"/>
  <c r="F2728" i="5"/>
  <c r="F2729" i="5"/>
  <c r="F2730" i="5"/>
  <c r="F2731" i="5"/>
  <c r="F2732" i="5"/>
  <c r="F2733" i="5"/>
  <c r="F2734" i="5"/>
  <c r="F2735" i="5"/>
  <c r="F2736" i="5"/>
  <c r="F2737" i="5"/>
  <c r="F2738" i="5"/>
  <c r="F2739" i="5"/>
  <c r="F2740" i="5"/>
  <c r="F2741" i="5"/>
  <c r="F2742" i="5"/>
  <c r="F2743" i="5"/>
  <c r="F2744" i="5"/>
  <c r="F2745" i="5"/>
  <c r="F2746" i="5"/>
  <c r="F2747" i="5"/>
  <c r="F2748" i="5"/>
  <c r="F2749" i="5"/>
  <c r="F2750" i="5"/>
  <c r="F2751" i="5"/>
  <c r="F2752" i="5"/>
  <c r="F2753" i="5"/>
  <c r="F2754" i="5"/>
  <c r="F2755" i="5"/>
  <c r="F2756" i="5"/>
  <c r="F2757" i="5"/>
  <c r="F2758" i="5"/>
  <c r="F2759" i="5"/>
  <c r="F2760" i="5"/>
  <c r="F2761" i="5"/>
  <c r="F2762" i="5"/>
  <c r="F2763" i="5"/>
  <c r="F2764" i="5"/>
  <c r="F2765" i="5"/>
  <c r="F2766" i="5"/>
  <c r="F2767" i="5"/>
  <c r="F2768" i="5"/>
  <c r="F2769" i="5"/>
  <c r="F2770" i="5"/>
  <c r="F2771" i="5"/>
  <c r="F2772" i="5"/>
  <c r="F2773" i="5"/>
  <c r="F2774" i="5"/>
  <c r="F2775" i="5"/>
  <c r="F2776" i="5"/>
  <c r="F2777" i="5"/>
  <c r="F2778" i="5"/>
  <c r="F2779" i="5"/>
  <c r="F2780" i="5"/>
  <c r="F2781" i="5"/>
  <c r="F2782" i="5"/>
  <c r="F2783" i="5"/>
  <c r="F2784" i="5"/>
  <c r="F2785" i="5"/>
  <c r="F2786" i="5"/>
  <c r="F2787" i="5"/>
  <c r="F2788" i="5"/>
  <c r="F2789" i="5"/>
  <c r="F2790" i="5"/>
  <c r="F2791" i="5"/>
  <c r="F2792" i="5"/>
  <c r="F2793" i="5"/>
  <c r="F2794" i="5"/>
  <c r="F2795" i="5"/>
  <c r="F2796" i="5"/>
  <c r="F2797" i="5"/>
  <c r="F2798" i="5"/>
  <c r="F2799" i="5"/>
  <c r="F2800" i="5"/>
  <c r="F2801" i="5"/>
  <c r="F2802" i="5"/>
  <c r="F2803" i="5"/>
  <c r="F2804" i="5"/>
  <c r="F2805" i="5"/>
  <c r="F2806" i="5"/>
  <c r="F2807" i="5"/>
  <c r="F2808" i="5"/>
  <c r="F2809" i="5"/>
  <c r="F2810" i="5"/>
  <c r="F2811" i="5"/>
  <c r="F2812" i="5"/>
  <c r="F2813" i="5"/>
  <c r="F2814" i="5"/>
  <c r="F2815" i="5"/>
  <c r="F2816" i="5"/>
  <c r="F2817" i="5"/>
  <c r="F2818" i="5"/>
  <c r="F2819" i="5"/>
  <c r="F2820" i="5"/>
  <c r="F2821" i="5"/>
  <c r="F2822" i="5"/>
  <c r="F2823" i="5"/>
  <c r="F2824" i="5"/>
  <c r="F2825" i="5"/>
  <c r="F2826" i="5"/>
  <c r="F2827" i="5"/>
  <c r="F2828" i="5"/>
  <c r="F2829" i="5"/>
  <c r="F2830" i="5"/>
  <c r="F2831" i="5"/>
  <c r="F2832" i="5"/>
  <c r="F2833" i="5"/>
  <c r="F2834" i="5"/>
  <c r="F2835" i="5"/>
  <c r="F2836" i="5"/>
  <c r="F2837" i="5"/>
  <c r="F2838" i="5"/>
  <c r="F2839" i="5"/>
  <c r="F2840" i="5"/>
  <c r="F2841" i="5"/>
  <c r="F2842" i="5"/>
  <c r="F2843" i="5"/>
  <c r="F2844" i="5"/>
  <c r="F2845" i="5"/>
  <c r="F2846" i="5"/>
  <c r="F2847" i="5"/>
  <c r="F2848" i="5"/>
  <c r="F2849" i="5"/>
  <c r="F2850" i="5"/>
  <c r="F2851" i="5"/>
  <c r="F2852" i="5"/>
  <c r="F2853" i="5"/>
  <c r="F2854" i="5"/>
  <c r="F2855" i="5"/>
  <c r="F2856" i="5"/>
  <c r="F2857" i="5"/>
  <c r="F2858" i="5"/>
  <c r="F2859" i="5"/>
  <c r="F2860" i="5"/>
  <c r="F2861" i="5"/>
  <c r="F2862" i="5"/>
  <c r="F2863" i="5"/>
  <c r="F2864" i="5"/>
  <c r="F2865" i="5"/>
  <c r="F2866" i="5"/>
  <c r="F2867" i="5"/>
  <c r="F2868" i="5"/>
  <c r="F2869" i="5"/>
  <c r="F2870" i="5"/>
  <c r="F2871" i="5"/>
  <c r="F2872" i="5"/>
  <c r="F2873" i="5"/>
  <c r="F2874" i="5"/>
  <c r="F2875" i="5"/>
  <c r="F2876" i="5"/>
  <c r="F2877" i="5"/>
  <c r="F2878" i="5"/>
  <c r="F2879" i="5"/>
  <c r="F2880" i="5"/>
  <c r="F2881" i="5"/>
  <c r="F2882" i="5"/>
  <c r="F2883" i="5"/>
  <c r="F2884" i="5"/>
  <c r="F2885" i="5"/>
  <c r="F2886" i="5"/>
  <c r="F2887" i="5"/>
  <c r="F2888" i="5"/>
  <c r="F2889" i="5"/>
  <c r="F2890" i="5"/>
  <c r="F2891" i="5"/>
  <c r="F2892" i="5"/>
  <c r="F2893" i="5"/>
  <c r="F2894" i="5"/>
  <c r="F2895" i="5"/>
  <c r="F2896" i="5"/>
  <c r="F2897" i="5"/>
  <c r="F2898" i="5"/>
  <c r="F2899" i="5"/>
  <c r="F2900" i="5"/>
  <c r="F2901" i="5"/>
  <c r="F2902" i="5"/>
  <c r="F2903" i="5"/>
  <c r="F2904" i="5"/>
  <c r="F2905" i="5"/>
  <c r="F2906" i="5"/>
  <c r="F2907" i="5"/>
  <c r="F2908" i="5"/>
  <c r="F2909" i="5"/>
  <c r="F2910" i="5"/>
  <c r="F2911" i="5"/>
  <c r="F2912" i="5"/>
  <c r="F2913" i="5"/>
  <c r="F2914" i="5"/>
  <c r="F2915" i="5"/>
  <c r="F2916" i="5"/>
  <c r="F2917" i="5"/>
  <c r="F2918" i="5"/>
  <c r="F2919" i="5"/>
  <c r="F2920" i="5"/>
  <c r="F2921" i="5"/>
  <c r="F2922" i="5"/>
  <c r="F2923" i="5"/>
  <c r="F2924" i="5"/>
  <c r="F2925" i="5"/>
  <c r="F2926" i="5"/>
  <c r="F2927" i="5"/>
  <c r="F2928" i="5"/>
  <c r="F2929" i="5"/>
  <c r="F2930" i="5"/>
  <c r="F2931" i="5"/>
  <c r="F2932" i="5"/>
  <c r="F2933" i="5"/>
  <c r="F2934" i="5"/>
  <c r="F2935" i="5"/>
  <c r="F2936" i="5"/>
  <c r="F2937" i="5"/>
  <c r="F2938" i="5"/>
  <c r="F2939" i="5"/>
  <c r="F2940" i="5"/>
  <c r="F2941" i="5"/>
  <c r="F2942" i="5"/>
  <c r="F2943" i="5"/>
  <c r="F2944" i="5"/>
  <c r="F2945" i="5"/>
  <c r="F2946" i="5"/>
  <c r="F2947" i="5"/>
  <c r="F2948" i="5"/>
  <c r="F2949" i="5"/>
  <c r="F2950" i="5"/>
  <c r="F2951" i="5"/>
  <c r="F2952" i="5"/>
  <c r="F2953" i="5"/>
  <c r="F2954" i="5"/>
  <c r="F2955" i="5"/>
  <c r="F2956" i="5"/>
  <c r="F2957" i="5"/>
  <c r="F2958" i="5"/>
  <c r="F2959" i="5"/>
  <c r="F2960" i="5"/>
  <c r="F2961" i="5"/>
  <c r="F2962" i="5"/>
  <c r="F2963" i="5"/>
  <c r="F2964" i="5"/>
  <c r="F2965" i="5"/>
  <c r="F2966" i="5"/>
  <c r="F2967" i="5"/>
  <c r="F2968" i="5"/>
  <c r="F2969" i="5"/>
  <c r="F2970" i="5"/>
  <c r="F2971" i="5"/>
  <c r="F2972" i="5"/>
  <c r="F2973" i="5"/>
  <c r="F2974" i="5"/>
  <c r="F2975" i="5"/>
  <c r="F2976" i="5"/>
  <c r="F2977" i="5"/>
  <c r="F2978" i="5"/>
  <c r="F2979" i="5"/>
  <c r="F2980" i="5"/>
  <c r="F2981" i="5"/>
  <c r="F2982" i="5"/>
  <c r="F2983" i="5"/>
  <c r="F2984" i="5"/>
  <c r="F2985" i="5"/>
  <c r="F2986" i="5"/>
  <c r="F2987" i="5"/>
  <c r="F2988" i="5"/>
  <c r="F2989" i="5"/>
  <c r="F2990" i="5"/>
  <c r="F2991" i="5"/>
  <c r="F2992" i="5"/>
  <c r="F2993" i="5"/>
  <c r="F2994" i="5"/>
  <c r="F2995" i="5"/>
  <c r="F2996" i="5"/>
  <c r="F2997" i="5"/>
  <c r="F2998" i="5"/>
  <c r="F2999" i="5"/>
  <c r="F3000" i="5"/>
  <c r="F3001" i="5"/>
  <c r="F3002" i="5"/>
  <c r="F3003" i="5"/>
  <c r="F3004" i="5"/>
  <c r="F3005" i="5"/>
  <c r="F3006" i="5"/>
  <c r="F3007" i="5"/>
  <c r="F3008" i="5"/>
  <c r="F3009" i="5"/>
  <c r="F3010" i="5"/>
  <c r="F3011" i="5"/>
  <c r="F3012" i="5"/>
  <c r="F3013" i="5"/>
  <c r="F3014" i="5"/>
  <c r="F3015" i="5"/>
  <c r="F3016" i="5"/>
  <c r="F3017" i="5"/>
  <c r="F3018" i="5"/>
  <c r="F3019" i="5"/>
  <c r="F3020" i="5"/>
  <c r="F3021" i="5"/>
  <c r="F3022" i="5"/>
  <c r="F3023" i="5"/>
  <c r="F3024" i="5"/>
  <c r="F3025" i="5"/>
  <c r="F3026" i="5"/>
  <c r="F3027" i="5"/>
  <c r="F3028" i="5"/>
  <c r="F3029" i="5"/>
  <c r="F3030" i="5"/>
  <c r="F3031" i="5"/>
  <c r="F3032" i="5"/>
  <c r="F3033" i="5"/>
  <c r="F3034" i="5"/>
  <c r="F3035" i="5"/>
  <c r="F3036" i="5"/>
  <c r="F3037" i="5"/>
  <c r="F3038" i="5"/>
  <c r="F3039" i="5"/>
  <c r="F3040" i="5"/>
  <c r="F3041" i="5"/>
  <c r="F3042" i="5"/>
  <c r="F3043" i="5"/>
  <c r="F3044" i="5"/>
  <c r="F3045" i="5"/>
  <c r="F3046" i="5"/>
  <c r="F3047" i="5"/>
  <c r="F3048" i="5"/>
  <c r="F3049" i="5"/>
  <c r="F3050" i="5"/>
  <c r="F3051" i="5"/>
  <c r="F3052" i="5"/>
  <c r="F3053" i="5"/>
  <c r="F3054" i="5"/>
  <c r="F3055" i="5"/>
  <c r="F3056" i="5"/>
  <c r="F3057" i="5"/>
  <c r="F3058" i="5"/>
  <c r="F3059" i="5"/>
  <c r="F3060" i="5"/>
  <c r="F3061" i="5"/>
  <c r="F3062" i="5"/>
  <c r="F3063" i="5"/>
  <c r="F3064" i="5"/>
  <c r="F3065" i="5"/>
  <c r="F3066" i="5"/>
  <c r="F3067" i="5"/>
  <c r="F3068" i="5"/>
  <c r="F3069" i="5"/>
  <c r="F3070" i="5"/>
  <c r="F3071" i="5"/>
  <c r="F3072" i="5"/>
  <c r="F3073" i="5"/>
  <c r="F3074" i="5"/>
  <c r="F3075" i="5"/>
  <c r="F3076" i="5"/>
  <c r="F3077" i="5"/>
  <c r="F3078" i="5"/>
  <c r="F3079" i="5"/>
  <c r="F3080" i="5"/>
  <c r="F3081" i="5"/>
  <c r="F3082" i="5"/>
  <c r="F3083" i="5"/>
  <c r="F3084" i="5"/>
  <c r="F3085" i="5"/>
  <c r="F3086" i="5"/>
  <c r="F3087" i="5"/>
  <c r="F3088" i="5"/>
  <c r="F3089" i="5"/>
  <c r="F3090" i="5"/>
  <c r="F3091" i="5"/>
  <c r="F3092" i="5"/>
  <c r="F3093" i="5"/>
  <c r="F3094" i="5"/>
  <c r="F3095" i="5"/>
  <c r="F3096" i="5"/>
  <c r="F3097" i="5"/>
  <c r="F3098" i="5"/>
  <c r="F3099" i="5"/>
  <c r="F3100" i="5"/>
  <c r="F3101" i="5"/>
  <c r="F3102" i="5"/>
  <c r="F3103" i="5"/>
  <c r="F3104" i="5"/>
  <c r="F3105" i="5"/>
  <c r="F3106" i="5"/>
  <c r="F3107" i="5"/>
  <c r="F3108" i="5"/>
  <c r="F3109" i="5"/>
  <c r="F3110" i="5"/>
  <c r="F3111" i="5"/>
  <c r="F3112" i="5"/>
  <c r="F3113" i="5"/>
  <c r="F3114" i="5"/>
  <c r="F3115" i="5"/>
  <c r="F3116" i="5"/>
  <c r="F3117" i="5"/>
  <c r="F3118" i="5"/>
  <c r="F3119" i="5"/>
  <c r="F3120" i="5"/>
  <c r="F3121" i="5"/>
  <c r="F3122" i="5"/>
  <c r="F3123" i="5"/>
  <c r="F3124" i="5"/>
  <c r="F3125" i="5"/>
  <c r="F3126" i="5"/>
  <c r="F3127" i="5"/>
  <c r="F3128" i="5"/>
  <c r="F3129" i="5"/>
  <c r="F3130" i="5"/>
  <c r="F3131" i="5"/>
  <c r="F3132" i="5"/>
  <c r="F3133" i="5"/>
  <c r="F3134" i="5"/>
  <c r="F3135" i="5"/>
  <c r="F3136" i="5"/>
  <c r="F3137" i="5"/>
  <c r="F3138" i="5"/>
  <c r="F3139" i="5"/>
  <c r="F3140" i="5"/>
  <c r="F3141" i="5"/>
  <c r="F3142" i="5"/>
  <c r="F3143" i="5"/>
  <c r="F3144" i="5"/>
  <c r="F3145" i="5"/>
  <c r="F3146" i="5"/>
  <c r="F3147" i="5"/>
  <c r="F3148" i="5"/>
  <c r="F3149" i="5"/>
  <c r="F3150" i="5"/>
  <c r="F3151" i="5"/>
  <c r="F3152" i="5"/>
  <c r="F3153" i="5"/>
  <c r="F3154" i="5"/>
  <c r="F3155" i="5"/>
  <c r="F3156" i="5"/>
  <c r="F3157" i="5"/>
  <c r="F3158" i="5"/>
  <c r="F3159" i="5"/>
  <c r="F3160" i="5"/>
  <c r="F3161" i="5"/>
  <c r="F3162" i="5"/>
  <c r="F3163" i="5"/>
  <c r="F3164" i="5"/>
  <c r="F3165" i="5"/>
  <c r="F3166" i="5"/>
  <c r="F3167" i="5"/>
  <c r="F3168" i="5"/>
  <c r="F3169" i="5"/>
  <c r="F3170" i="5"/>
  <c r="F3171" i="5"/>
  <c r="F3172" i="5"/>
  <c r="F3173" i="5"/>
  <c r="F3174" i="5"/>
  <c r="F3175" i="5"/>
  <c r="F3176" i="5"/>
  <c r="F3177" i="5"/>
  <c r="F3178" i="5"/>
  <c r="F3179" i="5"/>
  <c r="F3180" i="5"/>
  <c r="F3181" i="5"/>
  <c r="F3182" i="5"/>
  <c r="F3183" i="5"/>
  <c r="F3184" i="5"/>
  <c r="F3185" i="5"/>
  <c r="F3186" i="5"/>
  <c r="F3187" i="5"/>
  <c r="F3188" i="5"/>
  <c r="F3189" i="5"/>
  <c r="F3190" i="5"/>
  <c r="F3191" i="5"/>
  <c r="F3192" i="5"/>
  <c r="F3193" i="5"/>
  <c r="F3194" i="5"/>
  <c r="F3195" i="5"/>
  <c r="F3196" i="5"/>
  <c r="F3197" i="5"/>
  <c r="F3198" i="5"/>
  <c r="F3199" i="5"/>
  <c r="F3200" i="5"/>
  <c r="F3201" i="5"/>
  <c r="F3202" i="5"/>
  <c r="F3203" i="5"/>
  <c r="F3204" i="5"/>
  <c r="F3205" i="5"/>
  <c r="F3206" i="5"/>
  <c r="F3207" i="5"/>
  <c r="F3208" i="5"/>
  <c r="F3209" i="5"/>
  <c r="F3210" i="5"/>
  <c r="F3211" i="5"/>
  <c r="F3212" i="5"/>
  <c r="F3213" i="5"/>
  <c r="F3214" i="5"/>
  <c r="F3215" i="5"/>
  <c r="F3216" i="5"/>
  <c r="F3217" i="5"/>
  <c r="F3218" i="5"/>
  <c r="F3219" i="5"/>
  <c r="F3220" i="5"/>
  <c r="F3221" i="5"/>
  <c r="F3222" i="5"/>
  <c r="F3223" i="5"/>
  <c r="F3224" i="5"/>
  <c r="F3225" i="5"/>
  <c r="F3226" i="5"/>
  <c r="F3227" i="5"/>
  <c r="F3228" i="5"/>
  <c r="F3229" i="5"/>
  <c r="F3230" i="5"/>
  <c r="F3231" i="5"/>
  <c r="F3232" i="5"/>
  <c r="F3233" i="5"/>
  <c r="F3234" i="5"/>
  <c r="F3235" i="5"/>
  <c r="F3236" i="5"/>
  <c r="F3237" i="5"/>
  <c r="F3238" i="5"/>
  <c r="F3239" i="5"/>
  <c r="F3240" i="5"/>
  <c r="F3241" i="5"/>
  <c r="F3242" i="5"/>
  <c r="F3243" i="5"/>
  <c r="F3244" i="5"/>
  <c r="F3245" i="5"/>
  <c r="F3246" i="5"/>
  <c r="F3247" i="5"/>
  <c r="F3248" i="5"/>
  <c r="F3249" i="5"/>
  <c r="F3250" i="5"/>
  <c r="F3251" i="5"/>
  <c r="F3252" i="5"/>
  <c r="F3253" i="5"/>
  <c r="F3254" i="5"/>
  <c r="F3255" i="5"/>
  <c r="F3256" i="5"/>
  <c r="F3257" i="5"/>
  <c r="F3258" i="5"/>
  <c r="F3259" i="5"/>
  <c r="F3260" i="5"/>
  <c r="F3261" i="5"/>
  <c r="F3262" i="5"/>
  <c r="F3263" i="5"/>
  <c r="F3264" i="5"/>
  <c r="F3265" i="5"/>
  <c r="F3266" i="5"/>
  <c r="F3267" i="5"/>
  <c r="F3268" i="5"/>
  <c r="F3269" i="5"/>
  <c r="F3270" i="5"/>
  <c r="F3271" i="5"/>
  <c r="F3272" i="5"/>
  <c r="F3273" i="5"/>
  <c r="F3274" i="5"/>
  <c r="F3275" i="5"/>
  <c r="F3276" i="5"/>
  <c r="F3277" i="5"/>
  <c r="F3278" i="5"/>
  <c r="F3279" i="5"/>
  <c r="F3280" i="5"/>
  <c r="F3281" i="5"/>
  <c r="F3282" i="5"/>
  <c r="F3283" i="5"/>
  <c r="F3284" i="5"/>
  <c r="F3285" i="5"/>
  <c r="F3286" i="5"/>
  <c r="F3287" i="5"/>
  <c r="F3288" i="5"/>
  <c r="F3289" i="5"/>
  <c r="F3290" i="5"/>
  <c r="F3291" i="5"/>
  <c r="F3292" i="5"/>
  <c r="F3293" i="5"/>
  <c r="F3294" i="5"/>
  <c r="F3295" i="5"/>
  <c r="F3296" i="5"/>
  <c r="F3297" i="5"/>
  <c r="F3298" i="5"/>
  <c r="F3299" i="5"/>
  <c r="F3300" i="5"/>
  <c r="F3301" i="5"/>
  <c r="F3302" i="5"/>
  <c r="F3303" i="5"/>
  <c r="F3304" i="5"/>
  <c r="F3305" i="5"/>
  <c r="F3306" i="5"/>
  <c r="F3307" i="5"/>
  <c r="F3308" i="5"/>
  <c r="F3309" i="5"/>
  <c r="F3310" i="5"/>
  <c r="F3311" i="5"/>
  <c r="F3312" i="5"/>
  <c r="F3313" i="5"/>
  <c r="F3314" i="5"/>
  <c r="F3315" i="5"/>
  <c r="F3316" i="5"/>
  <c r="F3317" i="5"/>
  <c r="F3318" i="5"/>
  <c r="F3319" i="5"/>
  <c r="F3320" i="5"/>
  <c r="F3321" i="5"/>
  <c r="F3322" i="5"/>
  <c r="F3323" i="5"/>
  <c r="F3324" i="5"/>
  <c r="F3325" i="5"/>
  <c r="F3326" i="5"/>
  <c r="F3327" i="5"/>
  <c r="F3328" i="5"/>
  <c r="F3329" i="5"/>
  <c r="F3330" i="5"/>
  <c r="F3331" i="5"/>
  <c r="F3332" i="5"/>
  <c r="F3333" i="5"/>
  <c r="F3334" i="5"/>
  <c r="F3335" i="5"/>
  <c r="F3336" i="5"/>
  <c r="F3337" i="5"/>
  <c r="F3338" i="5"/>
  <c r="F3339" i="5"/>
  <c r="F3340" i="5"/>
  <c r="F3341" i="5"/>
  <c r="F3342" i="5"/>
  <c r="F3343" i="5"/>
  <c r="F3344" i="5"/>
  <c r="F3345" i="5"/>
  <c r="F3346" i="5"/>
  <c r="F3347" i="5"/>
  <c r="F3348" i="5"/>
  <c r="F3349" i="5"/>
  <c r="F3350" i="5"/>
  <c r="F3351" i="5"/>
  <c r="F3352" i="5"/>
  <c r="F3353" i="5"/>
  <c r="F3354" i="5"/>
  <c r="F3355" i="5"/>
  <c r="F3356" i="5"/>
  <c r="F3357" i="5"/>
  <c r="F3358" i="5"/>
  <c r="F3359" i="5"/>
  <c r="F3360" i="5"/>
  <c r="F3361" i="5"/>
  <c r="F3362" i="5"/>
  <c r="F3363" i="5"/>
  <c r="F3364" i="5"/>
  <c r="F3365" i="5"/>
  <c r="F3366" i="5"/>
  <c r="F3367" i="5"/>
  <c r="F3368" i="5"/>
  <c r="F3369" i="5"/>
  <c r="F3370" i="5"/>
  <c r="F3371" i="5"/>
  <c r="F3372" i="5"/>
  <c r="F3373" i="5"/>
  <c r="F3374" i="5"/>
  <c r="F3375" i="5"/>
  <c r="F3376" i="5"/>
  <c r="F3377" i="5"/>
  <c r="F3378" i="5"/>
  <c r="F3379" i="5"/>
  <c r="F3380" i="5"/>
  <c r="F3381" i="5"/>
  <c r="F3382" i="5"/>
  <c r="F3383" i="5"/>
  <c r="F3384" i="5"/>
  <c r="F3385" i="5"/>
  <c r="F3386" i="5"/>
  <c r="F3387" i="5"/>
  <c r="F3388" i="5"/>
  <c r="F3389" i="5"/>
  <c r="F3390" i="5"/>
  <c r="F3391" i="5"/>
  <c r="F3392" i="5"/>
  <c r="F3393" i="5"/>
  <c r="F3394" i="5"/>
  <c r="F3395" i="5"/>
  <c r="F3396" i="5"/>
  <c r="F3397" i="5"/>
  <c r="F3398" i="5"/>
  <c r="F3399" i="5"/>
  <c r="F3400" i="5"/>
  <c r="F3401" i="5"/>
  <c r="F3402" i="5"/>
  <c r="F3403" i="5"/>
  <c r="F3404" i="5"/>
  <c r="F3405" i="5"/>
  <c r="F3406" i="5"/>
  <c r="F3407" i="5"/>
  <c r="F3408" i="5"/>
  <c r="F3409" i="5"/>
  <c r="F3410" i="5"/>
  <c r="F3411" i="5"/>
  <c r="F3412" i="5"/>
  <c r="F3413" i="5"/>
  <c r="F3414" i="5"/>
  <c r="F3415" i="5"/>
  <c r="F3416" i="5"/>
  <c r="F3417" i="5"/>
  <c r="F3418" i="5"/>
  <c r="F3419" i="5"/>
  <c r="F3420" i="5"/>
  <c r="F3421" i="5"/>
  <c r="F3422" i="5"/>
  <c r="F3423" i="5"/>
  <c r="F3424" i="5"/>
  <c r="F3425" i="5"/>
  <c r="F3426" i="5"/>
  <c r="F3427" i="5"/>
  <c r="F3428" i="5"/>
  <c r="F3429" i="5"/>
  <c r="F3430" i="5"/>
  <c r="F3431" i="5"/>
  <c r="F3432" i="5"/>
  <c r="F3433" i="5"/>
  <c r="F3434" i="5"/>
  <c r="F3435" i="5"/>
  <c r="F3436" i="5"/>
  <c r="F3437" i="5"/>
  <c r="F3438" i="5"/>
  <c r="F3439" i="5"/>
  <c r="F3440" i="5"/>
  <c r="F3441" i="5"/>
  <c r="F3442" i="5"/>
  <c r="F3443" i="5"/>
  <c r="F3444" i="5"/>
  <c r="F3445" i="5"/>
  <c r="F3446" i="5"/>
  <c r="F3447" i="5"/>
  <c r="F3448" i="5"/>
  <c r="F3449" i="5"/>
  <c r="F3450" i="5"/>
  <c r="F3451" i="5"/>
  <c r="F3452" i="5"/>
  <c r="F3453" i="5"/>
  <c r="F3454" i="5"/>
  <c r="F3455" i="5"/>
  <c r="F3456" i="5"/>
  <c r="F3457" i="5"/>
  <c r="F3458" i="5"/>
  <c r="F3459" i="5"/>
  <c r="F3460" i="5"/>
  <c r="F3461" i="5"/>
  <c r="F3462" i="5"/>
  <c r="F3463" i="5"/>
  <c r="F3464" i="5"/>
  <c r="F3465" i="5"/>
  <c r="F3466" i="5"/>
  <c r="F3467" i="5"/>
  <c r="F3468" i="5"/>
  <c r="F3469" i="5"/>
  <c r="F3470" i="5"/>
  <c r="F3471" i="5"/>
  <c r="F3472" i="5"/>
  <c r="F3473" i="5"/>
  <c r="F3474" i="5"/>
  <c r="F3475" i="5"/>
  <c r="F3476" i="5"/>
  <c r="F3477" i="5"/>
  <c r="F3478" i="5"/>
  <c r="F3479" i="5"/>
  <c r="F3480" i="5"/>
  <c r="F3481" i="5"/>
  <c r="F3482" i="5"/>
  <c r="F3483" i="5"/>
  <c r="F3484" i="5"/>
  <c r="F3485" i="5"/>
  <c r="F3486" i="5"/>
  <c r="F3487" i="5"/>
  <c r="F3488" i="5"/>
  <c r="F3489" i="5"/>
  <c r="F3490" i="5"/>
  <c r="F3491" i="5"/>
  <c r="F3492" i="5"/>
  <c r="F3493" i="5"/>
  <c r="F3494" i="5"/>
  <c r="F3495" i="5"/>
  <c r="F3496" i="5"/>
  <c r="F3497" i="5"/>
  <c r="F3498" i="5"/>
  <c r="F3499" i="5"/>
  <c r="F3500" i="5"/>
  <c r="F3501" i="5"/>
  <c r="F3502" i="5"/>
  <c r="F3503" i="5"/>
  <c r="F3504" i="5"/>
  <c r="F3505" i="5"/>
  <c r="F3506" i="5"/>
  <c r="F3507" i="5"/>
  <c r="F3508" i="5"/>
  <c r="F3509" i="5"/>
  <c r="F3510" i="5"/>
  <c r="F3511" i="5"/>
  <c r="F3512" i="5"/>
  <c r="F3513" i="5"/>
  <c r="F3514" i="5"/>
  <c r="F3515" i="5"/>
  <c r="F3516" i="5"/>
  <c r="F3517" i="5"/>
  <c r="F3518" i="5"/>
  <c r="F3519" i="5"/>
  <c r="F3520" i="5"/>
  <c r="F3521" i="5"/>
  <c r="F3522" i="5"/>
  <c r="F3523" i="5"/>
  <c r="F3524" i="5"/>
  <c r="F3525" i="5"/>
  <c r="F3526" i="5"/>
  <c r="F3527" i="5"/>
  <c r="F3528" i="5"/>
  <c r="F3529" i="5"/>
  <c r="F3530" i="5"/>
  <c r="F3531" i="5"/>
  <c r="F3532" i="5"/>
  <c r="F3533" i="5"/>
  <c r="F3534" i="5"/>
  <c r="F3535" i="5"/>
  <c r="F3536" i="5"/>
  <c r="F3537" i="5"/>
  <c r="F3538" i="5"/>
  <c r="F3539" i="5"/>
  <c r="F3540" i="5"/>
  <c r="F3541" i="5"/>
  <c r="F3542" i="5"/>
  <c r="F3543" i="5"/>
  <c r="F3544" i="5"/>
  <c r="F3545" i="5"/>
  <c r="F3546" i="5"/>
  <c r="F3547" i="5"/>
  <c r="F3548" i="5"/>
  <c r="F3549" i="5"/>
  <c r="F3550" i="5"/>
  <c r="F3551" i="5"/>
  <c r="F3552" i="5"/>
  <c r="F3553" i="5"/>
  <c r="F3554" i="5"/>
  <c r="F3555" i="5"/>
  <c r="F3556" i="5"/>
  <c r="F3557" i="5"/>
  <c r="F3558" i="5"/>
  <c r="F3559" i="5"/>
  <c r="F3560" i="5"/>
  <c r="F3561" i="5"/>
  <c r="F3562" i="5"/>
  <c r="F3563" i="5"/>
  <c r="F3564" i="5"/>
  <c r="F3565" i="5"/>
  <c r="F3566" i="5"/>
  <c r="F3567" i="5"/>
  <c r="F3568" i="5"/>
  <c r="F3569" i="5"/>
  <c r="F3570" i="5"/>
  <c r="F3571" i="5"/>
  <c r="F3572" i="5"/>
  <c r="F3573" i="5"/>
  <c r="F3574" i="5"/>
  <c r="F3575" i="5"/>
  <c r="F3576" i="5"/>
  <c r="F3577" i="5"/>
  <c r="F3578" i="5"/>
  <c r="F3579" i="5"/>
  <c r="F3580" i="5"/>
  <c r="F3581" i="5"/>
  <c r="F3582" i="5"/>
  <c r="F3583" i="5"/>
  <c r="F3584" i="5"/>
  <c r="F3585" i="5"/>
  <c r="F3586" i="5"/>
  <c r="F3587" i="5"/>
  <c r="F3588" i="5"/>
  <c r="F3589" i="5"/>
  <c r="F3590" i="5"/>
  <c r="F3591" i="5"/>
  <c r="F3592" i="5"/>
  <c r="F3593" i="5"/>
  <c r="F3594" i="5"/>
  <c r="F3595" i="5"/>
  <c r="F3596" i="5"/>
  <c r="F3597" i="5"/>
  <c r="F3598" i="5"/>
  <c r="F3599" i="5"/>
  <c r="F3600" i="5"/>
  <c r="F3601" i="5"/>
  <c r="F3602" i="5"/>
  <c r="F3603" i="5"/>
  <c r="F3604" i="5"/>
  <c r="F3605" i="5"/>
  <c r="F3606" i="5"/>
  <c r="F3607" i="5"/>
  <c r="F3608" i="5"/>
  <c r="F3609" i="5"/>
  <c r="F3610" i="5"/>
  <c r="F3611" i="5"/>
  <c r="F3612" i="5"/>
  <c r="F3613" i="5"/>
  <c r="F3614" i="5"/>
  <c r="F3615" i="5"/>
  <c r="F3616" i="5"/>
  <c r="F3617" i="5"/>
  <c r="F3618" i="5"/>
  <c r="F3619" i="5"/>
  <c r="F3620" i="5"/>
  <c r="F3621" i="5"/>
  <c r="F3622" i="5"/>
  <c r="F3623" i="5"/>
  <c r="F3624" i="5"/>
  <c r="F3625" i="5"/>
  <c r="F3626" i="5"/>
  <c r="F3627" i="5"/>
  <c r="F3628" i="5"/>
  <c r="F3629" i="5"/>
  <c r="F3630" i="5"/>
  <c r="F3631" i="5"/>
  <c r="F3632" i="5"/>
  <c r="F3633" i="5"/>
  <c r="F3634" i="5"/>
  <c r="F3635" i="5"/>
  <c r="F3636" i="5"/>
  <c r="F3637" i="5"/>
  <c r="F3638" i="5"/>
  <c r="F3639" i="5"/>
  <c r="F3640" i="5"/>
  <c r="F3641" i="5"/>
  <c r="F3642" i="5"/>
  <c r="F3643" i="5"/>
  <c r="F3644" i="5"/>
  <c r="F3645" i="5"/>
  <c r="F3646" i="5"/>
  <c r="F3647" i="5"/>
  <c r="F3648" i="5"/>
  <c r="F3649" i="5"/>
  <c r="F3650" i="5"/>
  <c r="F3651" i="5"/>
  <c r="F3652" i="5"/>
  <c r="F3653" i="5"/>
  <c r="F3654" i="5"/>
  <c r="F3655" i="5"/>
  <c r="F3656" i="5"/>
  <c r="F3657" i="5"/>
  <c r="F3658" i="5"/>
  <c r="F3659" i="5"/>
  <c r="F3660" i="5"/>
  <c r="F3661" i="5"/>
  <c r="F3662" i="5"/>
  <c r="F3663" i="5"/>
  <c r="F3664" i="5"/>
  <c r="F3665" i="5"/>
  <c r="F3666" i="5"/>
  <c r="F3667" i="5"/>
  <c r="F3668" i="5"/>
  <c r="F3669" i="5"/>
  <c r="F3670" i="5"/>
  <c r="F3671" i="5"/>
  <c r="F3672" i="5"/>
  <c r="F3673" i="5"/>
  <c r="F3674" i="5"/>
  <c r="F3675" i="5"/>
  <c r="F3676" i="5"/>
  <c r="F3677" i="5"/>
  <c r="F3678" i="5"/>
  <c r="F3679" i="5"/>
  <c r="F3680" i="5"/>
  <c r="F3681" i="5"/>
  <c r="F3682" i="5"/>
  <c r="F3683" i="5"/>
  <c r="F3684" i="5"/>
  <c r="F3685" i="5"/>
  <c r="F3686" i="5"/>
  <c r="F3687" i="5"/>
  <c r="F3688" i="5"/>
  <c r="F3689" i="5"/>
  <c r="F3690" i="5"/>
  <c r="F3691" i="5"/>
  <c r="F3692" i="5"/>
  <c r="F3693" i="5"/>
  <c r="F3694" i="5"/>
  <c r="F3695" i="5"/>
  <c r="F3696" i="5"/>
  <c r="F3697" i="5"/>
  <c r="F3698" i="5"/>
  <c r="F3699" i="5"/>
  <c r="F3700" i="5"/>
  <c r="F3701" i="5"/>
  <c r="F3702" i="5"/>
  <c r="F3703" i="5"/>
  <c r="F3704" i="5"/>
  <c r="F3705" i="5"/>
  <c r="F3706" i="5"/>
  <c r="F3707" i="5"/>
  <c r="F3708" i="5"/>
  <c r="F3709" i="5"/>
  <c r="F3710" i="5"/>
  <c r="F3711" i="5"/>
  <c r="F3712" i="5"/>
  <c r="F3713" i="5"/>
  <c r="F3714" i="5"/>
  <c r="F3715" i="5"/>
  <c r="F3716" i="5"/>
  <c r="F3717" i="5"/>
  <c r="F3718" i="5"/>
  <c r="F3719" i="5"/>
  <c r="F3720" i="5"/>
  <c r="F3721" i="5"/>
  <c r="F3722" i="5"/>
  <c r="F3723" i="5"/>
  <c r="F3724" i="5"/>
  <c r="F3725" i="5"/>
  <c r="F3726" i="5"/>
  <c r="F3727" i="5"/>
  <c r="F3728" i="5"/>
  <c r="F3729" i="5"/>
  <c r="F3730" i="5"/>
  <c r="F3731" i="5"/>
  <c r="F3732" i="5"/>
  <c r="F3733" i="5"/>
  <c r="F3734" i="5"/>
  <c r="F3735" i="5"/>
  <c r="F3736" i="5"/>
  <c r="F3737" i="5"/>
  <c r="F3738" i="5"/>
  <c r="F3739" i="5"/>
  <c r="F3740" i="5"/>
  <c r="F3741" i="5"/>
  <c r="F3742" i="5"/>
  <c r="F3743" i="5"/>
  <c r="F3744" i="5"/>
  <c r="F3745" i="5"/>
  <c r="F3746" i="5"/>
  <c r="F3747" i="5"/>
  <c r="F3748" i="5"/>
  <c r="F3749" i="5"/>
  <c r="F3750" i="5"/>
  <c r="F3751" i="5"/>
  <c r="F3752" i="5"/>
  <c r="F3753" i="5"/>
  <c r="F3754" i="5"/>
  <c r="F3755" i="5"/>
  <c r="F3756" i="5"/>
  <c r="F3757" i="5"/>
  <c r="F3758" i="5"/>
  <c r="F3759" i="5"/>
  <c r="F3760" i="5"/>
  <c r="F3761" i="5"/>
  <c r="F3762" i="5"/>
  <c r="F3763" i="5"/>
  <c r="F3764" i="5"/>
  <c r="F3765" i="5"/>
  <c r="F3766" i="5"/>
  <c r="F3767" i="5"/>
  <c r="F3768" i="5"/>
  <c r="F3769" i="5"/>
  <c r="F3770" i="5"/>
  <c r="F3771" i="5"/>
  <c r="F3772" i="5"/>
  <c r="F3773" i="5"/>
  <c r="F3774" i="5"/>
  <c r="F3775" i="5"/>
  <c r="F3776" i="5"/>
  <c r="F3777" i="5"/>
  <c r="F3778" i="5"/>
  <c r="F3779" i="5"/>
  <c r="F3780" i="5"/>
  <c r="F3781" i="5"/>
  <c r="F3782" i="5"/>
  <c r="F3783" i="5"/>
  <c r="F3784" i="5"/>
  <c r="F3785" i="5"/>
  <c r="F3786" i="5"/>
  <c r="F3787" i="5"/>
  <c r="F3788" i="5"/>
  <c r="F3789" i="5"/>
  <c r="F3790" i="5"/>
  <c r="F3791" i="5"/>
  <c r="F3792" i="5"/>
  <c r="F3793" i="5"/>
  <c r="F3794" i="5"/>
  <c r="F3795" i="5"/>
  <c r="F3796" i="5"/>
  <c r="F3797" i="5"/>
  <c r="F3798" i="5"/>
  <c r="F3799" i="5"/>
  <c r="F3800" i="5"/>
  <c r="F3801" i="5"/>
  <c r="F3802" i="5"/>
  <c r="F3803" i="5"/>
  <c r="F3804" i="5"/>
  <c r="F3805" i="5"/>
  <c r="F3806" i="5"/>
  <c r="F3807" i="5"/>
  <c r="F3808" i="5"/>
  <c r="F3809" i="5"/>
  <c r="F3810" i="5"/>
  <c r="F3811" i="5"/>
  <c r="F3812" i="5"/>
  <c r="F3813" i="5"/>
  <c r="F3814" i="5"/>
  <c r="F3815" i="5"/>
  <c r="F3816" i="5"/>
  <c r="F3817" i="5"/>
  <c r="F3818" i="5"/>
  <c r="F3819" i="5"/>
  <c r="F3820" i="5"/>
  <c r="F3821" i="5"/>
  <c r="F3822" i="5"/>
  <c r="F3823" i="5"/>
  <c r="F3824" i="5"/>
  <c r="F3825" i="5"/>
  <c r="F3826" i="5"/>
  <c r="F3827" i="5"/>
  <c r="F3828" i="5"/>
  <c r="F3829" i="5"/>
  <c r="F3830" i="5"/>
  <c r="F3831" i="5"/>
  <c r="F3832" i="5"/>
  <c r="F3833" i="5"/>
  <c r="F3834" i="5"/>
  <c r="F3835" i="5"/>
  <c r="F3836" i="5"/>
  <c r="F3837" i="5"/>
  <c r="F3838" i="5"/>
  <c r="F3839" i="5"/>
  <c r="F3840" i="5"/>
  <c r="F3841" i="5"/>
  <c r="F3842" i="5"/>
  <c r="F3843" i="5"/>
  <c r="F3844" i="5"/>
  <c r="F3845" i="5"/>
  <c r="F3846" i="5"/>
  <c r="F3847" i="5"/>
  <c r="F3848" i="5"/>
  <c r="F3849" i="5"/>
  <c r="F3850" i="5"/>
  <c r="F3851" i="5"/>
  <c r="F3852" i="5"/>
  <c r="F3853" i="5"/>
  <c r="F3854" i="5"/>
  <c r="F3855" i="5"/>
  <c r="F3856" i="5"/>
  <c r="F3857" i="5"/>
  <c r="F3858" i="5"/>
  <c r="F3859" i="5"/>
  <c r="F3860" i="5"/>
  <c r="F3861" i="5"/>
  <c r="F3862" i="5"/>
  <c r="F3863" i="5"/>
  <c r="F3864" i="5"/>
  <c r="F3865" i="5"/>
  <c r="F3866" i="5"/>
  <c r="F3867" i="5"/>
  <c r="F3868" i="5"/>
  <c r="F3869" i="5"/>
  <c r="F3870" i="5"/>
  <c r="F3871" i="5"/>
  <c r="F3872" i="5"/>
  <c r="F3873" i="5"/>
  <c r="F3874" i="5"/>
  <c r="F3875" i="5"/>
  <c r="F3876" i="5"/>
  <c r="F3877" i="5"/>
  <c r="F3878" i="5"/>
  <c r="F3879" i="5"/>
  <c r="F3880" i="5"/>
  <c r="F3881" i="5"/>
  <c r="F3882" i="5"/>
  <c r="F3883" i="5"/>
  <c r="F3884" i="5"/>
  <c r="F3885" i="5"/>
  <c r="F3886" i="5"/>
  <c r="F3887" i="5"/>
  <c r="F3888" i="5"/>
  <c r="F3889" i="5"/>
  <c r="F3890" i="5"/>
  <c r="F3891" i="5"/>
  <c r="F3892" i="5"/>
  <c r="F3893" i="5"/>
  <c r="F3894" i="5"/>
  <c r="F3895" i="5"/>
  <c r="F3896" i="5"/>
  <c r="F3897" i="5"/>
  <c r="F3898" i="5"/>
  <c r="F3899" i="5"/>
  <c r="F3900" i="5"/>
  <c r="F3901" i="5"/>
  <c r="F3902" i="5"/>
  <c r="F3903" i="5"/>
  <c r="F3904" i="5"/>
  <c r="F3905" i="5"/>
  <c r="F3906" i="5"/>
  <c r="F3907" i="5"/>
  <c r="F3908" i="5"/>
  <c r="F3909" i="5"/>
  <c r="F3910" i="5"/>
  <c r="F3911" i="5"/>
  <c r="F3912" i="5"/>
  <c r="F3913" i="5"/>
  <c r="F3914" i="5"/>
  <c r="F3915" i="5"/>
  <c r="F3916" i="5"/>
  <c r="F3917" i="5"/>
  <c r="F3918" i="5"/>
  <c r="F3919" i="5"/>
  <c r="F3920" i="5"/>
  <c r="F3921" i="5"/>
  <c r="F3922" i="5"/>
  <c r="F3923" i="5"/>
  <c r="F3924" i="5"/>
  <c r="F3925" i="5"/>
  <c r="F3926" i="5"/>
  <c r="F3927" i="5"/>
  <c r="F3928" i="5"/>
  <c r="F3929" i="5"/>
  <c r="F3930" i="5"/>
  <c r="F3931" i="5"/>
  <c r="F3932" i="5"/>
  <c r="F3933" i="5"/>
  <c r="F3934" i="5"/>
  <c r="F3935" i="5"/>
  <c r="F3936" i="5"/>
  <c r="F3937" i="5"/>
  <c r="F3938" i="5"/>
  <c r="F3939" i="5"/>
  <c r="F3940" i="5"/>
  <c r="F3941" i="5"/>
  <c r="F3942" i="5"/>
  <c r="F3943" i="5"/>
  <c r="F3944" i="5"/>
  <c r="F3945" i="5"/>
  <c r="F3946" i="5"/>
  <c r="F3947" i="5"/>
  <c r="F3948" i="5"/>
  <c r="F3949" i="5"/>
  <c r="F3950" i="5"/>
  <c r="F3951" i="5"/>
  <c r="F3952" i="5"/>
  <c r="F3953" i="5"/>
  <c r="F3954" i="5"/>
  <c r="F3955" i="5"/>
  <c r="F3956" i="5"/>
  <c r="F3957" i="5"/>
  <c r="F3958" i="5"/>
  <c r="F3959" i="5"/>
  <c r="F3960" i="5"/>
  <c r="F3961" i="5"/>
  <c r="F3962" i="5"/>
  <c r="F3963" i="5"/>
  <c r="F3964" i="5"/>
  <c r="F3965" i="5"/>
  <c r="F3966" i="5"/>
  <c r="F3967" i="5"/>
  <c r="F3968" i="5"/>
  <c r="F3969" i="5"/>
  <c r="F3970" i="5"/>
  <c r="F3971" i="5"/>
  <c r="F3972" i="5"/>
  <c r="F3973" i="5"/>
  <c r="F3974" i="5"/>
  <c r="F3975" i="5"/>
  <c r="F3976" i="5"/>
  <c r="F3977" i="5"/>
  <c r="F3978" i="5"/>
  <c r="F3979" i="5"/>
  <c r="F3980" i="5"/>
  <c r="F3981" i="5"/>
  <c r="F3982" i="5"/>
  <c r="F3983" i="5"/>
  <c r="F3984" i="5"/>
  <c r="F3985" i="5"/>
  <c r="F3986" i="5"/>
  <c r="F3987" i="5"/>
  <c r="F3988" i="5"/>
  <c r="F3989" i="5"/>
  <c r="F3990" i="5"/>
  <c r="F3991" i="5"/>
  <c r="F3992" i="5"/>
  <c r="F3993" i="5"/>
  <c r="F3994" i="5"/>
  <c r="F3995" i="5"/>
  <c r="F3996" i="5"/>
  <c r="F3997" i="5"/>
  <c r="F3998" i="5"/>
  <c r="F3999" i="5"/>
  <c r="F4000" i="5"/>
  <c r="F4001" i="5"/>
  <c r="F4002" i="5"/>
  <c r="F4003" i="5"/>
  <c r="F4004" i="5"/>
  <c r="F4005" i="5"/>
  <c r="F4006" i="5"/>
  <c r="F4007" i="5"/>
  <c r="F4008" i="5"/>
  <c r="F4009" i="5"/>
  <c r="F4010" i="5"/>
  <c r="F4011" i="5"/>
  <c r="F4012" i="5"/>
  <c r="F4013" i="5"/>
  <c r="F4014" i="5"/>
  <c r="F4015" i="5"/>
  <c r="F4016" i="5"/>
  <c r="F4017" i="5"/>
  <c r="F4018" i="5"/>
  <c r="F4019" i="5"/>
  <c r="F4020" i="5"/>
  <c r="F4021" i="5"/>
  <c r="F4022" i="5"/>
  <c r="F4023" i="5"/>
  <c r="F4024" i="5"/>
  <c r="F4025" i="5"/>
  <c r="F4026" i="5"/>
  <c r="F4027" i="5"/>
  <c r="F4028" i="5"/>
  <c r="F4029" i="5"/>
  <c r="F4030" i="5"/>
  <c r="F4031" i="5"/>
  <c r="F4032" i="5"/>
  <c r="F4033" i="5"/>
  <c r="F4034" i="5"/>
  <c r="F4035" i="5"/>
  <c r="F4036" i="5"/>
  <c r="F4037" i="5"/>
  <c r="F4038" i="5"/>
  <c r="F4039" i="5"/>
  <c r="F4040" i="5"/>
  <c r="F4041" i="5"/>
  <c r="F4042" i="5"/>
  <c r="F4043" i="5"/>
  <c r="F4044" i="5"/>
  <c r="F4045" i="5"/>
  <c r="F4046" i="5"/>
  <c r="F4047" i="5"/>
  <c r="F4048" i="5"/>
  <c r="F4049" i="5"/>
  <c r="F4050" i="5"/>
  <c r="F4051" i="5"/>
  <c r="F4052" i="5"/>
  <c r="F4053" i="5"/>
  <c r="F4054" i="5"/>
  <c r="F4055" i="5"/>
  <c r="F4056" i="5"/>
  <c r="F4057" i="5"/>
  <c r="F4058" i="5"/>
  <c r="F4059" i="5"/>
  <c r="F4060" i="5"/>
  <c r="F4061" i="5"/>
  <c r="F4062" i="5"/>
  <c r="F4063" i="5"/>
  <c r="F4064" i="5"/>
  <c r="F4065" i="5"/>
  <c r="F4066" i="5"/>
  <c r="F4067" i="5"/>
  <c r="F4068" i="5"/>
  <c r="F4069" i="5"/>
  <c r="F4070" i="5"/>
  <c r="F4071" i="5"/>
  <c r="F4072" i="5"/>
  <c r="F4073" i="5"/>
  <c r="F4074" i="5"/>
  <c r="F4075" i="5"/>
  <c r="F4076" i="5"/>
  <c r="F4077" i="5"/>
  <c r="F4078" i="5"/>
  <c r="F4079" i="5"/>
  <c r="F4080" i="5"/>
  <c r="F4081" i="5"/>
  <c r="F4082" i="5"/>
  <c r="F4083" i="5"/>
  <c r="F4084" i="5"/>
  <c r="F4085" i="5"/>
  <c r="F4086" i="5"/>
  <c r="F4087" i="5"/>
  <c r="F4088" i="5"/>
  <c r="F4089" i="5"/>
  <c r="F4090" i="5"/>
  <c r="F4091" i="5"/>
  <c r="F4092" i="5"/>
  <c r="F4093" i="5"/>
  <c r="F4094" i="5"/>
  <c r="F4095" i="5"/>
  <c r="F4096" i="5"/>
  <c r="F4097" i="5"/>
  <c r="F4098" i="5"/>
  <c r="F4099" i="5"/>
  <c r="F4100" i="5"/>
  <c r="F4101" i="5"/>
  <c r="F4102" i="5"/>
  <c r="F4103" i="5"/>
  <c r="F4104" i="5"/>
  <c r="F4105" i="5"/>
  <c r="F4106" i="5"/>
  <c r="F4107" i="5"/>
  <c r="F4108" i="5"/>
  <c r="F4109" i="5"/>
  <c r="F4110" i="5"/>
  <c r="F4111" i="5"/>
  <c r="F4112" i="5"/>
  <c r="F4113" i="5"/>
  <c r="F4114" i="5"/>
  <c r="F4115" i="5"/>
  <c r="F4116" i="5"/>
  <c r="F4117" i="5"/>
  <c r="F4118" i="5"/>
  <c r="F4119" i="5"/>
  <c r="F4120" i="5"/>
  <c r="F4121" i="5"/>
  <c r="F4122" i="5"/>
  <c r="F4123" i="5"/>
  <c r="F4124" i="5"/>
  <c r="F4125" i="5"/>
  <c r="F4126" i="5"/>
  <c r="F4127" i="5"/>
  <c r="F4128" i="5"/>
  <c r="F4129" i="5"/>
  <c r="F4130" i="5"/>
  <c r="F4131" i="5"/>
  <c r="F4132" i="5"/>
  <c r="F4133" i="5"/>
  <c r="F4134" i="5"/>
  <c r="F4135" i="5"/>
  <c r="F4136" i="5"/>
  <c r="F4137" i="5"/>
  <c r="F4138" i="5"/>
  <c r="F4139" i="5"/>
  <c r="F4140" i="5"/>
  <c r="F4141" i="5"/>
  <c r="F4142" i="5"/>
  <c r="F4143" i="5"/>
  <c r="F4144" i="5"/>
  <c r="F4145" i="5"/>
  <c r="F4146" i="5"/>
  <c r="F4147" i="5"/>
  <c r="F4148" i="5"/>
  <c r="F4149" i="5"/>
  <c r="F4150" i="5"/>
  <c r="F4151" i="5"/>
  <c r="F4152" i="5"/>
  <c r="F4153" i="5"/>
  <c r="F4154" i="5"/>
  <c r="F4155" i="5"/>
  <c r="F4156" i="5"/>
  <c r="F4157" i="5"/>
  <c r="F4158" i="5"/>
  <c r="F4159" i="5"/>
  <c r="F4160" i="5"/>
  <c r="F4161" i="5"/>
  <c r="F4162" i="5"/>
  <c r="F4163" i="5"/>
  <c r="F4164" i="5"/>
  <c r="F4165" i="5"/>
  <c r="F4166" i="5"/>
  <c r="F4167" i="5"/>
  <c r="F4168" i="5"/>
  <c r="F4169" i="5"/>
  <c r="F4170" i="5"/>
  <c r="F4171" i="5"/>
  <c r="F4172" i="5"/>
  <c r="F4173" i="5"/>
  <c r="F4174" i="5"/>
  <c r="F4175" i="5"/>
  <c r="F4176" i="5"/>
  <c r="F4177" i="5"/>
  <c r="F4178" i="5"/>
  <c r="F4179" i="5"/>
  <c r="F4180" i="5"/>
  <c r="F4181" i="5"/>
  <c r="F4182" i="5"/>
  <c r="F4183" i="5"/>
  <c r="F4184" i="5"/>
  <c r="F4185" i="5"/>
  <c r="F4186" i="5"/>
  <c r="F4187" i="5"/>
  <c r="F4188" i="5"/>
  <c r="F4189" i="5"/>
  <c r="F4190" i="5"/>
  <c r="F4191" i="5"/>
  <c r="F4192" i="5"/>
  <c r="F4193" i="5"/>
  <c r="F4194" i="5"/>
  <c r="F4195" i="5"/>
  <c r="F4196" i="5"/>
  <c r="F4197" i="5"/>
  <c r="F4198" i="5"/>
  <c r="F4199" i="5"/>
  <c r="F4200" i="5"/>
  <c r="F4201" i="5"/>
  <c r="F4202" i="5"/>
  <c r="F4203" i="5"/>
  <c r="F4204" i="5"/>
  <c r="F4205" i="5"/>
  <c r="F4206" i="5"/>
  <c r="F4207" i="5"/>
  <c r="F4208" i="5"/>
  <c r="F4209" i="5"/>
  <c r="F4210" i="5"/>
  <c r="F4211" i="5"/>
  <c r="F4212" i="5"/>
  <c r="F4213" i="5"/>
  <c r="F4214" i="5"/>
  <c r="F4215" i="5"/>
  <c r="F4216" i="5"/>
  <c r="F4217" i="5"/>
  <c r="F4218" i="5"/>
  <c r="F4219" i="5"/>
  <c r="F4220" i="5"/>
  <c r="F4221" i="5"/>
  <c r="F4222" i="5"/>
  <c r="F4223" i="5"/>
  <c r="F4224" i="5"/>
  <c r="F4225" i="5"/>
  <c r="F4226" i="5"/>
  <c r="F4227" i="5"/>
  <c r="F4228" i="5"/>
  <c r="F4229" i="5"/>
  <c r="F4230" i="5"/>
  <c r="F4231" i="5"/>
  <c r="F4232" i="5"/>
  <c r="F4233" i="5"/>
  <c r="F4234" i="5"/>
  <c r="F4235" i="5"/>
  <c r="F4236" i="5"/>
  <c r="F4237" i="5"/>
  <c r="F4238" i="5"/>
  <c r="F4239" i="5"/>
  <c r="F4240" i="5"/>
  <c r="F4241" i="5"/>
  <c r="F4242" i="5"/>
  <c r="F4243" i="5"/>
  <c r="F4244" i="5"/>
  <c r="F4245" i="5"/>
  <c r="F4246" i="5"/>
  <c r="F4247" i="5"/>
  <c r="F4248" i="5"/>
  <c r="F4249" i="5"/>
  <c r="F4250" i="5"/>
  <c r="F4251" i="5"/>
  <c r="F4252" i="5"/>
  <c r="F4253" i="5"/>
  <c r="F4254" i="5"/>
  <c r="F4255" i="5"/>
  <c r="F4256" i="5"/>
  <c r="F4257" i="5"/>
  <c r="F4258" i="5"/>
  <c r="F4259" i="5"/>
  <c r="F4260" i="5"/>
  <c r="F4261" i="5"/>
  <c r="F4262" i="5"/>
  <c r="F4263" i="5"/>
  <c r="F4264" i="5"/>
  <c r="F4265" i="5"/>
  <c r="F4266" i="5"/>
  <c r="F4267" i="5"/>
  <c r="F4268" i="5"/>
  <c r="F4269" i="5"/>
  <c r="F4270" i="5"/>
  <c r="F4271" i="5"/>
  <c r="F4272" i="5"/>
  <c r="F4273" i="5"/>
  <c r="F4274" i="5"/>
  <c r="F4275" i="5"/>
  <c r="F4276" i="5"/>
  <c r="F4277" i="5"/>
  <c r="F4278" i="5"/>
  <c r="F4279" i="5"/>
  <c r="F4280" i="5"/>
  <c r="F4281" i="5"/>
  <c r="F4282" i="5"/>
  <c r="F4283" i="5"/>
  <c r="F4284" i="5"/>
  <c r="F4285" i="5"/>
  <c r="F4286" i="5"/>
  <c r="F4287" i="5"/>
  <c r="F4288" i="5"/>
  <c r="F4289" i="5"/>
  <c r="F4290" i="5"/>
  <c r="F4291" i="5"/>
  <c r="F4292" i="5"/>
  <c r="F4293" i="5"/>
  <c r="F4294" i="5"/>
  <c r="F4295" i="5"/>
  <c r="F4296" i="5"/>
  <c r="F4297" i="5"/>
  <c r="F4298" i="5"/>
  <c r="F4299" i="5"/>
  <c r="F4300" i="5"/>
  <c r="F4301" i="5"/>
  <c r="F4302" i="5"/>
  <c r="F4303" i="5"/>
  <c r="F4304" i="5"/>
  <c r="F4305" i="5"/>
  <c r="F4306" i="5"/>
  <c r="F4307" i="5"/>
  <c r="F4308" i="5"/>
  <c r="F4309" i="5"/>
  <c r="F4310" i="5"/>
  <c r="F4311" i="5"/>
  <c r="F4312" i="5"/>
  <c r="F4313" i="5"/>
  <c r="F4314" i="5"/>
  <c r="F4315" i="5"/>
  <c r="F4316" i="5"/>
  <c r="F4317" i="5"/>
  <c r="F4318" i="5"/>
  <c r="F4319" i="5"/>
  <c r="F4320" i="5"/>
  <c r="F4321" i="5"/>
  <c r="F4322" i="5"/>
  <c r="F4323" i="5"/>
  <c r="F4324" i="5"/>
  <c r="F4325" i="5"/>
  <c r="F4326" i="5"/>
  <c r="F4327" i="5"/>
  <c r="F4328" i="5"/>
  <c r="F4329" i="5"/>
  <c r="F4330" i="5"/>
  <c r="F4331" i="5"/>
  <c r="F4332" i="5"/>
  <c r="F4333" i="5"/>
  <c r="F4334" i="5"/>
  <c r="F4335" i="5"/>
  <c r="F4336" i="5"/>
  <c r="F4337" i="5"/>
  <c r="F4338" i="5"/>
  <c r="F4339" i="5"/>
  <c r="F4340" i="5"/>
  <c r="F4341" i="5"/>
  <c r="F4342" i="5"/>
  <c r="F4343" i="5"/>
  <c r="F4344" i="5"/>
  <c r="F4345" i="5"/>
  <c r="F4346" i="5"/>
  <c r="F4347" i="5"/>
  <c r="F4348" i="5"/>
  <c r="F4349" i="5"/>
  <c r="F4350" i="5"/>
  <c r="F4351" i="5"/>
  <c r="F4352" i="5"/>
  <c r="F4353" i="5"/>
  <c r="F4354" i="5"/>
  <c r="F4355" i="5"/>
  <c r="F4356" i="5"/>
  <c r="F4357" i="5"/>
  <c r="F4358" i="5"/>
  <c r="F4359" i="5"/>
  <c r="F4360" i="5"/>
  <c r="F4361" i="5"/>
  <c r="F4362" i="5"/>
  <c r="F4363" i="5"/>
  <c r="F4364" i="5"/>
  <c r="F4365" i="5"/>
  <c r="F4366" i="5"/>
  <c r="F4367" i="5"/>
  <c r="F4368" i="5"/>
  <c r="F4369" i="5"/>
  <c r="F4370" i="5"/>
  <c r="F4371" i="5"/>
  <c r="F4372" i="5"/>
  <c r="F4373" i="5"/>
  <c r="F4374" i="5"/>
  <c r="F4375" i="5"/>
  <c r="F4376" i="5"/>
  <c r="F4377" i="5"/>
  <c r="F4378" i="5"/>
  <c r="F4379" i="5"/>
  <c r="F4380" i="5"/>
  <c r="F4381" i="5"/>
  <c r="F4382" i="5"/>
  <c r="F4383" i="5"/>
  <c r="F4384" i="5"/>
  <c r="F4385" i="5"/>
  <c r="F4386" i="5"/>
  <c r="F4387" i="5"/>
  <c r="F4388" i="5"/>
  <c r="F4389" i="5"/>
  <c r="F4390" i="5"/>
  <c r="F4391" i="5"/>
  <c r="F4392" i="5"/>
  <c r="F4393" i="5"/>
  <c r="F4394" i="5"/>
  <c r="F4395" i="5"/>
  <c r="F4396" i="5"/>
  <c r="F4397" i="5"/>
  <c r="F4398" i="5"/>
  <c r="F4399" i="5"/>
  <c r="F4400" i="5"/>
  <c r="F4401" i="5"/>
  <c r="F4402" i="5"/>
  <c r="F4403" i="5"/>
  <c r="F4404" i="5"/>
  <c r="F4405" i="5"/>
  <c r="F4406" i="5"/>
  <c r="F4407" i="5"/>
  <c r="F4408" i="5"/>
  <c r="F4409" i="5"/>
  <c r="F4410" i="5"/>
  <c r="F4411" i="5"/>
  <c r="F4412" i="5"/>
  <c r="F4413" i="5"/>
  <c r="F4414" i="5"/>
  <c r="F4415" i="5"/>
  <c r="F4416" i="5"/>
  <c r="F4417" i="5"/>
  <c r="F4418" i="5"/>
  <c r="F4419" i="5"/>
  <c r="F4420" i="5"/>
  <c r="F4421" i="5"/>
  <c r="F4422" i="5"/>
  <c r="F4423" i="5"/>
  <c r="F4424" i="5"/>
  <c r="F4425" i="5"/>
  <c r="F4426" i="5"/>
  <c r="F4427" i="5"/>
  <c r="F4428" i="5"/>
  <c r="F4429" i="5"/>
  <c r="F4430" i="5"/>
  <c r="F4431" i="5"/>
  <c r="F4432" i="5"/>
  <c r="F4433" i="5"/>
  <c r="F4434" i="5"/>
  <c r="F4435" i="5"/>
  <c r="F4436" i="5"/>
  <c r="F4437" i="5"/>
  <c r="F4438" i="5"/>
  <c r="F4439" i="5"/>
  <c r="F4440" i="5"/>
  <c r="F4441" i="5"/>
  <c r="F4442" i="5"/>
  <c r="F4443" i="5"/>
  <c r="F4444" i="5"/>
  <c r="F4445" i="5"/>
  <c r="F4446" i="5"/>
  <c r="F4447" i="5"/>
  <c r="F4448" i="5"/>
  <c r="F4449" i="5"/>
  <c r="F4450" i="5"/>
  <c r="F4451" i="5"/>
  <c r="F4452" i="5"/>
  <c r="F4453" i="5"/>
  <c r="F4454" i="5"/>
  <c r="F4455" i="5"/>
  <c r="F4456" i="5"/>
  <c r="F4457" i="5"/>
  <c r="F4458" i="5"/>
  <c r="F4459" i="5"/>
  <c r="F4460" i="5"/>
  <c r="F4461" i="5"/>
  <c r="F4462" i="5"/>
  <c r="F4463" i="5"/>
  <c r="F4464" i="5"/>
  <c r="F4465" i="5"/>
  <c r="F4466" i="5"/>
  <c r="F4467" i="5"/>
  <c r="F4468" i="5"/>
  <c r="F4469" i="5"/>
  <c r="F4470" i="5"/>
  <c r="F4471" i="5"/>
  <c r="F4472" i="5"/>
  <c r="F4473" i="5"/>
  <c r="F4474" i="5"/>
  <c r="F4475" i="5"/>
  <c r="F4476" i="5"/>
  <c r="F4477" i="5"/>
  <c r="F4478" i="5"/>
  <c r="F4479" i="5"/>
  <c r="F4480" i="5"/>
  <c r="F4481" i="5"/>
  <c r="F4482" i="5"/>
  <c r="F4483" i="5"/>
  <c r="F4484" i="5"/>
  <c r="F4485" i="5"/>
  <c r="F4486" i="5"/>
  <c r="F4487" i="5"/>
  <c r="F4488" i="5"/>
  <c r="F4489" i="5"/>
  <c r="F4490" i="5"/>
  <c r="F4491" i="5"/>
  <c r="F4492" i="5"/>
  <c r="F4493" i="5"/>
  <c r="F4494" i="5"/>
  <c r="F4495" i="5"/>
  <c r="F4496" i="5"/>
  <c r="F4497" i="5"/>
  <c r="F4498" i="5"/>
  <c r="F4499" i="5"/>
  <c r="F4500" i="5"/>
  <c r="F4501" i="5"/>
  <c r="F4502" i="5"/>
  <c r="F4503" i="5"/>
  <c r="F4504" i="5"/>
  <c r="F4505" i="5"/>
  <c r="F4506" i="5"/>
  <c r="F4507" i="5"/>
  <c r="F4508" i="5"/>
  <c r="F4509" i="5"/>
  <c r="F4510" i="5"/>
  <c r="F4511" i="5"/>
  <c r="F4512" i="5"/>
  <c r="F4513" i="5"/>
  <c r="F4514" i="5"/>
  <c r="F4515" i="5"/>
  <c r="F4516" i="5"/>
  <c r="F4517" i="5"/>
  <c r="F4518" i="5"/>
  <c r="F4519" i="5"/>
  <c r="F4520" i="5"/>
  <c r="F4521" i="5"/>
  <c r="F4522" i="5"/>
  <c r="F4523" i="5"/>
  <c r="F4524" i="5"/>
  <c r="F4525" i="5"/>
  <c r="F4526" i="5"/>
  <c r="F4527" i="5"/>
  <c r="F4528" i="5"/>
  <c r="F4529" i="5"/>
  <c r="F4530" i="5"/>
  <c r="F4531" i="5"/>
  <c r="F4532" i="5"/>
  <c r="F4533" i="5"/>
  <c r="F4534" i="5"/>
  <c r="F4535" i="5"/>
  <c r="F4536" i="5"/>
  <c r="F4537" i="5"/>
  <c r="F4538" i="5"/>
  <c r="F4539" i="5"/>
  <c r="F4540" i="5"/>
  <c r="F4541" i="5"/>
  <c r="F4542" i="5"/>
  <c r="F4543" i="5"/>
  <c r="F4544" i="5"/>
  <c r="F4545" i="5"/>
  <c r="F4546" i="5"/>
  <c r="F4547" i="5"/>
  <c r="F4548" i="5"/>
  <c r="F4549" i="5"/>
  <c r="F4550" i="5"/>
  <c r="F4551" i="5"/>
  <c r="F4552" i="5"/>
  <c r="F4553" i="5"/>
  <c r="F4554" i="5"/>
  <c r="F4555" i="5"/>
  <c r="F4556" i="5"/>
  <c r="F4557" i="5"/>
  <c r="F4558" i="5"/>
  <c r="F4559" i="5"/>
  <c r="F4560" i="5"/>
  <c r="F4561" i="5"/>
  <c r="F4562" i="5"/>
  <c r="F4563" i="5"/>
  <c r="F4564" i="5"/>
  <c r="F4565" i="5"/>
  <c r="F4566" i="5"/>
  <c r="F4567" i="5"/>
  <c r="F4568" i="5"/>
  <c r="F4569" i="5"/>
  <c r="F4570" i="5"/>
  <c r="F4571" i="5"/>
  <c r="F4572" i="5"/>
  <c r="F4573" i="5"/>
  <c r="F4574" i="5"/>
  <c r="F4575" i="5"/>
  <c r="F4576" i="5"/>
  <c r="F4577" i="5"/>
  <c r="F4578" i="5"/>
  <c r="F4579" i="5"/>
  <c r="F4580" i="5"/>
  <c r="F4581" i="5"/>
  <c r="F4582" i="5"/>
  <c r="F4583" i="5"/>
  <c r="F4584" i="5"/>
  <c r="F4585" i="5"/>
  <c r="F4586" i="5"/>
  <c r="F4587" i="5"/>
  <c r="F4588" i="5"/>
  <c r="F4589" i="5"/>
  <c r="F4590" i="5"/>
  <c r="F4591" i="5"/>
  <c r="F4592" i="5"/>
  <c r="F4593" i="5"/>
  <c r="F4594" i="5"/>
  <c r="F4595" i="5"/>
  <c r="F4596" i="5"/>
  <c r="F4597" i="5"/>
  <c r="F4598" i="5"/>
  <c r="F4599" i="5"/>
  <c r="F4600" i="5"/>
  <c r="F4601" i="5"/>
  <c r="F4602" i="5"/>
  <c r="F4603" i="5"/>
  <c r="F4604" i="5"/>
  <c r="F4605" i="5"/>
  <c r="F4606" i="5"/>
  <c r="F4607" i="5"/>
  <c r="F4608" i="5"/>
  <c r="F4609" i="5"/>
  <c r="F4610" i="5"/>
  <c r="F4611" i="5"/>
  <c r="F4612" i="5"/>
  <c r="F4613" i="5"/>
  <c r="F4614" i="5"/>
  <c r="F4615" i="5"/>
  <c r="F4616" i="5"/>
  <c r="F4617" i="5"/>
  <c r="F4618" i="5"/>
  <c r="F4619" i="5"/>
  <c r="F4620" i="5"/>
  <c r="F4621" i="5"/>
  <c r="F4622" i="5"/>
  <c r="F4623" i="5"/>
  <c r="F4624" i="5"/>
  <c r="F4625" i="5"/>
  <c r="F4626" i="5"/>
  <c r="F4627" i="5"/>
  <c r="F4628" i="5"/>
  <c r="F4629" i="5"/>
  <c r="F4630" i="5"/>
  <c r="F4631" i="5"/>
  <c r="F4632" i="5"/>
  <c r="F4633" i="5"/>
  <c r="F4634" i="5"/>
  <c r="F4635" i="5"/>
  <c r="F4636" i="5"/>
  <c r="F4637" i="5"/>
  <c r="F4638" i="5"/>
  <c r="F4639" i="5"/>
  <c r="F4640" i="5"/>
  <c r="F4641" i="5"/>
  <c r="F4642" i="5"/>
  <c r="F4643" i="5"/>
  <c r="F4644" i="5"/>
  <c r="F4645" i="5"/>
  <c r="F4646" i="5"/>
  <c r="F4647" i="5"/>
  <c r="F4648" i="5"/>
  <c r="F4649" i="5"/>
  <c r="F4650" i="5"/>
  <c r="F4651" i="5"/>
  <c r="F4652" i="5"/>
  <c r="F4653" i="5"/>
  <c r="F4654" i="5"/>
  <c r="F4655" i="5"/>
  <c r="F4656" i="5"/>
  <c r="F4657" i="5"/>
  <c r="F4658" i="5"/>
  <c r="F4659" i="5"/>
  <c r="F4660" i="5"/>
  <c r="F4661" i="5"/>
  <c r="F4662" i="5"/>
  <c r="F4663" i="5"/>
  <c r="F4664" i="5"/>
  <c r="F4665" i="5"/>
  <c r="F4666" i="5"/>
  <c r="F4667" i="5"/>
  <c r="F4668" i="5"/>
  <c r="F4669" i="5"/>
  <c r="F4670" i="5"/>
  <c r="F4671" i="5"/>
  <c r="F4672" i="5"/>
  <c r="F4673" i="5"/>
  <c r="F4674" i="5"/>
  <c r="F4675" i="5"/>
  <c r="F4676" i="5"/>
  <c r="F4677" i="5"/>
  <c r="F4678" i="5"/>
  <c r="F4679" i="5"/>
  <c r="F4680" i="5"/>
  <c r="F4681" i="5"/>
  <c r="F4682" i="5"/>
  <c r="F4683" i="5"/>
  <c r="F4684" i="5"/>
  <c r="F4685" i="5"/>
  <c r="F4686" i="5"/>
  <c r="F4687" i="5"/>
  <c r="F4688" i="5"/>
  <c r="F4689" i="5"/>
  <c r="F4690" i="5"/>
  <c r="F4691" i="5"/>
  <c r="F4692" i="5"/>
  <c r="F4693" i="5"/>
  <c r="F4694" i="5"/>
  <c r="F4695" i="5"/>
  <c r="F4696" i="5"/>
  <c r="F4697" i="5"/>
  <c r="F4698" i="5"/>
  <c r="F4699" i="5"/>
  <c r="F4700" i="5"/>
  <c r="F4701" i="5"/>
  <c r="F4702" i="5"/>
  <c r="F4703" i="5"/>
  <c r="F4704" i="5"/>
  <c r="F4705" i="5"/>
  <c r="F4706" i="5"/>
  <c r="F4707" i="5"/>
  <c r="F4708" i="5"/>
  <c r="F4709" i="5"/>
  <c r="F4710" i="5"/>
  <c r="F4711" i="5"/>
  <c r="F4712" i="5"/>
  <c r="F4713" i="5"/>
  <c r="F4714" i="5"/>
  <c r="F4715" i="5"/>
  <c r="F4716" i="5"/>
  <c r="F4717" i="5"/>
  <c r="F4718" i="5"/>
  <c r="F4719" i="5"/>
  <c r="F4720" i="5"/>
  <c r="F4721" i="5"/>
  <c r="F4722" i="5"/>
  <c r="F4723" i="5"/>
  <c r="F4724" i="5"/>
  <c r="F4725" i="5"/>
  <c r="F4726" i="5"/>
  <c r="F4727" i="5"/>
  <c r="F4728" i="5"/>
  <c r="F4729" i="5"/>
  <c r="F4730" i="5"/>
  <c r="F4731" i="5"/>
  <c r="F4732" i="5"/>
  <c r="F4733" i="5"/>
  <c r="F4734" i="5"/>
  <c r="F4735" i="5"/>
  <c r="F4736" i="5"/>
  <c r="F4737" i="5"/>
  <c r="F4738" i="5"/>
  <c r="F4739" i="5"/>
  <c r="F4740" i="5"/>
  <c r="F4741" i="5"/>
  <c r="F4742" i="5"/>
  <c r="F4743" i="5"/>
  <c r="F4744" i="5"/>
  <c r="F4745" i="5"/>
  <c r="F4746" i="5"/>
  <c r="F4747" i="5"/>
  <c r="F4748" i="5"/>
  <c r="F4749" i="5"/>
  <c r="F4750" i="5"/>
  <c r="F4751" i="5"/>
  <c r="F4752" i="5"/>
  <c r="F4753" i="5"/>
  <c r="F4754" i="5"/>
  <c r="F4755" i="5"/>
  <c r="F4756" i="5"/>
  <c r="F4757" i="5"/>
  <c r="F4758" i="5"/>
  <c r="F4759" i="5"/>
  <c r="F4760" i="5"/>
  <c r="F4761" i="5"/>
  <c r="F4762" i="5"/>
  <c r="F4763" i="5"/>
  <c r="F4764" i="5"/>
  <c r="F4765" i="5"/>
  <c r="F4766" i="5"/>
  <c r="F4767" i="5"/>
  <c r="F4768" i="5"/>
  <c r="F4769" i="5"/>
  <c r="F4770" i="5"/>
  <c r="F4771" i="5"/>
  <c r="F4772" i="5"/>
  <c r="F4773" i="5"/>
  <c r="F4774" i="5"/>
  <c r="F4775" i="5"/>
  <c r="F4776" i="5"/>
  <c r="F4777" i="5"/>
  <c r="F4778" i="5"/>
  <c r="F4779" i="5"/>
  <c r="F4780" i="5"/>
  <c r="F4781" i="5"/>
  <c r="F4782" i="5"/>
  <c r="F4783" i="5"/>
  <c r="F4784" i="5"/>
  <c r="F4785" i="5"/>
  <c r="F4786" i="5"/>
  <c r="F4787" i="5"/>
  <c r="F4788" i="5"/>
  <c r="F4789" i="5"/>
  <c r="F4790" i="5"/>
  <c r="F4791" i="5"/>
  <c r="F4792" i="5"/>
  <c r="F4793" i="5"/>
  <c r="F4794" i="5"/>
  <c r="F4795" i="5"/>
  <c r="F4796" i="5"/>
  <c r="F4797" i="5"/>
  <c r="F4798" i="5"/>
  <c r="F4799" i="5"/>
  <c r="F4800" i="5"/>
  <c r="F4801" i="5"/>
  <c r="F4802" i="5"/>
  <c r="F4803" i="5"/>
  <c r="F4804" i="5"/>
  <c r="F4805" i="5"/>
  <c r="F4806" i="5"/>
  <c r="F4807" i="5"/>
  <c r="F4808" i="5"/>
  <c r="F4809" i="5"/>
  <c r="F4810" i="5"/>
  <c r="F4811" i="5"/>
  <c r="F4812" i="5"/>
  <c r="F4813" i="5"/>
  <c r="F4814" i="5"/>
  <c r="F4815" i="5"/>
  <c r="F4816" i="5"/>
  <c r="F4817" i="5"/>
  <c r="F4818" i="5"/>
  <c r="F4819" i="5"/>
  <c r="F4820" i="5"/>
  <c r="F4821" i="5"/>
  <c r="F4822" i="5"/>
  <c r="F4823" i="5"/>
  <c r="F4824" i="5"/>
  <c r="F4825" i="5"/>
  <c r="F4826" i="5"/>
  <c r="F4827" i="5"/>
  <c r="F4828" i="5"/>
  <c r="F4829" i="5"/>
  <c r="F4830" i="5"/>
  <c r="F4831" i="5"/>
  <c r="F4832" i="5"/>
  <c r="F4833" i="5"/>
  <c r="F4834" i="5"/>
  <c r="F4835" i="5"/>
  <c r="F4836" i="5"/>
  <c r="F4837" i="5"/>
  <c r="F4838" i="5"/>
  <c r="F4839" i="5"/>
  <c r="F4840" i="5"/>
  <c r="F4841" i="5"/>
  <c r="F4842" i="5"/>
  <c r="F4843" i="5"/>
  <c r="F4844" i="5"/>
  <c r="F4845" i="5"/>
  <c r="F4846" i="5"/>
  <c r="F4847" i="5"/>
  <c r="F4848" i="5"/>
  <c r="F4849" i="5"/>
  <c r="F4850" i="5"/>
  <c r="F4851" i="5"/>
  <c r="F4852" i="5"/>
  <c r="F4853" i="5"/>
  <c r="F4854" i="5"/>
  <c r="F4855" i="5"/>
  <c r="F4856" i="5"/>
  <c r="F4857" i="5"/>
  <c r="F4858" i="5"/>
  <c r="F4859" i="5"/>
  <c r="F4860" i="5"/>
  <c r="F4861" i="5"/>
  <c r="F4862" i="5"/>
  <c r="F4863" i="5"/>
  <c r="F4864" i="5"/>
  <c r="F4865" i="5"/>
  <c r="F4866" i="5"/>
  <c r="F4867" i="5"/>
  <c r="F4868" i="5"/>
  <c r="F4869" i="5"/>
  <c r="F4870" i="5"/>
  <c r="F4871" i="5"/>
  <c r="F4872" i="5"/>
  <c r="F4873" i="5"/>
  <c r="F4874" i="5"/>
  <c r="F4875" i="5"/>
  <c r="F4876" i="5"/>
  <c r="F4877" i="5"/>
  <c r="F4878" i="5"/>
  <c r="F4879" i="5"/>
  <c r="F4880" i="5"/>
  <c r="F4881" i="5"/>
  <c r="F4882" i="5"/>
  <c r="F4883" i="5"/>
  <c r="F4884" i="5"/>
  <c r="F4885" i="5"/>
  <c r="F4886" i="5"/>
  <c r="F4887" i="5"/>
  <c r="F4888" i="5"/>
  <c r="F4889" i="5"/>
  <c r="F4890" i="5"/>
  <c r="F4891" i="5"/>
  <c r="F4892" i="5"/>
  <c r="F4893" i="5"/>
  <c r="F4894" i="5"/>
  <c r="F4895" i="5"/>
  <c r="F4896" i="5"/>
  <c r="F4897" i="5"/>
  <c r="F4898" i="5"/>
  <c r="F4899" i="5"/>
  <c r="F4900" i="5"/>
  <c r="F4901" i="5"/>
  <c r="F4902" i="5"/>
  <c r="F4903" i="5"/>
  <c r="F4904" i="5"/>
  <c r="F4905" i="5"/>
  <c r="F4906" i="5"/>
  <c r="F4907" i="5"/>
  <c r="F4908" i="5"/>
  <c r="F4909" i="5"/>
  <c r="F4910" i="5"/>
  <c r="F4911" i="5"/>
  <c r="F4912" i="5"/>
  <c r="F4913" i="5"/>
  <c r="F4914" i="5"/>
  <c r="F4915" i="5"/>
  <c r="F4916" i="5"/>
  <c r="F4917" i="5"/>
  <c r="F4918" i="5"/>
  <c r="F4919" i="5"/>
  <c r="F4920" i="5"/>
  <c r="F4921" i="5"/>
  <c r="F4922" i="5"/>
  <c r="F4923" i="5"/>
  <c r="F4924" i="5"/>
  <c r="F4925" i="5"/>
  <c r="F4926" i="5"/>
  <c r="F4927" i="5"/>
  <c r="F4928" i="5"/>
  <c r="F4929" i="5"/>
  <c r="F4930" i="5"/>
  <c r="F4931" i="5"/>
  <c r="F4932" i="5"/>
  <c r="F4933" i="5"/>
  <c r="F4934" i="5"/>
  <c r="F4935" i="5"/>
  <c r="F4936" i="5"/>
  <c r="F4937" i="5"/>
  <c r="F4938" i="5"/>
  <c r="F4939" i="5"/>
  <c r="F4940" i="5"/>
  <c r="F4941" i="5"/>
  <c r="F4942" i="5"/>
  <c r="F4943" i="5"/>
  <c r="F4944" i="5"/>
  <c r="F4945" i="5"/>
  <c r="F4946" i="5"/>
  <c r="F4947" i="5"/>
  <c r="F4948" i="5"/>
  <c r="F4949" i="5"/>
  <c r="F4950" i="5"/>
  <c r="F4951" i="5"/>
  <c r="F4952" i="5"/>
  <c r="F4953" i="5"/>
  <c r="F4954" i="5"/>
  <c r="F4955" i="5"/>
  <c r="F4956" i="5"/>
  <c r="F4957" i="5"/>
  <c r="F4958" i="5"/>
  <c r="F4959" i="5"/>
  <c r="F4960" i="5"/>
  <c r="F4961" i="5"/>
  <c r="F4962" i="5"/>
  <c r="F4963" i="5"/>
  <c r="F4964" i="5"/>
  <c r="F4965" i="5"/>
  <c r="F4966" i="5"/>
  <c r="F4967" i="5"/>
  <c r="F4968" i="5"/>
  <c r="F4969" i="5"/>
  <c r="F4970" i="5"/>
  <c r="F4971" i="5"/>
  <c r="F4972" i="5"/>
  <c r="F4973" i="5"/>
  <c r="F4974" i="5"/>
  <c r="F4975" i="5"/>
  <c r="F4976" i="5"/>
  <c r="F4977" i="5"/>
  <c r="F4978" i="5"/>
  <c r="F4979" i="5"/>
  <c r="F4980" i="5"/>
  <c r="F4981" i="5"/>
  <c r="F4982" i="5"/>
  <c r="F4983" i="5"/>
  <c r="F4984" i="5"/>
  <c r="F4985" i="5"/>
  <c r="F4986" i="5"/>
  <c r="F4987" i="5"/>
  <c r="F4988" i="5"/>
  <c r="F4989" i="5"/>
  <c r="F4990" i="5"/>
  <c r="F4991" i="5"/>
  <c r="F4992" i="5"/>
  <c r="F4993" i="5"/>
  <c r="F4994" i="5"/>
  <c r="F4995" i="5"/>
  <c r="F4996" i="5"/>
  <c r="F4997" i="5"/>
  <c r="F4998" i="5"/>
  <c r="F4999" i="5"/>
  <c r="F5000" i="5"/>
  <c r="F5001" i="5"/>
  <c r="F5002" i="5"/>
  <c r="F5003" i="5"/>
  <c r="F5004" i="5"/>
  <c r="F5005" i="5"/>
  <c r="F5006" i="5"/>
  <c r="F5007" i="5"/>
  <c r="F5008" i="5"/>
  <c r="F5009" i="5"/>
  <c r="F5010" i="5"/>
  <c r="F5011" i="5"/>
  <c r="F5012" i="5"/>
  <c r="F5013" i="5"/>
  <c r="F5014" i="5"/>
  <c r="F5015" i="5"/>
  <c r="F5016" i="5"/>
  <c r="F5017" i="5"/>
  <c r="F5018" i="5"/>
  <c r="F5019" i="5"/>
  <c r="F5020" i="5"/>
  <c r="F5021" i="5"/>
  <c r="F5022" i="5"/>
  <c r="F5023" i="5"/>
  <c r="F5024" i="5"/>
  <c r="F5025" i="5"/>
  <c r="F5026" i="5"/>
  <c r="F5027" i="5"/>
  <c r="F5028" i="5"/>
  <c r="F5029" i="5"/>
  <c r="F5030" i="5"/>
  <c r="F5031" i="5"/>
  <c r="F5032" i="5"/>
  <c r="F5033" i="5"/>
  <c r="F5034" i="5"/>
  <c r="F5035" i="5"/>
  <c r="F5036" i="5"/>
  <c r="F5037" i="5"/>
  <c r="F5038" i="5"/>
  <c r="F5039" i="5"/>
  <c r="F5040" i="5"/>
  <c r="F5041" i="5"/>
  <c r="F5042" i="5"/>
  <c r="F5043" i="5"/>
  <c r="F5044" i="5"/>
  <c r="F5045" i="5"/>
  <c r="F5046" i="5"/>
  <c r="F5047" i="5"/>
  <c r="F5048" i="5"/>
  <c r="F5049" i="5"/>
  <c r="F5050" i="5"/>
  <c r="F5051" i="5"/>
  <c r="F5052" i="5"/>
  <c r="F5053" i="5"/>
  <c r="F5054" i="5"/>
  <c r="F5055" i="5"/>
  <c r="F5056" i="5"/>
  <c r="F5057" i="5"/>
  <c r="F5058" i="5"/>
  <c r="F5059" i="5"/>
  <c r="F5060" i="5"/>
  <c r="F5061" i="5"/>
  <c r="F5062" i="5"/>
  <c r="F5063" i="5"/>
  <c r="F5064" i="5"/>
  <c r="F5065" i="5"/>
  <c r="F5066" i="5"/>
  <c r="F5067" i="5"/>
  <c r="F5068" i="5"/>
  <c r="F5069" i="5"/>
  <c r="F5070" i="5"/>
  <c r="F5071" i="5"/>
  <c r="F5072" i="5"/>
  <c r="F5073" i="5"/>
  <c r="F5074" i="5"/>
  <c r="F5075" i="5"/>
  <c r="F5076" i="5"/>
  <c r="F5077" i="5"/>
  <c r="F5078" i="5"/>
  <c r="F5079" i="5"/>
  <c r="F5080" i="5"/>
  <c r="F5081" i="5"/>
  <c r="F5082" i="5"/>
  <c r="F5083" i="5"/>
  <c r="F5084" i="5"/>
  <c r="F5085" i="5"/>
  <c r="F5086" i="5"/>
  <c r="F5087" i="5"/>
  <c r="F5088" i="5"/>
  <c r="F5089" i="5"/>
  <c r="F5090" i="5"/>
  <c r="F5091" i="5"/>
  <c r="F5092" i="5"/>
  <c r="F5093" i="5"/>
  <c r="F5094" i="5"/>
  <c r="F5095" i="5"/>
  <c r="F5096" i="5"/>
  <c r="F5097" i="5"/>
  <c r="F5098" i="5"/>
  <c r="F5099" i="5"/>
  <c r="F5100" i="5"/>
  <c r="F5101" i="5"/>
  <c r="F5102" i="5"/>
  <c r="F5103" i="5"/>
  <c r="F5104" i="5"/>
  <c r="F5105" i="5"/>
  <c r="F5106" i="5"/>
  <c r="F5107" i="5"/>
  <c r="F5108" i="5"/>
  <c r="F5109" i="5"/>
  <c r="F5110" i="5"/>
  <c r="F5111" i="5"/>
  <c r="F5112" i="5"/>
  <c r="F5113" i="5"/>
  <c r="F5114" i="5"/>
  <c r="F5115" i="5"/>
  <c r="F5116" i="5"/>
  <c r="F5117" i="5"/>
  <c r="F5118" i="5"/>
  <c r="F5119" i="5"/>
  <c r="F5120" i="5"/>
  <c r="F5121" i="5"/>
  <c r="F5122" i="5"/>
  <c r="F5123" i="5"/>
  <c r="F5124" i="5"/>
  <c r="F5125" i="5"/>
  <c r="F5126" i="5"/>
  <c r="F5127" i="5"/>
  <c r="F5128" i="5"/>
  <c r="F5129" i="5"/>
  <c r="F5130" i="5"/>
  <c r="F5131" i="5"/>
  <c r="F5132" i="5"/>
  <c r="F5133" i="5"/>
  <c r="F5134" i="5"/>
  <c r="F5135" i="5"/>
  <c r="F5136" i="5"/>
  <c r="F5137" i="5"/>
  <c r="F5138" i="5"/>
  <c r="F5139" i="5"/>
  <c r="F5140" i="5"/>
  <c r="F5141" i="5"/>
  <c r="F5142" i="5"/>
  <c r="F5143" i="5"/>
  <c r="F5144" i="5"/>
  <c r="F5145" i="5"/>
  <c r="F5146" i="5"/>
  <c r="F5147" i="5"/>
  <c r="F5148" i="5"/>
  <c r="F5149" i="5"/>
  <c r="F5150" i="5"/>
  <c r="F5151" i="5"/>
  <c r="F5152" i="5"/>
  <c r="F5153" i="5"/>
  <c r="F5154" i="5"/>
  <c r="F5155" i="5"/>
  <c r="F5156" i="5"/>
  <c r="F5157" i="5"/>
  <c r="F5158" i="5"/>
  <c r="F5159" i="5"/>
  <c r="F5160" i="5"/>
  <c r="F5161" i="5"/>
  <c r="F5162" i="5"/>
  <c r="F5163" i="5"/>
  <c r="F5164" i="5"/>
  <c r="F5165" i="5"/>
  <c r="F5166" i="5"/>
  <c r="F5167" i="5"/>
  <c r="F5168" i="5"/>
  <c r="F5169" i="5"/>
  <c r="F5170" i="5"/>
  <c r="F5171" i="5"/>
  <c r="F5172" i="5"/>
  <c r="F5173" i="5"/>
  <c r="F5174" i="5"/>
  <c r="F5175" i="5"/>
  <c r="F5176" i="5"/>
  <c r="F5177" i="5"/>
  <c r="F5178" i="5"/>
  <c r="F5179" i="5"/>
  <c r="F5180" i="5"/>
  <c r="F5181" i="5"/>
  <c r="F5182" i="5"/>
  <c r="F5183" i="5"/>
  <c r="F5184" i="5"/>
  <c r="F5185" i="5"/>
  <c r="F5186" i="5"/>
  <c r="F5187" i="5"/>
  <c r="F5188" i="5"/>
  <c r="F5189" i="5"/>
  <c r="F5190" i="5"/>
  <c r="F5191" i="5"/>
  <c r="F5192" i="5"/>
  <c r="F5193" i="5"/>
  <c r="F5194" i="5"/>
  <c r="F5195" i="5"/>
  <c r="F5196" i="5"/>
  <c r="F5197" i="5"/>
  <c r="F5198" i="5"/>
  <c r="F5199" i="5"/>
  <c r="F5200" i="5"/>
  <c r="F5201" i="5"/>
  <c r="F5202" i="5"/>
  <c r="F5203" i="5"/>
  <c r="F5204" i="5"/>
  <c r="F5205" i="5"/>
  <c r="F5206" i="5"/>
  <c r="F5207" i="5"/>
  <c r="F5208" i="5"/>
  <c r="F5209" i="5"/>
  <c r="F5210" i="5"/>
  <c r="F5211" i="5"/>
  <c r="F5212" i="5"/>
  <c r="F5213" i="5"/>
  <c r="F5214" i="5"/>
  <c r="F5215" i="5"/>
  <c r="F5216" i="5"/>
  <c r="F5217" i="5"/>
  <c r="F5218" i="5"/>
  <c r="F5219" i="5"/>
  <c r="F5220" i="5"/>
  <c r="F5221" i="5"/>
  <c r="F5222" i="5"/>
  <c r="F5223" i="5"/>
  <c r="F5224" i="5"/>
  <c r="F5225" i="5"/>
  <c r="F5226" i="5"/>
  <c r="F5227" i="5"/>
  <c r="F5228" i="5"/>
  <c r="F5229" i="5"/>
  <c r="F5230" i="5"/>
  <c r="F5231" i="5"/>
  <c r="F5232" i="5"/>
  <c r="F5233" i="5"/>
  <c r="F5234" i="5"/>
  <c r="F5235" i="5"/>
  <c r="F5236" i="5"/>
  <c r="F5237" i="5"/>
  <c r="F5238" i="5"/>
  <c r="F5239" i="5"/>
  <c r="F5240" i="5"/>
  <c r="F5241" i="5"/>
  <c r="F5242" i="5"/>
  <c r="F5243" i="5"/>
  <c r="F5244" i="5"/>
  <c r="F5245" i="5"/>
  <c r="F5246" i="5"/>
  <c r="F5247" i="5"/>
  <c r="F5248" i="5"/>
  <c r="F5249" i="5"/>
  <c r="F5250" i="5"/>
  <c r="F5251" i="5"/>
  <c r="F5252" i="5"/>
  <c r="F5253" i="5"/>
  <c r="F5254" i="5"/>
  <c r="F5255" i="5"/>
  <c r="F5256" i="5"/>
  <c r="F5257" i="5"/>
  <c r="F5258" i="5"/>
  <c r="F5259" i="5"/>
  <c r="F5260" i="5"/>
  <c r="F5261" i="5"/>
  <c r="F5262" i="5"/>
  <c r="F5263" i="5"/>
  <c r="F5264" i="5"/>
  <c r="F5265" i="5"/>
  <c r="F5266" i="5"/>
  <c r="F5267" i="5"/>
  <c r="F5268" i="5"/>
  <c r="F5269" i="5"/>
  <c r="F5270" i="5"/>
  <c r="F5271" i="5"/>
  <c r="F5272" i="5"/>
  <c r="F5273" i="5"/>
  <c r="F5274" i="5"/>
  <c r="F5275" i="5"/>
  <c r="F5276" i="5"/>
  <c r="F5277" i="5"/>
  <c r="F5278" i="5"/>
  <c r="F5279" i="5"/>
  <c r="F5280" i="5"/>
  <c r="F5281" i="5"/>
  <c r="F5282" i="5"/>
  <c r="F5283" i="5"/>
  <c r="F5284" i="5"/>
  <c r="F5285" i="5"/>
  <c r="F5286" i="5"/>
  <c r="F5287" i="5"/>
  <c r="F5288" i="5"/>
  <c r="F5289" i="5"/>
  <c r="F5290" i="5"/>
  <c r="F5291" i="5"/>
  <c r="F5292" i="5"/>
  <c r="F5293" i="5"/>
  <c r="F5294" i="5"/>
  <c r="F5295" i="5"/>
  <c r="F5296" i="5"/>
  <c r="F5297" i="5"/>
  <c r="F5298" i="5"/>
  <c r="F5299" i="5"/>
  <c r="F5300" i="5"/>
  <c r="F5301" i="5"/>
  <c r="F5302" i="5"/>
  <c r="F5303" i="5"/>
  <c r="F5304" i="5"/>
  <c r="F5305" i="5"/>
  <c r="F5306" i="5"/>
  <c r="F5307" i="5"/>
  <c r="F5308" i="5"/>
  <c r="F5309" i="5"/>
  <c r="F5310" i="5"/>
  <c r="F5311" i="5"/>
  <c r="F5312" i="5"/>
  <c r="F5313" i="5"/>
  <c r="F5314" i="5"/>
  <c r="F5315" i="5"/>
  <c r="F5316" i="5"/>
  <c r="F5317" i="5"/>
  <c r="F5318" i="5"/>
  <c r="F5319" i="5"/>
  <c r="F5320" i="5"/>
  <c r="F5321" i="5"/>
  <c r="F5322" i="5"/>
  <c r="F5323" i="5"/>
  <c r="F5324" i="5"/>
  <c r="F5325" i="5"/>
  <c r="F5326" i="5"/>
  <c r="F5327" i="5"/>
  <c r="F5328" i="5"/>
  <c r="F5329" i="5"/>
  <c r="F5330" i="5"/>
  <c r="F5331" i="5"/>
  <c r="F5332" i="5"/>
  <c r="F5333" i="5"/>
  <c r="F5334" i="5"/>
  <c r="F5335" i="5"/>
  <c r="F5336" i="5"/>
  <c r="F5337" i="5"/>
  <c r="F5338" i="5"/>
  <c r="F5339" i="5"/>
  <c r="F5340" i="5"/>
  <c r="F5341" i="5"/>
  <c r="F5342" i="5"/>
  <c r="F5343" i="5"/>
  <c r="F5344" i="5"/>
  <c r="F5345" i="5"/>
  <c r="F5346" i="5"/>
  <c r="F5347" i="5"/>
  <c r="F5348" i="5"/>
  <c r="F5349" i="5"/>
  <c r="F5350" i="5"/>
  <c r="F5351" i="5"/>
  <c r="F5352" i="5"/>
  <c r="F5353" i="5"/>
  <c r="F5354" i="5"/>
  <c r="F5355" i="5"/>
  <c r="F5356" i="5"/>
  <c r="F5357" i="5"/>
  <c r="F5358" i="5"/>
  <c r="F5359" i="5"/>
  <c r="F5360" i="5"/>
  <c r="F5361" i="5"/>
  <c r="F5362" i="5"/>
  <c r="F5363" i="5"/>
  <c r="F5364" i="5"/>
  <c r="F5365" i="5"/>
  <c r="F5366" i="5"/>
  <c r="F5367" i="5"/>
  <c r="F5368" i="5"/>
  <c r="F5369" i="5"/>
  <c r="F5370" i="5"/>
  <c r="F5371" i="5"/>
  <c r="F5372" i="5"/>
  <c r="F5373" i="5"/>
  <c r="F5374" i="5"/>
  <c r="F5375" i="5"/>
  <c r="F5376" i="5"/>
  <c r="F5377" i="5"/>
  <c r="F5378" i="5"/>
  <c r="F5379" i="5"/>
  <c r="F5380" i="5"/>
  <c r="F5381" i="5"/>
  <c r="F5382" i="5"/>
  <c r="F5383" i="5"/>
  <c r="F5384" i="5"/>
  <c r="F5385" i="5"/>
  <c r="F5386" i="5"/>
  <c r="F5387" i="5"/>
  <c r="F5388" i="5"/>
  <c r="F5389" i="5"/>
  <c r="F5390" i="5"/>
  <c r="F5391" i="5"/>
  <c r="F5392" i="5"/>
  <c r="F5393" i="5"/>
  <c r="F5394" i="5"/>
  <c r="F5395" i="5"/>
  <c r="F5396" i="5"/>
  <c r="F5397" i="5"/>
  <c r="F5398" i="5"/>
  <c r="F5399" i="5"/>
  <c r="F5400" i="5"/>
  <c r="F5401" i="5"/>
  <c r="F5402" i="5"/>
  <c r="F5403" i="5"/>
  <c r="F5404" i="5"/>
  <c r="F5405" i="5"/>
  <c r="F5406" i="5"/>
  <c r="F5407" i="5"/>
  <c r="F5408" i="5"/>
  <c r="F5409" i="5"/>
  <c r="F5410" i="5"/>
  <c r="F5411" i="5"/>
  <c r="F5412" i="5"/>
  <c r="F5413" i="5"/>
  <c r="F5414" i="5"/>
  <c r="F5415" i="5"/>
  <c r="F5416" i="5"/>
  <c r="F5417" i="5"/>
  <c r="F5418" i="5"/>
  <c r="F5419" i="5"/>
  <c r="F5420" i="5"/>
  <c r="F5421" i="5"/>
  <c r="F5422" i="5"/>
  <c r="F5423" i="5"/>
  <c r="F5424" i="5"/>
  <c r="F5425" i="5"/>
  <c r="F5426" i="5"/>
  <c r="F5427" i="5"/>
  <c r="F5428" i="5"/>
  <c r="F5429" i="5"/>
  <c r="F5430" i="5"/>
  <c r="F5431" i="5"/>
  <c r="F5432" i="5"/>
  <c r="F5433" i="5"/>
  <c r="F5434" i="5"/>
  <c r="F5435" i="5"/>
  <c r="F5436" i="5"/>
  <c r="F5437" i="5"/>
  <c r="F5438" i="5"/>
  <c r="F5439" i="5"/>
  <c r="F5440" i="5"/>
  <c r="F5441" i="5"/>
  <c r="F5442" i="5"/>
  <c r="F5443" i="5"/>
  <c r="F5444" i="5"/>
  <c r="F5445" i="5"/>
  <c r="F5446" i="5"/>
  <c r="F5447" i="5"/>
  <c r="F5448" i="5"/>
  <c r="F5449" i="5"/>
  <c r="F5450" i="5"/>
  <c r="F5451" i="5"/>
  <c r="F5452" i="5"/>
  <c r="F5453" i="5"/>
  <c r="F5454" i="5"/>
  <c r="F5455" i="5"/>
  <c r="F5456" i="5"/>
  <c r="F5457" i="5"/>
  <c r="F5458" i="5"/>
  <c r="F5459" i="5"/>
  <c r="F5460" i="5"/>
  <c r="F5461" i="5"/>
  <c r="F5462" i="5"/>
  <c r="F5463" i="5"/>
  <c r="F5464" i="5"/>
  <c r="F5465" i="5"/>
  <c r="F5466" i="5"/>
  <c r="F5467" i="5"/>
  <c r="F5468" i="5"/>
  <c r="F5469" i="5"/>
  <c r="F5470" i="5"/>
  <c r="F5471" i="5"/>
  <c r="F5472" i="5"/>
  <c r="F5473" i="5"/>
  <c r="F5474" i="5"/>
  <c r="F5475" i="5"/>
  <c r="F5476" i="5"/>
  <c r="F5477" i="5"/>
  <c r="F5478" i="5"/>
  <c r="F5479" i="5"/>
  <c r="F5480" i="5"/>
  <c r="F5481" i="5"/>
  <c r="F5482" i="5"/>
  <c r="F5483" i="5"/>
  <c r="F5484" i="5"/>
  <c r="F5485" i="5"/>
  <c r="F5486" i="5"/>
  <c r="F5487" i="5"/>
  <c r="F5488" i="5"/>
  <c r="F5489" i="5"/>
  <c r="F5490" i="5"/>
  <c r="F5491" i="5"/>
  <c r="F5492" i="5"/>
  <c r="F5493" i="5"/>
  <c r="F5494" i="5"/>
  <c r="F5495" i="5"/>
  <c r="F5496" i="5"/>
  <c r="F5497" i="5"/>
  <c r="F5498" i="5"/>
  <c r="F5499" i="5"/>
  <c r="F5500" i="5"/>
  <c r="F5501" i="5"/>
  <c r="F5502" i="5"/>
  <c r="F5503" i="5"/>
  <c r="F5504" i="5"/>
  <c r="F5505" i="5"/>
  <c r="F5506" i="5"/>
  <c r="F5507" i="5"/>
  <c r="F5508" i="5"/>
  <c r="F5509" i="5"/>
  <c r="F5510" i="5"/>
  <c r="F5511" i="5"/>
  <c r="F5512" i="5"/>
  <c r="F5513" i="5"/>
  <c r="F5514" i="5"/>
  <c r="F5515" i="5"/>
  <c r="F5516" i="5"/>
  <c r="F5517" i="5"/>
  <c r="F5518" i="5"/>
  <c r="F5519" i="5"/>
  <c r="F5520" i="5"/>
  <c r="F5521" i="5"/>
  <c r="F5522" i="5"/>
  <c r="F5523" i="5"/>
  <c r="F5524" i="5"/>
  <c r="F5525" i="5"/>
  <c r="F5526" i="5"/>
  <c r="F5527" i="5"/>
  <c r="F5528" i="5"/>
  <c r="F5529" i="5"/>
  <c r="F5530" i="5"/>
  <c r="F5531" i="5"/>
  <c r="F5532" i="5"/>
  <c r="F5533" i="5"/>
  <c r="F5534" i="5"/>
  <c r="F5535" i="5"/>
  <c r="F5536" i="5"/>
  <c r="F5537" i="5"/>
  <c r="F5538" i="5"/>
  <c r="F5539" i="5"/>
  <c r="F5540" i="5"/>
  <c r="F5541" i="5"/>
  <c r="F5542" i="5"/>
  <c r="F5543" i="5"/>
  <c r="F5544" i="5"/>
  <c r="F5545" i="5"/>
  <c r="F5546" i="5"/>
  <c r="F5547" i="5"/>
  <c r="F5548" i="5"/>
  <c r="F5549" i="5"/>
  <c r="F5550" i="5"/>
  <c r="F5551" i="5"/>
  <c r="F5552" i="5"/>
  <c r="F5553" i="5"/>
  <c r="F5554" i="5"/>
  <c r="F5555" i="5"/>
  <c r="F5556" i="5"/>
  <c r="F5557" i="5"/>
  <c r="F5558" i="5"/>
  <c r="F5559" i="5"/>
  <c r="F5560" i="5"/>
  <c r="F5561" i="5"/>
  <c r="F5562" i="5"/>
  <c r="F5563" i="5"/>
  <c r="F5564" i="5"/>
  <c r="F5565" i="5"/>
  <c r="F5566" i="5"/>
  <c r="F5567" i="5"/>
  <c r="F5568" i="5"/>
  <c r="F5569" i="5"/>
  <c r="F5570" i="5"/>
  <c r="F5571" i="5"/>
  <c r="F5572" i="5"/>
  <c r="F5573" i="5"/>
  <c r="F5574" i="5"/>
  <c r="F5575" i="5"/>
  <c r="F5576" i="5"/>
  <c r="F5577" i="5"/>
  <c r="F5578" i="5"/>
  <c r="F5579" i="5"/>
  <c r="F5580" i="5"/>
  <c r="F5581" i="5"/>
  <c r="F5582" i="5"/>
  <c r="F5583" i="5"/>
  <c r="F5584" i="5"/>
  <c r="F5585" i="5"/>
  <c r="F5586" i="5"/>
  <c r="F5587" i="5"/>
  <c r="F5588" i="5"/>
  <c r="F5589" i="5"/>
  <c r="F5590" i="5"/>
  <c r="F5591" i="5"/>
  <c r="F5592" i="5"/>
  <c r="F5593" i="5"/>
  <c r="F5594" i="5"/>
  <c r="F5595" i="5"/>
  <c r="F5596" i="5"/>
  <c r="F5597" i="5"/>
  <c r="F5598" i="5"/>
  <c r="F5599" i="5"/>
  <c r="F5600" i="5"/>
  <c r="F5601" i="5"/>
  <c r="F5602" i="5"/>
  <c r="F5603" i="5"/>
  <c r="F5604" i="5"/>
  <c r="F5605" i="5"/>
  <c r="F5606" i="5"/>
  <c r="F5607" i="5"/>
  <c r="F5608" i="5"/>
  <c r="F5609" i="5"/>
  <c r="F5610" i="5"/>
  <c r="F5611" i="5"/>
  <c r="F5612" i="5"/>
  <c r="F5613" i="5"/>
  <c r="F5614" i="5"/>
  <c r="F5615" i="5"/>
  <c r="F5616" i="5"/>
  <c r="F5617" i="5"/>
  <c r="F5618" i="5"/>
  <c r="F5619" i="5"/>
  <c r="F5620" i="5"/>
  <c r="F5621" i="5"/>
  <c r="F5622" i="5"/>
  <c r="F5623" i="5"/>
  <c r="F5624" i="5"/>
  <c r="F5625" i="5"/>
  <c r="F5626" i="5"/>
  <c r="F5627" i="5"/>
  <c r="F5628" i="5"/>
  <c r="F5629" i="5"/>
  <c r="F5630" i="5"/>
  <c r="F5631" i="5"/>
  <c r="F5632" i="5"/>
  <c r="F5633" i="5"/>
  <c r="F5634" i="5"/>
  <c r="F5635" i="5"/>
  <c r="F5636" i="5"/>
  <c r="F5637" i="5"/>
  <c r="F5638" i="5"/>
  <c r="F5639" i="5"/>
  <c r="F5640" i="5"/>
  <c r="F5641" i="5"/>
  <c r="F5642" i="5"/>
  <c r="F5643" i="5"/>
  <c r="F5644" i="5"/>
  <c r="F5645" i="5"/>
  <c r="F5646" i="5"/>
  <c r="F5647" i="5"/>
  <c r="F5648" i="5"/>
  <c r="F5649" i="5"/>
  <c r="F5650" i="5"/>
  <c r="F5651" i="5"/>
  <c r="F5652" i="5"/>
  <c r="F5653" i="5"/>
  <c r="F5654" i="5"/>
  <c r="F5655" i="5"/>
  <c r="F5656" i="5"/>
  <c r="F5657" i="5"/>
  <c r="F5658" i="5"/>
  <c r="F5659" i="5"/>
  <c r="F5660" i="5"/>
  <c r="F5661" i="5"/>
  <c r="F5662" i="5"/>
  <c r="F5663" i="5"/>
  <c r="F5664" i="5"/>
  <c r="F5665" i="5"/>
  <c r="F5666" i="5"/>
  <c r="F5667" i="5"/>
  <c r="F5668" i="5"/>
  <c r="F5669" i="5"/>
  <c r="F5670" i="5"/>
  <c r="F5671" i="5"/>
  <c r="F5672" i="5"/>
  <c r="F5673" i="5"/>
  <c r="F5674" i="5"/>
  <c r="F5675" i="5"/>
  <c r="F5676" i="5"/>
  <c r="F5677" i="5"/>
  <c r="F5678" i="5"/>
  <c r="F5679" i="5"/>
  <c r="F5680" i="5"/>
  <c r="F5681" i="5"/>
  <c r="F5682" i="5"/>
  <c r="F5683" i="5"/>
  <c r="F5684" i="5"/>
  <c r="F5685" i="5"/>
  <c r="F5686" i="5"/>
  <c r="F5687" i="5"/>
  <c r="F5688" i="5"/>
  <c r="F5689" i="5"/>
  <c r="F5690" i="5"/>
  <c r="F5691" i="5"/>
  <c r="F5692" i="5"/>
  <c r="F5693" i="5"/>
  <c r="F5694" i="5"/>
  <c r="F5695" i="5"/>
  <c r="F5696" i="5"/>
  <c r="F5697" i="5"/>
  <c r="F5698" i="5"/>
  <c r="F5699" i="5"/>
  <c r="F5700" i="5"/>
  <c r="F5701" i="5"/>
  <c r="F5702" i="5"/>
  <c r="F5703" i="5"/>
  <c r="F5704" i="5"/>
  <c r="F5705" i="5"/>
  <c r="F5706" i="5"/>
  <c r="F5707" i="5"/>
  <c r="F5708" i="5"/>
  <c r="F5709" i="5"/>
  <c r="F5710" i="5"/>
  <c r="F5711" i="5"/>
  <c r="F5712" i="5"/>
  <c r="F5713" i="5"/>
  <c r="F5714" i="5"/>
  <c r="F5715" i="5"/>
  <c r="F5716" i="5"/>
  <c r="F5717" i="5"/>
  <c r="F5718" i="5"/>
  <c r="F5719" i="5"/>
  <c r="F5720" i="5"/>
  <c r="F5721" i="5"/>
  <c r="F5722" i="5"/>
  <c r="F5723" i="5"/>
  <c r="F5724" i="5"/>
  <c r="F5725" i="5"/>
  <c r="F5726" i="5"/>
  <c r="F5727" i="5"/>
  <c r="F5728" i="5"/>
  <c r="F5729" i="5"/>
  <c r="F5730" i="5"/>
  <c r="F5731" i="5"/>
  <c r="F5732" i="5"/>
  <c r="F5733" i="5"/>
  <c r="F5734" i="5"/>
  <c r="F5735" i="5"/>
  <c r="F5736" i="5"/>
  <c r="F5737" i="5"/>
  <c r="F5738" i="5"/>
  <c r="F5739" i="5"/>
  <c r="F5740" i="5"/>
  <c r="F5741" i="5"/>
  <c r="F5742" i="5"/>
  <c r="F5743" i="5"/>
  <c r="F5744" i="5"/>
  <c r="F5745" i="5"/>
  <c r="F5746" i="5"/>
  <c r="F5747" i="5"/>
  <c r="F5748" i="5"/>
  <c r="F5749" i="5"/>
  <c r="F5750" i="5"/>
  <c r="F5751" i="5"/>
  <c r="F5752" i="5"/>
  <c r="F5753" i="5"/>
  <c r="F5754" i="5"/>
  <c r="F5755" i="5"/>
  <c r="F5756" i="5"/>
  <c r="F5757" i="5"/>
  <c r="F5758" i="5"/>
  <c r="F5759" i="5"/>
  <c r="F5760" i="5"/>
  <c r="F5761" i="5"/>
  <c r="F5762" i="5"/>
  <c r="F5763" i="5"/>
  <c r="F5764" i="5"/>
  <c r="F5765" i="5"/>
  <c r="F5766" i="5"/>
  <c r="F5767" i="5"/>
  <c r="F5768" i="5"/>
  <c r="F5769" i="5"/>
  <c r="F5770" i="5"/>
  <c r="F5771" i="5"/>
  <c r="F5772" i="5"/>
  <c r="F5773" i="5"/>
  <c r="F5774" i="5"/>
  <c r="F5775" i="5"/>
  <c r="F5776" i="5"/>
  <c r="F5777" i="5"/>
  <c r="F5778" i="5"/>
  <c r="F5779" i="5"/>
  <c r="F5780" i="5"/>
  <c r="F5781" i="5"/>
  <c r="F5782" i="5"/>
  <c r="F5783" i="5"/>
  <c r="F5784" i="5"/>
  <c r="F5785" i="5"/>
  <c r="F5786" i="5"/>
  <c r="F5787" i="5"/>
  <c r="F5788" i="5"/>
  <c r="F5789" i="5"/>
  <c r="F5790" i="5"/>
  <c r="F5791" i="5"/>
  <c r="F5792" i="5"/>
  <c r="F5793" i="5"/>
  <c r="F5794" i="5"/>
  <c r="F5795" i="5"/>
  <c r="F5796" i="5"/>
  <c r="F5797" i="5"/>
  <c r="F5798" i="5"/>
  <c r="F5799" i="5"/>
  <c r="F5800" i="5"/>
  <c r="F5801" i="5"/>
  <c r="F5802" i="5"/>
  <c r="F5803" i="5"/>
  <c r="F5804" i="5"/>
  <c r="F5805" i="5"/>
  <c r="F5806" i="5"/>
  <c r="F5807" i="5"/>
  <c r="F5808" i="5"/>
  <c r="F5809" i="5"/>
  <c r="F5810" i="5"/>
  <c r="F5811" i="5"/>
  <c r="F5812" i="5"/>
  <c r="F5813" i="5"/>
  <c r="F5814" i="5"/>
  <c r="F5815" i="5"/>
  <c r="F5816" i="5"/>
  <c r="F5817" i="5"/>
  <c r="F5818" i="5"/>
  <c r="F5819" i="5"/>
  <c r="F5820" i="5"/>
  <c r="F5821" i="5"/>
  <c r="F5822" i="5"/>
  <c r="F5823" i="5"/>
  <c r="F5824" i="5"/>
  <c r="F5825" i="5"/>
  <c r="F5826" i="5"/>
  <c r="F5827" i="5"/>
  <c r="F5828" i="5"/>
  <c r="F5829" i="5"/>
  <c r="F5830" i="5"/>
  <c r="F5831" i="5"/>
  <c r="F5832" i="5"/>
  <c r="F5833" i="5"/>
  <c r="F5834" i="5"/>
  <c r="F5835" i="5"/>
  <c r="F5836" i="5"/>
  <c r="F5837" i="5"/>
  <c r="F5838" i="5"/>
  <c r="F5839" i="5"/>
  <c r="F5840" i="5"/>
  <c r="F5841" i="5"/>
  <c r="F5842" i="5"/>
  <c r="F5843" i="5"/>
  <c r="F5844" i="5"/>
  <c r="F5845" i="5"/>
  <c r="F2" i="5"/>
  <c r="B2" i="5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J152" i="5"/>
  <c r="B153" i="5"/>
  <c r="J153" i="5"/>
  <c r="B154" i="5"/>
  <c r="J154" i="5"/>
  <c r="B155" i="5"/>
  <c r="J155" i="5"/>
  <c r="B156" i="5"/>
  <c r="J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82" i="5"/>
  <c r="B283" i="5"/>
  <c r="B284" i="5"/>
  <c r="B285" i="5"/>
  <c r="B286" i="5"/>
  <c r="B287" i="5"/>
  <c r="B288" i="5"/>
  <c r="B289" i="5"/>
  <c r="B290" i="5"/>
  <c r="B291" i="5"/>
  <c r="B292" i="5"/>
  <c r="B293" i="5"/>
  <c r="B294" i="5"/>
  <c r="B295" i="5"/>
  <c r="B296" i="5"/>
  <c r="B297" i="5"/>
  <c r="B298" i="5"/>
  <c r="B299" i="5"/>
  <c r="B300" i="5"/>
  <c r="B301" i="5"/>
  <c r="B302" i="5"/>
  <c r="B303" i="5"/>
  <c r="B304" i="5"/>
  <c r="B305" i="5"/>
  <c r="B306" i="5"/>
  <c r="B307" i="5"/>
  <c r="B308" i="5"/>
  <c r="B309" i="5"/>
  <c r="B310" i="5"/>
  <c r="B311" i="5"/>
  <c r="B312" i="5"/>
  <c r="B313" i="5"/>
  <c r="B314" i="5"/>
  <c r="B315" i="5"/>
  <c r="B316" i="5"/>
  <c r="B317" i="5"/>
  <c r="B318" i="5"/>
  <c r="B319" i="5"/>
  <c r="B320" i="5"/>
  <c r="B321" i="5"/>
  <c r="B322" i="5"/>
  <c r="B323" i="5"/>
  <c r="B324" i="5"/>
  <c r="B325" i="5"/>
  <c r="B326" i="5"/>
  <c r="B327" i="5"/>
  <c r="B328" i="5"/>
  <c r="B329" i="5"/>
  <c r="B330" i="5"/>
  <c r="B331" i="5"/>
  <c r="B332" i="5"/>
  <c r="B333" i="5"/>
  <c r="B334" i="5"/>
  <c r="B335" i="5"/>
  <c r="B336" i="5"/>
  <c r="B337" i="5"/>
  <c r="B338" i="5"/>
  <c r="B339" i="5"/>
  <c r="B340" i="5"/>
  <c r="B341" i="5"/>
  <c r="B342" i="5"/>
  <c r="B343" i="5"/>
  <c r="B344" i="5"/>
  <c r="B345" i="5"/>
  <c r="B346" i="5"/>
  <c r="B347" i="5"/>
  <c r="B348" i="5"/>
  <c r="B349" i="5"/>
  <c r="B350" i="5"/>
  <c r="B351" i="5"/>
  <c r="B352" i="5"/>
  <c r="B353" i="5"/>
  <c r="B354" i="5"/>
  <c r="B355" i="5"/>
  <c r="B356" i="5"/>
  <c r="B357" i="5"/>
  <c r="B358" i="5"/>
  <c r="B359" i="5"/>
  <c r="B360" i="5"/>
  <c r="B361" i="5"/>
  <c r="B362" i="5"/>
  <c r="B363" i="5"/>
  <c r="B364" i="5"/>
  <c r="B365" i="5"/>
  <c r="B366" i="5"/>
  <c r="B367" i="5"/>
  <c r="B368" i="5"/>
  <c r="B369" i="5"/>
  <c r="B370" i="5"/>
  <c r="B371" i="5"/>
  <c r="B372" i="5"/>
  <c r="B373" i="5"/>
  <c r="B374" i="5"/>
  <c r="B375" i="5"/>
  <c r="B376" i="5"/>
  <c r="B377" i="5"/>
  <c r="B378" i="5"/>
  <c r="B379" i="5"/>
  <c r="B380" i="5"/>
  <c r="B381" i="5"/>
  <c r="B382" i="5"/>
  <c r="B383" i="5"/>
  <c r="B384" i="5"/>
  <c r="B385" i="5"/>
  <c r="B386" i="5"/>
  <c r="B387" i="5"/>
  <c r="B388" i="5"/>
  <c r="J388" i="5"/>
  <c r="B389" i="5"/>
  <c r="J389" i="5"/>
  <c r="B390" i="5"/>
  <c r="J390" i="5"/>
  <c r="B391" i="5"/>
  <c r="J391" i="5"/>
  <c r="B392" i="5"/>
  <c r="J392" i="5"/>
  <c r="B393" i="5"/>
  <c r="J393" i="5"/>
  <c r="B394" i="5"/>
  <c r="J394" i="5"/>
  <c r="B395" i="5"/>
  <c r="J395" i="5"/>
  <c r="B396" i="5"/>
  <c r="J396" i="5"/>
  <c r="B397" i="5"/>
  <c r="J397" i="5"/>
  <c r="B398" i="5"/>
  <c r="B399" i="5"/>
  <c r="B400" i="5"/>
  <c r="B401" i="5"/>
  <c r="B402" i="5"/>
  <c r="B403" i="5"/>
  <c r="B404" i="5"/>
  <c r="B405" i="5"/>
  <c r="B406" i="5"/>
  <c r="B407" i="5"/>
  <c r="B408" i="5"/>
  <c r="B409" i="5"/>
  <c r="B410" i="5"/>
  <c r="B411" i="5"/>
  <c r="B412" i="5"/>
  <c r="J412" i="5"/>
  <c r="B413" i="5"/>
  <c r="J413" i="5"/>
  <c r="B414" i="5"/>
  <c r="B415" i="5"/>
  <c r="B416" i="5"/>
  <c r="B417" i="5"/>
  <c r="B418" i="5"/>
  <c r="B419" i="5"/>
  <c r="B420" i="5"/>
  <c r="B421" i="5"/>
  <c r="B422" i="5"/>
  <c r="B423" i="5"/>
  <c r="B424" i="5"/>
  <c r="B425" i="5"/>
  <c r="B426" i="5"/>
  <c r="B427" i="5"/>
  <c r="B428" i="5"/>
  <c r="B429" i="5"/>
  <c r="B430" i="5"/>
  <c r="B431" i="5"/>
  <c r="B432" i="5"/>
  <c r="B433" i="5"/>
  <c r="B434" i="5"/>
  <c r="B435" i="5"/>
  <c r="B436" i="5"/>
  <c r="B437" i="5"/>
  <c r="B438" i="5"/>
  <c r="B439" i="5"/>
  <c r="B440" i="5"/>
  <c r="B441" i="5"/>
  <c r="B442" i="5"/>
  <c r="B443" i="5"/>
  <c r="B444" i="5"/>
  <c r="B445" i="5"/>
  <c r="B446" i="5"/>
  <c r="B447" i="5"/>
  <c r="B448" i="5"/>
  <c r="B449" i="5"/>
  <c r="B450" i="5"/>
  <c r="B451" i="5"/>
  <c r="B452" i="5"/>
  <c r="B453" i="5"/>
  <c r="B454" i="5"/>
  <c r="B455" i="5"/>
  <c r="B456" i="5"/>
  <c r="B457" i="5"/>
  <c r="B458" i="5"/>
  <c r="B459" i="5"/>
  <c r="B460" i="5"/>
  <c r="B461" i="5"/>
  <c r="B462" i="5"/>
  <c r="B463" i="5"/>
  <c r="B464" i="5"/>
  <c r="B465" i="5"/>
  <c r="B466" i="5"/>
  <c r="B467" i="5"/>
  <c r="B468" i="5"/>
  <c r="B469" i="5"/>
  <c r="B470" i="5"/>
  <c r="B471" i="5"/>
  <c r="B472" i="5"/>
  <c r="B473" i="5"/>
  <c r="B474" i="5"/>
  <c r="B475" i="5"/>
  <c r="B476" i="5"/>
  <c r="B477" i="5"/>
  <c r="B478" i="5"/>
  <c r="B479" i="5"/>
  <c r="B480" i="5"/>
  <c r="B481" i="5"/>
  <c r="B482" i="5"/>
  <c r="B483" i="5"/>
  <c r="B484" i="5"/>
  <c r="B485" i="5"/>
  <c r="B486" i="5"/>
  <c r="B487" i="5"/>
  <c r="B488" i="5"/>
  <c r="B489" i="5"/>
  <c r="B490" i="5"/>
  <c r="B491" i="5"/>
  <c r="B492" i="5"/>
  <c r="B493" i="5"/>
  <c r="B494" i="5"/>
  <c r="B495" i="5"/>
  <c r="B496" i="5"/>
  <c r="B497" i="5"/>
  <c r="B498" i="5"/>
  <c r="B499" i="5"/>
  <c r="B500" i="5"/>
  <c r="B501" i="5"/>
  <c r="B502" i="5"/>
  <c r="B503" i="5"/>
  <c r="B504" i="5"/>
  <c r="B505" i="5"/>
  <c r="B506" i="5"/>
  <c r="B507" i="5"/>
  <c r="B508" i="5"/>
  <c r="B509" i="5"/>
  <c r="B510" i="5"/>
  <c r="B511" i="5"/>
  <c r="B512" i="5"/>
  <c r="B513" i="5"/>
  <c r="B514" i="5"/>
  <c r="B515" i="5"/>
  <c r="B516" i="5"/>
  <c r="B517" i="5"/>
  <c r="B518" i="5"/>
  <c r="B519" i="5"/>
  <c r="B520" i="5"/>
  <c r="B521" i="5"/>
  <c r="B522" i="5"/>
  <c r="B523" i="5"/>
  <c r="B524" i="5"/>
  <c r="B525" i="5"/>
  <c r="B526" i="5"/>
  <c r="B527" i="5"/>
  <c r="B528" i="5"/>
  <c r="B529" i="5"/>
  <c r="B530" i="5"/>
  <c r="B531" i="5"/>
  <c r="B532" i="5"/>
  <c r="B533" i="5"/>
  <c r="B534" i="5"/>
  <c r="B535" i="5"/>
  <c r="B536" i="5"/>
  <c r="B537" i="5"/>
  <c r="B538" i="5"/>
  <c r="B539" i="5"/>
  <c r="B540" i="5"/>
  <c r="B541" i="5"/>
  <c r="B542" i="5"/>
  <c r="B543" i="5"/>
  <c r="B544" i="5"/>
  <c r="B545" i="5"/>
  <c r="B546" i="5"/>
  <c r="B547" i="5"/>
  <c r="B548" i="5"/>
  <c r="B549" i="5"/>
  <c r="B550" i="5"/>
  <c r="B551" i="5"/>
  <c r="B552" i="5"/>
  <c r="B553" i="5"/>
  <c r="B554" i="5"/>
  <c r="B555" i="5"/>
  <c r="B556" i="5"/>
  <c r="B557" i="5"/>
  <c r="B558" i="5"/>
  <c r="B559" i="5"/>
  <c r="B560" i="5"/>
  <c r="B561" i="5"/>
  <c r="B562" i="5"/>
  <c r="B563" i="5"/>
  <c r="B564" i="5"/>
  <c r="B565" i="5"/>
  <c r="B566" i="5"/>
  <c r="B567" i="5"/>
  <c r="B568" i="5"/>
  <c r="B569" i="5"/>
  <c r="B570" i="5"/>
  <c r="B571" i="5"/>
  <c r="B572" i="5"/>
  <c r="B573" i="5"/>
  <c r="B574" i="5"/>
  <c r="B575" i="5"/>
  <c r="B576" i="5"/>
  <c r="B577" i="5"/>
  <c r="B578" i="5"/>
  <c r="B579" i="5"/>
  <c r="B580" i="5"/>
  <c r="B581" i="5"/>
  <c r="B582" i="5"/>
  <c r="B583" i="5"/>
  <c r="B584" i="5"/>
  <c r="B585" i="5"/>
  <c r="B586" i="5"/>
  <c r="B587" i="5"/>
  <c r="B588" i="5"/>
  <c r="B589" i="5"/>
  <c r="B590" i="5"/>
  <c r="B591" i="5"/>
  <c r="B592" i="5"/>
  <c r="B593" i="5"/>
  <c r="B594" i="5"/>
  <c r="B595" i="5"/>
  <c r="B596" i="5"/>
  <c r="B597" i="5"/>
  <c r="B598" i="5"/>
  <c r="B599" i="5"/>
  <c r="B600" i="5"/>
  <c r="B601" i="5"/>
  <c r="B602" i="5"/>
  <c r="B603" i="5"/>
  <c r="B604" i="5"/>
  <c r="B605" i="5"/>
  <c r="B606" i="5"/>
  <c r="B607" i="5"/>
  <c r="B608" i="5"/>
  <c r="B609" i="5"/>
  <c r="B610" i="5"/>
  <c r="B611" i="5"/>
  <c r="B612" i="5"/>
  <c r="B613" i="5"/>
  <c r="B614" i="5"/>
  <c r="B615" i="5"/>
  <c r="B616" i="5"/>
  <c r="B617" i="5"/>
  <c r="B618" i="5"/>
  <c r="B619" i="5"/>
  <c r="B620" i="5"/>
  <c r="B621" i="5"/>
  <c r="B622" i="5"/>
  <c r="B623" i="5"/>
  <c r="B624" i="5"/>
  <c r="B625" i="5"/>
  <c r="B626" i="5"/>
  <c r="B627" i="5"/>
  <c r="B628" i="5"/>
  <c r="B629" i="5"/>
  <c r="B630" i="5"/>
  <c r="B631" i="5"/>
  <c r="B632" i="5"/>
  <c r="B633" i="5"/>
  <c r="B634" i="5"/>
  <c r="B635" i="5"/>
  <c r="B636" i="5"/>
  <c r="B637" i="5"/>
  <c r="B638" i="5"/>
  <c r="B639" i="5"/>
  <c r="B640" i="5"/>
  <c r="B641" i="5"/>
  <c r="B642" i="5"/>
  <c r="B643" i="5"/>
  <c r="B644" i="5"/>
  <c r="B645" i="5"/>
  <c r="B646" i="5"/>
  <c r="B647" i="5"/>
  <c r="B648" i="5"/>
  <c r="B649" i="5"/>
  <c r="B650" i="5"/>
  <c r="B651" i="5"/>
  <c r="B652" i="5"/>
  <c r="B653" i="5"/>
  <c r="B654" i="5"/>
  <c r="B655" i="5"/>
  <c r="B656" i="5"/>
  <c r="B657" i="5"/>
  <c r="B658" i="5"/>
  <c r="B659" i="5"/>
  <c r="B660" i="5"/>
  <c r="B661" i="5"/>
  <c r="B662" i="5"/>
  <c r="B663" i="5"/>
  <c r="B664" i="5"/>
  <c r="B665" i="5"/>
  <c r="B666" i="5"/>
  <c r="B667" i="5"/>
  <c r="B668" i="5"/>
  <c r="B669" i="5"/>
  <c r="B670" i="5"/>
  <c r="B671" i="5"/>
  <c r="B672" i="5"/>
  <c r="B673" i="5"/>
  <c r="B674" i="5"/>
  <c r="B675" i="5"/>
  <c r="B676" i="5"/>
  <c r="B677" i="5"/>
  <c r="B678" i="5"/>
  <c r="B679" i="5"/>
  <c r="B680" i="5"/>
  <c r="B681" i="5"/>
  <c r="B682" i="5"/>
  <c r="B683" i="5"/>
  <c r="B684" i="5"/>
  <c r="B685" i="5"/>
  <c r="B686" i="5"/>
  <c r="B687" i="5"/>
  <c r="B688" i="5"/>
  <c r="B689" i="5"/>
  <c r="B690" i="5"/>
  <c r="B691" i="5"/>
  <c r="B692" i="5"/>
  <c r="B693" i="5"/>
  <c r="B694" i="5"/>
  <c r="B695" i="5"/>
  <c r="B696" i="5"/>
  <c r="B697" i="5"/>
  <c r="B698" i="5"/>
  <c r="B699" i="5"/>
  <c r="B700" i="5"/>
  <c r="B701" i="5"/>
  <c r="B702" i="5"/>
  <c r="B703" i="5"/>
  <c r="B704" i="5"/>
  <c r="B705" i="5"/>
  <c r="B706" i="5"/>
  <c r="B707" i="5"/>
  <c r="B708" i="5"/>
  <c r="B709" i="5"/>
  <c r="B710" i="5"/>
  <c r="B711" i="5"/>
  <c r="B712" i="5"/>
  <c r="B713" i="5"/>
  <c r="B714" i="5"/>
  <c r="B715" i="5"/>
  <c r="B716" i="5"/>
  <c r="B717" i="5"/>
  <c r="B718" i="5"/>
  <c r="B719" i="5"/>
  <c r="B720" i="5"/>
  <c r="B721" i="5"/>
  <c r="B722" i="5"/>
  <c r="B723" i="5"/>
  <c r="B724" i="5"/>
  <c r="B725" i="5"/>
  <c r="B726" i="5"/>
  <c r="B727" i="5"/>
  <c r="B728" i="5"/>
  <c r="B729" i="5"/>
  <c r="B730" i="5"/>
  <c r="B731" i="5"/>
  <c r="B732" i="5"/>
  <c r="B733" i="5"/>
  <c r="B734" i="5"/>
  <c r="B735" i="5"/>
  <c r="B736" i="5"/>
  <c r="B737" i="5"/>
  <c r="B738" i="5"/>
  <c r="B739" i="5"/>
  <c r="B740" i="5"/>
  <c r="B741" i="5"/>
  <c r="B742" i="5"/>
  <c r="B743" i="5"/>
  <c r="B744" i="5"/>
  <c r="B745" i="5"/>
  <c r="B746" i="5"/>
  <c r="B747" i="5"/>
  <c r="B748" i="5"/>
  <c r="B749" i="5"/>
  <c r="B750" i="5"/>
  <c r="B751" i="5"/>
  <c r="B752" i="5"/>
  <c r="B753" i="5"/>
  <c r="B754" i="5"/>
  <c r="B755" i="5"/>
  <c r="B756" i="5"/>
  <c r="B757" i="5"/>
  <c r="B758" i="5"/>
  <c r="B759" i="5"/>
  <c r="B760" i="5"/>
  <c r="B761" i="5"/>
  <c r="B762" i="5"/>
  <c r="B763" i="5"/>
  <c r="B764" i="5"/>
  <c r="B765" i="5"/>
  <c r="B766" i="5"/>
  <c r="B767" i="5"/>
  <c r="B768" i="5"/>
  <c r="B769" i="5"/>
  <c r="B770" i="5"/>
  <c r="B771" i="5"/>
  <c r="B772" i="5"/>
  <c r="B773" i="5"/>
  <c r="B774" i="5"/>
  <c r="B775" i="5"/>
  <c r="B776" i="5"/>
  <c r="B777" i="5"/>
  <c r="B778" i="5"/>
  <c r="B779" i="5"/>
  <c r="B780" i="5"/>
  <c r="B781" i="5"/>
  <c r="B782" i="5"/>
  <c r="B783" i="5"/>
  <c r="B784" i="5"/>
  <c r="B785" i="5"/>
  <c r="B786" i="5"/>
  <c r="B787" i="5"/>
  <c r="B788" i="5"/>
  <c r="B789" i="5"/>
  <c r="B790" i="5"/>
  <c r="B791" i="5"/>
  <c r="B792" i="5"/>
  <c r="B793" i="5"/>
  <c r="B794" i="5"/>
  <c r="B795" i="5"/>
  <c r="J795" i="5"/>
  <c r="B796" i="5"/>
  <c r="J796" i="5"/>
  <c r="B797" i="5"/>
  <c r="J797" i="5"/>
  <c r="B798" i="5"/>
  <c r="B799" i="5"/>
  <c r="J799" i="5"/>
  <c r="B800" i="5"/>
  <c r="J800" i="5"/>
  <c r="B801" i="5"/>
  <c r="B802" i="5"/>
  <c r="B803" i="5"/>
  <c r="B804" i="5"/>
  <c r="B805" i="5"/>
  <c r="B806" i="5"/>
  <c r="J806" i="5"/>
  <c r="B807" i="5"/>
  <c r="J807" i="5"/>
  <c r="B808" i="5"/>
  <c r="J808" i="5"/>
  <c r="B809" i="5"/>
  <c r="J809" i="5"/>
  <c r="B810" i="5"/>
  <c r="B811" i="5"/>
  <c r="B812" i="5"/>
  <c r="B813" i="5"/>
  <c r="B814" i="5"/>
  <c r="B815" i="5"/>
  <c r="B816" i="5"/>
  <c r="B817" i="5"/>
  <c r="B818" i="5"/>
  <c r="B819" i="5"/>
  <c r="B820" i="5"/>
  <c r="B821" i="5"/>
  <c r="B822" i="5"/>
  <c r="J822" i="5"/>
  <c r="B823" i="5"/>
  <c r="J823" i="5"/>
  <c r="B824" i="5"/>
  <c r="J824" i="5"/>
  <c r="B825" i="5"/>
  <c r="J825" i="5"/>
  <c r="B826" i="5"/>
  <c r="J826" i="5"/>
  <c r="B827" i="5"/>
  <c r="J827" i="5"/>
  <c r="B828" i="5"/>
  <c r="B829" i="5"/>
  <c r="J829" i="5"/>
  <c r="B830" i="5"/>
  <c r="J830" i="5"/>
  <c r="B831" i="5"/>
  <c r="B832" i="5"/>
  <c r="B833" i="5"/>
  <c r="B834" i="5"/>
  <c r="J834" i="5"/>
  <c r="B835" i="5"/>
  <c r="B836" i="5"/>
  <c r="B837" i="5"/>
  <c r="B838" i="5"/>
  <c r="B839" i="5"/>
  <c r="B840" i="5"/>
  <c r="B841" i="5"/>
  <c r="J841" i="5"/>
  <c r="B842" i="5"/>
  <c r="J842" i="5"/>
  <c r="B843" i="5"/>
  <c r="J843" i="5"/>
  <c r="B844" i="5"/>
  <c r="J844" i="5"/>
  <c r="B845" i="5"/>
  <c r="J845" i="5"/>
  <c r="B846" i="5"/>
  <c r="J846" i="5"/>
  <c r="B847" i="5"/>
  <c r="J847" i="5"/>
  <c r="B848" i="5"/>
  <c r="J848" i="5"/>
  <c r="B849" i="5"/>
  <c r="B850" i="5"/>
  <c r="B851" i="5"/>
  <c r="B852" i="5"/>
  <c r="B853" i="5"/>
  <c r="B854" i="5"/>
  <c r="B855" i="5"/>
  <c r="B856" i="5"/>
  <c r="B857" i="5"/>
  <c r="B858" i="5"/>
  <c r="B859" i="5"/>
  <c r="B860" i="5"/>
  <c r="B861" i="5"/>
  <c r="B862" i="5"/>
  <c r="B863" i="5"/>
  <c r="B864" i="5"/>
  <c r="B865" i="5"/>
  <c r="B866" i="5"/>
  <c r="B867" i="5"/>
  <c r="B868" i="5"/>
  <c r="B869" i="5"/>
  <c r="B870" i="5"/>
  <c r="B871" i="5"/>
  <c r="B872" i="5"/>
  <c r="B873" i="5"/>
  <c r="B874" i="5"/>
  <c r="B875" i="5"/>
  <c r="B876" i="5"/>
  <c r="B877" i="5"/>
  <c r="B878" i="5"/>
  <c r="B879" i="5"/>
  <c r="B880" i="5"/>
  <c r="B881" i="5"/>
  <c r="B882" i="5"/>
  <c r="B883" i="5"/>
  <c r="B884" i="5"/>
  <c r="B885" i="5"/>
  <c r="B886" i="5"/>
  <c r="B887" i="5"/>
  <c r="B888" i="5"/>
  <c r="B889" i="5"/>
  <c r="B890" i="5"/>
  <c r="B891" i="5"/>
  <c r="B892" i="5"/>
  <c r="B893" i="5"/>
  <c r="B894" i="5"/>
  <c r="B895" i="5"/>
  <c r="B896" i="5"/>
  <c r="B897" i="5"/>
  <c r="B898" i="5"/>
  <c r="B899" i="5"/>
  <c r="B900" i="5"/>
  <c r="B901" i="5"/>
  <c r="B902" i="5"/>
  <c r="B903" i="5"/>
  <c r="B904" i="5"/>
  <c r="B905" i="5"/>
  <c r="B906" i="5"/>
  <c r="B907" i="5"/>
  <c r="B908" i="5"/>
  <c r="B909" i="5"/>
  <c r="B910" i="5"/>
  <c r="B911" i="5"/>
  <c r="B912" i="5"/>
  <c r="B913" i="5"/>
  <c r="B914" i="5"/>
  <c r="B915" i="5"/>
  <c r="B916" i="5"/>
  <c r="B917" i="5"/>
  <c r="B918" i="5"/>
  <c r="B919" i="5"/>
  <c r="B920" i="5"/>
  <c r="B921" i="5"/>
  <c r="B922" i="5"/>
  <c r="B923" i="5"/>
  <c r="B924" i="5"/>
  <c r="B925" i="5"/>
  <c r="B926" i="5"/>
  <c r="B927" i="5"/>
  <c r="B928" i="5"/>
  <c r="B929" i="5"/>
  <c r="B930" i="5"/>
  <c r="B931" i="5"/>
  <c r="B932" i="5"/>
  <c r="B933" i="5"/>
  <c r="B934" i="5"/>
  <c r="B935" i="5"/>
  <c r="B936" i="5"/>
  <c r="B937" i="5"/>
  <c r="B938" i="5"/>
  <c r="B939" i="5"/>
  <c r="B940" i="5"/>
  <c r="B941" i="5"/>
  <c r="B942" i="5"/>
  <c r="B943" i="5"/>
  <c r="B944" i="5"/>
  <c r="B945" i="5"/>
  <c r="B946" i="5"/>
  <c r="B947" i="5"/>
  <c r="B948" i="5"/>
  <c r="B949" i="5"/>
  <c r="B950" i="5"/>
  <c r="B951" i="5"/>
  <c r="B952" i="5"/>
  <c r="B953" i="5"/>
  <c r="B954" i="5"/>
  <c r="B955" i="5"/>
  <c r="B956" i="5"/>
  <c r="B957" i="5"/>
  <c r="B958" i="5"/>
  <c r="B959" i="5"/>
  <c r="B960" i="5"/>
  <c r="B961" i="5"/>
  <c r="B962" i="5"/>
  <c r="B963" i="5"/>
  <c r="B964" i="5"/>
  <c r="B965" i="5"/>
  <c r="B966" i="5"/>
  <c r="B967" i="5"/>
  <c r="B968" i="5"/>
  <c r="B969" i="5"/>
  <c r="B970" i="5"/>
  <c r="B971" i="5"/>
  <c r="B972" i="5"/>
  <c r="B973" i="5"/>
  <c r="B974" i="5"/>
  <c r="B975" i="5"/>
  <c r="B976" i="5"/>
  <c r="B977" i="5"/>
  <c r="B978" i="5"/>
  <c r="B979" i="5"/>
  <c r="B980" i="5"/>
  <c r="B981" i="5"/>
  <c r="B982" i="5"/>
  <c r="B983" i="5"/>
  <c r="B984" i="5"/>
  <c r="B985" i="5"/>
  <c r="B986" i="5"/>
  <c r="B987" i="5"/>
  <c r="B988" i="5"/>
  <c r="B989" i="5"/>
  <c r="B990" i="5"/>
  <c r="B991" i="5"/>
  <c r="B992" i="5"/>
  <c r="B993" i="5"/>
  <c r="B994" i="5"/>
  <c r="B995" i="5"/>
  <c r="B996" i="5"/>
  <c r="B997" i="5"/>
  <c r="B998" i="5"/>
  <c r="B999" i="5"/>
  <c r="B1000" i="5"/>
  <c r="B1001" i="5"/>
  <c r="B1002" i="5"/>
  <c r="B1003" i="5"/>
  <c r="B1004" i="5"/>
  <c r="B1005" i="5"/>
  <c r="B1006" i="5"/>
  <c r="B1007" i="5"/>
  <c r="B1008" i="5"/>
  <c r="B1009" i="5"/>
  <c r="B1010" i="5"/>
  <c r="B1011" i="5"/>
  <c r="B1012" i="5"/>
  <c r="B1013" i="5"/>
  <c r="B1014" i="5"/>
  <c r="B1015" i="5"/>
  <c r="B1016" i="5"/>
  <c r="J1016" i="5"/>
  <c r="B1017" i="5"/>
  <c r="J1017" i="5"/>
  <c r="B1018" i="5"/>
  <c r="J1018" i="5"/>
  <c r="B1019" i="5"/>
  <c r="J1019" i="5"/>
  <c r="B1020" i="5"/>
  <c r="J1020" i="5"/>
  <c r="B1021" i="5"/>
  <c r="J1021" i="5"/>
  <c r="B1022" i="5"/>
  <c r="J1022" i="5"/>
  <c r="B1023" i="5"/>
  <c r="J1023" i="5"/>
  <c r="B1024" i="5"/>
  <c r="J1024" i="5"/>
  <c r="B1025" i="5"/>
  <c r="J1025" i="5"/>
  <c r="B1026" i="5"/>
  <c r="J1026" i="5"/>
  <c r="B1027" i="5"/>
  <c r="J1027" i="5"/>
  <c r="B1028" i="5"/>
  <c r="J1028" i="5"/>
  <c r="B1029" i="5"/>
  <c r="J1029" i="5"/>
  <c r="B1030" i="5"/>
  <c r="J1030" i="5"/>
  <c r="B1031" i="5"/>
  <c r="J1031" i="5"/>
  <c r="B1032" i="5"/>
  <c r="J1032" i="5"/>
  <c r="B1033" i="5"/>
  <c r="J1033" i="5"/>
  <c r="B1034" i="5"/>
  <c r="J1034" i="5"/>
  <c r="B1035" i="5"/>
  <c r="J1035" i="5"/>
  <c r="B1036" i="5"/>
  <c r="J1036" i="5"/>
  <c r="B1037" i="5"/>
  <c r="J1037" i="5"/>
  <c r="B1038" i="5"/>
  <c r="J1038" i="5"/>
  <c r="B1039" i="5"/>
  <c r="J1039" i="5"/>
  <c r="B1040" i="5"/>
  <c r="J1040" i="5"/>
  <c r="B1041" i="5"/>
  <c r="J1041" i="5"/>
  <c r="B1042" i="5"/>
  <c r="J1042" i="5"/>
  <c r="B1043" i="5"/>
  <c r="J1043" i="5"/>
  <c r="B1044" i="5"/>
  <c r="J1044" i="5"/>
  <c r="B1045" i="5"/>
  <c r="J1045" i="5"/>
  <c r="B1046" i="5"/>
  <c r="J1046" i="5"/>
  <c r="B1047" i="5"/>
  <c r="J1047" i="5"/>
  <c r="B1048" i="5"/>
  <c r="B1049" i="5"/>
  <c r="J1049" i="5"/>
  <c r="B1050" i="5"/>
  <c r="J1050" i="5"/>
  <c r="B1051" i="5"/>
  <c r="J1051" i="5"/>
  <c r="B1052" i="5"/>
  <c r="J1052" i="5"/>
  <c r="B1053" i="5"/>
  <c r="J1053" i="5"/>
  <c r="B1054" i="5"/>
  <c r="J1054" i="5"/>
  <c r="B1055" i="5"/>
  <c r="J1055" i="5"/>
  <c r="B1056" i="5"/>
  <c r="J1056" i="5"/>
  <c r="B1057" i="5"/>
  <c r="J1057" i="5"/>
  <c r="B1058" i="5"/>
  <c r="J1058" i="5"/>
  <c r="B1059" i="5"/>
  <c r="J1059" i="5"/>
  <c r="B1060" i="5"/>
  <c r="J1060" i="5"/>
  <c r="B1061" i="5"/>
  <c r="J1061" i="5"/>
  <c r="B1062" i="5"/>
  <c r="J1062" i="5"/>
  <c r="B1063" i="5"/>
  <c r="J1063" i="5"/>
  <c r="B1064" i="5"/>
  <c r="J1064" i="5"/>
  <c r="B1065" i="5"/>
  <c r="J1065" i="5"/>
  <c r="B1066" i="5"/>
  <c r="J1066" i="5"/>
  <c r="B1067" i="5"/>
  <c r="J1067" i="5"/>
  <c r="B1068" i="5"/>
  <c r="B1069" i="5"/>
  <c r="B1070" i="5"/>
  <c r="B1071" i="5"/>
  <c r="B1072" i="5"/>
  <c r="B1073" i="5"/>
  <c r="B1074" i="5"/>
  <c r="B1075" i="5"/>
  <c r="B1076" i="5"/>
  <c r="B1077" i="5"/>
  <c r="B1078" i="5"/>
  <c r="B1079" i="5"/>
  <c r="B1080" i="5"/>
  <c r="J1080" i="5"/>
  <c r="B1081" i="5"/>
  <c r="J1081" i="5"/>
  <c r="B1082" i="5"/>
  <c r="J1082" i="5"/>
  <c r="B1083" i="5"/>
  <c r="J1083" i="5"/>
  <c r="B1084" i="5"/>
  <c r="J1084" i="5"/>
  <c r="B1085" i="5"/>
  <c r="J1085" i="5"/>
  <c r="B1086" i="5"/>
  <c r="J1086" i="5"/>
  <c r="B1087" i="5"/>
  <c r="J1087" i="5"/>
  <c r="B1088" i="5"/>
  <c r="J1088" i="5"/>
  <c r="B1089" i="5"/>
  <c r="J1089" i="5"/>
  <c r="B1090" i="5"/>
  <c r="J1090" i="5"/>
  <c r="B1091" i="5"/>
  <c r="J1091" i="5"/>
  <c r="B1092" i="5"/>
  <c r="J1092" i="5"/>
  <c r="B1093" i="5"/>
  <c r="B1094" i="5"/>
  <c r="B1095" i="5"/>
  <c r="B1096" i="5"/>
  <c r="B1097" i="5"/>
  <c r="B1098" i="5"/>
  <c r="B1099" i="5"/>
  <c r="B1100" i="5"/>
  <c r="B1101" i="5"/>
  <c r="B1102" i="5"/>
  <c r="B1103" i="5"/>
  <c r="B1104" i="5"/>
  <c r="B1105" i="5"/>
  <c r="B1106" i="5"/>
  <c r="B1107" i="5"/>
  <c r="B1108" i="5"/>
  <c r="B1109" i="5"/>
  <c r="B1110" i="5"/>
  <c r="B1111" i="5"/>
  <c r="B1112" i="5"/>
  <c r="B1113" i="5"/>
  <c r="B1114" i="5"/>
  <c r="B1115" i="5"/>
  <c r="B1116" i="5"/>
  <c r="B1117" i="5"/>
  <c r="B1118" i="5"/>
  <c r="B1119" i="5"/>
  <c r="B1120" i="5"/>
  <c r="B1121" i="5"/>
  <c r="B1122" i="5"/>
  <c r="B1123" i="5"/>
  <c r="B1124" i="5"/>
  <c r="B1125" i="5"/>
  <c r="B1126" i="5"/>
  <c r="B1127" i="5"/>
  <c r="B1128" i="5"/>
  <c r="B1129" i="5"/>
  <c r="B1130" i="5"/>
  <c r="B1131" i="5"/>
  <c r="B1132" i="5"/>
  <c r="B1133" i="5"/>
  <c r="B1134" i="5"/>
  <c r="B1135" i="5"/>
  <c r="B1136" i="5"/>
  <c r="B1137" i="5"/>
  <c r="B1138" i="5"/>
  <c r="B1139" i="5"/>
  <c r="B1140" i="5"/>
  <c r="B1141" i="5"/>
  <c r="B1142" i="5"/>
  <c r="B1143" i="5"/>
  <c r="B1144" i="5"/>
  <c r="B1145" i="5"/>
  <c r="J1145" i="5"/>
  <c r="B1146" i="5"/>
  <c r="J1146" i="5"/>
  <c r="B1147" i="5"/>
  <c r="J1147" i="5"/>
  <c r="B1148" i="5"/>
  <c r="J1148" i="5"/>
  <c r="B1149" i="5"/>
  <c r="J1149" i="5"/>
  <c r="B1150" i="5"/>
  <c r="J1150" i="5"/>
  <c r="B1151" i="5"/>
  <c r="J1151" i="5"/>
  <c r="B1152" i="5"/>
  <c r="J1152" i="5"/>
  <c r="B1153" i="5"/>
  <c r="J1153" i="5"/>
  <c r="B1154" i="5"/>
  <c r="J1154" i="5"/>
  <c r="B1155" i="5"/>
  <c r="J1155" i="5"/>
  <c r="B1156" i="5"/>
  <c r="J1156" i="5"/>
  <c r="B1157" i="5"/>
  <c r="J1157" i="5"/>
  <c r="B1158" i="5"/>
  <c r="J1158" i="5"/>
  <c r="B1159" i="5"/>
  <c r="J1159" i="5"/>
  <c r="B1160" i="5"/>
  <c r="J1160" i="5"/>
  <c r="B1161" i="5"/>
  <c r="J1161" i="5"/>
  <c r="B1162" i="5"/>
  <c r="J1162" i="5"/>
  <c r="B1163" i="5"/>
  <c r="J1163" i="5"/>
  <c r="B1164" i="5"/>
  <c r="J1164" i="5"/>
  <c r="B1165" i="5"/>
  <c r="J1165" i="5"/>
  <c r="B1166" i="5"/>
  <c r="J1166" i="5"/>
  <c r="B1167" i="5"/>
  <c r="J1167" i="5"/>
  <c r="B1168" i="5"/>
  <c r="J1168" i="5"/>
  <c r="B1169" i="5"/>
  <c r="J1169" i="5"/>
  <c r="B1170" i="5"/>
  <c r="J1170" i="5"/>
  <c r="B1171" i="5"/>
  <c r="J1171" i="5"/>
  <c r="B1172" i="5"/>
  <c r="J1172" i="5"/>
  <c r="B1173" i="5"/>
  <c r="J1173" i="5"/>
  <c r="B1174" i="5"/>
  <c r="J1174" i="5"/>
  <c r="B1175" i="5"/>
  <c r="J1175" i="5"/>
  <c r="B1176" i="5"/>
  <c r="J1176" i="5"/>
  <c r="B1177" i="5"/>
  <c r="J1177" i="5"/>
  <c r="B1178" i="5"/>
  <c r="J1178" i="5"/>
  <c r="B1179" i="5"/>
  <c r="J1179" i="5"/>
  <c r="B1180" i="5"/>
  <c r="J1180" i="5"/>
  <c r="B1181" i="5"/>
  <c r="J1181" i="5"/>
  <c r="B1182" i="5"/>
  <c r="J1182" i="5"/>
  <c r="B1183" i="5"/>
  <c r="J1183" i="5"/>
  <c r="B1184" i="5"/>
  <c r="J1184" i="5"/>
  <c r="B1185" i="5"/>
  <c r="J1185" i="5"/>
  <c r="B1186" i="5"/>
  <c r="J1186" i="5"/>
  <c r="B1187" i="5"/>
  <c r="J1187" i="5"/>
  <c r="B1188" i="5"/>
  <c r="J1188" i="5"/>
  <c r="B1189" i="5"/>
  <c r="J1189" i="5"/>
  <c r="B1190" i="5"/>
  <c r="J1190" i="5"/>
  <c r="B1191" i="5"/>
  <c r="J1191" i="5"/>
  <c r="B1192" i="5"/>
  <c r="J1192" i="5"/>
  <c r="B1193" i="5"/>
  <c r="J1193" i="5"/>
  <c r="B1194" i="5"/>
  <c r="J1194" i="5"/>
  <c r="B1195" i="5"/>
  <c r="J1195" i="5"/>
  <c r="B1196" i="5"/>
  <c r="J1196" i="5"/>
  <c r="B1197" i="5"/>
  <c r="J1197" i="5"/>
  <c r="B1198" i="5"/>
  <c r="J1198" i="5"/>
  <c r="B1199" i="5"/>
  <c r="J1199" i="5"/>
  <c r="B1200" i="5"/>
  <c r="J1200" i="5"/>
  <c r="B1201" i="5"/>
  <c r="J1201" i="5"/>
  <c r="B1202" i="5"/>
  <c r="J1202" i="5"/>
  <c r="B1203" i="5"/>
  <c r="J1203" i="5"/>
  <c r="B1204" i="5"/>
  <c r="J1204" i="5"/>
  <c r="B1205" i="5"/>
  <c r="J1205" i="5"/>
  <c r="B1206" i="5"/>
  <c r="J1206" i="5"/>
  <c r="B1207" i="5"/>
  <c r="J1207" i="5"/>
  <c r="B1208" i="5"/>
  <c r="J1208" i="5"/>
  <c r="B1209" i="5"/>
  <c r="J1209" i="5"/>
  <c r="B1210" i="5"/>
  <c r="J1210" i="5"/>
  <c r="B1211" i="5"/>
  <c r="J1211" i="5"/>
  <c r="B1212" i="5"/>
  <c r="J1212" i="5"/>
  <c r="B1213" i="5"/>
  <c r="J1213" i="5"/>
  <c r="B1214" i="5"/>
  <c r="J1214" i="5"/>
  <c r="B1215" i="5"/>
  <c r="J1215" i="5"/>
  <c r="B1216" i="5"/>
  <c r="J1216" i="5"/>
  <c r="B1217" i="5"/>
  <c r="J1217" i="5"/>
  <c r="B1218" i="5"/>
  <c r="J1218" i="5"/>
  <c r="B1219" i="5"/>
  <c r="J1219" i="5"/>
  <c r="B1220" i="5"/>
  <c r="J1220" i="5"/>
  <c r="B1221" i="5"/>
  <c r="B1222" i="5"/>
  <c r="B1223" i="5"/>
  <c r="J1223" i="5"/>
  <c r="B1224" i="5"/>
  <c r="B1225" i="5"/>
  <c r="B1226" i="5"/>
  <c r="B1227" i="5"/>
  <c r="B1228" i="5"/>
  <c r="B1229" i="5"/>
  <c r="B1230" i="5"/>
  <c r="B1231" i="5"/>
  <c r="B1232" i="5"/>
  <c r="B1233" i="5"/>
  <c r="B1234" i="5"/>
  <c r="B1235" i="5"/>
  <c r="B1236" i="5"/>
  <c r="B1237" i="5"/>
  <c r="B1238" i="5"/>
  <c r="B1239" i="5"/>
  <c r="B1240" i="5"/>
  <c r="B1241" i="5"/>
  <c r="B1242" i="5"/>
  <c r="B1243" i="5"/>
  <c r="B1244" i="5"/>
  <c r="B1245" i="5"/>
  <c r="B1246" i="5"/>
  <c r="B1247" i="5"/>
  <c r="B1248" i="5"/>
  <c r="B1249" i="5"/>
  <c r="B1250" i="5"/>
  <c r="B1251" i="5"/>
  <c r="B1252" i="5"/>
  <c r="B1253" i="5"/>
  <c r="B1254" i="5"/>
  <c r="B1255" i="5"/>
  <c r="B1256" i="5"/>
  <c r="B1257" i="5"/>
  <c r="B1258" i="5"/>
  <c r="B1259" i="5"/>
  <c r="B1260" i="5"/>
  <c r="B1261" i="5"/>
  <c r="B1262" i="5"/>
  <c r="B1263" i="5"/>
  <c r="B1264" i="5"/>
  <c r="B1265" i="5"/>
  <c r="B1266" i="5"/>
  <c r="B1267" i="5"/>
  <c r="B1268" i="5"/>
  <c r="B1269" i="5"/>
  <c r="B1270" i="5"/>
  <c r="B1271" i="5"/>
  <c r="B1272" i="5"/>
  <c r="B1273" i="5"/>
  <c r="B1274" i="5"/>
  <c r="B1275" i="5"/>
  <c r="B1276" i="5"/>
  <c r="B1277" i="5"/>
  <c r="B1278" i="5"/>
  <c r="B1279" i="5"/>
  <c r="B1280" i="5"/>
  <c r="B1281" i="5"/>
  <c r="B1282" i="5"/>
  <c r="B1283" i="5"/>
  <c r="B1284" i="5"/>
  <c r="B1285" i="5"/>
  <c r="B1286" i="5"/>
  <c r="B1287" i="5"/>
  <c r="B1288" i="5"/>
  <c r="B1289" i="5"/>
  <c r="B1290" i="5"/>
  <c r="B1291" i="5"/>
  <c r="B1292" i="5"/>
  <c r="B1293" i="5"/>
  <c r="B1294" i="5"/>
  <c r="B1295" i="5"/>
  <c r="B1296" i="5"/>
  <c r="B1297" i="5"/>
  <c r="B1298" i="5"/>
  <c r="B1299" i="5"/>
  <c r="B1300" i="5"/>
  <c r="B1301" i="5"/>
  <c r="B1302" i="5"/>
  <c r="B1303" i="5"/>
  <c r="B1304" i="5"/>
  <c r="B1305" i="5"/>
  <c r="B1306" i="5"/>
  <c r="B1307" i="5"/>
  <c r="B1308" i="5"/>
  <c r="B1309" i="5"/>
  <c r="B1310" i="5"/>
  <c r="B1311" i="5"/>
  <c r="J1311" i="5"/>
  <c r="B1312" i="5"/>
  <c r="J1312" i="5"/>
  <c r="B1313" i="5"/>
  <c r="J1313" i="5"/>
  <c r="B1314" i="5"/>
  <c r="J1314" i="5"/>
  <c r="B1315" i="5"/>
  <c r="J1315" i="5"/>
  <c r="B1316" i="5"/>
  <c r="J1316" i="5"/>
  <c r="B1317" i="5"/>
  <c r="J1317" i="5"/>
  <c r="B1318" i="5"/>
  <c r="J1318" i="5"/>
  <c r="B1319" i="5"/>
  <c r="J1319" i="5"/>
  <c r="B1320" i="5"/>
  <c r="J1320" i="5"/>
  <c r="B1321" i="5"/>
  <c r="J1321" i="5"/>
  <c r="B1322" i="5"/>
  <c r="J1322" i="5"/>
  <c r="B1323" i="5"/>
  <c r="B1324" i="5"/>
  <c r="B1325" i="5"/>
  <c r="J1325" i="5"/>
  <c r="B1326" i="5"/>
  <c r="J1326" i="5"/>
  <c r="B1327" i="5"/>
  <c r="B1328" i="5"/>
  <c r="B1329" i="5"/>
  <c r="B1330" i="5"/>
  <c r="B1331" i="5"/>
  <c r="B1332" i="5"/>
  <c r="B1333" i="5"/>
  <c r="B1334" i="5"/>
  <c r="B1335" i="5"/>
  <c r="B1336" i="5"/>
  <c r="B1337" i="5"/>
  <c r="B1338" i="5"/>
  <c r="B1339" i="5"/>
  <c r="B1340" i="5"/>
  <c r="B1341" i="5"/>
  <c r="B1342" i="5"/>
  <c r="B1343" i="5"/>
  <c r="B1344" i="5"/>
  <c r="B1345" i="5"/>
  <c r="B1346" i="5"/>
  <c r="B1347" i="5"/>
  <c r="B1348" i="5"/>
  <c r="B1349" i="5"/>
  <c r="B1350" i="5"/>
  <c r="B1351" i="5"/>
  <c r="B1352" i="5"/>
  <c r="B1353" i="5"/>
  <c r="B1354" i="5"/>
  <c r="J1354" i="5"/>
  <c r="B1355" i="5"/>
  <c r="B1356" i="5"/>
  <c r="J1356" i="5"/>
  <c r="B1357" i="5"/>
  <c r="J1357" i="5"/>
  <c r="B1358" i="5"/>
  <c r="J1358" i="5"/>
  <c r="B1359" i="5"/>
  <c r="J1359" i="5"/>
  <c r="B1360" i="5"/>
  <c r="J1360" i="5"/>
  <c r="B1361" i="5"/>
  <c r="J1361" i="5"/>
  <c r="B1362" i="5"/>
  <c r="J1362" i="5"/>
  <c r="B1363" i="5"/>
  <c r="J1363" i="5"/>
  <c r="B1364" i="5"/>
  <c r="J1364" i="5"/>
  <c r="B1365" i="5"/>
  <c r="J1365" i="5"/>
  <c r="B1366" i="5"/>
  <c r="B1367" i="5"/>
  <c r="B1368" i="5"/>
  <c r="B1369" i="5"/>
  <c r="B1370" i="5"/>
  <c r="B1371" i="5"/>
  <c r="J1371" i="5"/>
  <c r="B1372" i="5"/>
  <c r="J1372" i="5"/>
  <c r="B1373" i="5"/>
  <c r="J1373" i="5"/>
  <c r="B1374" i="5"/>
  <c r="J1374" i="5"/>
  <c r="B1375" i="5"/>
  <c r="J1375" i="5"/>
  <c r="B1376" i="5"/>
  <c r="J1376" i="5"/>
  <c r="B1377" i="5"/>
  <c r="J1377" i="5"/>
  <c r="B1378" i="5"/>
  <c r="J1378" i="5"/>
  <c r="B1379" i="5"/>
  <c r="J1379" i="5"/>
  <c r="B1380" i="5"/>
  <c r="J1380" i="5"/>
  <c r="B1381" i="5"/>
  <c r="J1381" i="5"/>
  <c r="B1382" i="5"/>
  <c r="J1382" i="5"/>
  <c r="B1383" i="5"/>
  <c r="J1383" i="5"/>
  <c r="B1384" i="5"/>
  <c r="J1384" i="5"/>
  <c r="B1385" i="5"/>
  <c r="J1385" i="5"/>
  <c r="B1386" i="5"/>
  <c r="J1386" i="5"/>
  <c r="B1387" i="5"/>
  <c r="J1387" i="5"/>
  <c r="B1388" i="5"/>
  <c r="J1388" i="5"/>
  <c r="B1389" i="5"/>
  <c r="J1389" i="5"/>
  <c r="B1390" i="5"/>
  <c r="J1390" i="5"/>
  <c r="B1391" i="5"/>
  <c r="J1391" i="5"/>
  <c r="B1392" i="5"/>
  <c r="J1392" i="5"/>
  <c r="B1393" i="5"/>
  <c r="J1393" i="5"/>
  <c r="B1394" i="5"/>
  <c r="J1394" i="5"/>
  <c r="B1395" i="5"/>
  <c r="J1395" i="5"/>
  <c r="B1396" i="5"/>
  <c r="J1396" i="5"/>
  <c r="B1397" i="5"/>
  <c r="J1397" i="5"/>
  <c r="B1398" i="5"/>
  <c r="J1398" i="5"/>
  <c r="B1399" i="5"/>
  <c r="J1399" i="5"/>
  <c r="B1400" i="5"/>
  <c r="J1400" i="5"/>
  <c r="B1401" i="5"/>
  <c r="J1401" i="5"/>
  <c r="B1402" i="5"/>
  <c r="J1402" i="5"/>
  <c r="B1403" i="5"/>
  <c r="J1403" i="5"/>
  <c r="B1404" i="5"/>
  <c r="J1404" i="5"/>
  <c r="B1405" i="5"/>
  <c r="J1405" i="5"/>
  <c r="B1406" i="5"/>
  <c r="J1406" i="5"/>
  <c r="B1407" i="5"/>
  <c r="J1407" i="5"/>
  <c r="B1408" i="5"/>
  <c r="J1408" i="5"/>
  <c r="B1409" i="5"/>
  <c r="J1409" i="5"/>
  <c r="B1410" i="5"/>
  <c r="J1410" i="5"/>
  <c r="B1411" i="5"/>
  <c r="J1411" i="5"/>
  <c r="B1412" i="5"/>
  <c r="J1412" i="5"/>
  <c r="B1413" i="5"/>
  <c r="J1413" i="5"/>
  <c r="B1414" i="5"/>
  <c r="J1414" i="5"/>
  <c r="B1415" i="5"/>
  <c r="J1415" i="5"/>
  <c r="B1416" i="5"/>
  <c r="J1416" i="5"/>
  <c r="B1417" i="5"/>
  <c r="J1417" i="5"/>
  <c r="B1418" i="5"/>
  <c r="J1418" i="5"/>
  <c r="B1419" i="5"/>
  <c r="J1419" i="5"/>
  <c r="B1420" i="5"/>
  <c r="J1420" i="5"/>
  <c r="B1421" i="5"/>
  <c r="J1421" i="5"/>
  <c r="B1422" i="5"/>
  <c r="J1422" i="5"/>
  <c r="B1423" i="5"/>
  <c r="J1423" i="5"/>
  <c r="B1424" i="5"/>
  <c r="J1424" i="5"/>
  <c r="B1425" i="5"/>
  <c r="J1425" i="5"/>
  <c r="B1426" i="5"/>
  <c r="J1426" i="5"/>
  <c r="B1427" i="5"/>
  <c r="J1427" i="5"/>
  <c r="B1428" i="5"/>
  <c r="J1428" i="5"/>
  <c r="B1429" i="5"/>
  <c r="J1429" i="5"/>
  <c r="B1430" i="5"/>
  <c r="J1430" i="5"/>
  <c r="B1431" i="5"/>
  <c r="J1431" i="5"/>
  <c r="B1432" i="5"/>
  <c r="J1432" i="5"/>
  <c r="B1433" i="5"/>
  <c r="J1433" i="5"/>
  <c r="B1434" i="5"/>
  <c r="J1434" i="5"/>
  <c r="B1435" i="5"/>
  <c r="J1435" i="5"/>
  <c r="B1436" i="5"/>
  <c r="J1436" i="5"/>
  <c r="B1437" i="5"/>
  <c r="J1437" i="5"/>
  <c r="B1438" i="5"/>
  <c r="J1438" i="5"/>
  <c r="B1439" i="5"/>
  <c r="J1439" i="5"/>
  <c r="B1440" i="5"/>
  <c r="J1440" i="5"/>
  <c r="B1441" i="5"/>
  <c r="J1441" i="5"/>
  <c r="B1442" i="5"/>
  <c r="J1442" i="5"/>
  <c r="B1443" i="5"/>
  <c r="J1443" i="5"/>
  <c r="B1444" i="5"/>
  <c r="J1444" i="5"/>
  <c r="B1445" i="5"/>
  <c r="J1445" i="5"/>
  <c r="B1446" i="5"/>
  <c r="J1446" i="5"/>
  <c r="B1447" i="5"/>
  <c r="J1447" i="5"/>
  <c r="B1448" i="5"/>
  <c r="J1448" i="5"/>
  <c r="B1449" i="5"/>
  <c r="J1449" i="5"/>
  <c r="B1450" i="5"/>
  <c r="J1450" i="5"/>
  <c r="B1451" i="5"/>
  <c r="J1451" i="5"/>
  <c r="B1452" i="5"/>
  <c r="J1452" i="5"/>
  <c r="B1453" i="5"/>
  <c r="J1453" i="5"/>
  <c r="B1454" i="5"/>
  <c r="J1454" i="5"/>
  <c r="B1455" i="5"/>
  <c r="J1455" i="5"/>
  <c r="B1456" i="5"/>
  <c r="J1456" i="5"/>
  <c r="B1457" i="5"/>
  <c r="J1457" i="5"/>
  <c r="B1458" i="5"/>
  <c r="J1458" i="5"/>
  <c r="B1459" i="5"/>
  <c r="J1459" i="5"/>
  <c r="B1460" i="5"/>
  <c r="J1460" i="5"/>
  <c r="B1461" i="5"/>
  <c r="J1461" i="5"/>
  <c r="B1462" i="5"/>
  <c r="J1462" i="5"/>
  <c r="B1463" i="5"/>
  <c r="B1464" i="5"/>
  <c r="B1465" i="5"/>
  <c r="B1466" i="5"/>
  <c r="B1467" i="5"/>
  <c r="B1468" i="5"/>
  <c r="B1469" i="5"/>
  <c r="B1470" i="5"/>
  <c r="B1471" i="5"/>
  <c r="B1472" i="5"/>
  <c r="B1473" i="5"/>
  <c r="J1473" i="5"/>
  <c r="B1474" i="5"/>
  <c r="J1474" i="5"/>
  <c r="B1475" i="5"/>
  <c r="J1475" i="5"/>
  <c r="B1476" i="5"/>
  <c r="J1476" i="5"/>
  <c r="B1477" i="5"/>
  <c r="J1477" i="5"/>
  <c r="B1478" i="5"/>
  <c r="J1478" i="5"/>
  <c r="B1479" i="5"/>
  <c r="J1479" i="5"/>
  <c r="B1480" i="5"/>
  <c r="J1480" i="5"/>
  <c r="B1481" i="5"/>
  <c r="J1481" i="5"/>
  <c r="B1482" i="5"/>
  <c r="J1482" i="5"/>
  <c r="B1483" i="5"/>
  <c r="J1483" i="5"/>
  <c r="B1484" i="5"/>
  <c r="J1484" i="5"/>
  <c r="B1485" i="5"/>
  <c r="J1485" i="5"/>
  <c r="B1486" i="5"/>
  <c r="J1486" i="5"/>
  <c r="B1487" i="5"/>
  <c r="J1487" i="5"/>
  <c r="B1488" i="5"/>
  <c r="J1488" i="5"/>
  <c r="B1489" i="5"/>
  <c r="J1489" i="5"/>
  <c r="B1490" i="5"/>
  <c r="J1490" i="5"/>
  <c r="B1491" i="5"/>
  <c r="J1491" i="5"/>
  <c r="B1492" i="5"/>
  <c r="J1492" i="5"/>
  <c r="B1493" i="5"/>
  <c r="J1493" i="5"/>
  <c r="B1494" i="5"/>
  <c r="J1494" i="5"/>
  <c r="B1495" i="5"/>
  <c r="J1495" i="5"/>
  <c r="B1496" i="5"/>
  <c r="J1496" i="5"/>
  <c r="B1497" i="5"/>
  <c r="J1497" i="5"/>
  <c r="B1498" i="5"/>
  <c r="J1498" i="5"/>
  <c r="B1499" i="5"/>
  <c r="J1499" i="5"/>
  <c r="B1500" i="5"/>
  <c r="J1500" i="5"/>
  <c r="B1501" i="5"/>
  <c r="J1501" i="5"/>
  <c r="B1502" i="5"/>
  <c r="J1502" i="5"/>
  <c r="B1503" i="5"/>
  <c r="J1503" i="5"/>
  <c r="B1504" i="5"/>
  <c r="B1505" i="5"/>
  <c r="B1506" i="5"/>
  <c r="B1507" i="5"/>
  <c r="J1507" i="5"/>
  <c r="B1508" i="5"/>
  <c r="J1508" i="5"/>
  <c r="B1509" i="5"/>
  <c r="J1509" i="5"/>
  <c r="B1510" i="5"/>
  <c r="J1510" i="5"/>
  <c r="B1511" i="5"/>
  <c r="J1511" i="5"/>
  <c r="B1512" i="5"/>
  <c r="J1512" i="5"/>
  <c r="B1513" i="5"/>
  <c r="B1514" i="5"/>
  <c r="B1515" i="5"/>
  <c r="J1515" i="5"/>
  <c r="B1516" i="5"/>
  <c r="J1516" i="5"/>
  <c r="B1517" i="5"/>
  <c r="J1517" i="5"/>
  <c r="B1518" i="5"/>
  <c r="J1518" i="5"/>
  <c r="B1519" i="5"/>
  <c r="J1519" i="5"/>
  <c r="B1520" i="5"/>
  <c r="J1520" i="5"/>
  <c r="B1521" i="5"/>
  <c r="J1521" i="5"/>
  <c r="B1522" i="5"/>
  <c r="J1522" i="5"/>
  <c r="B1523" i="5"/>
  <c r="J1523" i="5"/>
  <c r="B1524" i="5"/>
  <c r="J1524" i="5"/>
  <c r="B1525" i="5"/>
  <c r="J1525" i="5"/>
  <c r="B1526" i="5"/>
  <c r="J1526" i="5"/>
  <c r="B1527" i="5"/>
  <c r="J1527" i="5"/>
  <c r="B1528" i="5"/>
  <c r="B1529" i="5"/>
  <c r="J1529" i="5"/>
  <c r="B1530" i="5"/>
  <c r="J1530" i="5"/>
  <c r="B1531" i="5"/>
  <c r="J1531" i="5"/>
  <c r="B1532" i="5"/>
  <c r="B1533" i="5"/>
  <c r="J1533" i="5"/>
  <c r="B1534" i="5"/>
  <c r="J1534" i="5"/>
  <c r="B1535" i="5"/>
  <c r="J1535" i="5"/>
  <c r="B1536" i="5"/>
  <c r="J1536" i="5"/>
  <c r="B1537" i="5"/>
  <c r="J1537" i="5"/>
  <c r="B1538" i="5"/>
  <c r="J1538" i="5"/>
  <c r="B1539" i="5"/>
  <c r="J1539" i="5"/>
  <c r="B1540" i="5"/>
  <c r="J1540" i="5"/>
  <c r="B1541" i="5"/>
  <c r="J1541" i="5"/>
  <c r="B1542" i="5"/>
  <c r="J1542" i="5"/>
  <c r="B1543" i="5"/>
  <c r="J1543" i="5"/>
  <c r="B1544" i="5"/>
  <c r="J1544" i="5"/>
  <c r="B1545" i="5"/>
  <c r="J1545" i="5"/>
  <c r="B1546" i="5"/>
  <c r="J1546" i="5"/>
  <c r="B1547" i="5"/>
  <c r="B1548" i="5"/>
  <c r="B1549" i="5"/>
  <c r="B1550" i="5"/>
  <c r="B1551" i="5"/>
  <c r="B1552" i="5"/>
  <c r="B1553" i="5"/>
  <c r="B1554" i="5"/>
  <c r="B1555" i="5"/>
  <c r="B1556" i="5"/>
  <c r="J1556" i="5"/>
  <c r="B1557" i="5"/>
  <c r="J1557" i="5"/>
  <c r="B1558" i="5"/>
  <c r="J1558" i="5"/>
  <c r="B1559" i="5"/>
  <c r="J1559" i="5"/>
  <c r="B1560" i="5"/>
  <c r="J1560" i="5"/>
  <c r="B1561" i="5"/>
  <c r="J1561" i="5"/>
  <c r="B1562" i="5"/>
  <c r="J1562" i="5"/>
  <c r="B1563" i="5"/>
  <c r="J1563" i="5"/>
  <c r="B1564" i="5"/>
  <c r="J1564" i="5"/>
  <c r="B1565" i="5"/>
  <c r="J1565" i="5"/>
  <c r="B1566" i="5"/>
  <c r="J1566" i="5"/>
  <c r="B1567" i="5"/>
  <c r="J1567" i="5"/>
  <c r="B1568" i="5"/>
  <c r="J1568" i="5"/>
  <c r="B1569" i="5"/>
  <c r="J1569" i="5"/>
  <c r="B1570" i="5"/>
  <c r="J1570" i="5"/>
  <c r="B1571" i="5"/>
  <c r="J1571" i="5"/>
  <c r="B1572" i="5"/>
  <c r="J1572" i="5"/>
  <c r="B1573" i="5"/>
  <c r="J1573" i="5"/>
  <c r="B1574" i="5"/>
  <c r="J1574" i="5"/>
  <c r="B1575" i="5"/>
  <c r="J1575" i="5"/>
  <c r="B1576" i="5"/>
  <c r="J1576" i="5"/>
  <c r="B1577" i="5"/>
  <c r="J1577" i="5"/>
  <c r="B1578" i="5"/>
  <c r="J1578" i="5"/>
  <c r="B1579" i="5"/>
  <c r="J1579" i="5"/>
  <c r="B1580" i="5"/>
  <c r="J1580" i="5"/>
  <c r="B1581" i="5"/>
  <c r="J1581" i="5"/>
  <c r="B1582" i="5"/>
  <c r="J1582" i="5"/>
  <c r="B1583" i="5"/>
  <c r="J1583" i="5"/>
  <c r="B1584" i="5"/>
  <c r="J1584" i="5"/>
  <c r="B1585" i="5"/>
  <c r="J1585" i="5"/>
  <c r="B1586" i="5"/>
  <c r="J1586" i="5"/>
  <c r="B1587" i="5"/>
  <c r="J1587" i="5"/>
  <c r="B1588" i="5"/>
  <c r="J1588" i="5"/>
  <c r="B1589" i="5"/>
  <c r="J1589" i="5"/>
  <c r="B1590" i="5"/>
  <c r="J1590" i="5"/>
  <c r="B1591" i="5"/>
  <c r="J1591" i="5"/>
  <c r="B1592" i="5"/>
  <c r="J1592" i="5"/>
  <c r="B1593" i="5"/>
  <c r="J1593" i="5"/>
  <c r="B1594" i="5"/>
  <c r="J1594" i="5"/>
  <c r="B1595" i="5"/>
  <c r="J1595" i="5"/>
  <c r="B1596" i="5"/>
  <c r="J1596" i="5"/>
  <c r="B1597" i="5"/>
  <c r="J1597" i="5"/>
  <c r="B1598" i="5"/>
  <c r="J1598" i="5"/>
  <c r="B1599" i="5"/>
  <c r="J1599" i="5"/>
  <c r="B1600" i="5"/>
  <c r="J1600" i="5"/>
  <c r="B1601" i="5"/>
  <c r="J1601" i="5"/>
  <c r="B1602" i="5"/>
  <c r="J1602" i="5"/>
  <c r="B1603" i="5"/>
  <c r="J1603" i="5"/>
  <c r="B1604" i="5"/>
  <c r="J1604" i="5"/>
  <c r="B1605" i="5"/>
  <c r="J1605" i="5"/>
  <c r="B1606" i="5"/>
  <c r="J1606" i="5"/>
  <c r="B1607" i="5"/>
  <c r="J1607" i="5"/>
  <c r="B1608" i="5"/>
  <c r="J1608" i="5"/>
  <c r="B1609" i="5"/>
  <c r="J1609" i="5"/>
  <c r="B1610" i="5"/>
  <c r="J1610" i="5"/>
  <c r="B1611" i="5"/>
  <c r="J1611" i="5"/>
  <c r="B1612" i="5"/>
  <c r="J1612" i="5"/>
  <c r="B1613" i="5"/>
  <c r="J1613" i="5"/>
  <c r="B1614" i="5"/>
  <c r="J1614" i="5"/>
  <c r="B1615" i="5"/>
  <c r="J1615" i="5"/>
  <c r="B1616" i="5"/>
  <c r="J1616" i="5"/>
  <c r="B1617" i="5"/>
  <c r="B1618" i="5"/>
  <c r="B1619" i="5"/>
  <c r="B1620" i="5"/>
  <c r="B1621" i="5"/>
  <c r="B1622" i="5"/>
  <c r="B1623" i="5"/>
  <c r="B1624" i="5"/>
  <c r="B1625" i="5"/>
  <c r="J1625" i="5"/>
  <c r="B1626" i="5"/>
  <c r="J1626" i="5"/>
  <c r="B1627" i="5"/>
  <c r="J1627" i="5"/>
  <c r="B1628" i="5"/>
  <c r="J1628" i="5"/>
  <c r="B1629" i="5"/>
  <c r="J1629" i="5"/>
  <c r="B1630" i="5"/>
  <c r="J1630" i="5"/>
  <c r="B1631" i="5"/>
  <c r="J1631" i="5"/>
  <c r="B1632" i="5"/>
  <c r="J1632" i="5"/>
  <c r="B1633" i="5"/>
  <c r="J1633" i="5"/>
  <c r="B1634" i="5"/>
  <c r="J1634" i="5"/>
  <c r="B1635" i="5"/>
  <c r="J1635" i="5"/>
  <c r="B1636" i="5"/>
  <c r="J1636" i="5"/>
  <c r="B1637" i="5"/>
  <c r="J1637" i="5"/>
  <c r="B1638" i="5"/>
  <c r="J1638" i="5"/>
  <c r="B1639" i="5"/>
  <c r="J1639" i="5"/>
  <c r="B1640" i="5"/>
  <c r="J1640" i="5"/>
  <c r="B1641" i="5"/>
  <c r="J1641" i="5"/>
  <c r="B1642" i="5"/>
  <c r="J1642" i="5"/>
  <c r="B1643" i="5"/>
  <c r="J1643" i="5"/>
  <c r="B1644" i="5"/>
  <c r="J1644" i="5"/>
  <c r="B1645" i="5"/>
  <c r="J1645" i="5"/>
  <c r="B1646" i="5"/>
  <c r="J1646" i="5"/>
  <c r="B1647" i="5"/>
  <c r="J1647" i="5"/>
  <c r="B1648" i="5"/>
  <c r="J1648" i="5"/>
  <c r="B1649" i="5"/>
  <c r="J1649" i="5"/>
  <c r="B1650" i="5"/>
  <c r="B1651" i="5"/>
  <c r="B1652" i="5"/>
  <c r="B1653" i="5"/>
  <c r="B1654" i="5"/>
  <c r="B1655" i="5"/>
  <c r="B1656" i="5"/>
  <c r="B1657" i="5"/>
  <c r="B1658" i="5"/>
  <c r="B1659" i="5"/>
  <c r="B1660" i="5"/>
  <c r="J1660" i="5"/>
  <c r="B1661" i="5"/>
  <c r="J1661" i="5"/>
  <c r="B1662" i="5"/>
  <c r="J1662" i="5"/>
  <c r="B1663" i="5"/>
  <c r="J1663" i="5"/>
  <c r="B1664" i="5"/>
  <c r="J1664" i="5"/>
  <c r="B1665" i="5"/>
  <c r="J1665" i="5"/>
  <c r="B1666" i="5"/>
  <c r="J1666" i="5"/>
  <c r="B1667" i="5"/>
  <c r="J1667" i="5"/>
  <c r="B1668" i="5"/>
  <c r="J1668" i="5"/>
  <c r="B1669" i="5"/>
  <c r="J1669" i="5"/>
  <c r="B1670" i="5"/>
  <c r="J1670" i="5"/>
  <c r="B1671" i="5"/>
  <c r="J1671" i="5"/>
  <c r="B1672" i="5"/>
  <c r="J1672" i="5"/>
  <c r="B1673" i="5"/>
  <c r="J1673" i="5"/>
  <c r="B1674" i="5"/>
  <c r="J1674" i="5"/>
  <c r="B1675" i="5"/>
  <c r="J1675" i="5"/>
  <c r="B1676" i="5"/>
  <c r="J1676" i="5"/>
  <c r="B1677" i="5"/>
  <c r="J1677" i="5"/>
  <c r="B1678" i="5"/>
  <c r="J1678" i="5"/>
  <c r="B1679" i="5"/>
  <c r="J1679" i="5"/>
  <c r="B1680" i="5"/>
  <c r="J1680" i="5"/>
  <c r="B1681" i="5"/>
  <c r="J1681" i="5"/>
  <c r="B1682" i="5"/>
  <c r="B1683" i="5"/>
  <c r="B1684" i="5"/>
  <c r="B1685" i="5"/>
  <c r="B1686" i="5"/>
  <c r="B1687" i="5"/>
  <c r="B1688" i="5"/>
  <c r="B1689" i="5"/>
  <c r="B1690" i="5"/>
  <c r="B1691" i="5"/>
  <c r="B1692" i="5"/>
  <c r="B1693" i="5"/>
  <c r="B1694" i="5"/>
  <c r="J1694" i="5"/>
  <c r="B1695" i="5"/>
  <c r="J1695" i="5"/>
  <c r="B1696" i="5"/>
  <c r="J1696" i="5"/>
  <c r="B1697" i="5"/>
  <c r="J1697" i="5"/>
  <c r="B1698" i="5"/>
  <c r="J1698" i="5"/>
  <c r="B1699" i="5"/>
  <c r="J1699" i="5"/>
  <c r="B1700" i="5"/>
  <c r="J1700" i="5"/>
  <c r="B1701" i="5"/>
  <c r="J1701" i="5"/>
  <c r="B1702" i="5"/>
  <c r="J1702" i="5"/>
  <c r="B1703" i="5"/>
  <c r="J1703" i="5"/>
  <c r="B1704" i="5"/>
  <c r="J1704" i="5"/>
  <c r="B1705" i="5"/>
  <c r="J1705" i="5"/>
  <c r="B1706" i="5"/>
  <c r="J1706" i="5"/>
  <c r="B1707" i="5"/>
  <c r="J1707" i="5"/>
  <c r="B1708" i="5"/>
  <c r="J1708" i="5"/>
  <c r="B1709" i="5"/>
  <c r="J1709" i="5"/>
  <c r="B1710" i="5"/>
  <c r="J1710" i="5"/>
  <c r="B1711" i="5"/>
  <c r="J1711" i="5"/>
  <c r="B1712" i="5"/>
  <c r="J1712" i="5"/>
  <c r="B1713" i="5"/>
  <c r="J1713" i="5"/>
  <c r="B1714" i="5"/>
  <c r="J1714" i="5"/>
  <c r="B1715" i="5"/>
  <c r="J1715" i="5"/>
  <c r="B1716" i="5"/>
  <c r="J1716" i="5"/>
  <c r="B1717" i="5"/>
  <c r="J1717" i="5"/>
  <c r="B1718" i="5"/>
  <c r="J1718" i="5"/>
  <c r="B1719" i="5"/>
  <c r="J1719" i="5"/>
  <c r="B1720" i="5"/>
  <c r="J1720" i="5"/>
  <c r="B1721" i="5"/>
  <c r="B1722" i="5"/>
  <c r="B1723" i="5"/>
  <c r="B1724" i="5"/>
  <c r="B1725" i="5"/>
  <c r="B1726" i="5"/>
  <c r="J1726" i="5"/>
  <c r="B1727" i="5"/>
  <c r="J1727" i="5"/>
  <c r="B1728" i="5"/>
  <c r="J1728" i="5"/>
  <c r="B1729" i="5"/>
  <c r="J1729" i="5"/>
  <c r="B1730" i="5"/>
  <c r="J1730" i="5"/>
  <c r="B1731" i="5"/>
  <c r="J1731" i="5"/>
  <c r="B1732" i="5"/>
  <c r="J1732" i="5"/>
  <c r="B1733" i="5"/>
  <c r="J1733" i="5"/>
  <c r="B1734" i="5"/>
  <c r="J1734" i="5"/>
  <c r="B1735" i="5"/>
  <c r="J1735" i="5"/>
  <c r="B1736" i="5"/>
  <c r="J1736" i="5"/>
  <c r="B1737" i="5"/>
  <c r="J1737" i="5"/>
  <c r="B1738" i="5"/>
  <c r="J1738" i="5"/>
  <c r="B1739" i="5"/>
  <c r="J1739" i="5"/>
  <c r="B1740" i="5"/>
  <c r="J1740" i="5"/>
  <c r="B1741" i="5"/>
  <c r="J1741" i="5"/>
  <c r="B1742" i="5"/>
  <c r="J1742" i="5"/>
  <c r="B1743" i="5"/>
  <c r="J1743" i="5"/>
  <c r="B1744" i="5"/>
  <c r="J1744" i="5"/>
  <c r="B1745" i="5"/>
  <c r="J1745" i="5"/>
  <c r="B1746" i="5"/>
  <c r="J1746" i="5"/>
  <c r="B1747" i="5"/>
  <c r="J1747" i="5"/>
  <c r="B1748" i="5"/>
  <c r="J1748" i="5"/>
  <c r="B1749" i="5"/>
  <c r="J1749" i="5"/>
  <c r="B1750" i="5"/>
  <c r="J1750" i="5"/>
  <c r="B1751" i="5"/>
  <c r="J1751" i="5"/>
  <c r="B1752" i="5"/>
  <c r="J1752" i="5"/>
  <c r="B1753" i="5"/>
  <c r="J1753" i="5"/>
  <c r="B1754" i="5"/>
  <c r="J1754" i="5"/>
  <c r="B1755" i="5"/>
  <c r="J1755" i="5"/>
  <c r="B1756" i="5"/>
  <c r="J1756" i="5"/>
  <c r="B1757" i="5"/>
  <c r="J1757" i="5"/>
  <c r="B1758" i="5"/>
  <c r="J1758" i="5"/>
  <c r="B1759" i="5"/>
  <c r="J1759" i="5"/>
  <c r="B1760" i="5"/>
  <c r="J1760" i="5"/>
  <c r="B1761" i="5"/>
  <c r="J1761" i="5"/>
  <c r="B1762" i="5"/>
  <c r="J1762" i="5"/>
  <c r="B1763" i="5"/>
  <c r="J1763" i="5"/>
  <c r="B1764" i="5"/>
  <c r="J1764" i="5"/>
  <c r="B1765" i="5"/>
  <c r="J1765" i="5"/>
  <c r="B1766" i="5"/>
  <c r="J1766" i="5"/>
  <c r="B1767" i="5"/>
  <c r="J1767" i="5"/>
  <c r="B1768" i="5"/>
  <c r="J1768" i="5"/>
  <c r="B1769" i="5"/>
  <c r="J1769" i="5"/>
  <c r="B1770" i="5"/>
  <c r="J1770" i="5"/>
  <c r="B1771" i="5"/>
  <c r="J1771" i="5"/>
  <c r="B1772" i="5"/>
  <c r="J1772" i="5"/>
  <c r="B1773" i="5"/>
  <c r="J1773" i="5"/>
  <c r="B1774" i="5"/>
  <c r="J1774" i="5"/>
  <c r="B1775" i="5"/>
  <c r="J1775" i="5"/>
  <c r="B1776" i="5"/>
  <c r="J1776" i="5"/>
  <c r="B1777" i="5"/>
  <c r="J1777" i="5"/>
  <c r="B1778" i="5"/>
  <c r="J1778" i="5"/>
  <c r="B1779" i="5"/>
  <c r="J1779" i="5"/>
  <c r="B1780" i="5"/>
  <c r="J1780" i="5"/>
  <c r="B1781" i="5"/>
  <c r="J1781" i="5"/>
  <c r="B1782" i="5"/>
  <c r="J1782" i="5"/>
  <c r="B1783" i="5"/>
  <c r="J1783" i="5"/>
  <c r="B1784" i="5"/>
  <c r="J1784" i="5"/>
  <c r="B1785" i="5"/>
  <c r="J1785" i="5"/>
  <c r="B1786" i="5"/>
  <c r="J1786" i="5"/>
  <c r="B1787" i="5"/>
  <c r="J1787" i="5"/>
  <c r="B1788" i="5"/>
  <c r="J1788" i="5"/>
  <c r="B1789" i="5"/>
  <c r="J1789" i="5"/>
  <c r="B1790" i="5"/>
  <c r="J1790" i="5"/>
  <c r="B1791" i="5"/>
  <c r="J1791" i="5"/>
  <c r="B1792" i="5"/>
  <c r="J1792" i="5"/>
  <c r="B1793" i="5"/>
  <c r="J1793" i="5"/>
  <c r="B1794" i="5"/>
  <c r="J1794" i="5"/>
  <c r="B1795" i="5"/>
  <c r="J1795" i="5"/>
  <c r="B1796" i="5"/>
  <c r="J1796" i="5"/>
  <c r="B1797" i="5"/>
  <c r="J1797" i="5"/>
  <c r="B1798" i="5"/>
  <c r="J1798" i="5"/>
  <c r="B1799" i="5"/>
  <c r="J1799" i="5"/>
  <c r="B1800" i="5"/>
  <c r="J1800" i="5"/>
  <c r="B1801" i="5"/>
  <c r="J1801" i="5"/>
  <c r="B1802" i="5"/>
  <c r="J1802" i="5"/>
  <c r="B1803" i="5"/>
  <c r="J1803" i="5"/>
  <c r="B1804" i="5"/>
  <c r="J1804" i="5"/>
  <c r="B1805" i="5"/>
  <c r="J1805" i="5"/>
  <c r="B1806" i="5"/>
  <c r="J1806" i="5"/>
  <c r="B1807" i="5"/>
  <c r="J1807" i="5"/>
  <c r="B1808" i="5"/>
  <c r="J1808" i="5"/>
  <c r="B1809" i="5"/>
  <c r="J1809" i="5"/>
  <c r="B1810" i="5"/>
  <c r="J1810" i="5"/>
  <c r="B1811" i="5"/>
  <c r="J1811" i="5"/>
  <c r="B1812" i="5"/>
  <c r="J1812" i="5"/>
  <c r="B1813" i="5"/>
  <c r="J1813" i="5"/>
  <c r="B1814" i="5"/>
  <c r="J1814" i="5"/>
  <c r="B1815" i="5"/>
  <c r="J1815" i="5"/>
  <c r="B1816" i="5"/>
  <c r="J1816" i="5"/>
  <c r="B1817" i="5"/>
  <c r="J1817" i="5"/>
  <c r="B1818" i="5"/>
  <c r="J1818" i="5"/>
  <c r="B1819" i="5"/>
  <c r="B1820" i="5"/>
  <c r="B1821" i="5"/>
  <c r="B1822" i="5"/>
  <c r="J1822" i="5"/>
  <c r="B1823" i="5"/>
  <c r="B1824" i="5"/>
  <c r="B1825" i="5"/>
  <c r="B1826" i="5"/>
  <c r="J1826" i="5"/>
  <c r="B1827" i="5"/>
  <c r="J1827" i="5"/>
  <c r="B1828" i="5"/>
  <c r="J1828" i="5"/>
  <c r="B1829" i="5"/>
  <c r="J1829" i="5"/>
  <c r="B1830" i="5"/>
  <c r="J1830" i="5"/>
  <c r="B1831" i="5"/>
  <c r="J1831" i="5"/>
  <c r="B1832" i="5"/>
  <c r="J1832" i="5"/>
  <c r="B1833" i="5"/>
  <c r="J1833" i="5"/>
  <c r="B1834" i="5"/>
  <c r="J1834" i="5"/>
  <c r="B1835" i="5"/>
  <c r="J1835" i="5"/>
  <c r="B1836" i="5"/>
  <c r="J1836" i="5"/>
  <c r="B1837" i="5"/>
  <c r="J1837" i="5"/>
  <c r="B1838" i="5"/>
  <c r="B1839" i="5"/>
  <c r="B1840" i="5"/>
  <c r="B1841" i="5"/>
  <c r="B1842" i="5"/>
  <c r="B1843" i="5"/>
  <c r="B1844" i="5"/>
  <c r="B1845" i="5"/>
  <c r="J1845" i="5"/>
  <c r="B1846" i="5"/>
  <c r="J1846" i="5"/>
  <c r="B1847" i="5"/>
  <c r="B1848" i="5"/>
  <c r="B1849" i="5"/>
  <c r="B1850" i="5"/>
  <c r="B1851" i="5"/>
  <c r="B1852" i="5"/>
  <c r="B1853" i="5"/>
  <c r="B1854" i="5"/>
  <c r="B1855" i="5"/>
  <c r="B1856" i="5"/>
  <c r="B1857" i="5"/>
  <c r="B1858" i="5"/>
  <c r="B1859" i="5"/>
  <c r="B1860" i="5"/>
  <c r="B1861" i="5"/>
  <c r="B1862" i="5"/>
  <c r="B1863" i="5"/>
  <c r="B1864" i="5"/>
  <c r="B1865" i="5"/>
  <c r="B1866" i="5"/>
  <c r="B1867" i="5"/>
  <c r="B1868" i="5"/>
  <c r="J1868" i="5"/>
  <c r="B1869" i="5"/>
  <c r="J1869" i="5"/>
  <c r="B1870" i="5"/>
  <c r="J1870" i="5"/>
  <c r="B1871" i="5"/>
  <c r="J1871" i="5"/>
  <c r="B1872" i="5"/>
  <c r="J1872" i="5"/>
  <c r="B1873" i="5"/>
  <c r="J1873" i="5"/>
  <c r="B1874" i="5"/>
  <c r="J1874" i="5"/>
  <c r="B1875" i="5"/>
  <c r="J1875" i="5"/>
  <c r="B1876" i="5"/>
  <c r="J1876" i="5"/>
  <c r="B1877" i="5"/>
  <c r="J1877" i="5"/>
  <c r="B1878" i="5"/>
  <c r="J1878" i="5"/>
  <c r="B1879" i="5"/>
  <c r="B1880" i="5"/>
  <c r="B1881" i="5"/>
  <c r="B1882" i="5"/>
  <c r="J1882" i="5"/>
  <c r="B1883" i="5"/>
  <c r="J1883" i="5"/>
  <c r="B1884" i="5"/>
  <c r="J1884" i="5"/>
  <c r="B1885" i="5"/>
  <c r="B1886" i="5"/>
  <c r="B1887" i="5"/>
  <c r="B1888" i="5"/>
  <c r="B1889" i="5"/>
  <c r="B1890" i="5"/>
  <c r="B1891" i="5"/>
  <c r="B1892" i="5"/>
  <c r="B1893" i="5"/>
  <c r="B1894" i="5"/>
  <c r="B1895" i="5"/>
  <c r="B1896" i="5"/>
  <c r="B1897" i="5"/>
  <c r="B1898" i="5"/>
  <c r="B1899" i="5"/>
  <c r="B1900" i="5"/>
  <c r="B1901" i="5"/>
  <c r="B1902" i="5"/>
  <c r="B1903" i="5"/>
  <c r="B1904" i="5"/>
  <c r="B1905" i="5"/>
  <c r="B1906" i="5"/>
  <c r="B1907" i="5"/>
  <c r="B1908" i="5"/>
  <c r="J1908" i="5"/>
  <c r="B1909" i="5"/>
  <c r="J1909" i="5"/>
  <c r="B1910" i="5"/>
  <c r="J1910" i="5"/>
  <c r="B1911" i="5"/>
  <c r="J1911" i="5"/>
  <c r="B1912" i="5"/>
  <c r="J1912" i="5"/>
  <c r="B1913" i="5"/>
  <c r="J1913" i="5"/>
  <c r="B1914" i="5"/>
  <c r="J1914" i="5"/>
  <c r="B1915" i="5"/>
  <c r="J1915" i="5"/>
  <c r="B1916" i="5"/>
  <c r="B1917" i="5"/>
  <c r="B1918" i="5"/>
  <c r="B1919" i="5"/>
  <c r="B1920" i="5"/>
  <c r="B1921" i="5"/>
  <c r="B1922" i="5"/>
  <c r="B1923" i="5"/>
  <c r="B1924" i="5"/>
  <c r="B1925" i="5"/>
  <c r="B1926" i="5"/>
  <c r="B1927" i="5"/>
  <c r="B1928" i="5"/>
  <c r="B1929" i="5"/>
  <c r="B1930" i="5"/>
  <c r="B1931" i="5"/>
  <c r="B1932" i="5"/>
  <c r="B1933" i="5"/>
  <c r="B1934" i="5"/>
  <c r="B1935" i="5"/>
  <c r="B1936" i="5"/>
  <c r="B1937" i="5"/>
  <c r="B1938" i="5"/>
  <c r="B1939" i="5"/>
  <c r="B1940" i="5"/>
  <c r="J1940" i="5"/>
  <c r="B1941" i="5"/>
  <c r="J1941" i="5"/>
  <c r="B1942" i="5"/>
  <c r="J1942" i="5"/>
  <c r="B1943" i="5"/>
  <c r="J1943" i="5"/>
  <c r="B1944" i="5"/>
  <c r="J1944" i="5"/>
  <c r="B1945" i="5"/>
  <c r="J1945" i="5"/>
  <c r="B1946" i="5"/>
  <c r="J1946" i="5"/>
  <c r="B1947" i="5"/>
  <c r="J1947" i="5"/>
  <c r="B1948" i="5"/>
  <c r="J1948" i="5"/>
  <c r="B1949" i="5"/>
  <c r="J1949" i="5"/>
  <c r="B1950" i="5"/>
  <c r="J1950" i="5"/>
  <c r="B1951" i="5"/>
  <c r="J1951" i="5"/>
  <c r="B1952" i="5"/>
  <c r="J1952" i="5"/>
  <c r="B1953" i="5"/>
  <c r="J1953" i="5"/>
  <c r="B1954" i="5"/>
  <c r="J1954" i="5"/>
  <c r="B1955" i="5"/>
  <c r="J1955" i="5"/>
  <c r="B1956" i="5"/>
  <c r="B1957" i="5"/>
  <c r="B1958" i="5"/>
  <c r="B1959" i="5"/>
  <c r="B1960" i="5"/>
  <c r="B1961" i="5"/>
  <c r="B1962" i="5"/>
  <c r="B1963" i="5"/>
  <c r="B1964" i="5"/>
  <c r="B1965" i="5"/>
  <c r="B1966" i="5"/>
  <c r="B1967" i="5"/>
  <c r="B1968" i="5"/>
  <c r="B1969" i="5"/>
  <c r="B1970" i="5"/>
  <c r="B1971" i="5"/>
  <c r="J1971" i="5"/>
  <c r="B1972" i="5"/>
  <c r="J1972" i="5"/>
  <c r="B1973" i="5"/>
  <c r="J1973" i="5"/>
  <c r="B1974" i="5"/>
  <c r="J1974" i="5"/>
  <c r="B1975" i="5"/>
  <c r="J1975" i="5"/>
  <c r="B1976" i="5"/>
  <c r="J1976" i="5"/>
  <c r="B1977" i="5"/>
  <c r="J1977" i="5"/>
  <c r="B1978" i="5"/>
  <c r="J1978" i="5"/>
  <c r="B1979" i="5"/>
  <c r="J1979" i="5"/>
  <c r="B1980" i="5"/>
  <c r="J1980" i="5"/>
  <c r="B1981" i="5"/>
  <c r="J1981" i="5"/>
  <c r="B1982" i="5"/>
  <c r="J1982" i="5"/>
  <c r="B1983" i="5"/>
  <c r="J1983" i="5"/>
  <c r="B1984" i="5"/>
  <c r="J1984" i="5"/>
  <c r="B1985" i="5"/>
  <c r="J1985" i="5"/>
  <c r="B1986" i="5"/>
  <c r="J1986" i="5"/>
  <c r="B1987" i="5"/>
  <c r="B1988" i="5"/>
  <c r="B1989" i="5"/>
  <c r="B1990" i="5"/>
  <c r="B1991" i="5"/>
  <c r="B1992" i="5"/>
  <c r="B1993" i="5"/>
  <c r="B1994" i="5"/>
  <c r="B1995" i="5"/>
  <c r="B1996" i="5"/>
  <c r="B1997" i="5"/>
  <c r="B1998" i="5"/>
  <c r="B1999" i="5"/>
  <c r="B2000" i="5"/>
  <c r="B2001" i="5"/>
  <c r="B2002" i="5"/>
  <c r="B2003" i="5"/>
  <c r="B2004" i="5"/>
  <c r="B2005" i="5"/>
  <c r="B2006" i="5"/>
  <c r="B2007" i="5"/>
  <c r="B2008" i="5"/>
  <c r="B2009" i="5"/>
  <c r="B2010" i="5"/>
  <c r="B2011" i="5"/>
  <c r="B2012" i="5"/>
  <c r="B2013" i="5"/>
  <c r="J2013" i="5"/>
  <c r="B2014" i="5"/>
  <c r="J2014" i="5"/>
  <c r="B2015" i="5"/>
  <c r="J2015" i="5"/>
  <c r="B2016" i="5"/>
  <c r="J2016" i="5"/>
  <c r="B2017" i="5"/>
  <c r="J2017" i="5"/>
  <c r="B2018" i="5"/>
  <c r="J2018" i="5"/>
  <c r="B2019" i="5"/>
  <c r="J2019" i="5"/>
  <c r="B2020" i="5"/>
  <c r="J2020" i="5"/>
  <c r="B2021" i="5"/>
  <c r="J2021" i="5"/>
  <c r="B2022" i="5"/>
  <c r="J2022" i="5"/>
  <c r="B2023" i="5"/>
  <c r="J2023" i="5"/>
  <c r="B2024" i="5"/>
  <c r="J2024" i="5"/>
  <c r="B2025" i="5"/>
  <c r="J2025" i="5"/>
  <c r="B2026" i="5"/>
  <c r="J2026" i="5"/>
  <c r="B2027" i="5"/>
  <c r="J2027" i="5"/>
  <c r="B2028" i="5"/>
  <c r="J2028" i="5"/>
  <c r="B2029" i="5"/>
  <c r="J2029" i="5"/>
  <c r="B2030" i="5"/>
  <c r="J2030" i="5"/>
  <c r="B2031" i="5"/>
  <c r="J2031" i="5"/>
  <c r="B2032" i="5"/>
  <c r="J2032" i="5"/>
  <c r="B2033" i="5"/>
  <c r="B2034" i="5"/>
  <c r="J2034" i="5"/>
  <c r="B2035" i="5"/>
  <c r="B2036" i="5"/>
  <c r="B2037" i="5"/>
  <c r="B2038" i="5"/>
  <c r="B2039" i="5"/>
  <c r="B2040" i="5"/>
  <c r="B2041" i="5"/>
  <c r="B2042" i="5"/>
  <c r="B2043" i="5"/>
  <c r="B2044" i="5"/>
  <c r="B2045" i="5"/>
  <c r="B2046" i="5"/>
  <c r="B2047" i="5"/>
  <c r="B2048" i="5"/>
  <c r="B2049" i="5"/>
  <c r="B2050" i="5"/>
  <c r="B2051" i="5"/>
  <c r="B2052" i="5"/>
  <c r="B2053" i="5"/>
  <c r="B2054" i="5"/>
  <c r="J2054" i="5"/>
  <c r="B2055" i="5"/>
  <c r="J2055" i="5"/>
  <c r="B2056" i="5"/>
  <c r="B2057" i="5"/>
  <c r="B2058" i="5"/>
  <c r="B2059" i="5"/>
  <c r="B2060" i="5"/>
  <c r="B2061" i="5"/>
  <c r="B2062" i="5"/>
  <c r="B2063" i="5"/>
  <c r="B2064" i="5"/>
  <c r="B2065" i="5"/>
  <c r="J2065" i="5"/>
  <c r="B2066" i="5"/>
  <c r="J2066" i="5"/>
  <c r="B2067" i="5"/>
  <c r="J2067" i="5"/>
  <c r="B2068" i="5"/>
  <c r="J2068" i="5"/>
  <c r="B2069" i="5"/>
  <c r="J2069" i="5"/>
  <c r="B2070" i="5"/>
  <c r="J2070" i="5"/>
  <c r="B2071" i="5"/>
  <c r="J2071" i="5"/>
  <c r="B2072" i="5"/>
  <c r="J2072" i="5"/>
  <c r="B2073" i="5"/>
  <c r="J2073" i="5"/>
  <c r="B2074" i="5"/>
  <c r="J2074" i="5"/>
  <c r="B2075" i="5"/>
  <c r="J2075" i="5"/>
  <c r="B2076" i="5"/>
  <c r="J2076" i="5"/>
  <c r="B2077" i="5"/>
  <c r="J2077" i="5"/>
  <c r="B2078" i="5"/>
  <c r="B2079" i="5"/>
  <c r="B2080" i="5"/>
  <c r="J2080" i="5"/>
  <c r="B2081" i="5"/>
  <c r="J2081" i="5"/>
  <c r="B2082" i="5"/>
  <c r="J2082" i="5"/>
  <c r="B2083" i="5"/>
  <c r="J2083" i="5"/>
  <c r="B2084" i="5"/>
  <c r="J2084" i="5"/>
  <c r="B2085" i="5"/>
  <c r="J2085" i="5"/>
  <c r="B2086" i="5"/>
  <c r="J2086" i="5"/>
  <c r="B2087" i="5"/>
  <c r="J2087" i="5"/>
  <c r="B2088" i="5"/>
  <c r="J2088" i="5"/>
  <c r="B2089" i="5"/>
  <c r="J2089" i="5"/>
  <c r="B2090" i="5"/>
  <c r="J2090" i="5"/>
  <c r="B2091" i="5"/>
  <c r="J2091" i="5"/>
  <c r="B2092" i="5"/>
  <c r="J2092" i="5"/>
  <c r="B2093" i="5"/>
  <c r="J2093" i="5"/>
  <c r="B2094" i="5"/>
  <c r="J2094" i="5"/>
  <c r="B2095" i="5"/>
  <c r="J2095" i="5"/>
  <c r="B2096" i="5"/>
  <c r="J2096" i="5"/>
  <c r="B2097" i="5"/>
  <c r="J2097" i="5"/>
  <c r="B2098" i="5"/>
  <c r="J2098" i="5"/>
  <c r="B2099" i="5"/>
  <c r="J2099" i="5"/>
  <c r="B2100" i="5"/>
  <c r="J2100" i="5"/>
  <c r="B2101" i="5"/>
  <c r="J2101" i="5"/>
  <c r="B2102" i="5"/>
  <c r="J2102" i="5"/>
  <c r="B2103" i="5"/>
  <c r="J2103" i="5"/>
  <c r="B2104" i="5"/>
  <c r="J2104" i="5"/>
  <c r="B2105" i="5"/>
  <c r="J2105" i="5"/>
  <c r="B2106" i="5"/>
  <c r="J2106" i="5"/>
  <c r="B2107" i="5"/>
  <c r="J2107" i="5"/>
  <c r="B2108" i="5"/>
  <c r="J2108" i="5"/>
  <c r="B2109" i="5"/>
  <c r="J2109" i="5"/>
  <c r="B2110" i="5"/>
  <c r="J2110" i="5"/>
  <c r="B2111" i="5"/>
  <c r="J2111" i="5"/>
  <c r="B2112" i="5"/>
  <c r="J2112" i="5"/>
  <c r="B2113" i="5"/>
  <c r="J2113" i="5"/>
  <c r="B2114" i="5"/>
  <c r="J2114" i="5"/>
  <c r="B2115" i="5"/>
  <c r="J2115" i="5"/>
  <c r="B2116" i="5"/>
  <c r="J2116" i="5"/>
  <c r="B2117" i="5"/>
  <c r="J2117" i="5"/>
  <c r="B2118" i="5"/>
  <c r="J2118" i="5"/>
  <c r="B2119" i="5"/>
  <c r="J2119" i="5"/>
  <c r="B2120" i="5"/>
  <c r="J2120" i="5"/>
  <c r="B2121" i="5"/>
  <c r="J2121" i="5"/>
  <c r="B2122" i="5"/>
  <c r="J2122" i="5"/>
  <c r="B2123" i="5"/>
  <c r="J2123" i="5"/>
  <c r="B2124" i="5"/>
  <c r="J2124" i="5"/>
  <c r="B2125" i="5"/>
  <c r="J2125" i="5"/>
  <c r="B2126" i="5"/>
  <c r="J2126" i="5"/>
  <c r="B2127" i="5"/>
  <c r="J2127" i="5"/>
  <c r="B2128" i="5"/>
  <c r="J2128" i="5"/>
  <c r="B2129" i="5"/>
  <c r="J2129" i="5"/>
  <c r="B2130" i="5"/>
  <c r="J2130" i="5"/>
  <c r="B2131" i="5"/>
  <c r="J2131" i="5"/>
  <c r="B2132" i="5"/>
  <c r="J2132" i="5"/>
  <c r="B2133" i="5"/>
  <c r="J2133" i="5"/>
  <c r="B2134" i="5"/>
  <c r="J2134" i="5"/>
  <c r="B2135" i="5"/>
  <c r="J2135" i="5"/>
  <c r="B2136" i="5"/>
  <c r="J2136" i="5"/>
  <c r="B2137" i="5"/>
  <c r="J2137" i="5"/>
  <c r="B2138" i="5"/>
  <c r="J2138" i="5"/>
  <c r="B2139" i="5"/>
  <c r="J2139" i="5"/>
  <c r="B2140" i="5"/>
  <c r="J2140" i="5"/>
  <c r="B2141" i="5"/>
  <c r="J2141" i="5"/>
  <c r="B2142" i="5"/>
  <c r="J2142" i="5"/>
  <c r="B2143" i="5"/>
  <c r="J2143" i="5"/>
  <c r="B2144" i="5"/>
  <c r="J2144" i="5"/>
  <c r="B2145" i="5"/>
  <c r="J2145" i="5"/>
  <c r="B2146" i="5"/>
  <c r="J2146" i="5"/>
  <c r="B2147" i="5"/>
  <c r="J2147" i="5"/>
  <c r="B2148" i="5"/>
  <c r="J2148" i="5"/>
  <c r="B2149" i="5"/>
  <c r="J2149" i="5"/>
  <c r="B2150" i="5"/>
  <c r="J2150" i="5"/>
  <c r="B2151" i="5"/>
  <c r="J2151" i="5"/>
  <c r="B2152" i="5"/>
  <c r="J2152" i="5"/>
  <c r="B2153" i="5"/>
  <c r="J2153" i="5"/>
  <c r="B2154" i="5"/>
  <c r="J2154" i="5"/>
  <c r="B2155" i="5"/>
  <c r="J2155" i="5"/>
  <c r="B2156" i="5"/>
  <c r="J2156" i="5"/>
  <c r="B2157" i="5"/>
  <c r="J2157" i="5"/>
  <c r="B2158" i="5"/>
  <c r="J2158" i="5"/>
  <c r="B2159" i="5"/>
  <c r="J2159" i="5"/>
  <c r="B2160" i="5"/>
  <c r="J2160" i="5"/>
  <c r="B2161" i="5"/>
  <c r="J2161" i="5"/>
  <c r="B2162" i="5"/>
  <c r="J2162" i="5"/>
  <c r="B2163" i="5"/>
  <c r="J2163" i="5"/>
  <c r="B2164" i="5"/>
  <c r="J2164" i="5"/>
  <c r="B2165" i="5"/>
  <c r="J2165" i="5"/>
  <c r="B2166" i="5"/>
  <c r="J2166" i="5"/>
  <c r="B2167" i="5"/>
  <c r="J2167" i="5"/>
  <c r="B2168" i="5"/>
  <c r="J2168" i="5"/>
  <c r="B2169" i="5"/>
  <c r="J2169" i="5"/>
  <c r="B2170" i="5"/>
  <c r="J2170" i="5"/>
  <c r="B2171" i="5"/>
  <c r="J2171" i="5"/>
  <c r="B2172" i="5"/>
  <c r="J2172" i="5"/>
  <c r="B2173" i="5"/>
  <c r="B2174" i="5"/>
  <c r="B2175" i="5"/>
  <c r="B2176" i="5"/>
  <c r="B2177" i="5"/>
  <c r="B2178" i="5"/>
  <c r="B2179" i="5"/>
  <c r="B2180" i="5"/>
  <c r="B2181" i="5"/>
  <c r="B2182" i="5"/>
  <c r="B2183" i="5"/>
  <c r="B2184" i="5"/>
  <c r="B2185" i="5"/>
  <c r="B2186" i="5"/>
  <c r="J2186" i="5"/>
  <c r="B2187" i="5"/>
  <c r="J2187" i="5"/>
  <c r="B2188" i="5"/>
  <c r="J2188" i="5"/>
  <c r="B2189" i="5"/>
  <c r="J2189" i="5"/>
  <c r="B2190" i="5"/>
  <c r="J2190" i="5"/>
  <c r="B2191" i="5"/>
  <c r="J2191" i="5"/>
  <c r="B2192" i="5"/>
  <c r="J2192" i="5"/>
  <c r="B2193" i="5"/>
  <c r="J2193" i="5"/>
  <c r="B2194" i="5"/>
  <c r="J2194" i="5"/>
  <c r="B2195" i="5"/>
  <c r="B2196" i="5"/>
  <c r="B2197" i="5"/>
  <c r="B2198" i="5"/>
  <c r="B2199" i="5"/>
  <c r="B2200" i="5"/>
  <c r="B2201" i="5"/>
  <c r="B2202" i="5"/>
  <c r="B2203" i="5"/>
  <c r="J2203" i="5"/>
  <c r="B2204" i="5"/>
  <c r="J2204" i="5"/>
  <c r="B2205" i="5"/>
  <c r="J2205" i="5"/>
  <c r="B2206" i="5"/>
  <c r="J2206" i="5"/>
  <c r="B2207" i="5"/>
  <c r="J2207" i="5"/>
  <c r="B2208" i="5"/>
  <c r="J2208" i="5"/>
  <c r="B2209" i="5"/>
  <c r="J2209" i="5"/>
  <c r="B2210" i="5"/>
  <c r="J2210" i="5"/>
  <c r="B2211" i="5"/>
  <c r="J2211" i="5"/>
  <c r="B2212" i="5"/>
  <c r="J2212" i="5"/>
  <c r="B2213" i="5"/>
  <c r="J2213" i="5"/>
  <c r="B2214" i="5"/>
  <c r="J2214" i="5"/>
  <c r="B2215" i="5"/>
  <c r="J2215" i="5"/>
  <c r="B2216" i="5"/>
  <c r="J2216" i="5"/>
  <c r="B2217" i="5"/>
  <c r="J2217" i="5"/>
  <c r="B2218" i="5"/>
  <c r="J2218" i="5"/>
  <c r="B2219" i="5"/>
  <c r="J2219" i="5"/>
  <c r="B2220" i="5"/>
  <c r="J2220" i="5"/>
  <c r="B2221" i="5"/>
  <c r="J2221" i="5"/>
  <c r="B2222" i="5"/>
  <c r="J2222" i="5"/>
  <c r="B2223" i="5"/>
  <c r="J2223" i="5"/>
  <c r="B2224" i="5"/>
  <c r="J2224" i="5"/>
  <c r="B2225" i="5"/>
  <c r="J2225" i="5"/>
  <c r="B2226" i="5"/>
  <c r="J2226" i="5"/>
  <c r="B2227" i="5"/>
  <c r="J2227" i="5"/>
  <c r="B2228" i="5"/>
  <c r="J2228" i="5"/>
  <c r="B2229" i="5"/>
  <c r="J2229" i="5"/>
  <c r="B2230" i="5"/>
  <c r="J2230" i="5"/>
  <c r="B2231" i="5"/>
  <c r="J2231" i="5"/>
  <c r="B2232" i="5"/>
  <c r="J2232" i="5"/>
  <c r="B2233" i="5"/>
  <c r="J2233" i="5"/>
  <c r="B2234" i="5"/>
  <c r="J2234" i="5"/>
  <c r="B2235" i="5"/>
  <c r="J2235" i="5"/>
  <c r="B2236" i="5"/>
  <c r="J2236" i="5"/>
  <c r="B2237" i="5"/>
  <c r="J2237" i="5"/>
  <c r="B2238" i="5"/>
  <c r="J2238" i="5"/>
  <c r="B2239" i="5"/>
  <c r="J2239" i="5"/>
  <c r="B2240" i="5"/>
  <c r="J2240" i="5"/>
  <c r="B2241" i="5"/>
  <c r="J2241" i="5"/>
  <c r="B2242" i="5"/>
  <c r="J2242" i="5"/>
  <c r="B2243" i="5"/>
  <c r="J2243" i="5"/>
  <c r="B2244" i="5"/>
  <c r="J2244" i="5"/>
  <c r="B2245" i="5"/>
  <c r="J2245" i="5"/>
  <c r="B2246" i="5"/>
  <c r="J2246" i="5"/>
  <c r="B2247" i="5"/>
  <c r="J2247" i="5"/>
  <c r="B2248" i="5"/>
  <c r="J2248" i="5"/>
  <c r="B2249" i="5"/>
  <c r="J2249" i="5"/>
  <c r="B2250" i="5"/>
  <c r="J2250" i="5"/>
  <c r="B2251" i="5"/>
  <c r="J2251" i="5"/>
  <c r="B2252" i="5"/>
  <c r="J2252" i="5"/>
  <c r="B2253" i="5"/>
  <c r="J2253" i="5"/>
  <c r="B2254" i="5"/>
  <c r="J2254" i="5"/>
  <c r="B2255" i="5"/>
  <c r="J2255" i="5"/>
  <c r="B2256" i="5"/>
  <c r="J2256" i="5"/>
  <c r="B2257" i="5"/>
  <c r="J2257" i="5"/>
  <c r="B2258" i="5"/>
  <c r="J2258" i="5"/>
  <c r="B2259" i="5"/>
  <c r="J2259" i="5"/>
  <c r="B2260" i="5"/>
  <c r="J2260" i="5"/>
  <c r="B2261" i="5"/>
  <c r="J2261" i="5"/>
  <c r="B2262" i="5"/>
  <c r="J2262" i="5"/>
  <c r="B2263" i="5"/>
  <c r="J2263" i="5"/>
  <c r="B2264" i="5"/>
  <c r="J2264" i="5"/>
  <c r="B2265" i="5"/>
  <c r="J2265" i="5"/>
  <c r="B2266" i="5"/>
  <c r="J2266" i="5"/>
  <c r="B2267" i="5"/>
  <c r="J2267" i="5"/>
  <c r="B2268" i="5"/>
  <c r="J2268" i="5"/>
  <c r="B2269" i="5"/>
  <c r="J2269" i="5"/>
  <c r="B2270" i="5"/>
  <c r="J2270" i="5"/>
  <c r="B2271" i="5"/>
  <c r="J2271" i="5"/>
  <c r="B2272" i="5"/>
  <c r="J2272" i="5"/>
  <c r="B2273" i="5"/>
  <c r="J2273" i="5"/>
  <c r="B2274" i="5"/>
  <c r="J2274" i="5"/>
  <c r="B2275" i="5"/>
  <c r="J2275" i="5"/>
  <c r="B2276" i="5"/>
  <c r="J2276" i="5"/>
  <c r="B2277" i="5"/>
  <c r="J2277" i="5"/>
  <c r="B2278" i="5"/>
  <c r="J2278" i="5"/>
  <c r="B2279" i="5"/>
  <c r="J2279" i="5"/>
  <c r="B2280" i="5"/>
  <c r="J2280" i="5"/>
  <c r="B2281" i="5"/>
  <c r="J2281" i="5"/>
  <c r="B2282" i="5"/>
  <c r="J2282" i="5"/>
  <c r="B2283" i="5"/>
  <c r="J2283" i="5"/>
  <c r="B2284" i="5"/>
  <c r="J2284" i="5"/>
  <c r="B2285" i="5"/>
  <c r="J2285" i="5"/>
  <c r="B2286" i="5"/>
  <c r="J2286" i="5"/>
  <c r="B2287" i="5"/>
  <c r="J2287" i="5"/>
  <c r="B2288" i="5"/>
  <c r="J2288" i="5"/>
  <c r="B2289" i="5"/>
  <c r="J2289" i="5"/>
  <c r="B2290" i="5"/>
  <c r="J2290" i="5"/>
  <c r="B2291" i="5"/>
  <c r="J2291" i="5"/>
  <c r="B2292" i="5"/>
  <c r="J2292" i="5"/>
  <c r="B2293" i="5"/>
  <c r="B2294" i="5"/>
  <c r="B2295" i="5"/>
  <c r="B2296" i="5"/>
  <c r="B2297" i="5"/>
  <c r="B2298" i="5"/>
  <c r="B2299" i="5"/>
  <c r="B2300" i="5"/>
  <c r="B2301" i="5"/>
  <c r="B2302" i="5"/>
  <c r="B2303" i="5"/>
  <c r="B2304" i="5"/>
  <c r="J2304" i="5"/>
  <c r="B2305" i="5"/>
  <c r="J2305" i="5"/>
  <c r="B2306" i="5"/>
  <c r="J2306" i="5"/>
  <c r="B2307" i="5"/>
  <c r="J2307" i="5"/>
  <c r="B2308" i="5"/>
  <c r="J2308" i="5"/>
  <c r="B2309" i="5"/>
  <c r="J2309" i="5"/>
  <c r="B2310" i="5"/>
  <c r="J2310" i="5"/>
  <c r="B2311" i="5"/>
  <c r="J2311" i="5"/>
  <c r="B2312" i="5"/>
  <c r="J2312" i="5"/>
  <c r="B2313" i="5"/>
  <c r="J2313" i="5"/>
  <c r="B2314" i="5"/>
  <c r="J2314" i="5"/>
  <c r="B2315" i="5"/>
  <c r="J2315" i="5"/>
  <c r="B2316" i="5"/>
  <c r="J2316" i="5"/>
  <c r="B2317" i="5"/>
  <c r="J2317" i="5"/>
  <c r="B2318" i="5"/>
  <c r="J2318" i="5"/>
  <c r="B2319" i="5"/>
  <c r="J2319" i="5"/>
  <c r="B2320" i="5"/>
  <c r="J2320" i="5"/>
  <c r="B2321" i="5"/>
  <c r="J2321" i="5"/>
  <c r="B2322" i="5"/>
  <c r="J2322" i="5"/>
  <c r="B2323" i="5"/>
  <c r="J2323" i="5"/>
  <c r="B2324" i="5"/>
  <c r="J2324" i="5"/>
  <c r="B2325" i="5"/>
  <c r="J2325" i="5"/>
  <c r="B2326" i="5"/>
  <c r="J2326" i="5"/>
  <c r="B2327" i="5"/>
  <c r="J2327" i="5"/>
  <c r="B2328" i="5"/>
  <c r="J2328" i="5"/>
  <c r="B2329" i="5"/>
  <c r="J2329" i="5"/>
  <c r="B2330" i="5"/>
  <c r="J2330" i="5"/>
  <c r="B2331" i="5"/>
  <c r="J2331" i="5"/>
  <c r="B2332" i="5"/>
  <c r="J2332" i="5"/>
  <c r="B2333" i="5"/>
  <c r="J2333" i="5"/>
  <c r="B2334" i="5"/>
  <c r="J2334" i="5"/>
  <c r="B2335" i="5"/>
  <c r="J2335" i="5"/>
  <c r="B2336" i="5"/>
  <c r="J2336" i="5"/>
  <c r="B2337" i="5"/>
  <c r="J2337" i="5"/>
  <c r="B2338" i="5"/>
  <c r="J2338" i="5"/>
  <c r="B2339" i="5"/>
  <c r="J2339" i="5"/>
  <c r="B2340" i="5"/>
  <c r="J2340" i="5"/>
  <c r="B2341" i="5"/>
  <c r="J2341" i="5"/>
  <c r="B2342" i="5"/>
  <c r="J2342" i="5"/>
  <c r="B2343" i="5"/>
  <c r="B2344" i="5"/>
  <c r="B2345" i="5"/>
  <c r="J2345" i="5"/>
  <c r="B2346" i="5"/>
  <c r="J2346" i="5"/>
  <c r="B2347" i="5"/>
  <c r="J2347" i="5"/>
  <c r="B2348" i="5"/>
  <c r="J2348" i="5"/>
  <c r="B2349" i="5"/>
  <c r="J2349" i="5"/>
  <c r="B2350" i="5"/>
  <c r="J2350" i="5"/>
  <c r="B2351" i="5"/>
  <c r="J2351" i="5"/>
  <c r="B2352" i="5"/>
  <c r="J2352" i="5"/>
  <c r="B2353" i="5"/>
  <c r="J2353" i="5"/>
  <c r="B2354" i="5"/>
  <c r="J2354" i="5"/>
  <c r="B2355" i="5"/>
  <c r="J2355" i="5"/>
  <c r="B2356" i="5"/>
  <c r="J2356" i="5"/>
  <c r="B2357" i="5"/>
  <c r="J2357" i="5"/>
  <c r="B2358" i="5"/>
  <c r="J2358" i="5"/>
  <c r="B2359" i="5"/>
  <c r="J2359" i="5"/>
  <c r="B2360" i="5"/>
  <c r="J2360" i="5"/>
  <c r="B2361" i="5"/>
  <c r="J2361" i="5"/>
  <c r="B2362" i="5"/>
  <c r="J2362" i="5"/>
  <c r="B2363" i="5"/>
  <c r="J2363" i="5"/>
  <c r="B2364" i="5"/>
  <c r="J2364" i="5"/>
  <c r="B2365" i="5"/>
  <c r="J2365" i="5"/>
  <c r="B2366" i="5"/>
  <c r="J2366" i="5"/>
  <c r="B2367" i="5"/>
  <c r="J2367" i="5"/>
  <c r="B2368" i="5"/>
  <c r="J2368" i="5"/>
  <c r="B2369" i="5"/>
  <c r="J2369" i="5"/>
  <c r="B2370" i="5"/>
  <c r="J2370" i="5"/>
  <c r="B2371" i="5"/>
  <c r="J2371" i="5"/>
  <c r="B2372" i="5"/>
  <c r="J2372" i="5"/>
  <c r="B2373" i="5"/>
  <c r="J2373" i="5"/>
  <c r="B2374" i="5"/>
  <c r="J2374" i="5"/>
  <c r="B2375" i="5"/>
  <c r="J2375" i="5"/>
  <c r="B2376" i="5"/>
  <c r="J2376" i="5"/>
  <c r="B2377" i="5"/>
  <c r="J2377" i="5"/>
  <c r="B2378" i="5"/>
  <c r="J2378" i="5"/>
  <c r="B2379" i="5"/>
  <c r="J2379" i="5"/>
  <c r="B2380" i="5"/>
  <c r="J2380" i="5"/>
  <c r="B2381" i="5"/>
  <c r="J2381" i="5"/>
  <c r="B2382" i="5"/>
  <c r="J2382" i="5"/>
  <c r="B2383" i="5"/>
  <c r="J2383" i="5"/>
  <c r="B2384" i="5"/>
  <c r="J2384" i="5"/>
  <c r="B2385" i="5"/>
  <c r="J2385" i="5"/>
  <c r="B2386" i="5"/>
  <c r="J2386" i="5"/>
  <c r="B2387" i="5"/>
  <c r="J2387" i="5"/>
  <c r="B2388" i="5"/>
  <c r="J2388" i="5"/>
  <c r="B2389" i="5"/>
  <c r="J2389" i="5"/>
  <c r="B2390" i="5"/>
  <c r="J2390" i="5"/>
  <c r="B2391" i="5"/>
  <c r="J2391" i="5"/>
  <c r="B2392" i="5"/>
  <c r="J2392" i="5"/>
  <c r="B2393" i="5"/>
  <c r="J2393" i="5"/>
  <c r="B2394" i="5"/>
  <c r="J2394" i="5"/>
  <c r="B2395" i="5"/>
  <c r="J2395" i="5"/>
  <c r="B2396" i="5"/>
  <c r="J2396" i="5"/>
  <c r="B2397" i="5"/>
  <c r="J2397" i="5"/>
  <c r="B2398" i="5"/>
  <c r="J2398" i="5"/>
  <c r="B2399" i="5"/>
  <c r="J2399" i="5"/>
  <c r="B2400" i="5"/>
  <c r="J2400" i="5"/>
  <c r="B2401" i="5"/>
  <c r="J2401" i="5"/>
  <c r="B2402" i="5"/>
  <c r="J2402" i="5"/>
  <c r="B2403" i="5"/>
  <c r="J2403" i="5"/>
  <c r="B2404" i="5"/>
  <c r="J2404" i="5"/>
  <c r="B2405" i="5"/>
  <c r="J2405" i="5"/>
  <c r="B2406" i="5"/>
  <c r="J2406" i="5"/>
  <c r="B2407" i="5"/>
  <c r="J2407" i="5"/>
  <c r="B2408" i="5"/>
  <c r="J2408" i="5"/>
  <c r="B2409" i="5"/>
  <c r="J2409" i="5"/>
  <c r="B2410" i="5"/>
  <c r="J2410" i="5"/>
  <c r="B2411" i="5"/>
  <c r="J2411" i="5"/>
  <c r="B2412" i="5"/>
  <c r="J2412" i="5"/>
  <c r="B2413" i="5"/>
  <c r="J2413" i="5"/>
  <c r="B2414" i="5"/>
  <c r="J2414" i="5"/>
  <c r="B2415" i="5"/>
  <c r="J2415" i="5"/>
  <c r="B2416" i="5"/>
  <c r="J2416" i="5"/>
  <c r="B2417" i="5"/>
  <c r="J2417" i="5"/>
  <c r="B2418" i="5"/>
  <c r="J2418" i="5"/>
  <c r="B2419" i="5"/>
  <c r="J2419" i="5"/>
  <c r="B2420" i="5"/>
  <c r="J2420" i="5"/>
  <c r="B2421" i="5"/>
  <c r="J2421" i="5"/>
  <c r="B2422" i="5"/>
  <c r="J2422" i="5"/>
  <c r="B2423" i="5"/>
  <c r="J2423" i="5"/>
  <c r="B2424" i="5"/>
  <c r="J2424" i="5"/>
  <c r="B2425" i="5"/>
  <c r="J2425" i="5"/>
  <c r="B2426" i="5"/>
  <c r="J2426" i="5"/>
  <c r="B2427" i="5"/>
  <c r="J2427" i="5"/>
  <c r="B2428" i="5"/>
  <c r="J2428" i="5"/>
  <c r="B2429" i="5"/>
  <c r="J2429" i="5"/>
  <c r="B2430" i="5"/>
  <c r="J2430" i="5"/>
  <c r="B2431" i="5"/>
  <c r="J2431" i="5"/>
  <c r="B2432" i="5"/>
  <c r="J2432" i="5"/>
  <c r="B2433" i="5"/>
  <c r="J2433" i="5"/>
  <c r="B2434" i="5"/>
  <c r="J2434" i="5"/>
  <c r="B2435" i="5"/>
  <c r="J2435" i="5"/>
  <c r="B2436" i="5"/>
  <c r="J2436" i="5"/>
  <c r="B2437" i="5"/>
  <c r="J2437" i="5"/>
  <c r="B2438" i="5"/>
  <c r="J2438" i="5"/>
  <c r="B2439" i="5"/>
  <c r="J2439" i="5"/>
  <c r="B2440" i="5"/>
  <c r="J2440" i="5"/>
  <c r="B2441" i="5"/>
  <c r="J2441" i="5"/>
  <c r="B2442" i="5"/>
  <c r="J2442" i="5"/>
  <c r="B2443" i="5"/>
  <c r="J2443" i="5"/>
  <c r="B2444" i="5"/>
  <c r="J2444" i="5"/>
  <c r="B2445" i="5"/>
  <c r="J2445" i="5"/>
  <c r="B2446" i="5"/>
  <c r="J2446" i="5"/>
  <c r="B2447" i="5"/>
  <c r="J2447" i="5"/>
  <c r="B2448" i="5"/>
  <c r="J2448" i="5"/>
  <c r="B2449" i="5"/>
  <c r="J2449" i="5"/>
  <c r="B2450" i="5"/>
  <c r="J2450" i="5"/>
  <c r="B2451" i="5"/>
  <c r="J2451" i="5"/>
  <c r="B2452" i="5"/>
  <c r="J2452" i="5"/>
  <c r="B2453" i="5"/>
  <c r="J2453" i="5"/>
  <c r="B2454" i="5"/>
  <c r="J2454" i="5"/>
  <c r="B2455" i="5"/>
  <c r="J2455" i="5"/>
  <c r="B2456" i="5"/>
  <c r="J2456" i="5"/>
  <c r="B2457" i="5"/>
  <c r="J2457" i="5"/>
  <c r="B2458" i="5"/>
  <c r="J2458" i="5"/>
  <c r="B2459" i="5"/>
  <c r="J2459" i="5"/>
  <c r="B2460" i="5"/>
  <c r="J2460" i="5"/>
  <c r="B2461" i="5"/>
  <c r="J2461" i="5"/>
  <c r="B2462" i="5"/>
  <c r="J2462" i="5"/>
  <c r="B2463" i="5"/>
  <c r="J2463" i="5"/>
  <c r="B2464" i="5"/>
  <c r="J2464" i="5"/>
  <c r="B2465" i="5"/>
  <c r="J2465" i="5"/>
  <c r="B2466" i="5"/>
  <c r="J2466" i="5"/>
  <c r="B2467" i="5"/>
  <c r="J2467" i="5"/>
  <c r="B2468" i="5"/>
  <c r="J2468" i="5"/>
  <c r="B2469" i="5"/>
  <c r="J2469" i="5"/>
  <c r="B2470" i="5"/>
  <c r="J2470" i="5"/>
  <c r="B2471" i="5"/>
  <c r="J2471" i="5"/>
  <c r="B2472" i="5"/>
  <c r="J2472" i="5"/>
  <c r="B2473" i="5"/>
  <c r="J2473" i="5"/>
  <c r="B2474" i="5"/>
  <c r="J2474" i="5"/>
  <c r="B2475" i="5"/>
  <c r="J2475" i="5"/>
  <c r="B2476" i="5"/>
  <c r="J2476" i="5"/>
  <c r="B2477" i="5"/>
  <c r="J2477" i="5"/>
  <c r="B2478" i="5"/>
  <c r="J2478" i="5"/>
  <c r="B2479" i="5"/>
  <c r="J2479" i="5"/>
  <c r="B2480" i="5"/>
  <c r="J2480" i="5"/>
  <c r="B2481" i="5"/>
  <c r="J2481" i="5"/>
  <c r="B2482" i="5"/>
  <c r="J2482" i="5"/>
  <c r="B2483" i="5"/>
  <c r="J2483" i="5"/>
  <c r="B2484" i="5"/>
  <c r="J2484" i="5"/>
  <c r="B2485" i="5"/>
  <c r="J2485" i="5"/>
  <c r="B2486" i="5"/>
  <c r="J2486" i="5"/>
  <c r="B2487" i="5"/>
  <c r="J2487" i="5"/>
  <c r="B2488" i="5"/>
  <c r="J2488" i="5"/>
  <c r="B2489" i="5"/>
  <c r="J2489" i="5"/>
  <c r="B2490" i="5"/>
  <c r="J2490" i="5"/>
  <c r="B2491" i="5"/>
  <c r="J2491" i="5"/>
  <c r="B2492" i="5"/>
  <c r="J2492" i="5"/>
  <c r="B2493" i="5"/>
  <c r="J2493" i="5"/>
  <c r="B2494" i="5"/>
  <c r="J2494" i="5"/>
  <c r="B2495" i="5"/>
  <c r="J2495" i="5"/>
  <c r="B2496" i="5"/>
  <c r="J2496" i="5"/>
  <c r="B2497" i="5"/>
  <c r="J2497" i="5"/>
  <c r="B2498" i="5"/>
  <c r="J2498" i="5"/>
  <c r="B2499" i="5"/>
  <c r="J2499" i="5"/>
  <c r="B2500" i="5"/>
  <c r="J2500" i="5"/>
  <c r="B2501" i="5"/>
  <c r="J2501" i="5"/>
  <c r="B2502" i="5"/>
  <c r="J2502" i="5"/>
  <c r="B2503" i="5"/>
  <c r="J2503" i="5"/>
  <c r="B2504" i="5"/>
  <c r="J2504" i="5"/>
  <c r="B2505" i="5"/>
  <c r="J2505" i="5"/>
  <c r="B2506" i="5"/>
  <c r="J2506" i="5"/>
  <c r="B2507" i="5"/>
  <c r="J2507" i="5"/>
  <c r="B2508" i="5"/>
  <c r="J2508" i="5"/>
  <c r="B2509" i="5"/>
  <c r="J2509" i="5"/>
  <c r="B2510" i="5"/>
  <c r="J2510" i="5"/>
  <c r="B2511" i="5"/>
  <c r="J2511" i="5"/>
  <c r="B2512" i="5"/>
  <c r="J2512" i="5"/>
  <c r="B2513" i="5"/>
  <c r="J2513" i="5"/>
  <c r="B2514" i="5"/>
  <c r="J2514" i="5"/>
  <c r="B2515" i="5"/>
  <c r="J2515" i="5"/>
  <c r="B2516" i="5"/>
  <c r="J2516" i="5"/>
  <c r="B2517" i="5"/>
  <c r="J2517" i="5"/>
  <c r="B2518" i="5"/>
  <c r="J2518" i="5"/>
  <c r="B2519" i="5"/>
  <c r="J2519" i="5"/>
  <c r="B2520" i="5"/>
  <c r="J2520" i="5"/>
  <c r="B2521" i="5"/>
  <c r="J2521" i="5"/>
  <c r="B2522" i="5"/>
  <c r="J2522" i="5"/>
  <c r="B2523" i="5"/>
  <c r="J2523" i="5"/>
  <c r="B2524" i="5"/>
  <c r="J2524" i="5"/>
  <c r="B2525" i="5"/>
  <c r="J2525" i="5"/>
  <c r="B2526" i="5"/>
  <c r="J2526" i="5"/>
  <c r="B2527" i="5"/>
  <c r="J2527" i="5"/>
  <c r="B2528" i="5"/>
  <c r="J2528" i="5"/>
  <c r="B2529" i="5"/>
  <c r="J2529" i="5"/>
  <c r="B2530" i="5"/>
  <c r="J2530" i="5"/>
  <c r="B2531" i="5"/>
  <c r="J2531" i="5"/>
  <c r="B2532" i="5"/>
  <c r="J2532" i="5"/>
  <c r="B2533" i="5"/>
  <c r="J2533" i="5"/>
  <c r="B2534" i="5"/>
  <c r="J2534" i="5"/>
  <c r="B2535" i="5"/>
  <c r="J2535" i="5"/>
  <c r="B2536" i="5"/>
  <c r="J2536" i="5"/>
  <c r="B2537" i="5"/>
  <c r="J2537" i="5"/>
  <c r="B2538" i="5"/>
  <c r="J2538" i="5"/>
  <c r="B2539" i="5"/>
  <c r="J2539" i="5"/>
  <c r="B2540" i="5"/>
  <c r="J2540" i="5"/>
  <c r="B2541" i="5"/>
  <c r="J2541" i="5"/>
  <c r="B2542" i="5"/>
  <c r="J2542" i="5"/>
  <c r="B2543" i="5"/>
  <c r="J2543" i="5"/>
  <c r="B2544" i="5"/>
  <c r="J2544" i="5"/>
  <c r="B2545" i="5"/>
  <c r="J2545" i="5"/>
  <c r="B2546" i="5"/>
  <c r="J2546" i="5"/>
  <c r="B2547" i="5"/>
  <c r="J2547" i="5"/>
  <c r="B2548" i="5"/>
  <c r="J2548" i="5"/>
  <c r="B2549" i="5"/>
  <c r="J2549" i="5"/>
  <c r="B2550" i="5"/>
  <c r="J2550" i="5"/>
  <c r="B2551" i="5"/>
  <c r="J2551" i="5"/>
  <c r="B2552" i="5"/>
  <c r="J2552" i="5"/>
  <c r="B2553" i="5"/>
  <c r="J2553" i="5"/>
  <c r="B2554" i="5"/>
  <c r="J2554" i="5"/>
  <c r="B2555" i="5"/>
  <c r="J2555" i="5"/>
  <c r="B2556" i="5"/>
  <c r="J2556" i="5"/>
  <c r="B2557" i="5"/>
  <c r="J2557" i="5"/>
  <c r="B2558" i="5"/>
  <c r="J2558" i="5"/>
  <c r="B2559" i="5"/>
  <c r="J2559" i="5"/>
  <c r="B2560" i="5"/>
  <c r="J2560" i="5"/>
  <c r="B2561" i="5"/>
  <c r="J2561" i="5"/>
  <c r="B2562" i="5"/>
  <c r="J2562" i="5"/>
  <c r="B2563" i="5"/>
  <c r="J2563" i="5"/>
  <c r="B2564" i="5"/>
  <c r="B2565" i="5"/>
  <c r="J2565" i="5"/>
  <c r="B2566" i="5"/>
  <c r="J2566" i="5"/>
  <c r="B2567" i="5"/>
  <c r="J2567" i="5"/>
  <c r="B2568" i="5"/>
  <c r="J2568" i="5"/>
  <c r="B2569" i="5"/>
  <c r="J2569" i="5"/>
  <c r="B2570" i="5"/>
  <c r="J2570" i="5"/>
  <c r="B2571" i="5"/>
  <c r="J2571" i="5"/>
  <c r="B2572" i="5"/>
  <c r="J2572" i="5"/>
  <c r="B2573" i="5"/>
  <c r="J2573" i="5"/>
  <c r="B2574" i="5"/>
  <c r="J2574" i="5"/>
  <c r="B2575" i="5"/>
  <c r="J2575" i="5"/>
  <c r="B2576" i="5"/>
  <c r="J2576" i="5"/>
  <c r="B2577" i="5"/>
  <c r="J2577" i="5"/>
  <c r="B2578" i="5"/>
  <c r="J2578" i="5"/>
  <c r="B2579" i="5"/>
  <c r="J2579" i="5"/>
  <c r="B2580" i="5"/>
  <c r="J2580" i="5"/>
  <c r="B2581" i="5"/>
  <c r="J2581" i="5"/>
  <c r="B2582" i="5"/>
  <c r="J2582" i="5"/>
  <c r="B2583" i="5"/>
  <c r="J2583" i="5"/>
  <c r="B2584" i="5"/>
  <c r="J2584" i="5"/>
  <c r="B2585" i="5"/>
  <c r="B2586" i="5"/>
  <c r="B2587" i="5"/>
  <c r="J2587" i="5"/>
  <c r="B2588" i="5"/>
  <c r="J2588" i="5"/>
  <c r="B2589" i="5"/>
  <c r="J2589" i="5"/>
  <c r="B2590" i="5"/>
  <c r="J2590" i="5"/>
  <c r="B2591" i="5"/>
  <c r="J2591" i="5"/>
  <c r="B2592" i="5"/>
  <c r="J2592" i="5"/>
  <c r="B2593" i="5"/>
  <c r="J2593" i="5"/>
  <c r="B2594" i="5"/>
  <c r="J2594" i="5"/>
  <c r="B2595" i="5"/>
  <c r="J2595" i="5"/>
  <c r="B2596" i="5"/>
  <c r="J2596" i="5"/>
  <c r="B2597" i="5"/>
  <c r="J2597" i="5"/>
  <c r="B2598" i="5"/>
  <c r="J2598" i="5"/>
  <c r="B2599" i="5"/>
  <c r="J2599" i="5"/>
  <c r="B2600" i="5"/>
  <c r="J2600" i="5"/>
  <c r="B2601" i="5"/>
  <c r="J2601" i="5"/>
  <c r="B2602" i="5"/>
  <c r="J2602" i="5"/>
  <c r="B2603" i="5"/>
  <c r="J2603" i="5"/>
  <c r="B2604" i="5"/>
  <c r="J2604" i="5"/>
  <c r="B2605" i="5"/>
  <c r="J2605" i="5"/>
  <c r="B2606" i="5"/>
  <c r="J2606" i="5"/>
  <c r="B2607" i="5"/>
  <c r="J2607" i="5"/>
  <c r="B2608" i="5"/>
  <c r="J2608" i="5"/>
  <c r="B2609" i="5"/>
  <c r="J2609" i="5"/>
  <c r="B2610" i="5"/>
  <c r="J2610" i="5"/>
  <c r="B2611" i="5"/>
  <c r="J2611" i="5"/>
  <c r="B2612" i="5"/>
  <c r="J2612" i="5"/>
  <c r="B2613" i="5"/>
  <c r="J2613" i="5"/>
  <c r="B2614" i="5"/>
  <c r="J2614" i="5"/>
  <c r="B2615" i="5"/>
  <c r="J2615" i="5"/>
  <c r="B2616" i="5"/>
  <c r="J2616" i="5"/>
  <c r="B2617" i="5"/>
  <c r="J2617" i="5"/>
  <c r="B2618" i="5"/>
  <c r="J2618" i="5"/>
  <c r="B2619" i="5"/>
  <c r="J2619" i="5"/>
  <c r="B2620" i="5"/>
  <c r="J2620" i="5"/>
  <c r="B2621" i="5"/>
  <c r="J2621" i="5"/>
  <c r="B2622" i="5"/>
  <c r="J2622" i="5"/>
  <c r="B2623" i="5"/>
  <c r="J2623" i="5"/>
  <c r="B2624" i="5"/>
  <c r="J2624" i="5"/>
  <c r="B2625" i="5"/>
  <c r="J2625" i="5"/>
  <c r="B2626" i="5"/>
  <c r="J2626" i="5"/>
  <c r="B2627" i="5"/>
  <c r="J2627" i="5"/>
  <c r="B2628" i="5"/>
  <c r="J2628" i="5"/>
  <c r="B2629" i="5"/>
  <c r="J2629" i="5"/>
  <c r="B2630" i="5"/>
  <c r="J2630" i="5"/>
  <c r="B2631" i="5"/>
  <c r="J2631" i="5"/>
  <c r="B2632" i="5"/>
  <c r="J2632" i="5"/>
  <c r="B2633" i="5"/>
  <c r="J2633" i="5"/>
  <c r="B2634" i="5"/>
  <c r="J2634" i="5"/>
  <c r="B2635" i="5"/>
  <c r="J2635" i="5"/>
  <c r="B2636" i="5"/>
  <c r="J2636" i="5"/>
  <c r="B2637" i="5"/>
  <c r="J2637" i="5"/>
  <c r="B2638" i="5"/>
  <c r="J2638" i="5"/>
  <c r="B2639" i="5"/>
  <c r="J2639" i="5"/>
  <c r="B2640" i="5"/>
  <c r="J2640" i="5"/>
  <c r="B2641" i="5"/>
  <c r="J2641" i="5"/>
  <c r="B2642" i="5"/>
  <c r="J2642" i="5"/>
  <c r="B2643" i="5"/>
  <c r="J2643" i="5"/>
  <c r="B2644" i="5"/>
  <c r="J2644" i="5"/>
  <c r="B2645" i="5"/>
  <c r="J2645" i="5"/>
  <c r="B2646" i="5"/>
  <c r="J2646" i="5"/>
  <c r="B2647" i="5"/>
  <c r="J2647" i="5"/>
  <c r="B2648" i="5"/>
  <c r="J2648" i="5"/>
  <c r="B2649" i="5"/>
  <c r="J2649" i="5"/>
  <c r="B2650" i="5"/>
  <c r="J2650" i="5"/>
  <c r="B2651" i="5"/>
  <c r="J2651" i="5"/>
  <c r="B2652" i="5"/>
  <c r="J2652" i="5"/>
  <c r="B2653" i="5"/>
  <c r="J2653" i="5"/>
  <c r="B2654" i="5"/>
  <c r="J2654" i="5"/>
  <c r="B2655" i="5"/>
  <c r="J2655" i="5"/>
  <c r="B2656" i="5"/>
  <c r="J2656" i="5"/>
  <c r="B2657" i="5"/>
  <c r="J2657" i="5"/>
  <c r="B2658" i="5"/>
  <c r="J2658" i="5"/>
  <c r="B2659" i="5"/>
  <c r="J2659" i="5"/>
  <c r="B2660" i="5"/>
  <c r="J2660" i="5"/>
  <c r="B2661" i="5"/>
  <c r="J2661" i="5"/>
  <c r="B2662" i="5"/>
  <c r="J2662" i="5"/>
  <c r="B2663" i="5"/>
  <c r="J2663" i="5"/>
  <c r="B2664" i="5"/>
  <c r="J2664" i="5"/>
  <c r="B2665" i="5"/>
  <c r="J2665" i="5"/>
  <c r="B2666" i="5"/>
  <c r="J2666" i="5"/>
  <c r="B2667" i="5"/>
  <c r="J2667" i="5"/>
  <c r="B2668" i="5"/>
  <c r="J2668" i="5"/>
  <c r="B2669" i="5"/>
  <c r="J2669" i="5"/>
  <c r="B2670" i="5"/>
  <c r="J2670" i="5"/>
  <c r="B2671" i="5"/>
  <c r="J2671" i="5"/>
  <c r="B2672" i="5"/>
  <c r="J2672" i="5"/>
  <c r="B2673" i="5"/>
  <c r="J2673" i="5"/>
  <c r="B2674" i="5"/>
  <c r="J2674" i="5"/>
  <c r="B2675" i="5"/>
  <c r="J2675" i="5"/>
  <c r="B2676" i="5"/>
  <c r="J2676" i="5"/>
  <c r="B2677" i="5"/>
  <c r="J2677" i="5"/>
  <c r="B2678" i="5"/>
  <c r="J2678" i="5"/>
  <c r="B2679" i="5"/>
  <c r="J2679" i="5"/>
  <c r="B2680" i="5"/>
  <c r="J2680" i="5"/>
  <c r="B2681" i="5"/>
  <c r="J2681" i="5"/>
  <c r="B2682" i="5"/>
  <c r="J2682" i="5"/>
  <c r="B2683" i="5"/>
  <c r="J2683" i="5"/>
  <c r="B2684" i="5"/>
  <c r="J2684" i="5"/>
  <c r="B2685" i="5"/>
  <c r="J2685" i="5"/>
  <c r="B2686" i="5"/>
  <c r="J2686" i="5"/>
  <c r="B2687" i="5"/>
  <c r="J2687" i="5"/>
  <c r="B2688" i="5"/>
  <c r="J2688" i="5"/>
  <c r="B2689" i="5"/>
  <c r="J2689" i="5"/>
  <c r="B2690" i="5"/>
  <c r="J2690" i="5"/>
  <c r="B2691" i="5"/>
  <c r="J2691" i="5"/>
  <c r="B2692" i="5"/>
  <c r="J2692" i="5"/>
  <c r="B2693" i="5"/>
  <c r="J2693" i="5"/>
  <c r="B2694" i="5"/>
  <c r="J2694" i="5"/>
  <c r="B2695" i="5"/>
  <c r="J2695" i="5"/>
  <c r="B2696" i="5"/>
  <c r="J2696" i="5"/>
  <c r="B2697" i="5"/>
  <c r="J2697" i="5"/>
  <c r="B2698" i="5"/>
  <c r="B2699" i="5"/>
  <c r="J2699" i="5"/>
  <c r="B2700" i="5"/>
  <c r="J2700" i="5"/>
  <c r="B2701" i="5"/>
  <c r="J2701" i="5"/>
  <c r="B2702" i="5"/>
  <c r="J2702" i="5"/>
  <c r="B2703" i="5"/>
  <c r="J2703" i="5"/>
  <c r="B2704" i="5"/>
  <c r="J2704" i="5"/>
  <c r="B2705" i="5"/>
  <c r="J2705" i="5"/>
  <c r="B2706" i="5"/>
  <c r="J2706" i="5"/>
  <c r="B2707" i="5"/>
  <c r="J2707" i="5"/>
  <c r="B2708" i="5"/>
  <c r="J2708" i="5"/>
  <c r="B2709" i="5"/>
  <c r="J2709" i="5"/>
  <c r="B2710" i="5"/>
  <c r="J2710" i="5"/>
  <c r="B2711" i="5"/>
  <c r="J2711" i="5"/>
  <c r="B2712" i="5"/>
  <c r="J2712" i="5"/>
  <c r="B2713" i="5"/>
  <c r="J2713" i="5"/>
  <c r="B2714" i="5"/>
  <c r="B2715" i="5"/>
  <c r="J2715" i="5"/>
  <c r="B2716" i="5"/>
  <c r="J2716" i="5"/>
  <c r="B2717" i="5"/>
  <c r="J2717" i="5"/>
  <c r="B2718" i="5"/>
  <c r="J2718" i="5"/>
  <c r="B2719" i="5"/>
  <c r="J2719" i="5"/>
  <c r="B2720" i="5"/>
  <c r="J2720" i="5"/>
  <c r="B2721" i="5"/>
  <c r="J2721" i="5"/>
  <c r="B2722" i="5"/>
  <c r="J2722" i="5"/>
  <c r="B2723" i="5"/>
  <c r="J2723" i="5"/>
  <c r="B2724" i="5"/>
  <c r="J2724" i="5"/>
  <c r="B2725" i="5"/>
  <c r="J2725" i="5"/>
  <c r="B2726" i="5"/>
  <c r="J2726" i="5"/>
  <c r="B2727" i="5"/>
  <c r="J2727" i="5"/>
  <c r="B2728" i="5"/>
  <c r="J2728" i="5"/>
  <c r="B2729" i="5"/>
  <c r="J2729" i="5"/>
  <c r="B2730" i="5"/>
  <c r="J2730" i="5"/>
  <c r="B2731" i="5"/>
  <c r="J2731" i="5"/>
  <c r="B2732" i="5"/>
  <c r="J2732" i="5"/>
  <c r="B2733" i="5"/>
  <c r="J2733" i="5"/>
  <c r="B2734" i="5"/>
  <c r="J2734" i="5"/>
  <c r="B2735" i="5"/>
  <c r="J2735" i="5"/>
  <c r="B2736" i="5"/>
  <c r="J2736" i="5"/>
  <c r="B2737" i="5"/>
  <c r="J2737" i="5"/>
  <c r="B2738" i="5"/>
  <c r="J2738" i="5"/>
  <c r="B2739" i="5"/>
  <c r="B2740" i="5"/>
  <c r="J2740" i="5"/>
  <c r="B2741" i="5"/>
  <c r="J2741" i="5"/>
  <c r="B2742" i="5"/>
  <c r="J2742" i="5"/>
  <c r="B2743" i="5"/>
  <c r="J2743" i="5"/>
  <c r="B2744" i="5"/>
  <c r="B2745" i="5"/>
  <c r="J2745" i="5"/>
  <c r="B2746" i="5"/>
  <c r="J2746" i="5"/>
  <c r="B2747" i="5"/>
  <c r="J2747" i="5"/>
  <c r="B2748" i="5"/>
  <c r="J2748" i="5"/>
  <c r="B2749" i="5"/>
  <c r="J2749" i="5"/>
  <c r="B2750" i="5"/>
  <c r="J2750" i="5"/>
  <c r="B2751" i="5"/>
  <c r="J2751" i="5"/>
  <c r="B2752" i="5"/>
  <c r="J2752" i="5"/>
  <c r="B2753" i="5"/>
  <c r="B2754" i="5"/>
  <c r="B2755" i="5"/>
  <c r="J2755" i="5"/>
  <c r="B2756" i="5"/>
  <c r="J2756" i="5"/>
  <c r="B2757" i="5"/>
  <c r="J2757" i="5"/>
  <c r="B2758" i="5"/>
  <c r="J2758" i="5"/>
  <c r="B2759" i="5"/>
  <c r="J2759" i="5"/>
  <c r="B2760" i="5"/>
  <c r="J2760" i="5"/>
  <c r="B2761" i="5"/>
  <c r="J2761" i="5"/>
  <c r="B2762" i="5"/>
  <c r="J2762" i="5"/>
  <c r="B2763" i="5"/>
  <c r="J2763" i="5"/>
  <c r="B2764" i="5"/>
  <c r="J2764" i="5"/>
  <c r="B2765" i="5"/>
  <c r="J2765" i="5"/>
  <c r="B2766" i="5"/>
  <c r="J2766" i="5"/>
  <c r="B2767" i="5"/>
  <c r="J2767" i="5"/>
  <c r="B2768" i="5"/>
  <c r="J2768" i="5"/>
  <c r="B2769" i="5"/>
  <c r="J2769" i="5"/>
  <c r="B2770" i="5"/>
  <c r="J2770" i="5"/>
  <c r="B2771" i="5"/>
  <c r="J2771" i="5"/>
  <c r="B2772" i="5"/>
  <c r="J2772" i="5"/>
  <c r="B2773" i="5"/>
  <c r="J2773" i="5"/>
  <c r="B2774" i="5"/>
  <c r="J2774" i="5"/>
  <c r="B2775" i="5"/>
  <c r="J2775" i="5"/>
  <c r="B2776" i="5"/>
  <c r="J2776" i="5"/>
  <c r="B2777" i="5"/>
  <c r="J2777" i="5"/>
  <c r="B2778" i="5"/>
  <c r="J2778" i="5"/>
  <c r="B2779" i="5"/>
  <c r="J2779" i="5"/>
  <c r="B2780" i="5"/>
  <c r="J2780" i="5"/>
  <c r="B2781" i="5"/>
  <c r="J2781" i="5"/>
  <c r="B2782" i="5"/>
  <c r="J2782" i="5"/>
  <c r="B2783" i="5"/>
  <c r="J2783" i="5"/>
  <c r="B2784" i="5"/>
  <c r="J2784" i="5"/>
  <c r="B2785" i="5"/>
  <c r="J2785" i="5"/>
  <c r="B2786" i="5"/>
  <c r="J2786" i="5"/>
  <c r="B2787" i="5"/>
  <c r="J2787" i="5"/>
  <c r="B2788" i="5"/>
  <c r="J2788" i="5"/>
  <c r="B2789" i="5"/>
  <c r="J2789" i="5"/>
  <c r="B2790" i="5"/>
  <c r="J2790" i="5"/>
  <c r="B2791" i="5"/>
  <c r="J2791" i="5"/>
  <c r="B2792" i="5"/>
  <c r="J2792" i="5"/>
  <c r="B2793" i="5"/>
  <c r="J2793" i="5"/>
  <c r="B2794" i="5"/>
  <c r="J2794" i="5"/>
  <c r="B2795" i="5"/>
  <c r="J2795" i="5"/>
  <c r="B2796" i="5"/>
  <c r="J2796" i="5"/>
  <c r="B2797" i="5"/>
  <c r="J2797" i="5"/>
  <c r="B2798" i="5"/>
  <c r="J2798" i="5"/>
  <c r="B2799" i="5"/>
  <c r="J2799" i="5"/>
  <c r="B2800" i="5"/>
  <c r="J2800" i="5"/>
  <c r="B2801" i="5"/>
  <c r="J2801" i="5"/>
  <c r="B2802" i="5"/>
  <c r="J2802" i="5"/>
  <c r="B2803" i="5"/>
  <c r="J2803" i="5"/>
  <c r="B2804" i="5"/>
  <c r="J2804" i="5"/>
  <c r="B2805" i="5"/>
  <c r="J2805" i="5"/>
  <c r="B2806" i="5"/>
  <c r="J2806" i="5"/>
  <c r="B2807" i="5"/>
  <c r="J2807" i="5"/>
  <c r="B2808" i="5"/>
  <c r="J2808" i="5"/>
  <c r="B2809" i="5"/>
  <c r="J2809" i="5"/>
  <c r="B2810" i="5"/>
  <c r="J2810" i="5"/>
  <c r="B2811" i="5"/>
  <c r="J2811" i="5"/>
  <c r="B2812" i="5"/>
  <c r="J2812" i="5"/>
  <c r="B2813" i="5"/>
  <c r="J2813" i="5"/>
  <c r="B2814" i="5"/>
  <c r="J2814" i="5"/>
  <c r="B2815" i="5"/>
  <c r="J2815" i="5"/>
  <c r="B2816" i="5"/>
  <c r="J2816" i="5"/>
  <c r="B2817" i="5"/>
  <c r="J2817" i="5"/>
  <c r="B2818" i="5"/>
  <c r="J2818" i="5"/>
  <c r="B2819" i="5"/>
  <c r="J2819" i="5"/>
  <c r="B2820" i="5"/>
  <c r="J2820" i="5"/>
  <c r="B2821" i="5"/>
  <c r="J2821" i="5"/>
  <c r="B2822" i="5"/>
  <c r="J2822" i="5"/>
  <c r="B2823" i="5"/>
  <c r="J2823" i="5"/>
  <c r="B2824" i="5"/>
  <c r="J2824" i="5"/>
  <c r="B2825" i="5"/>
  <c r="J2825" i="5"/>
  <c r="B2826" i="5"/>
  <c r="J2826" i="5"/>
  <c r="B2827" i="5"/>
  <c r="J2827" i="5"/>
  <c r="B2828" i="5"/>
  <c r="J2828" i="5"/>
  <c r="B2829" i="5"/>
  <c r="J2829" i="5"/>
  <c r="B2830" i="5"/>
  <c r="J2830" i="5"/>
  <c r="B2831" i="5"/>
  <c r="J2831" i="5"/>
  <c r="B2832" i="5"/>
  <c r="J2832" i="5"/>
  <c r="B2833" i="5"/>
  <c r="J2833" i="5"/>
  <c r="B2834" i="5"/>
  <c r="J2834" i="5"/>
  <c r="B2835" i="5"/>
  <c r="J2835" i="5"/>
  <c r="B2836" i="5"/>
  <c r="J2836" i="5"/>
  <c r="B2837" i="5"/>
  <c r="J2837" i="5"/>
  <c r="B2838" i="5"/>
  <c r="J2838" i="5"/>
  <c r="B2839" i="5"/>
  <c r="J2839" i="5"/>
  <c r="B2840" i="5"/>
  <c r="J2840" i="5"/>
  <c r="B2841" i="5"/>
  <c r="J2841" i="5"/>
  <c r="B2842" i="5"/>
  <c r="J2842" i="5"/>
  <c r="B2843" i="5"/>
  <c r="J2843" i="5"/>
  <c r="B2844" i="5"/>
  <c r="J2844" i="5"/>
  <c r="B2845" i="5"/>
  <c r="J2845" i="5"/>
  <c r="B2846" i="5"/>
  <c r="J2846" i="5"/>
  <c r="B2847" i="5"/>
  <c r="J2847" i="5"/>
  <c r="B2848" i="5"/>
  <c r="J2848" i="5"/>
  <c r="B2849" i="5"/>
  <c r="J2849" i="5"/>
  <c r="B2850" i="5"/>
  <c r="J2850" i="5"/>
  <c r="B2851" i="5"/>
  <c r="J2851" i="5"/>
  <c r="B2852" i="5"/>
  <c r="J2852" i="5"/>
  <c r="B2853" i="5"/>
  <c r="J2853" i="5"/>
  <c r="B2854" i="5"/>
  <c r="J2854" i="5"/>
  <c r="B2855" i="5"/>
  <c r="J2855" i="5"/>
  <c r="B2856" i="5"/>
  <c r="J2856" i="5"/>
  <c r="B2857" i="5"/>
  <c r="J2857" i="5"/>
  <c r="B2858" i="5"/>
  <c r="J2858" i="5"/>
  <c r="B2859" i="5"/>
  <c r="J2859" i="5"/>
  <c r="B2860" i="5"/>
  <c r="J2860" i="5"/>
  <c r="B2861" i="5"/>
  <c r="J2861" i="5"/>
  <c r="B2862" i="5"/>
  <c r="J2862" i="5"/>
  <c r="B2863" i="5"/>
  <c r="J2863" i="5"/>
  <c r="B2864" i="5"/>
  <c r="J2864" i="5"/>
  <c r="B2865" i="5"/>
  <c r="J2865" i="5"/>
  <c r="B2866" i="5"/>
  <c r="J2866" i="5"/>
  <c r="B2867" i="5"/>
  <c r="J2867" i="5"/>
  <c r="B2868" i="5"/>
  <c r="J2868" i="5"/>
  <c r="B2869" i="5"/>
  <c r="J2869" i="5"/>
  <c r="B2870" i="5"/>
  <c r="J2870" i="5"/>
  <c r="B2871" i="5"/>
  <c r="J2871" i="5"/>
  <c r="B2872" i="5"/>
  <c r="J2872" i="5"/>
  <c r="B2873" i="5"/>
  <c r="J2873" i="5"/>
  <c r="B2874" i="5"/>
  <c r="J2874" i="5"/>
  <c r="B2875" i="5"/>
  <c r="J2875" i="5"/>
  <c r="B2876" i="5"/>
  <c r="J2876" i="5"/>
  <c r="B2877" i="5"/>
  <c r="J2877" i="5"/>
  <c r="B2878" i="5"/>
  <c r="J2878" i="5"/>
  <c r="B2879" i="5"/>
  <c r="J2879" i="5"/>
  <c r="B2880" i="5"/>
  <c r="J2880" i="5"/>
  <c r="B2881" i="5"/>
  <c r="J2881" i="5"/>
  <c r="B2882" i="5"/>
  <c r="J2882" i="5"/>
  <c r="B2883" i="5"/>
  <c r="J2883" i="5"/>
  <c r="B2884" i="5"/>
  <c r="J2884" i="5"/>
  <c r="B2885" i="5"/>
  <c r="J2885" i="5"/>
  <c r="B2886" i="5"/>
  <c r="J2886" i="5"/>
  <c r="B2887" i="5"/>
  <c r="J2887" i="5"/>
  <c r="B2888" i="5"/>
  <c r="J2888" i="5"/>
  <c r="B2889" i="5"/>
  <c r="J2889" i="5"/>
  <c r="B2890" i="5"/>
  <c r="J2890" i="5"/>
  <c r="B2891" i="5"/>
  <c r="J2891" i="5"/>
  <c r="B2892" i="5"/>
  <c r="J2892" i="5"/>
  <c r="B2893" i="5"/>
  <c r="J2893" i="5"/>
  <c r="B2894" i="5"/>
  <c r="J2894" i="5"/>
  <c r="B2895" i="5"/>
  <c r="J2895" i="5"/>
  <c r="B2896" i="5"/>
  <c r="J2896" i="5"/>
  <c r="B2897" i="5"/>
  <c r="J2897" i="5"/>
  <c r="B2898" i="5"/>
  <c r="J2898" i="5"/>
  <c r="B2899" i="5"/>
  <c r="J2899" i="5"/>
  <c r="B2900" i="5"/>
  <c r="J2900" i="5"/>
  <c r="B2901" i="5"/>
  <c r="J2901" i="5"/>
  <c r="B2902" i="5"/>
  <c r="J2902" i="5"/>
  <c r="B2903" i="5"/>
  <c r="J2903" i="5"/>
  <c r="B2904" i="5"/>
  <c r="J2904" i="5"/>
  <c r="B2905" i="5"/>
  <c r="J2905" i="5"/>
  <c r="B2906" i="5"/>
  <c r="J2906" i="5"/>
  <c r="B2907" i="5"/>
  <c r="J2907" i="5"/>
  <c r="B2908" i="5"/>
  <c r="J2908" i="5"/>
  <c r="B2909" i="5"/>
  <c r="J2909" i="5"/>
  <c r="B2910" i="5"/>
  <c r="J2910" i="5"/>
  <c r="B2911" i="5"/>
  <c r="J2911" i="5"/>
  <c r="B2912" i="5"/>
  <c r="J2912" i="5"/>
  <c r="B2913" i="5"/>
  <c r="J2913" i="5"/>
  <c r="B2914" i="5"/>
  <c r="J2914" i="5"/>
  <c r="B2915" i="5"/>
  <c r="J2915" i="5"/>
  <c r="B2916" i="5"/>
  <c r="J2916" i="5"/>
  <c r="B2917" i="5"/>
  <c r="J2917" i="5"/>
  <c r="B2918" i="5"/>
  <c r="J2918" i="5"/>
  <c r="B2919" i="5"/>
  <c r="J2919" i="5"/>
  <c r="B2920" i="5"/>
  <c r="J2920" i="5"/>
  <c r="B2921" i="5"/>
  <c r="J2921" i="5"/>
  <c r="B2922" i="5"/>
  <c r="J2922" i="5"/>
  <c r="B2923" i="5"/>
  <c r="J2923" i="5"/>
  <c r="B2924" i="5"/>
  <c r="J2924" i="5"/>
  <c r="B2925" i="5"/>
  <c r="J2925" i="5"/>
  <c r="B2926" i="5"/>
  <c r="J2926" i="5"/>
  <c r="B2927" i="5"/>
  <c r="J2927" i="5"/>
  <c r="B2928" i="5"/>
  <c r="J2928" i="5"/>
  <c r="B2929" i="5"/>
  <c r="J2929" i="5"/>
  <c r="B2930" i="5"/>
  <c r="J2930" i="5"/>
  <c r="B2931" i="5"/>
  <c r="J2931" i="5"/>
  <c r="B2932" i="5"/>
  <c r="J2932" i="5"/>
  <c r="B2933" i="5"/>
  <c r="J2933" i="5"/>
  <c r="B2934" i="5"/>
  <c r="J2934" i="5"/>
  <c r="B2935" i="5"/>
  <c r="J2935" i="5"/>
  <c r="B2936" i="5"/>
  <c r="J2936" i="5"/>
  <c r="B2937" i="5"/>
  <c r="J2937" i="5"/>
  <c r="B2938" i="5"/>
  <c r="J2938" i="5"/>
  <c r="B2939" i="5"/>
  <c r="J2939" i="5"/>
  <c r="B2940" i="5"/>
  <c r="J2940" i="5"/>
  <c r="B2941" i="5"/>
  <c r="J2941" i="5"/>
  <c r="B2942" i="5"/>
  <c r="J2942" i="5"/>
  <c r="B2943" i="5"/>
  <c r="J2943" i="5"/>
  <c r="B2944" i="5"/>
  <c r="J2944" i="5"/>
  <c r="B2945" i="5"/>
  <c r="J2945" i="5"/>
  <c r="B2946" i="5"/>
  <c r="J2946" i="5"/>
  <c r="B2947" i="5"/>
  <c r="J2947" i="5"/>
  <c r="B2948" i="5"/>
  <c r="J2948" i="5"/>
  <c r="B2949" i="5"/>
  <c r="J2949" i="5"/>
  <c r="B2950" i="5"/>
  <c r="B2951" i="5"/>
  <c r="B2952" i="5"/>
  <c r="B2953" i="5"/>
  <c r="B2954" i="5"/>
  <c r="B2955" i="5"/>
  <c r="B2956" i="5"/>
  <c r="B2957" i="5"/>
  <c r="B2958" i="5"/>
  <c r="B2959" i="5"/>
  <c r="B2960" i="5"/>
  <c r="B2961" i="5"/>
  <c r="B2962" i="5"/>
  <c r="B2963" i="5"/>
  <c r="B2964" i="5"/>
  <c r="B2965" i="5"/>
  <c r="B2966" i="5"/>
  <c r="B2967" i="5"/>
  <c r="B2968" i="5"/>
  <c r="B2969" i="5"/>
  <c r="B2970" i="5"/>
  <c r="B2971" i="5"/>
  <c r="J2971" i="5"/>
  <c r="B2972" i="5"/>
  <c r="J2972" i="5"/>
  <c r="B2973" i="5"/>
  <c r="J2973" i="5"/>
  <c r="B2974" i="5"/>
  <c r="J2974" i="5"/>
  <c r="B2975" i="5"/>
  <c r="J2975" i="5"/>
  <c r="B2976" i="5"/>
  <c r="J2976" i="5"/>
  <c r="B2977" i="5"/>
  <c r="J2977" i="5"/>
  <c r="B2978" i="5"/>
  <c r="J2978" i="5"/>
  <c r="B2979" i="5"/>
  <c r="J2979" i="5"/>
  <c r="B2980" i="5"/>
  <c r="J2980" i="5"/>
  <c r="B2981" i="5"/>
  <c r="J2981" i="5"/>
  <c r="B2982" i="5"/>
  <c r="J2982" i="5"/>
  <c r="B2983" i="5"/>
  <c r="J2983" i="5"/>
  <c r="B2984" i="5"/>
  <c r="J2984" i="5"/>
  <c r="B2985" i="5"/>
  <c r="J2985" i="5"/>
  <c r="B2986" i="5"/>
  <c r="J2986" i="5"/>
  <c r="B2987" i="5"/>
  <c r="J2987" i="5"/>
  <c r="B2988" i="5"/>
  <c r="J2988" i="5"/>
  <c r="B2989" i="5"/>
  <c r="J2989" i="5"/>
  <c r="B2990" i="5"/>
  <c r="J2990" i="5"/>
  <c r="B2991" i="5"/>
  <c r="J2991" i="5"/>
  <c r="B2992" i="5"/>
  <c r="J2992" i="5"/>
  <c r="B2993" i="5"/>
  <c r="J2993" i="5"/>
  <c r="B2994" i="5"/>
  <c r="J2994" i="5"/>
  <c r="B2995" i="5"/>
  <c r="J2995" i="5"/>
  <c r="B2996" i="5"/>
  <c r="J2996" i="5"/>
  <c r="B2997" i="5"/>
  <c r="J2997" i="5"/>
  <c r="B2998" i="5"/>
  <c r="J2998" i="5"/>
  <c r="B2999" i="5"/>
  <c r="J2999" i="5"/>
  <c r="B3000" i="5"/>
  <c r="J3000" i="5"/>
  <c r="B3001" i="5"/>
  <c r="J3001" i="5"/>
  <c r="B3002" i="5"/>
  <c r="J3002" i="5"/>
  <c r="B3003" i="5"/>
  <c r="J3003" i="5"/>
  <c r="B3004" i="5"/>
  <c r="J3004" i="5"/>
  <c r="B3005" i="5"/>
  <c r="J3005" i="5"/>
  <c r="B3006" i="5"/>
  <c r="J3006" i="5"/>
  <c r="B3007" i="5"/>
  <c r="J3007" i="5"/>
  <c r="B3008" i="5"/>
  <c r="J3008" i="5"/>
  <c r="B3009" i="5"/>
  <c r="J3009" i="5"/>
  <c r="B3010" i="5"/>
  <c r="J3010" i="5"/>
  <c r="B3011" i="5"/>
  <c r="J3011" i="5"/>
  <c r="B3012" i="5"/>
  <c r="J3012" i="5"/>
  <c r="B3013" i="5"/>
  <c r="J3013" i="5"/>
  <c r="B3014" i="5"/>
  <c r="J3014" i="5"/>
  <c r="B3015" i="5"/>
  <c r="J3015" i="5"/>
  <c r="B3016" i="5"/>
  <c r="J3016" i="5"/>
  <c r="B3017" i="5"/>
  <c r="J3017" i="5"/>
  <c r="B3018" i="5"/>
  <c r="J3018" i="5"/>
  <c r="B3019" i="5"/>
  <c r="J3019" i="5"/>
  <c r="B3020" i="5"/>
  <c r="J3020" i="5"/>
  <c r="B3021" i="5"/>
  <c r="J3021" i="5"/>
  <c r="B3022" i="5"/>
  <c r="J3022" i="5"/>
  <c r="B3023" i="5"/>
  <c r="J3023" i="5"/>
  <c r="B3024" i="5"/>
  <c r="J3024" i="5"/>
  <c r="B3025" i="5"/>
  <c r="J3025" i="5"/>
  <c r="B3026" i="5"/>
  <c r="J3026" i="5"/>
  <c r="B3027" i="5"/>
  <c r="J3027" i="5"/>
  <c r="B3028" i="5"/>
  <c r="J3028" i="5"/>
  <c r="B3029" i="5"/>
  <c r="J3029" i="5"/>
  <c r="B3030" i="5"/>
  <c r="J3030" i="5"/>
  <c r="B3031" i="5"/>
  <c r="J3031" i="5"/>
  <c r="B3032" i="5"/>
  <c r="J3032" i="5"/>
  <c r="B3033" i="5"/>
  <c r="J3033" i="5"/>
  <c r="B3034" i="5"/>
  <c r="J3034" i="5"/>
  <c r="B3035" i="5"/>
  <c r="J3035" i="5"/>
  <c r="B3036" i="5"/>
  <c r="J3036" i="5"/>
  <c r="B3037" i="5"/>
  <c r="J3037" i="5"/>
  <c r="B3038" i="5"/>
  <c r="J3038" i="5"/>
  <c r="B3039" i="5"/>
  <c r="J3039" i="5"/>
  <c r="B3040" i="5"/>
  <c r="J3040" i="5"/>
  <c r="B3041" i="5"/>
  <c r="J3041" i="5"/>
  <c r="B3042" i="5"/>
  <c r="J3042" i="5"/>
  <c r="B3043" i="5"/>
  <c r="J3043" i="5"/>
  <c r="B3044" i="5"/>
  <c r="J3044" i="5"/>
  <c r="B3045" i="5"/>
  <c r="J3045" i="5"/>
  <c r="B3046" i="5"/>
  <c r="J3046" i="5"/>
  <c r="B3047" i="5"/>
  <c r="J3047" i="5"/>
  <c r="B3048" i="5"/>
  <c r="J3048" i="5"/>
  <c r="B3049" i="5"/>
  <c r="J3049" i="5"/>
  <c r="B3050" i="5"/>
  <c r="J3050" i="5"/>
  <c r="B3051" i="5"/>
  <c r="J3051" i="5"/>
  <c r="B3052" i="5"/>
  <c r="J3052" i="5"/>
  <c r="B3053" i="5"/>
  <c r="J3053" i="5"/>
  <c r="B3054" i="5"/>
  <c r="J3054" i="5"/>
  <c r="B3055" i="5"/>
  <c r="J3055" i="5"/>
  <c r="B3056" i="5"/>
  <c r="J3056" i="5"/>
  <c r="B3057" i="5"/>
  <c r="J3057" i="5"/>
  <c r="B3058" i="5"/>
  <c r="J3058" i="5"/>
  <c r="B3059" i="5"/>
  <c r="J3059" i="5"/>
  <c r="B3060" i="5"/>
  <c r="J3060" i="5"/>
  <c r="B3061" i="5"/>
  <c r="J3061" i="5"/>
  <c r="B3062" i="5"/>
  <c r="J3062" i="5"/>
  <c r="B3063" i="5"/>
  <c r="J3063" i="5"/>
  <c r="B3064" i="5"/>
  <c r="J3064" i="5"/>
  <c r="B3065" i="5"/>
  <c r="J3065" i="5"/>
  <c r="B3066" i="5"/>
  <c r="J3066" i="5"/>
  <c r="B3067" i="5"/>
  <c r="J3067" i="5"/>
  <c r="B3068" i="5"/>
  <c r="J3068" i="5"/>
  <c r="B3069" i="5"/>
  <c r="J3069" i="5"/>
  <c r="B3070" i="5"/>
  <c r="J3070" i="5"/>
  <c r="B3071" i="5"/>
  <c r="J3071" i="5"/>
  <c r="B3072" i="5"/>
  <c r="J3072" i="5"/>
  <c r="B3073" i="5"/>
  <c r="J3073" i="5"/>
  <c r="B3074" i="5"/>
  <c r="J3074" i="5"/>
  <c r="B3075" i="5"/>
  <c r="J3075" i="5"/>
  <c r="B3076" i="5"/>
  <c r="J3076" i="5"/>
  <c r="B3077" i="5"/>
  <c r="J3077" i="5"/>
  <c r="B3078" i="5"/>
  <c r="J3078" i="5"/>
  <c r="B3079" i="5"/>
  <c r="J3079" i="5"/>
  <c r="B3080" i="5"/>
  <c r="J3080" i="5"/>
  <c r="B3081" i="5"/>
  <c r="J3081" i="5"/>
  <c r="B3082" i="5"/>
  <c r="J3082" i="5"/>
  <c r="B3083" i="5"/>
  <c r="J3083" i="5"/>
  <c r="B3084" i="5"/>
  <c r="J3084" i="5"/>
  <c r="B3085" i="5"/>
  <c r="J3085" i="5"/>
  <c r="B3086" i="5"/>
  <c r="J3086" i="5"/>
  <c r="B3087" i="5"/>
  <c r="J3087" i="5"/>
  <c r="B3088" i="5"/>
  <c r="J3088" i="5"/>
  <c r="B3089" i="5"/>
  <c r="J3089" i="5"/>
  <c r="B3090" i="5"/>
  <c r="J3090" i="5"/>
  <c r="B3091" i="5"/>
  <c r="J3091" i="5"/>
  <c r="B3092" i="5"/>
  <c r="J3092" i="5"/>
  <c r="B3093" i="5"/>
  <c r="J3093" i="5"/>
  <c r="B3094" i="5"/>
  <c r="J3094" i="5"/>
  <c r="B3095" i="5"/>
  <c r="J3095" i="5"/>
  <c r="B3096" i="5"/>
  <c r="J3096" i="5"/>
  <c r="B3097" i="5"/>
  <c r="J3097" i="5"/>
  <c r="B3098" i="5"/>
  <c r="J3098" i="5"/>
  <c r="B3099" i="5"/>
  <c r="J3099" i="5"/>
  <c r="B3100" i="5"/>
  <c r="J3100" i="5"/>
  <c r="B3101" i="5"/>
  <c r="J3101" i="5"/>
  <c r="B3102" i="5"/>
  <c r="J3102" i="5"/>
  <c r="B3103" i="5"/>
  <c r="J3103" i="5"/>
  <c r="B3104" i="5"/>
  <c r="J3104" i="5"/>
  <c r="B3105" i="5"/>
  <c r="J3105" i="5"/>
  <c r="B3106" i="5"/>
  <c r="J3106" i="5"/>
  <c r="B3107" i="5"/>
  <c r="J3107" i="5"/>
  <c r="B3108" i="5"/>
  <c r="J3108" i="5"/>
  <c r="B3109" i="5"/>
  <c r="J3109" i="5"/>
  <c r="B3110" i="5"/>
  <c r="J3110" i="5"/>
  <c r="B3111" i="5"/>
  <c r="J3111" i="5"/>
  <c r="B3112" i="5"/>
  <c r="J3112" i="5"/>
  <c r="B3113" i="5"/>
  <c r="J3113" i="5"/>
  <c r="B3114" i="5"/>
  <c r="J3114" i="5"/>
  <c r="B3115" i="5"/>
  <c r="J3115" i="5"/>
  <c r="B3116" i="5"/>
  <c r="J3116" i="5"/>
  <c r="B3117" i="5"/>
  <c r="J3117" i="5"/>
  <c r="B3118" i="5"/>
  <c r="J3118" i="5"/>
  <c r="B3119" i="5"/>
  <c r="J3119" i="5"/>
  <c r="B3120" i="5"/>
  <c r="J3120" i="5"/>
  <c r="B3121" i="5"/>
  <c r="J3121" i="5"/>
  <c r="B3122" i="5"/>
  <c r="J3122" i="5"/>
  <c r="B3123" i="5"/>
  <c r="J3123" i="5"/>
  <c r="B3124" i="5"/>
  <c r="J3124" i="5"/>
  <c r="B3125" i="5"/>
  <c r="J3125" i="5"/>
  <c r="B3126" i="5"/>
  <c r="J3126" i="5"/>
  <c r="B3127" i="5"/>
  <c r="J3127" i="5"/>
  <c r="B3128" i="5"/>
  <c r="J3128" i="5"/>
  <c r="B3129" i="5"/>
  <c r="J3129" i="5"/>
  <c r="B3130" i="5"/>
  <c r="J3130" i="5"/>
  <c r="B3131" i="5"/>
  <c r="J3131" i="5"/>
  <c r="B3132" i="5"/>
  <c r="J3132" i="5"/>
  <c r="B3133" i="5"/>
  <c r="J3133" i="5"/>
  <c r="B3134" i="5"/>
  <c r="J3134" i="5"/>
  <c r="B3135" i="5"/>
  <c r="J3135" i="5"/>
  <c r="B3136" i="5"/>
  <c r="J3136" i="5"/>
  <c r="B3137" i="5"/>
  <c r="J3137" i="5"/>
  <c r="B3138" i="5"/>
  <c r="J3138" i="5"/>
  <c r="B3139" i="5"/>
  <c r="J3139" i="5"/>
  <c r="B3140" i="5"/>
  <c r="B3141" i="5"/>
  <c r="J3141" i="5"/>
  <c r="B3142" i="5"/>
  <c r="J3142" i="5"/>
  <c r="B3143" i="5"/>
  <c r="J3143" i="5"/>
  <c r="B3144" i="5"/>
  <c r="J3144" i="5"/>
  <c r="B3145" i="5"/>
  <c r="J3145" i="5"/>
  <c r="B3146" i="5"/>
  <c r="J3146" i="5"/>
  <c r="B3147" i="5"/>
  <c r="J3147" i="5"/>
  <c r="B3148" i="5"/>
  <c r="J3148" i="5"/>
  <c r="B3149" i="5"/>
  <c r="J3149" i="5"/>
  <c r="B3150" i="5"/>
  <c r="J3150" i="5"/>
  <c r="B3151" i="5"/>
  <c r="J3151" i="5"/>
  <c r="B3152" i="5"/>
  <c r="B3153" i="5"/>
  <c r="J3153" i="5"/>
  <c r="B3154" i="5"/>
  <c r="J3154" i="5"/>
  <c r="B3155" i="5"/>
  <c r="B3156" i="5"/>
  <c r="B3157" i="5"/>
  <c r="B3158" i="5"/>
  <c r="B3159" i="5"/>
  <c r="B3160" i="5"/>
  <c r="B3161" i="5"/>
  <c r="B3162" i="5"/>
  <c r="B3163" i="5"/>
  <c r="J3163" i="5"/>
  <c r="B3164" i="5"/>
  <c r="J3164" i="5"/>
  <c r="B3165" i="5"/>
  <c r="J3165" i="5"/>
  <c r="B3166" i="5"/>
  <c r="J3166" i="5"/>
  <c r="B3167" i="5"/>
  <c r="J3167" i="5"/>
  <c r="B3168" i="5"/>
  <c r="J3168" i="5"/>
  <c r="B3169" i="5"/>
  <c r="J3169" i="5"/>
  <c r="B3170" i="5"/>
  <c r="J3170" i="5"/>
  <c r="B3171" i="5"/>
  <c r="J3171" i="5"/>
  <c r="B3172" i="5"/>
  <c r="J3172" i="5"/>
  <c r="B3173" i="5"/>
  <c r="J3173" i="5"/>
  <c r="B3174" i="5"/>
  <c r="J3174" i="5"/>
  <c r="B3175" i="5"/>
  <c r="J3175" i="5"/>
  <c r="B3176" i="5"/>
  <c r="J3176" i="5"/>
  <c r="B3177" i="5"/>
  <c r="J3177" i="5"/>
  <c r="B3178" i="5"/>
  <c r="J3178" i="5"/>
  <c r="B3179" i="5"/>
  <c r="J3179" i="5"/>
  <c r="B3180" i="5"/>
  <c r="J3180" i="5"/>
  <c r="B3181" i="5"/>
  <c r="J3181" i="5"/>
  <c r="B3182" i="5"/>
  <c r="J3182" i="5"/>
  <c r="B3183" i="5"/>
  <c r="J3183" i="5"/>
  <c r="B3184" i="5"/>
  <c r="J3184" i="5"/>
  <c r="B3185" i="5"/>
  <c r="J3185" i="5"/>
  <c r="B3186" i="5"/>
  <c r="J3186" i="5"/>
  <c r="B3187" i="5"/>
  <c r="J3187" i="5"/>
  <c r="B3188" i="5"/>
  <c r="J3188" i="5"/>
  <c r="B3189" i="5"/>
  <c r="J3189" i="5"/>
  <c r="B3190" i="5"/>
  <c r="J3190" i="5"/>
  <c r="B3191" i="5"/>
  <c r="J3191" i="5"/>
  <c r="B3192" i="5"/>
  <c r="J3192" i="5"/>
  <c r="B3193" i="5"/>
  <c r="J3193" i="5"/>
  <c r="B3194" i="5"/>
  <c r="J3194" i="5"/>
  <c r="B3195" i="5"/>
  <c r="J3195" i="5"/>
  <c r="B3196" i="5"/>
  <c r="J3196" i="5"/>
  <c r="B3197" i="5"/>
  <c r="J3197" i="5"/>
  <c r="B3198" i="5"/>
  <c r="J3198" i="5"/>
  <c r="B3199" i="5"/>
  <c r="J3199" i="5"/>
  <c r="B3200" i="5"/>
  <c r="J3200" i="5"/>
  <c r="B3201" i="5"/>
  <c r="J3201" i="5"/>
  <c r="B3202" i="5"/>
  <c r="J3202" i="5"/>
  <c r="B3203" i="5"/>
  <c r="J3203" i="5"/>
  <c r="B3204" i="5"/>
  <c r="J3204" i="5"/>
  <c r="B3205" i="5"/>
  <c r="J3205" i="5"/>
  <c r="B3206" i="5"/>
  <c r="J3206" i="5"/>
  <c r="B3207" i="5"/>
  <c r="J3207" i="5"/>
  <c r="B3208" i="5"/>
  <c r="J3208" i="5"/>
  <c r="B3209" i="5"/>
  <c r="J3209" i="5"/>
  <c r="B3210" i="5"/>
  <c r="J3210" i="5"/>
  <c r="B3211" i="5"/>
  <c r="J3211" i="5"/>
  <c r="B3212" i="5"/>
  <c r="J3212" i="5"/>
  <c r="B3213" i="5"/>
  <c r="J3213" i="5"/>
  <c r="B3214" i="5"/>
  <c r="J3214" i="5"/>
  <c r="B3215" i="5"/>
  <c r="J3215" i="5"/>
  <c r="B3216" i="5"/>
  <c r="J3216" i="5"/>
  <c r="B3217" i="5"/>
  <c r="J3217" i="5"/>
  <c r="B3218" i="5"/>
  <c r="J3218" i="5"/>
  <c r="B3219" i="5"/>
  <c r="J3219" i="5"/>
  <c r="B3220" i="5"/>
  <c r="J3220" i="5"/>
  <c r="B3221" i="5"/>
  <c r="J3221" i="5"/>
  <c r="B3222" i="5"/>
  <c r="J3222" i="5"/>
  <c r="B3223" i="5"/>
  <c r="J3223" i="5"/>
  <c r="B3224" i="5"/>
  <c r="J3224" i="5"/>
  <c r="B3225" i="5"/>
  <c r="J3225" i="5"/>
  <c r="B3226" i="5"/>
  <c r="J3226" i="5"/>
  <c r="B3227" i="5"/>
  <c r="J3227" i="5"/>
  <c r="B3228" i="5"/>
  <c r="J3228" i="5"/>
  <c r="B3229" i="5"/>
  <c r="J3229" i="5"/>
  <c r="B3230" i="5"/>
  <c r="J3230" i="5"/>
  <c r="B3231" i="5"/>
  <c r="J3231" i="5"/>
  <c r="B3232" i="5"/>
  <c r="J3232" i="5"/>
  <c r="B3233" i="5"/>
  <c r="J3233" i="5"/>
  <c r="B3234" i="5"/>
  <c r="J3234" i="5"/>
  <c r="B3235" i="5"/>
  <c r="J3235" i="5"/>
  <c r="B3236" i="5"/>
  <c r="J3236" i="5"/>
  <c r="B3237" i="5"/>
  <c r="J3237" i="5"/>
  <c r="B3238" i="5"/>
  <c r="J3238" i="5"/>
  <c r="B3239" i="5"/>
  <c r="J3239" i="5"/>
  <c r="B3240" i="5"/>
  <c r="J3240" i="5"/>
  <c r="B3241" i="5"/>
  <c r="J3241" i="5"/>
  <c r="B3242" i="5"/>
  <c r="J3242" i="5"/>
  <c r="B3243" i="5"/>
  <c r="J3243" i="5"/>
  <c r="B3244" i="5"/>
  <c r="J3244" i="5"/>
  <c r="B3245" i="5"/>
  <c r="J3245" i="5"/>
  <c r="B3246" i="5"/>
  <c r="J3246" i="5"/>
  <c r="B3247" i="5"/>
  <c r="J3247" i="5"/>
  <c r="B3248" i="5"/>
  <c r="J3248" i="5"/>
  <c r="B3249" i="5"/>
  <c r="J3249" i="5"/>
  <c r="B3250" i="5"/>
  <c r="J3250" i="5"/>
  <c r="B3251" i="5"/>
  <c r="J3251" i="5"/>
  <c r="B3252" i="5"/>
  <c r="J3252" i="5"/>
  <c r="B3253" i="5"/>
  <c r="J3253" i="5"/>
  <c r="B3254" i="5"/>
  <c r="J3254" i="5"/>
  <c r="B3255" i="5"/>
  <c r="J3255" i="5"/>
  <c r="B3256" i="5"/>
  <c r="J3256" i="5"/>
  <c r="B3257" i="5"/>
  <c r="J3257" i="5"/>
  <c r="B3258" i="5"/>
  <c r="J3258" i="5"/>
  <c r="B3259" i="5"/>
  <c r="J3259" i="5"/>
  <c r="B3260" i="5"/>
  <c r="J3260" i="5"/>
  <c r="B3261" i="5"/>
  <c r="J3261" i="5"/>
  <c r="B3262" i="5"/>
  <c r="J3262" i="5"/>
  <c r="B3263" i="5"/>
  <c r="J3263" i="5"/>
  <c r="B3264" i="5"/>
  <c r="J3264" i="5"/>
  <c r="B3265" i="5"/>
  <c r="J3265" i="5"/>
  <c r="B3266" i="5"/>
  <c r="J3266" i="5"/>
  <c r="B3267" i="5"/>
  <c r="J3267" i="5"/>
  <c r="B3268" i="5"/>
  <c r="J3268" i="5"/>
  <c r="B3269" i="5"/>
  <c r="J3269" i="5"/>
  <c r="B3270" i="5"/>
  <c r="J3270" i="5"/>
  <c r="B3271" i="5"/>
  <c r="J3271" i="5"/>
  <c r="B3272" i="5"/>
  <c r="J3272" i="5"/>
  <c r="B3273" i="5"/>
  <c r="J3273" i="5"/>
  <c r="B3274" i="5"/>
  <c r="J3274" i="5"/>
  <c r="B3275" i="5"/>
  <c r="J3275" i="5"/>
  <c r="B3276" i="5"/>
  <c r="J3276" i="5"/>
  <c r="B3277" i="5"/>
  <c r="J3277" i="5"/>
  <c r="B3278" i="5"/>
  <c r="J3278" i="5"/>
  <c r="B3279" i="5"/>
  <c r="J3279" i="5"/>
  <c r="B3280" i="5"/>
  <c r="J3280" i="5"/>
  <c r="B3281" i="5"/>
  <c r="J3281" i="5"/>
  <c r="B3282" i="5"/>
  <c r="J3282" i="5"/>
  <c r="B3283" i="5"/>
  <c r="J3283" i="5"/>
  <c r="B3284" i="5"/>
  <c r="J3284" i="5"/>
  <c r="B3285" i="5"/>
  <c r="J3285" i="5"/>
  <c r="B3286" i="5"/>
  <c r="J3286" i="5"/>
  <c r="B3287" i="5"/>
  <c r="J3287" i="5"/>
  <c r="B3288" i="5"/>
  <c r="J3288" i="5"/>
  <c r="B3289" i="5"/>
  <c r="J3289" i="5"/>
  <c r="B3290" i="5"/>
  <c r="J3290" i="5"/>
  <c r="B3291" i="5"/>
  <c r="J3291" i="5"/>
  <c r="B3292" i="5"/>
  <c r="J3292" i="5"/>
  <c r="B3293" i="5"/>
  <c r="J3293" i="5"/>
  <c r="B3294" i="5"/>
  <c r="J3294" i="5"/>
  <c r="B3295" i="5"/>
  <c r="J3295" i="5"/>
  <c r="B3296" i="5"/>
  <c r="J3296" i="5"/>
  <c r="B3297" i="5"/>
  <c r="J3297" i="5"/>
  <c r="B3298" i="5"/>
  <c r="J3298" i="5"/>
  <c r="B3299" i="5"/>
  <c r="J3299" i="5"/>
  <c r="B3300" i="5"/>
  <c r="J3300" i="5"/>
  <c r="B3301" i="5"/>
  <c r="J3301" i="5"/>
  <c r="B3302" i="5"/>
  <c r="J3302" i="5"/>
  <c r="B3303" i="5"/>
  <c r="J3303" i="5"/>
  <c r="B3304" i="5"/>
  <c r="J3304" i="5"/>
  <c r="B3305" i="5"/>
  <c r="J3305" i="5"/>
  <c r="B3306" i="5"/>
  <c r="J3306" i="5"/>
  <c r="B3307" i="5"/>
  <c r="J3307" i="5"/>
  <c r="B3308" i="5"/>
  <c r="J3308" i="5"/>
  <c r="B3309" i="5"/>
  <c r="J3309" i="5"/>
  <c r="B3310" i="5"/>
  <c r="J3310" i="5"/>
  <c r="B3311" i="5"/>
  <c r="J3311" i="5"/>
  <c r="B3312" i="5"/>
  <c r="J3312" i="5"/>
  <c r="B3313" i="5"/>
  <c r="J3313" i="5"/>
  <c r="B3314" i="5"/>
  <c r="J3314" i="5"/>
  <c r="B3315" i="5"/>
  <c r="J3315" i="5"/>
  <c r="B3316" i="5"/>
  <c r="J3316" i="5"/>
  <c r="B3317" i="5"/>
  <c r="J3317" i="5"/>
  <c r="B3318" i="5"/>
  <c r="J3318" i="5"/>
  <c r="B3319" i="5"/>
  <c r="J3319" i="5"/>
  <c r="B3320" i="5"/>
  <c r="J3320" i="5"/>
  <c r="B3321" i="5"/>
  <c r="J3321" i="5"/>
  <c r="B3322" i="5"/>
  <c r="J3322" i="5"/>
  <c r="B3323" i="5"/>
  <c r="J3323" i="5"/>
  <c r="B3324" i="5"/>
  <c r="J3324" i="5"/>
  <c r="B3325" i="5"/>
  <c r="J3325" i="5"/>
  <c r="B3326" i="5"/>
  <c r="J3326" i="5"/>
  <c r="B3327" i="5"/>
  <c r="J3327" i="5"/>
  <c r="B3328" i="5"/>
  <c r="J3328" i="5"/>
  <c r="B3329" i="5"/>
  <c r="J3329" i="5"/>
  <c r="B3330" i="5"/>
  <c r="J3330" i="5"/>
  <c r="B3331" i="5"/>
  <c r="J3331" i="5"/>
  <c r="B3332" i="5"/>
  <c r="J3332" i="5"/>
  <c r="B3333" i="5"/>
  <c r="J3333" i="5"/>
  <c r="B3334" i="5"/>
  <c r="J3334" i="5"/>
  <c r="B3335" i="5"/>
  <c r="J3335" i="5"/>
  <c r="B3336" i="5"/>
  <c r="J3336" i="5"/>
  <c r="B3337" i="5"/>
  <c r="J3337" i="5"/>
  <c r="B3338" i="5"/>
  <c r="J3338" i="5"/>
  <c r="B3339" i="5"/>
  <c r="J3339" i="5"/>
  <c r="B3340" i="5"/>
  <c r="J3340" i="5"/>
  <c r="B3341" i="5"/>
  <c r="J3341" i="5"/>
  <c r="B3342" i="5"/>
  <c r="J3342" i="5"/>
  <c r="B3343" i="5"/>
  <c r="J3343" i="5"/>
  <c r="B3344" i="5"/>
  <c r="J3344" i="5"/>
  <c r="B3345" i="5"/>
  <c r="J3345" i="5"/>
  <c r="B3346" i="5"/>
  <c r="J3346" i="5"/>
  <c r="B3347" i="5"/>
  <c r="J3347" i="5"/>
  <c r="B3348" i="5"/>
  <c r="J3348" i="5"/>
  <c r="B3349" i="5"/>
  <c r="J3349" i="5"/>
  <c r="B3350" i="5"/>
  <c r="J3350" i="5"/>
  <c r="B3351" i="5"/>
  <c r="J3351" i="5"/>
  <c r="B3352" i="5"/>
  <c r="J3352" i="5"/>
  <c r="B3353" i="5"/>
  <c r="J3353" i="5"/>
  <c r="B3354" i="5"/>
  <c r="J3354" i="5"/>
  <c r="B3355" i="5"/>
  <c r="J3355" i="5"/>
  <c r="B3356" i="5"/>
  <c r="J3356" i="5"/>
  <c r="B3357" i="5"/>
  <c r="J3357" i="5"/>
  <c r="B3358" i="5"/>
  <c r="J3358" i="5"/>
  <c r="B3359" i="5"/>
  <c r="J3359" i="5"/>
  <c r="B3360" i="5"/>
  <c r="J3360" i="5"/>
  <c r="B3361" i="5"/>
  <c r="J3361" i="5"/>
  <c r="B3362" i="5"/>
  <c r="J3362" i="5"/>
  <c r="B3363" i="5"/>
  <c r="J3363" i="5"/>
  <c r="B3364" i="5"/>
  <c r="J3364" i="5"/>
  <c r="B3365" i="5"/>
  <c r="J3365" i="5"/>
  <c r="B3366" i="5"/>
  <c r="J3366" i="5"/>
  <c r="B3367" i="5"/>
  <c r="J3367" i="5"/>
  <c r="B3368" i="5"/>
  <c r="J3368" i="5"/>
  <c r="B3369" i="5"/>
  <c r="J3369" i="5"/>
  <c r="B3370" i="5"/>
  <c r="J3370" i="5"/>
  <c r="B3371" i="5"/>
  <c r="J3371" i="5"/>
  <c r="B3372" i="5"/>
  <c r="J3372" i="5"/>
  <c r="B3373" i="5"/>
  <c r="J3373" i="5"/>
  <c r="B3374" i="5"/>
  <c r="J3374" i="5"/>
  <c r="B3375" i="5"/>
  <c r="J3375" i="5"/>
  <c r="B3376" i="5"/>
  <c r="J3376" i="5"/>
  <c r="B3377" i="5"/>
  <c r="J3377" i="5"/>
  <c r="B3378" i="5"/>
  <c r="J3378" i="5"/>
  <c r="B3379" i="5"/>
  <c r="J3379" i="5"/>
  <c r="B3380" i="5"/>
  <c r="J3380" i="5"/>
  <c r="B3381" i="5"/>
  <c r="J3381" i="5"/>
  <c r="B3382" i="5"/>
  <c r="J3382" i="5"/>
  <c r="B3383" i="5"/>
  <c r="J3383" i="5"/>
  <c r="B3384" i="5"/>
  <c r="J3384" i="5"/>
  <c r="B3385" i="5"/>
  <c r="J3385" i="5"/>
  <c r="B3386" i="5"/>
  <c r="J3386" i="5"/>
  <c r="B3387" i="5"/>
  <c r="J3387" i="5"/>
  <c r="B3388" i="5"/>
  <c r="J3388" i="5"/>
  <c r="B3389" i="5"/>
  <c r="J3389" i="5"/>
  <c r="B3390" i="5"/>
  <c r="J3390" i="5"/>
  <c r="B3391" i="5"/>
  <c r="J3391" i="5"/>
  <c r="B3392" i="5"/>
  <c r="J3392" i="5"/>
  <c r="B3393" i="5"/>
  <c r="J3393" i="5"/>
  <c r="B3394" i="5"/>
  <c r="J3394" i="5"/>
  <c r="B3395" i="5"/>
  <c r="J3395" i="5"/>
  <c r="B3396" i="5"/>
  <c r="J3396" i="5"/>
  <c r="B3397" i="5"/>
  <c r="J3397" i="5"/>
  <c r="B3398" i="5"/>
  <c r="J3398" i="5"/>
  <c r="B3399" i="5"/>
  <c r="J3399" i="5"/>
  <c r="B3400" i="5"/>
  <c r="J3400" i="5"/>
  <c r="B3401" i="5"/>
  <c r="J3401" i="5"/>
  <c r="B3402" i="5"/>
  <c r="J3402" i="5"/>
  <c r="B3403" i="5"/>
  <c r="J3403" i="5"/>
  <c r="B3404" i="5"/>
  <c r="J3404" i="5"/>
  <c r="B3405" i="5"/>
  <c r="J3405" i="5"/>
  <c r="B3406" i="5"/>
  <c r="J3406" i="5"/>
  <c r="B3407" i="5"/>
  <c r="J3407" i="5"/>
  <c r="B3408" i="5"/>
  <c r="J3408" i="5"/>
  <c r="B3409" i="5"/>
  <c r="J3409" i="5"/>
  <c r="B3410" i="5"/>
  <c r="J3410" i="5"/>
  <c r="B3411" i="5"/>
  <c r="J3411" i="5"/>
  <c r="B3412" i="5"/>
  <c r="J3412" i="5"/>
  <c r="B3413" i="5"/>
  <c r="J3413" i="5"/>
  <c r="B3414" i="5"/>
  <c r="J3414" i="5"/>
  <c r="B3415" i="5"/>
  <c r="J3415" i="5"/>
  <c r="B3416" i="5"/>
  <c r="J3416" i="5"/>
  <c r="B3417" i="5"/>
  <c r="J3417" i="5"/>
  <c r="B3418" i="5"/>
  <c r="J3418" i="5"/>
  <c r="B3419" i="5"/>
  <c r="J3419" i="5"/>
  <c r="B3420" i="5"/>
  <c r="J3420" i="5"/>
  <c r="B3421" i="5"/>
  <c r="J3421" i="5"/>
  <c r="B3422" i="5"/>
  <c r="J3422" i="5"/>
  <c r="B3423" i="5"/>
  <c r="J3423" i="5"/>
  <c r="B3424" i="5"/>
  <c r="J3424" i="5"/>
  <c r="B3425" i="5"/>
  <c r="J3425" i="5"/>
  <c r="B3426" i="5"/>
  <c r="J3426" i="5"/>
  <c r="B3427" i="5"/>
  <c r="J3427" i="5"/>
  <c r="B3428" i="5"/>
  <c r="J3428" i="5"/>
  <c r="B3429" i="5"/>
  <c r="J3429" i="5"/>
  <c r="B3430" i="5"/>
  <c r="J3430" i="5"/>
  <c r="B3431" i="5"/>
  <c r="J3431" i="5"/>
  <c r="B3432" i="5"/>
  <c r="J3432" i="5"/>
  <c r="B3433" i="5"/>
  <c r="J3433" i="5"/>
  <c r="B3434" i="5"/>
  <c r="J3434" i="5"/>
  <c r="B3435" i="5"/>
  <c r="J3435" i="5"/>
  <c r="B3436" i="5"/>
  <c r="J3436" i="5"/>
  <c r="B3437" i="5"/>
  <c r="J3437" i="5"/>
  <c r="B3438" i="5"/>
  <c r="J3438" i="5"/>
  <c r="B3439" i="5"/>
  <c r="J3439" i="5"/>
  <c r="B3440" i="5"/>
  <c r="J3440" i="5"/>
  <c r="B3441" i="5"/>
  <c r="J3441" i="5"/>
  <c r="B3442" i="5"/>
  <c r="J3442" i="5"/>
  <c r="B3443" i="5"/>
  <c r="J3443" i="5"/>
  <c r="B3444" i="5"/>
  <c r="J3444" i="5"/>
  <c r="B3445" i="5"/>
  <c r="J3445" i="5"/>
  <c r="B3446" i="5"/>
  <c r="J3446" i="5"/>
  <c r="B3447" i="5"/>
  <c r="J3447" i="5"/>
  <c r="B3448" i="5"/>
  <c r="J3448" i="5"/>
  <c r="B3449" i="5"/>
  <c r="J3449" i="5"/>
  <c r="B3450" i="5"/>
  <c r="J3450" i="5"/>
  <c r="B3451" i="5"/>
  <c r="J3451" i="5"/>
  <c r="B3452" i="5"/>
  <c r="J3452" i="5"/>
  <c r="B3453" i="5"/>
  <c r="J3453" i="5"/>
  <c r="B3454" i="5"/>
  <c r="J3454" i="5"/>
  <c r="B3455" i="5"/>
  <c r="J3455" i="5"/>
  <c r="B3456" i="5"/>
  <c r="J3456" i="5"/>
  <c r="B3457" i="5"/>
  <c r="J3457" i="5"/>
  <c r="B3458" i="5"/>
  <c r="J3458" i="5"/>
  <c r="B3459" i="5"/>
  <c r="J3459" i="5"/>
  <c r="B3460" i="5"/>
  <c r="J3460" i="5"/>
  <c r="B3461" i="5"/>
  <c r="J3461" i="5"/>
  <c r="B3462" i="5"/>
  <c r="J3462" i="5"/>
  <c r="B3463" i="5"/>
  <c r="J3463" i="5"/>
  <c r="B3464" i="5"/>
  <c r="J3464" i="5"/>
  <c r="B3465" i="5"/>
  <c r="J3465" i="5"/>
  <c r="B3466" i="5"/>
  <c r="J3466" i="5"/>
  <c r="B3467" i="5"/>
  <c r="J3467" i="5"/>
  <c r="B3468" i="5"/>
  <c r="J3468" i="5"/>
  <c r="B3469" i="5"/>
  <c r="J3469" i="5"/>
  <c r="B3470" i="5"/>
  <c r="J3470" i="5"/>
  <c r="B3471" i="5"/>
  <c r="J3471" i="5"/>
  <c r="B3472" i="5"/>
  <c r="J3472" i="5"/>
  <c r="B3473" i="5"/>
  <c r="J3473" i="5"/>
  <c r="B3474" i="5"/>
  <c r="J3474" i="5"/>
  <c r="B3475" i="5"/>
  <c r="J3475" i="5"/>
  <c r="B3476" i="5"/>
  <c r="J3476" i="5"/>
  <c r="B3477" i="5"/>
  <c r="J3477" i="5"/>
  <c r="B3478" i="5"/>
  <c r="J3478" i="5"/>
  <c r="B3479" i="5"/>
  <c r="J3479" i="5"/>
  <c r="B3480" i="5"/>
  <c r="J3480" i="5"/>
  <c r="B3481" i="5"/>
  <c r="J3481" i="5"/>
  <c r="B3482" i="5"/>
  <c r="J3482" i="5"/>
  <c r="B3483" i="5"/>
  <c r="J3483" i="5"/>
  <c r="B3484" i="5"/>
  <c r="J3484" i="5"/>
  <c r="B3485" i="5"/>
  <c r="J3485" i="5"/>
  <c r="B3486" i="5"/>
  <c r="J3486" i="5"/>
  <c r="B3487" i="5"/>
  <c r="J3487" i="5"/>
  <c r="B3488" i="5"/>
  <c r="J3488" i="5"/>
  <c r="B3489" i="5"/>
  <c r="J3489" i="5"/>
  <c r="B3490" i="5"/>
  <c r="J3490" i="5"/>
  <c r="B3491" i="5"/>
  <c r="J3491" i="5"/>
  <c r="B3492" i="5"/>
  <c r="J3492" i="5"/>
  <c r="B3493" i="5"/>
  <c r="J3493" i="5"/>
  <c r="B3494" i="5"/>
  <c r="J3494" i="5"/>
  <c r="B3495" i="5"/>
  <c r="J3495" i="5"/>
  <c r="B3496" i="5"/>
  <c r="J3496" i="5"/>
  <c r="B3497" i="5"/>
  <c r="J3497" i="5"/>
  <c r="B3498" i="5"/>
  <c r="J3498" i="5"/>
  <c r="B3499" i="5"/>
  <c r="J3499" i="5"/>
  <c r="B3500" i="5"/>
  <c r="J3500" i="5"/>
  <c r="B3501" i="5"/>
  <c r="J3501" i="5"/>
  <c r="B3502" i="5"/>
  <c r="J3502" i="5"/>
  <c r="B3503" i="5"/>
  <c r="J3503" i="5"/>
  <c r="B3504" i="5"/>
  <c r="J3504" i="5"/>
  <c r="B3505" i="5"/>
  <c r="J3505" i="5"/>
  <c r="B3506" i="5"/>
  <c r="J3506" i="5"/>
  <c r="B3507" i="5"/>
  <c r="J3507" i="5"/>
  <c r="B3508" i="5"/>
  <c r="J3508" i="5"/>
  <c r="B3509" i="5"/>
  <c r="J3509" i="5"/>
  <c r="B3510" i="5"/>
  <c r="J3510" i="5"/>
  <c r="B3511" i="5"/>
  <c r="J3511" i="5"/>
  <c r="B3512" i="5"/>
  <c r="J3512" i="5"/>
  <c r="B3513" i="5"/>
  <c r="J3513" i="5"/>
  <c r="B3514" i="5"/>
  <c r="J3514" i="5"/>
  <c r="B3515" i="5"/>
  <c r="J3515" i="5"/>
  <c r="B3516" i="5"/>
  <c r="J3516" i="5"/>
  <c r="B3517" i="5"/>
  <c r="J3517" i="5"/>
  <c r="B3518" i="5"/>
  <c r="J3518" i="5"/>
  <c r="B3519" i="5"/>
  <c r="J3519" i="5"/>
  <c r="B3520" i="5"/>
  <c r="J3520" i="5"/>
  <c r="B3521" i="5"/>
  <c r="J3521" i="5"/>
  <c r="B3522" i="5"/>
  <c r="J3522" i="5"/>
  <c r="B3523" i="5"/>
  <c r="J3523" i="5"/>
  <c r="B3524" i="5"/>
  <c r="J3524" i="5"/>
  <c r="B3525" i="5"/>
  <c r="J3525" i="5"/>
  <c r="B3526" i="5"/>
  <c r="J3526" i="5"/>
  <c r="B3527" i="5"/>
  <c r="J3527" i="5"/>
  <c r="B3528" i="5"/>
  <c r="J3528" i="5"/>
  <c r="B3529" i="5"/>
  <c r="J3529" i="5"/>
  <c r="B3530" i="5"/>
  <c r="J3530" i="5"/>
  <c r="B3531" i="5"/>
  <c r="J3531" i="5"/>
  <c r="B3532" i="5"/>
  <c r="J3532" i="5"/>
  <c r="B3533" i="5"/>
  <c r="J3533" i="5"/>
  <c r="B3534" i="5"/>
  <c r="J3534" i="5"/>
  <c r="B3535" i="5"/>
  <c r="J3535" i="5"/>
  <c r="B3536" i="5"/>
  <c r="J3536" i="5"/>
  <c r="B3537" i="5"/>
  <c r="J3537" i="5"/>
  <c r="B3538" i="5"/>
  <c r="J3538" i="5"/>
  <c r="B3539" i="5"/>
  <c r="J3539" i="5"/>
  <c r="B3540" i="5"/>
  <c r="J3540" i="5"/>
  <c r="B3541" i="5"/>
  <c r="J3541" i="5"/>
  <c r="B3542" i="5"/>
  <c r="J3542" i="5"/>
  <c r="B3543" i="5"/>
  <c r="J3543" i="5"/>
  <c r="B3544" i="5"/>
  <c r="J3544" i="5"/>
  <c r="B3545" i="5"/>
  <c r="J3545" i="5"/>
  <c r="B3546" i="5"/>
  <c r="J3546" i="5"/>
  <c r="B3547" i="5"/>
  <c r="J3547" i="5"/>
  <c r="B3548" i="5"/>
  <c r="J3548" i="5"/>
  <c r="B3549" i="5"/>
  <c r="J3549" i="5"/>
  <c r="B3550" i="5"/>
  <c r="J3550" i="5"/>
  <c r="B3551" i="5"/>
  <c r="J3551" i="5"/>
  <c r="B3552" i="5"/>
  <c r="J3552" i="5"/>
  <c r="B3553" i="5"/>
  <c r="J3553" i="5"/>
  <c r="B3554" i="5"/>
  <c r="J3554" i="5"/>
  <c r="B3555" i="5"/>
  <c r="J3555" i="5"/>
  <c r="B3556" i="5"/>
  <c r="J3556" i="5"/>
  <c r="B3557" i="5"/>
  <c r="J3557" i="5"/>
  <c r="B3558" i="5"/>
  <c r="J3558" i="5"/>
  <c r="B3559" i="5"/>
  <c r="J3559" i="5"/>
  <c r="B3560" i="5"/>
  <c r="J3560" i="5"/>
  <c r="B3561" i="5"/>
  <c r="J3561" i="5"/>
  <c r="B3562" i="5"/>
  <c r="J3562" i="5"/>
  <c r="B3563" i="5"/>
  <c r="J3563" i="5"/>
  <c r="B3564" i="5"/>
  <c r="J3564" i="5"/>
  <c r="B3565" i="5"/>
  <c r="J3565" i="5"/>
  <c r="B3566" i="5"/>
  <c r="J3566" i="5"/>
  <c r="B3567" i="5"/>
  <c r="J3567" i="5"/>
  <c r="B3568" i="5"/>
  <c r="J3568" i="5"/>
  <c r="B3569" i="5"/>
  <c r="J3569" i="5"/>
  <c r="B3570" i="5"/>
  <c r="J3570" i="5"/>
  <c r="B3571" i="5"/>
  <c r="J3571" i="5"/>
  <c r="B3572" i="5"/>
  <c r="J3572" i="5"/>
  <c r="B3573" i="5"/>
  <c r="J3573" i="5"/>
  <c r="B3574" i="5"/>
  <c r="J3574" i="5"/>
  <c r="B3575" i="5"/>
  <c r="J3575" i="5"/>
  <c r="B3576" i="5"/>
  <c r="J3576" i="5"/>
  <c r="B3577" i="5"/>
  <c r="J3577" i="5"/>
  <c r="B3578" i="5"/>
  <c r="J3578" i="5"/>
  <c r="B3579" i="5"/>
  <c r="J3579" i="5"/>
  <c r="B3580" i="5"/>
  <c r="J3580" i="5"/>
  <c r="B3581" i="5"/>
  <c r="J3581" i="5"/>
  <c r="B3582" i="5"/>
  <c r="J3582" i="5"/>
  <c r="B3583" i="5"/>
  <c r="J3583" i="5"/>
  <c r="B3584" i="5"/>
  <c r="J3584" i="5"/>
  <c r="B3585" i="5"/>
  <c r="J3585" i="5"/>
  <c r="B3586" i="5"/>
  <c r="J3586" i="5"/>
  <c r="B3587" i="5"/>
  <c r="J3587" i="5"/>
  <c r="B3588" i="5"/>
  <c r="J3588" i="5"/>
  <c r="B3589" i="5"/>
  <c r="J3589" i="5"/>
  <c r="B3590" i="5"/>
  <c r="J3590" i="5"/>
  <c r="B3591" i="5"/>
  <c r="J3591" i="5"/>
  <c r="B3592" i="5"/>
  <c r="J3592" i="5"/>
  <c r="B3593" i="5"/>
  <c r="J3593" i="5"/>
  <c r="B3594" i="5"/>
  <c r="J3594" i="5"/>
  <c r="B3595" i="5"/>
  <c r="J3595" i="5"/>
  <c r="B3596" i="5"/>
  <c r="J3596" i="5"/>
  <c r="B3597" i="5"/>
  <c r="J3597" i="5"/>
  <c r="B3598" i="5"/>
  <c r="J3598" i="5"/>
  <c r="B3599" i="5"/>
  <c r="J3599" i="5"/>
  <c r="B3600" i="5"/>
  <c r="J3600" i="5"/>
  <c r="B3601" i="5"/>
  <c r="J3601" i="5"/>
  <c r="B3602" i="5"/>
  <c r="J3602" i="5"/>
  <c r="B3603" i="5"/>
  <c r="J3603" i="5"/>
  <c r="B3604" i="5"/>
  <c r="J3604" i="5"/>
  <c r="B3605" i="5"/>
  <c r="J3605" i="5"/>
  <c r="B3606" i="5"/>
  <c r="J3606" i="5"/>
  <c r="B3607" i="5"/>
  <c r="J3607" i="5"/>
  <c r="B3608" i="5"/>
  <c r="J3608" i="5"/>
  <c r="B3609" i="5"/>
  <c r="J3609" i="5"/>
  <c r="B3610" i="5"/>
  <c r="J3610" i="5"/>
  <c r="B3611" i="5"/>
  <c r="J3611" i="5"/>
  <c r="B3612" i="5"/>
  <c r="J3612" i="5"/>
  <c r="B3613" i="5"/>
  <c r="J3613" i="5"/>
  <c r="B3614" i="5"/>
  <c r="J3614" i="5"/>
  <c r="B3615" i="5"/>
  <c r="J3615" i="5"/>
  <c r="B3616" i="5"/>
  <c r="J3616" i="5"/>
  <c r="B3617" i="5"/>
  <c r="J3617" i="5"/>
  <c r="B3618" i="5"/>
  <c r="J3618" i="5"/>
  <c r="B3619" i="5"/>
  <c r="J3619" i="5"/>
  <c r="B3620" i="5"/>
  <c r="J3620" i="5"/>
  <c r="B3621" i="5"/>
  <c r="J3621" i="5"/>
  <c r="B3622" i="5"/>
  <c r="J3622" i="5"/>
  <c r="B3623" i="5"/>
  <c r="J3623" i="5"/>
  <c r="B3624" i="5"/>
  <c r="J3624" i="5"/>
  <c r="B3625" i="5"/>
  <c r="J3625" i="5"/>
  <c r="B3626" i="5"/>
  <c r="J3626" i="5"/>
  <c r="B3627" i="5"/>
  <c r="J3627" i="5"/>
  <c r="B3628" i="5"/>
  <c r="J3628" i="5"/>
  <c r="B3629" i="5"/>
  <c r="J3629" i="5"/>
  <c r="B3630" i="5"/>
  <c r="J3630" i="5"/>
  <c r="B3631" i="5"/>
  <c r="J3631" i="5"/>
  <c r="B3632" i="5"/>
  <c r="J3632" i="5"/>
  <c r="B3633" i="5"/>
  <c r="J3633" i="5"/>
  <c r="B3634" i="5"/>
  <c r="J3634" i="5"/>
  <c r="B3635" i="5"/>
  <c r="J3635" i="5"/>
  <c r="B3636" i="5"/>
  <c r="J3636" i="5"/>
  <c r="B3637" i="5"/>
  <c r="J3637" i="5"/>
  <c r="B3638" i="5"/>
  <c r="J3638" i="5"/>
  <c r="B3639" i="5"/>
  <c r="J3639" i="5"/>
  <c r="B3640" i="5"/>
  <c r="J3640" i="5"/>
  <c r="B3641" i="5"/>
  <c r="J3641" i="5"/>
  <c r="B3642" i="5"/>
  <c r="J3642" i="5"/>
  <c r="B3643" i="5"/>
  <c r="J3643" i="5"/>
  <c r="B3644" i="5"/>
  <c r="J3644" i="5"/>
  <c r="B3645" i="5"/>
  <c r="J3645" i="5"/>
  <c r="B3646" i="5"/>
  <c r="J3646" i="5"/>
  <c r="B3647" i="5"/>
  <c r="J3647" i="5"/>
  <c r="B3648" i="5"/>
  <c r="J3648" i="5"/>
  <c r="B3649" i="5"/>
  <c r="J3649" i="5"/>
  <c r="B3650" i="5"/>
  <c r="J3650" i="5"/>
  <c r="B3651" i="5"/>
  <c r="J3651" i="5"/>
  <c r="B3652" i="5"/>
  <c r="J3652" i="5"/>
  <c r="B3653" i="5"/>
  <c r="J3653" i="5"/>
  <c r="B3654" i="5"/>
  <c r="J3654" i="5"/>
  <c r="B3655" i="5"/>
  <c r="J3655" i="5"/>
  <c r="B3656" i="5"/>
  <c r="J3656" i="5"/>
  <c r="B3657" i="5"/>
  <c r="J3657" i="5"/>
  <c r="B3658" i="5"/>
  <c r="J3658" i="5"/>
  <c r="B3659" i="5"/>
  <c r="J3659" i="5"/>
  <c r="B3660" i="5"/>
  <c r="J3660" i="5"/>
  <c r="B3661" i="5"/>
  <c r="J3661" i="5"/>
  <c r="B3662" i="5"/>
  <c r="J3662" i="5"/>
  <c r="B3663" i="5"/>
  <c r="J3663" i="5"/>
  <c r="B3664" i="5"/>
  <c r="J3664" i="5"/>
  <c r="B3665" i="5"/>
  <c r="J3665" i="5"/>
  <c r="B3666" i="5"/>
  <c r="J3666" i="5"/>
  <c r="B3667" i="5"/>
  <c r="J3667" i="5"/>
  <c r="B3668" i="5"/>
  <c r="J3668" i="5"/>
  <c r="B3669" i="5"/>
  <c r="J3669" i="5"/>
  <c r="B3670" i="5"/>
  <c r="J3670" i="5"/>
  <c r="B3671" i="5"/>
  <c r="J3671" i="5"/>
  <c r="B3672" i="5"/>
  <c r="J3672" i="5"/>
  <c r="B3673" i="5"/>
  <c r="J3673" i="5"/>
  <c r="B3674" i="5"/>
  <c r="J3674" i="5"/>
  <c r="B3675" i="5"/>
  <c r="J3675" i="5"/>
  <c r="B3676" i="5"/>
  <c r="J3676" i="5"/>
  <c r="B3677" i="5"/>
  <c r="J3677" i="5"/>
  <c r="B3678" i="5"/>
  <c r="J3678" i="5"/>
  <c r="B3679" i="5"/>
  <c r="J3679" i="5"/>
  <c r="B3680" i="5"/>
  <c r="J3680" i="5"/>
  <c r="B3681" i="5"/>
  <c r="J3681" i="5"/>
  <c r="B3682" i="5"/>
  <c r="J3682" i="5"/>
  <c r="B3683" i="5"/>
  <c r="J3683" i="5"/>
  <c r="B3684" i="5"/>
  <c r="J3684" i="5"/>
  <c r="B3685" i="5"/>
  <c r="J3685" i="5"/>
  <c r="B3686" i="5"/>
  <c r="J3686" i="5"/>
  <c r="B3687" i="5"/>
  <c r="J3687" i="5"/>
  <c r="B3688" i="5"/>
  <c r="J3688" i="5"/>
  <c r="B3689" i="5"/>
  <c r="J3689" i="5"/>
  <c r="B3690" i="5"/>
  <c r="J3690" i="5"/>
  <c r="B3691" i="5"/>
  <c r="J3691" i="5"/>
  <c r="B3692" i="5"/>
  <c r="J3692" i="5"/>
  <c r="B3693" i="5"/>
  <c r="J3693" i="5"/>
  <c r="B3694" i="5"/>
  <c r="J3694" i="5"/>
  <c r="B3695" i="5"/>
  <c r="J3695" i="5"/>
  <c r="B3696" i="5"/>
  <c r="J3696" i="5"/>
  <c r="B3697" i="5"/>
  <c r="J3697" i="5"/>
  <c r="B3698" i="5"/>
  <c r="J3698" i="5"/>
  <c r="B3699" i="5"/>
  <c r="J3699" i="5"/>
  <c r="B3700" i="5"/>
  <c r="J3700" i="5"/>
  <c r="B3701" i="5"/>
  <c r="J3701" i="5"/>
  <c r="B3702" i="5"/>
  <c r="J3702" i="5"/>
  <c r="B3703" i="5"/>
  <c r="J3703" i="5"/>
  <c r="B3704" i="5"/>
  <c r="J3704" i="5"/>
  <c r="B3705" i="5"/>
  <c r="J3705" i="5"/>
  <c r="B3706" i="5"/>
  <c r="J3706" i="5"/>
  <c r="B3707" i="5"/>
  <c r="J3707" i="5"/>
  <c r="B3708" i="5"/>
  <c r="J3708" i="5"/>
  <c r="B3709" i="5"/>
  <c r="J3709" i="5"/>
  <c r="B3710" i="5"/>
  <c r="J3710" i="5"/>
  <c r="B3711" i="5"/>
  <c r="J3711" i="5"/>
  <c r="B3712" i="5"/>
  <c r="J3712" i="5"/>
  <c r="B3713" i="5"/>
  <c r="J3713" i="5"/>
  <c r="B3714" i="5"/>
  <c r="J3714" i="5"/>
  <c r="B3715" i="5"/>
  <c r="J3715" i="5"/>
  <c r="B3716" i="5"/>
  <c r="J3716" i="5"/>
  <c r="B3717" i="5"/>
  <c r="J3717" i="5"/>
  <c r="B3718" i="5"/>
  <c r="J3718" i="5"/>
  <c r="B3719" i="5"/>
  <c r="J3719" i="5"/>
  <c r="B3720" i="5"/>
  <c r="J3720" i="5"/>
  <c r="B3721" i="5"/>
  <c r="J3721" i="5"/>
  <c r="B3722" i="5"/>
  <c r="J3722" i="5"/>
  <c r="B3723" i="5"/>
  <c r="J3723" i="5"/>
  <c r="B3724" i="5"/>
  <c r="J3724" i="5"/>
  <c r="B3725" i="5"/>
  <c r="J3725" i="5"/>
  <c r="B3726" i="5"/>
  <c r="J3726" i="5"/>
  <c r="B3727" i="5"/>
  <c r="J3727" i="5"/>
  <c r="B3728" i="5"/>
  <c r="J3728" i="5"/>
  <c r="B3729" i="5"/>
  <c r="J3729" i="5"/>
  <c r="B3730" i="5"/>
  <c r="J3730" i="5"/>
  <c r="B3731" i="5"/>
  <c r="J3731" i="5"/>
  <c r="B3732" i="5"/>
  <c r="J3732" i="5"/>
  <c r="B3733" i="5"/>
  <c r="J3733" i="5"/>
  <c r="B3734" i="5"/>
  <c r="J3734" i="5"/>
  <c r="B3735" i="5"/>
  <c r="J3735" i="5"/>
  <c r="B3736" i="5"/>
  <c r="J3736" i="5"/>
  <c r="B3737" i="5"/>
  <c r="J3737" i="5"/>
  <c r="B3738" i="5"/>
  <c r="J3738" i="5"/>
  <c r="B3739" i="5"/>
  <c r="J3739" i="5"/>
  <c r="B3740" i="5"/>
  <c r="J3740" i="5"/>
  <c r="B3741" i="5"/>
  <c r="J3741" i="5"/>
  <c r="B3742" i="5"/>
  <c r="J3742" i="5"/>
  <c r="B3743" i="5"/>
  <c r="J3743" i="5"/>
  <c r="B3744" i="5"/>
  <c r="J3744" i="5"/>
  <c r="B3745" i="5"/>
  <c r="J3745" i="5"/>
  <c r="B3746" i="5"/>
  <c r="J3746" i="5"/>
  <c r="B3747" i="5"/>
  <c r="J3747" i="5"/>
  <c r="B3748" i="5"/>
  <c r="J3748" i="5"/>
  <c r="B3749" i="5"/>
  <c r="J3749" i="5"/>
  <c r="B3750" i="5"/>
  <c r="J3750" i="5"/>
  <c r="B3751" i="5"/>
  <c r="J3751" i="5"/>
  <c r="B3752" i="5"/>
  <c r="J3752" i="5"/>
  <c r="B3753" i="5"/>
  <c r="J3753" i="5"/>
  <c r="B3754" i="5"/>
  <c r="J3754" i="5"/>
  <c r="B3755" i="5"/>
  <c r="J3755" i="5"/>
  <c r="B3756" i="5"/>
  <c r="J3756" i="5"/>
  <c r="B3757" i="5"/>
  <c r="J3757" i="5"/>
  <c r="B3758" i="5"/>
  <c r="J3758" i="5"/>
  <c r="B3759" i="5"/>
  <c r="J3759" i="5"/>
  <c r="B3760" i="5"/>
  <c r="J3760" i="5"/>
  <c r="B3761" i="5"/>
  <c r="J3761" i="5"/>
  <c r="B3762" i="5"/>
  <c r="J3762" i="5"/>
  <c r="B3763" i="5"/>
  <c r="J3763" i="5"/>
  <c r="B3764" i="5"/>
  <c r="J3764" i="5"/>
  <c r="B3765" i="5"/>
  <c r="J3765" i="5"/>
  <c r="B3766" i="5"/>
  <c r="J3766" i="5"/>
  <c r="B3767" i="5"/>
  <c r="J3767" i="5"/>
  <c r="B3768" i="5"/>
  <c r="J3768" i="5"/>
  <c r="B3769" i="5"/>
  <c r="J3769" i="5"/>
  <c r="B3770" i="5"/>
  <c r="J3770" i="5"/>
  <c r="B3771" i="5"/>
  <c r="J3771" i="5"/>
  <c r="B3772" i="5"/>
  <c r="J3772" i="5"/>
  <c r="B3773" i="5"/>
  <c r="J3773" i="5"/>
  <c r="B3774" i="5"/>
  <c r="J3774" i="5"/>
  <c r="B3775" i="5"/>
  <c r="J3775" i="5"/>
  <c r="B3776" i="5"/>
  <c r="J3776" i="5"/>
  <c r="B3777" i="5"/>
  <c r="J3777" i="5"/>
  <c r="B3778" i="5"/>
  <c r="J3778" i="5"/>
  <c r="B3779" i="5"/>
  <c r="J3779" i="5"/>
  <c r="B3780" i="5"/>
  <c r="J3780" i="5"/>
  <c r="B3781" i="5"/>
  <c r="J3781" i="5"/>
  <c r="B3782" i="5"/>
  <c r="J3782" i="5"/>
  <c r="B3783" i="5"/>
  <c r="J3783" i="5"/>
  <c r="B3784" i="5"/>
  <c r="J3784" i="5"/>
  <c r="B3785" i="5"/>
  <c r="J3785" i="5"/>
  <c r="B3786" i="5"/>
  <c r="J3786" i="5"/>
  <c r="B3787" i="5"/>
  <c r="J3787" i="5"/>
  <c r="B3788" i="5"/>
  <c r="J3788" i="5"/>
  <c r="B3789" i="5"/>
  <c r="J3789" i="5"/>
  <c r="B3790" i="5"/>
  <c r="J3790" i="5"/>
  <c r="B3791" i="5"/>
  <c r="J3791" i="5"/>
  <c r="B3792" i="5"/>
  <c r="J3792" i="5"/>
  <c r="B3793" i="5"/>
  <c r="J3793" i="5"/>
  <c r="B3794" i="5"/>
  <c r="J3794" i="5"/>
  <c r="B3795" i="5"/>
  <c r="J3795" i="5"/>
  <c r="B3796" i="5"/>
  <c r="J3796" i="5"/>
  <c r="B3797" i="5"/>
  <c r="J3797" i="5"/>
  <c r="B3798" i="5"/>
  <c r="J3798" i="5"/>
  <c r="B3799" i="5"/>
  <c r="J3799" i="5"/>
  <c r="B3800" i="5"/>
  <c r="J3800" i="5"/>
  <c r="B3801" i="5"/>
  <c r="J3801" i="5"/>
  <c r="B3802" i="5"/>
  <c r="J3802" i="5"/>
  <c r="B3803" i="5"/>
  <c r="J3803" i="5"/>
  <c r="B3804" i="5"/>
  <c r="B3805" i="5"/>
  <c r="B3806" i="5"/>
  <c r="J3806" i="5"/>
  <c r="B3807" i="5"/>
  <c r="J3807" i="5"/>
  <c r="B3808" i="5"/>
  <c r="J3808" i="5"/>
  <c r="B3809" i="5"/>
  <c r="J3809" i="5"/>
  <c r="B3810" i="5"/>
  <c r="J3810" i="5"/>
  <c r="B3811" i="5"/>
  <c r="J3811" i="5"/>
  <c r="B3812" i="5"/>
  <c r="J3812" i="5"/>
  <c r="B3813" i="5"/>
  <c r="J3813" i="5"/>
  <c r="B3814" i="5"/>
  <c r="J3814" i="5"/>
  <c r="B3815" i="5"/>
  <c r="J3815" i="5"/>
  <c r="B3816" i="5"/>
  <c r="J3816" i="5"/>
  <c r="B3817" i="5"/>
  <c r="J3817" i="5"/>
  <c r="B3818" i="5"/>
  <c r="J3818" i="5"/>
  <c r="B3819" i="5"/>
  <c r="J3819" i="5"/>
  <c r="B3820" i="5"/>
  <c r="J3820" i="5"/>
  <c r="B3821" i="5"/>
  <c r="J3821" i="5"/>
  <c r="B3822" i="5"/>
  <c r="J3822" i="5"/>
  <c r="B3823" i="5"/>
  <c r="J3823" i="5"/>
  <c r="B3824" i="5"/>
  <c r="J3824" i="5"/>
  <c r="B3825" i="5"/>
  <c r="J3825" i="5"/>
  <c r="B3826" i="5"/>
  <c r="J3826" i="5"/>
  <c r="B3827" i="5"/>
  <c r="J3827" i="5"/>
  <c r="B3828" i="5"/>
  <c r="J3828" i="5"/>
  <c r="B3829" i="5"/>
  <c r="J3829" i="5"/>
  <c r="B3830" i="5"/>
  <c r="J3830" i="5"/>
  <c r="B3831" i="5"/>
  <c r="J3831" i="5"/>
  <c r="B3832" i="5"/>
  <c r="J3832" i="5"/>
  <c r="B3833" i="5"/>
  <c r="J3833" i="5"/>
  <c r="B3834" i="5"/>
  <c r="J3834" i="5"/>
  <c r="B3835" i="5"/>
  <c r="J3835" i="5"/>
  <c r="B3836" i="5"/>
  <c r="J3836" i="5"/>
  <c r="B3837" i="5"/>
  <c r="J3837" i="5"/>
  <c r="B3838" i="5"/>
  <c r="J3838" i="5"/>
  <c r="B3839" i="5"/>
  <c r="J3839" i="5"/>
  <c r="B3840" i="5"/>
  <c r="J3840" i="5"/>
  <c r="B3841" i="5"/>
  <c r="J3841" i="5"/>
  <c r="B3842" i="5"/>
  <c r="J3842" i="5"/>
  <c r="B3843" i="5"/>
  <c r="J3843" i="5"/>
  <c r="B3844" i="5"/>
  <c r="J3844" i="5"/>
  <c r="B3845" i="5"/>
  <c r="J3845" i="5"/>
  <c r="B3846" i="5"/>
  <c r="J3846" i="5"/>
  <c r="B3847" i="5"/>
  <c r="J3847" i="5"/>
  <c r="B3848" i="5"/>
  <c r="J3848" i="5"/>
  <c r="B3849" i="5"/>
  <c r="J3849" i="5"/>
  <c r="B3850" i="5"/>
  <c r="J3850" i="5"/>
  <c r="B3851" i="5"/>
  <c r="J3851" i="5"/>
  <c r="B3852" i="5"/>
  <c r="J3852" i="5"/>
  <c r="B3853" i="5"/>
  <c r="J3853" i="5"/>
  <c r="B3854" i="5"/>
  <c r="J3854" i="5"/>
  <c r="B3855" i="5"/>
  <c r="J3855" i="5"/>
  <c r="B3856" i="5"/>
  <c r="J3856" i="5"/>
  <c r="B3857" i="5"/>
  <c r="J3857" i="5"/>
  <c r="B3858" i="5"/>
  <c r="J3858" i="5"/>
  <c r="B3859" i="5"/>
  <c r="J3859" i="5"/>
  <c r="B3860" i="5"/>
  <c r="J3860" i="5"/>
  <c r="B3861" i="5"/>
  <c r="J3861" i="5"/>
  <c r="B3862" i="5"/>
  <c r="J3862" i="5"/>
  <c r="B3863" i="5"/>
  <c r="J3863" i="5"/>
  <c r="B3864" i="5"/>
  <c r="J3864" i="5"/>
  <c r="B3865" i="5"/>
  <c r="J3865" i="5"/>
  <c r="B3866" i="5"/>
  <c r="J3866" i="5"/>
  <c r="B3867" i="5"/>
  <c r="J3867" i="5"/>
  <c r="B3868" i="5"/>
  <c r="J3868" i="5"/>
  <c r="B3869" i="5"/>
  <c r="J3869" i="5"/>
  <c r="B3870" i="5"/>
  <c r="J3870" i="5"/>
  <c r="B3871" i="5"/>
  <c r="J3871" i="5"/>
  <c r="B3872" i="5"/>
  <c r="J3872" i="5"/>
  <c r="B3873" i="5"/>
  <c r="J3873" i="5"/>
  <c r="B3874" i="5"/>
  <c r="J3874" i="5"/>
  <c r="B3875" i="5"/>
  <c r="J3875" i="5"/>
  <c r="B3876" i="5"/>
  <c r="J3876" i="5"/>
  <c r="B3877" i="5"/>
  <c r="J3877" i="5"/>
  <c r="B3878" i="5"/>
  <c r="J3878" i="5"/>
  <c r="B3879" i="5"/>
  <c r="J3879" i="5"/>
  <c r="B3880" i="5"/>
  <c r="J3880" i="5"/>
  <c r="B3881" i="5"/>
  <c r="J3881" i="5"/>
  <c r="B3882" i="5"/>
  <c r="J3882" i="5"/>
  <c r="B3883" i="5"/>
  <c r="J3883" i="5"/>
  <c r="B3884" i="5"/>
  <c r="J3884" i="5"/>
  <c r="B3885" i="5"/>
  <c r="J3885" i="5"/>
  <c r="B3886" i="5"/>
  <c r="J3886" i="5"/>
  <c r="B3887" i="5"/>
  <c r="J3887" i="5"/>
  <c r="B3888" i="5"/>
  <c r="J3888" i="5"/>
  <c r="B3889" i="5"/>
  <c r="J3889" i="5"/>
  <c r="B3890" i="5"/>
  <c r="J3890" i="5"/>
  <c r="B3891" i="5"/>
  <c r="J3891" i="5"/>
  <c r="B3892" i="5"/>
  <c r="J3892" i="5"/>
  <c r="B3893" i="5"/>
  <c r="J3893" i="5"/>
  <c r="B3894" i="5"/>
  <c r="J3894" i="5"/>
  <c r="B3895" i="5"/>
  <c r="J3895" i="5"/>
  <c r="B3896" i="5"/>
  <c r="J3896" i="5"/>
  <c r="B3897" i="5"/>
  <c r="J3897" i="5"/>
  <c r="B3898" i="5"/>
  <c r="J3898" i="5"/>
  <c r="B3899" i="5"/>
  <c r="J3899" i="5"/>
  <c r="B3900" i="5"/>
  <c r="J3900" i="5"/>
  <c r="B3901" i="5"/>
  <c r="J3901" i="5"/>
  <c r="B3902" i="5"/>
  <c r="J3902" i="5"/>
  <c r="B3903" i="5"/>
  <c r="J3903" i="5"/>
  <c r="B3904" i="5"/>
  <c r="J3904" i="5"/>
  <c r="B3905" i="5"/>
  <c r="J3905" i="5"/>
  <c r="B3906" i="5"/>
  <c r="J3906" i="5"/>
  <c r="B3907" i="5"/>
  <c r="J3907" i="5"/>
  <c r="B3908" i="5"/>
  <c r="J3908" i="5"/>
  <c r="B3909" i="5"/>
  <c r="J3909" i="5"/>
  <c r="B3910" i="5"/>
  <c r="J3910" i="5"/>
  <c r="B3911" i="5"/>
  <c r="J3911" i="5"/>
  <c r="B3912" i="5"/>
  <c r="J3912" i="5"/>
  <c r="B3913" i="5"/>
  <c r="J3913" i="5"/>
  <c r="B3914" i="5"/>
  <c r="J3914" i="5"/>
  <c r="B3915" i="5"/>
  <c r="J3915" i="5"/>
  <c r="B3916" i="5"/>
  <c r="J3916" i="5"/>
  <c r="B3917" i="5"/>
  <c r="J3917" i="5"/>
  <c r="B3918" i="5"/>
  <c r="J3918" i="5"/>
  <c r="B3919" i="5"/>
  <c r="J3919" i="5"/>
  <c r="B3920" i="5"/>
  <c r="J3920" i="5"/>
  <c r="B3921" i="5"/>
  <c r="J3921" i="5"/>
  <c r="B3922" i="5"/>
  <c r="J3922" i="5"/>
  <c r="B3923" i="5"/>
  <c r="J3923" i="5"/>
  <c r="B3924" i="5"/>
  <c r="B3925" i="5"/>
  <c r="B3926" i="5"/>
  <c r="B3927" i="5"/>
  <c r="B3928" i="5"/>
  <c r="B3929" i="5"/>
  <c r="B3930" i="5"/>
  <c r="B3931" i="5"/>
  <c r="J3931" i="5"/>
  <c r="B3932" i="5"/>
  <c r="J3932" i="5"/>
  <c r="B3933" i="5"/>
  <c r="B3934" i="5"/>
  <c r="B3935" i="5"/>
  <c r="B3936" i="5"/>
  <c r="B3937" i="5"/>
  <c r="J3937" i="5"/>
  <c r="B3938" i="5"/>
  <c r="J3938" i="5"/>
  <c r="B3939" i="5"/>
  <c r="J3939" i="5"/>
  <c r="B3940" i="5"/>
  <c r="J3940" i="5"/>
  <c r="B3941" i="5"/>
  <c r="J3941" i="5"/>
  <c r="B3942" i="5"/>
  <c r="J3942" i="5"/>
  <c r="B3943" i="5"/>
  <c r="B3944" i="5"/>
  <c r="B3945" i="5"/>
  <c r="B3946" i="5"/>
  <c r="J3946" i="5"/>
  <c r="B3947" i="5"/>
  <c r="J3947" i="5"/>
  <c r="B3948" i="5"/>
  <c r="J3948" i="5"/>
  <c r="B3949" i="5"/>
  <c r="J3949" i="5"/>
  <c r="B3950" i="5"/>
  <c r="J3950" i="5"/>
  <c r="B3951" i="5"/>
  <c r="J3951" i="5"/>
  <c r="B3952" i="5"/>
  <c r="J3952" i="5"/>
  <c r="B3953" i="5"/>
  <c r="J3953" i="5"/>
  <c r="B3954" i="5"/>
  <c r="J3954" i="5"/>
  <c r="B3955" i="5"/>
  <c r="J3955" i="5"/>
  <c r="B3956" i="5"/>
  <c r="J3956" i="5"/>
  <c r="B3957" i="5"/>
  <c r="J3957" i="5"/>
  <c r="B3958" i="5"/>
  <c r="J3958" i="5"/>
  <c r="B3959" i="5"/>
  <c r="J3959" i="5"/>
  <c r="B3960" i="5"/>
  <c r="J3960" i="5"/>
  <c r="B3961" i="5"/>
  <c r="J3961" i="5"/>
  <c r="B3962" i="5"/>
  <c r="J3962" i="5"/>
  <c r="B3963" i="5"/>
  <c r="J3963" i="5"/>
  <c r="B3964" i="5"/>
  <c r="J3964" i="5"/>
  <c r="B3965" i="5"/>
  <c r="J3965" i="5"/>
  <c r="B3966" i="5"/>
  <c r="J3966" i="5"/>
  <c r="B3967" i="5"/>
  <c r="J3967" i="5"/>
  <c r="B3968" i="5"/>
  <c r="J3968" i="5"/>
  <c r="B3969" i="5"/>
  <c r="J3969" i="5"/>
  <c r="B3970" i="5"/>
  <c r="J3970" i="5"/>
  <c r="B3971" i="5"/>
  <c r="J3971" i="5"/>
  <c r="B3972" i="5"/>
  <c r="J3972" i="5"/>
  <c r="B3973" i="5"/>
  <c r="J3973" i="5"/>
  <c r="B3974" i="5"/>
  <c r="J3974" i="5"/>
  <c r="B3975" i="5"/>
  <c r="J3975" i="5"/>
  <c r="B3976" i="5"/>
  <c r="J3976" i="5"/>
  <c r="B3977" i="5"/>
  <c r="J3977" i="5"/>
  <c r="B3978" i="5"/>
  <c r="J3978" i="5"/>
  <c r="B3979" i="5"/>
  <c r="J3979" i="5"/>
  <c r="B3980" i="5"/>
  <c r="J3980" i="5"/>
  <c r="B3981" i="5"/>
  <c r="J3981" i="5"/>
  <c r="B3982" i="5"/>
  <c r="J3982" i="5"/>
  <c r="B3983" i="5"/>
  <c r="J3983" i="5"/>
  <c r="B3984" i="5"/>
  <c r="J3984" i="5"/>
  <c r="B3985" i="5"/>
  <c r="J3985" i="5"/>
  <c r="B3986" i="5"/>
  <c r="J3986" i="5"/>
  <c r="B3987" i="5"/>
  <c r="J3987" i="5"/>
  <c r="B3988" i="5"/>
  <c r="J3988" i="5"/>
  <c r="B3989" i="5"/>
  <c r="J3989" i="5"/>
  <c r="B3990" i="5"/>
  <c r="J3990" i="5"/>
  <c r="B3991" i="5"/>
  <c r="J3991" i="5"/>
  <c r="B3992" i="5"/>
  <c r="J3992" i="5"/>
  <c r="B3993" i="5"/>
  <c r="J3993" i="5"/>
  <c r="B3994" i="5"/>
  <c r="J3994" i="5"/>
  <c r="B3995" i="5"/>
  <c r="J3995" i="5"/>
  <c r="B3996" i="5"/>
  <c r="J3996" i="5"/>
  <c r="B3997" i="5"/>
  <c r="J3997" i="5"/>
  <c r="B3998" i="5"/>
  <c r="J3998" i="5"/>
  <c r="B3999" i="5"/>
  <c r="J3999" i="5"/>
  <c r="B4000" i="5"/>
  <c r="J4000" i="5"/>
  <c r="B4001" i="5"/>
  <c r="J4001" i="5"/>
  <c r="B4002" i="5"/>
  <c r="J4002" i="5"/>
  <c r="B4003" i="5"/>
  <c r="J4003" i="5"/>
  <c r="B4004" i="5"/>
  <c r="J4004" i="5"/>
  <c r="B4005" i="5"/>
  <c r="J4005" i="5"/>
  <c r="B4006" i="5"/>
  <c r="J4006" i="5"/>
  <c r="B4007" i="5"/>
  <c r="J4007" i="5"/>
  <c r="B4008" i="5"/>
  <c r="J4008" i="5"/>
  <c r="B4009" i="5"/>
  <c r="J4009" i="5"/>
  <c r="B4010" i="5"/>
  <c r="J4010" i="5"/>
  <c r="B4011" i="5"/>
  <c r="J4011" i="5"/>
  <c r="B4012" i="5"/>
  <c r="J4012" i="5"/>
  <c r="B4013" i="5"/>
  <c r="J4013" i="5"/>
  <c r="B4014" i="5"/>
  <c r="J4014" i="5"/>
  <c r="B4015" i="5"/>
  <c r="J4015" i="5"/>
  <c r="B4016" i="5"/>
  <c r="J4016" i="5"/>
  <c r="B4017" i="5"/>
  <c r="J4017" i="5"/>
  <c r="B4018" i="5"/>
  <c r="J4018" i="5"/>
  <c r="B4019" i="5"/>
  <c r="J4019" i="5"/>
  <c r="B4020" i="5"/>
  <c r="J4020" i="5"/>
  <c r="B4021" i="5"/>
  <c r="J4021" i="5"/>
  <c r="B4022" i="5"/>
  <c r="J4022" i="5"/>
  <c r="B4023" i="5"/>
  <c r="J4023" i="5"/>
  <c r="B4024" i="5"/>
  <c r="J4024" i="5"/>
  <c r="B4025" i="5"/>
  <c r="J4025" i="5"/>
  <c r="B4026" i="5"/>
  <c r="J4026" i="5"/>
  <c r="B4027" i="5"/>
  <c r="J4027" i="5"/>
  <c r="B4028" i="5"/>
  <c r="J4028" i="5"/>
  <c r="B4029" i="5"/>
  <c r="J4029" i="5"/>
  <c r="B4030" i="5"/>
  <c r="J4030" i="5"/>
  <c r="B4031" i="5"/>
  <c r="J4031" i="5"/>
  <c r="B4032" i="5"/>
  <c r="J4032" i="5"/>
  <c r="B4033" i="5"/>
  <c r="J4033" i="5"/>
  <c r="B4034" i="5"/>
  <c r="J4034" i="5"/>
  <c r="B4035" i="5"/>
  <c r="J4035" i="5"/>
  <c r="B4036" i="5"/>
  <c r="J4036" i="5"/>
  <c r="B4037" i="5"/>
  <c r="J4037" i="5"/>
  <c r="B4038" i="5"/>
  <c r="J4038" i="5"/>
  <c r="B4039" i="5"/>
  <c r="J4039" i="5"/>
  <c r="B4040" i="5"/>
  <c r="J4040" i="5"/>
  <c r="B4041" i="5"/>
  <c r="J4041" i="5"/>
  <c r="B4042" i="5"/>
  <c r="J4042" i="5"/>
  <c r="B4043" i="5"/>
  <c r="J4043" i="5"/>
  <c r="B4044" i="5"/>
  <c r="J4044" i="5"/>
  <c r="B4045" i="5"/>
  <c r="J4045" i="5"/>
  <c r="B4046" i="5"/>
  <c r="J4046" i="5"/>
  <c r="B4047" i="5"/>
  <c r="J4047" i="5"/>
  <c r="B4048" i="5"/>
  <c r="J4048" i="5"/>
  <c r="B4049" i="5"/>
  <c r="J4049" i="5"/>
  <c r="B4050" i="5"/>
  <c r="J4050" i="5"/>
  <c r="B4051" i="5"/>
  <c r="J4051" i="5"/>
  <c r="B4052" i="5"/>
  <c r="J4052" i="5"/>
  <c r="B4053" i="5"/>
  <c r="J4053" i="5"/>
  <c r="B4054" i="5"/>
  <c r="J4054" i="5"/>
  <c r="B4055" i="5"/>
  <c r="J4055" i="5"/>
  <c r="B4056" i="5"/>
  <c r="J4056" i="5"/>
  <c r="B4057" i="5"/>
  <c r="J4057" i="5"/>
  <c r="B4058" i="5"/>
  <c r="J4058" i="5"/>
  <c r="B4059" i="5"/>
  <c r="J4059" i="5"/>
  <c r="B4060" i="5"/>
  <c r="J4060" i="5"/>
  <c r="B4061" i="5"/>
  <c r="J4061" i="5"/>
  <c r="B4062" i="5"/>
  <c r="J4062" i="5"/>
  <c r="B4063" i="5"/>
  <c r="J4063" i="5"/>
  <c r="B4064" i="5"/>
  <c r="J4064" i="5"/>
  <c r="B4065" i="5"/>
  <c r="J4065" i="5"/>
  <c r="B4066" i="5"/>
  <c r="J4066" i="5"/>
  <c r="B4067" i="5"/>
  <c r="J4067" i="5"/>
  <c r="B4068" i="5"/>
  <c r="J4068" i="5"/>
  <c r="B4069" i="5"/>
  <c r="J4069" i="5"/>
  <c r="B4070" i="5"/>
  <c r="J4070" i="5"/>
  <c r="B4071" i="5"/>
  <c r="J4071" i="5"/>
  <c r="B4072" i="5"/>
  <c r="J4072" i="5"/>
  <c r="B4073" i="5"/>
  <c r="J4073" i="5"/>
  <c r="B4074" i="5"/>
  <c r="J4074" i="5"/>
  <c r="B4075" i="5"/>
  <c r="J4075" i="5"/>
  <c r="B4076" i="5"/>
  <c r="J4076" i="5"/>
  <c r="B4077" i="5"/>
  <c r="J4077" i="5"/>
  <c r="B4078" i="5"/>
  <c r="J4078" i="5"/>
  <c r="B4079" i="5"/>
  <c r="J4079" i="5"/>
  <c r="B4080" i="5"/>
  <c r="J4080" i="5"/>
  <c r="B4081" i="5"/>
  <c r="J4081" i="5"/>
  <c r="B4082" i="5"/>
  <c r="J4082" i="5"/>
  <c r="B4083" i="5"/>
  <c r="J4083" i="5"/>
  <c r="B4084" i="5"/>
  <c r="J4084" i="5"/>
  <c r="B4085" i="5"/>
  <c r="J4085" i="5"/>
  <c r="B4086" i="5"/>
  <c r="J4086" i="5"/>
  <c r="B4087" i="5"/>
  <c r="J4087" i="5"/>
  <c r="B4088" i="5"/>
  <c r="J4088" i="5"/>
  <c r="B4089" i="5"/>
  <c r="J4089" i="5"/>
  <c r="B4090" i="5"/>
  <c r="J4090" i="5"/>
  <c r="B4091" i="5"/>
  <c r="J4091" i="5"/>
  <c r="B4092" i="5"/>
  <c r="J4092" i="5"/>
  <c r="B4093" i="5"/>
  <c r="J4093" i="5"/>
  <c r="B4094" i="5"/>
  <c r="J4094" i="5"/>
  <c r="B4095" i="5"/>
  <c r="J4095" i="5"/>
  <c r="B4096" i="5"/>
  <c r="J4096" i="5"/>
  <c r="B4097" i="5"/>
  <c r="J4097" i="5"/>
  <c r="B4098" i="5"/>
  <c r="J4098" i="5"/>
  <c r="B4099" i="5"/>
  <c r="J4099" i="5"/>
  <c r="B4100" i="5"/>
  <c r="J4100" i="5"/>
  <c r="B4101" i="5"/>
  <c r="J4101" i="5"/>
  <c r="B4102" i="5"/>
  <c r="J4102" i="5"/>
  <c r="B4103" i="5"/>
  <c r="J4103" i="5"/>
  <c r="B4104" i="5"/>
  <c r="J4104" i="5"/>
  <c r="B4105" i="5"/>
  <c r="J4105" i="5"/>
  <c r="B4106" i="5"/>
  <c r="J4106" i="5"/>
  <c r="B4107" i="5"/>
  <c r="J4107" i="5"/>
  <c r="B4108" i="5"/>
  <c r="J4108" i="5"/>
  <c r="B4109" i="5"/>
  <c r="J4109" i="5"/>
  <c r="B4110" i="5"/>
  <c r="J4110" i="5"/>
  <c r="B4111" i="5"/>
  <c r="J4111" i="5"/>
  <c r="B4112" i="5"/>
  <c r="J4112" i="5"/>
  <c r="B4113" i="5"/>
  <c r="J4113" i="5"/>
  <c r="B4114" i="5"/>
  <c r="J4114" i="5"/>
  <c r="B4115" i="5"/>
  <c r="J4115" i="5"/>
  <c r="B4116" i="5"/>
  <c r="J4116" i="5"/>
  <c r="B4117" i="5"/>
  <c r="J4117" i="5"/>
  <c r="B4118" i="5"/>
  <c r="J4118" i="5"/>
  <c r="B4119" i="5"/>
  <c r="J4119" i="5"/>
  <c r="B4120" i="5"/>
  <c r="J4120" i="5"/>
  <c r="B4121" i="5"/>
  <c r="J4121" i="5"/>
  <c r="B4122" i="5"/>
  <c r="J4122" i="5"/>
  <c r="B4123" i="5"/>
  <c r="J4123" i="5"/>
  <c r="B4124" i="5"/>
  <c r="J4124" i="5"/>
  <c r="B4125" i="5"/>
  <c r="J4125" i="5"/>
  <c r="B4126" i="5"/>
  <c r="J4126" i="5"/>
  <c r="B4127" i="5"/>
  <c r="J4127" i="5"/>
  <c r="B4128" i="5"/>
  <c r="J4128" i="5"/>
  <c r="B4129" i="5"/>
  <c r="J4129" i="5"/>
  <c r="B4130" i="5"/>
  <c r="J4130" i="5"/>
  <c r="B4131" i="5"/>
  <c r="J4131" i="5"/>
  <c r="B4132" i="5"/>
  <c r="J4132" i="5"/>
  <c r="B4133" i="5"/>
  <c r="J4133" i="5"/>
  <c r="B4134" i="5"/>
  <c r="J4134" i="5"/>
  <c r="B4135" i="5"/>
  <c r="J4135" i="5"/>
  <c r="B4136" i="5"/>
  <c r="J4136" i="5"/>
  <c r="B4137" i="5"/>
  <c r="J4137" i="5"/>
  <c r="B4138" i="5"/>
  <c r="J4138" i="5"/>
  <c r="B4139" i="5"/>
  <c r="J4139" i="5"/>
  <c r="B4140" i="5"/>
  <c r="J4140" i="5"/>
  <c r="B4141" i="5"/>
  <c r="J4141" i="5"/>
  <c r="B4142" i="5"/>
  <c r="J4142" i="5"/>
  <c r="B4143" i="5"/>
  <c r="J4143" i="5"/>
  <c r="B4144" i="5"/>
  <c r="J4144" i="5"/>
  <c r="B4145" i="5"/>
  <c r="J4145" i="5"/>
  <c r="B4146" i="5"/>
  <c r="J4146" i="5"/>
  <c r="B4147" i="5"/>
  <c r="J4147" i="5"/>
  <c r="B4148" i="5"/>
  <c r="J4148" i="5"/>
  <c r="B4149" i="5"/>
  <c r="J4149" i="5"/>
  <c r="B4150" i="5"/>
  <c r="J4150" i="5"/>
  <c r="B4151" i="5"/>
  <c r="J4151" i="5"/>
  <c r="B4152" i="5"/>
  <c r="J4152" i="5"/>
  <c r="B4153" i="5"/>
  <c r="J4153" i="5"/>
  <c r="B4154" i="5"/>
  <c r="J4154" i="5"/>
  <c r="B4155" i="5"/>
  <c r="J4155" i="5"/>
  <c r="B4156" i="5"/>
  <c r="J4156" i="5"/>
  <c r="B4157" i="5"/>
  <c r="J4157" i="5"/>
  <c r="B4158" i="5"/>
  <c r="J4158" i="5"/>
  <c r="B4159" i="5"/>
  <c r="J4159" i="5"/>
  <c r="B4160" i="5"/>
  <c r="J4160" i="5"/>
  <c r="B4161" i="5"/>
  <c r="J4161" i="5"/>
  <c r="B4162" i="5"/>
  <c r="J4162" i="5"/>
  <c r="B4163" i="5"/>
  <c r="J4163" i="5"/>
  <c r="B4164" i="5"/>
  <c r="J4164" i="5"/>
  <c r="B4165" i="5"/>
  <c r="J4165" i="5"/>
  <c r="B4166" i="5"/>
  <c r="J4166" i="5"/>
  <c r="B4167" i="5"/>
  <c r="J4167" i="5"/>
  <c r="B4168" i="5"/>
  <c r="J4168" i="5"/>
  <c r="B4169" i="5"/>
  <c r="J4169" i="5"/>
  <c r="B4170" i="5"/>
  <c r="J4170" i="5"/>
  <c r="B4171" i="5"/>
  <c r="J4171" i="5"/>
  <c r="B4172" i="5"/>
  <c r="J4172" i="5"/>
  <c r="B4173" i="5"/>
  <c r="J4173" i="5"/>
  <c r="B4174" i="5"/>
  <c r="J4174" i="5"/>
  <c r="B4175" i="5"/>
  <c r="J4175" i="5"/>
  <c r="B4176" i="5"/>
  <c r="J4176" i="5"/>
  <c r="B4177" i="5"/>
  <c r="J4177" i="5"/>
  <c r="B4178" i="5"/>
  <c r="J4178" i="5"/>
  <c r="B4179" i="5"/>
  <c r="J4179" i="5"/>
  <c r="B4180" i="5"/>
  <c r="J4180" i="5"/>
  <c r="B4181" i="5"/>
  <c r="J4181" i="5"/>
  <c r="B4182" i="5"/>
  <c r="J4182" i="5"/>
  <c r="B4183" i="5"/>
  <c r="J4183" i="5"/>
  <c r="B4184" i="5"/>
  <c r="J4184" i="5"/>
  <c r="B4185" i="5"/>
  <c r="J4185" i="5"/>
  <c r="B4186" i="5"/>
  <c r="J4186" i="5"/>
  <c r="B4187" i="5"/>
  <c r="J4187" i="5"/>
  <c r="B4188" i="5"/>
  <c r="J4188" i="5"/>
  <c r="B4189" i="5"/>
  <c r="J4189" i="5"/>
  <c r="B4190" i="5"/>
  <c r="J4190" i="5"/>
  <c r="B4191" i="5"/>
  <c r="J4191" i="5"/>
  <c r="B4192" i="5"/>
  <c r="J4192" i="5"/>
  <c r="B4193" i="5"/>
  <c r="J4193" i="5"/>
  <c r="B4194" i="5"/>
  <c r="J4194" i="5"/>
  <c r="B4195" i="5"/>
  <c r="J4195" i="5"/>
  <c r="B4196" i="5"/>
  <c r="J4196" i="5"/>
  <c r="B4197" i="5"/>
  <c r="J4197" i="5"/>
  <c r="B4198" i="5"/>
  <c r="J4198" i="5"/>
  <c r="B4199" i="5"/>
  <c r="J4199" i="5"/>
  <c r="B4200" i="5"/>
  <c r="J4200" i="5"/>
  <c r="B4201" i="5"/>
  <c r="J4201" i="5"/>
  <c r="B4202" i="5"/>
  <c r="J4202" i="5"/>
  <c r="B4203" i="5"/>
  <c r="J4203" i="5"/>
  <c r="B4204" i="5"/>
  <c r="J4204" i="5"/>
  <c r="B4205" i="5"/>
  <c r="J4205" i="5"/>
  <c r="B4206" i="5"/>
  <c r="J4206" i="5"/>
  <c r="B4207" i="5"/>
  <c r="J4207" i="5"/>
  <c r="B4208" i="5"/>
  <c r="J4208" i="5"/>
  <c r="B4209" i="5"/>
  <c r="J4209" i="5"/>
  <c r="B4210" i="5"/>
  <c r="J4210" i="5"/>
  <c r="B4211" i="5"/>
  <c r="J4211" i="5"/>
  <c r="B4212" i="5"/>
  <c r="J4212" i="5"/>
  <c r="B4213" i="5"/>
  <c r="J4213" i="5"/>
  <c r="B4214" i="5"/>
  <c r="J4214" i="5"/>
  <c r="B4215" i="5"/>
  <c r="J4215" i="5"/>
  <c r="B4216" i="5"/>
  <c r="J4216" i="5"/>
  <c r="B4217" i="5"/>
  <c r="J4217" i="5"/>
  <c r="B4218" i="5"/>
  <c r="J4218" i="5"/>
  <c r="B4219" i="5"/>
  <c r="J4219" i="5"/>
  <c r="B4220" i="5"/>
  <c r="J4220" i="5"/>
  <c r="B4221" i="5"/>
  <c r="J4221" i="5"/>
  <c r="B4222" i="5"/>
  <c r="J4222" i="5"/>
  <c r="B4223" i="5"/>
  <c r="J4223" i="5"/>
  <c r="B4224" i="5"/>
  <c r="J4224" i="5"/>
  <c r="B4225" i="5"/>
  <c r="J4225" i="5"/>
  <c r="B4226" i="5"/>
  <c r="J4226" i="5"/>
  <c r="B4227" i="5"/>
  <c r="J4227" i="5"/>
  <c r="B4228" i="5"/>
  <c r="J4228" i="5"/>
  <c r="B4229" i="5"/>
  <c r="J4229" i="5"/>
  <c r="B4230" i="5"/>
  <c r="J4230" i="5"/>
  <c r="B4231" i="5"/>
  <c r="J4231" i="5"/>
  <c r="B4232" i="5"/>
  <c r="J4232" i="5"/>
  <c r="B4233" i="5"/>
  <c r="J4233" i="5"/>
  <c r="B4234" i="5"/>
  <c r="J4234" i="5"/>
  <c r="B4235" i="5"/>
  <c r="J4235" i="5"/>
  <c r="B4236" i="5"/>
  <c r="J4236" i="5"/>
  <c r="B4237" i="5"/>
  <c r="J4237" i="5"/>
  <c r="B4238" i="5"/>
  <c r="J4238" i="5"/>
  <c r="B4239" i="5"/>
  <c r="J4239" i="5"/>
  <c r="B4240" i="5"/>
  <c r="J4240" i="5"/>
  <c r="B4241" i="5"/>
  <c r="J4241" i="5"/>
  <c r="B4242" i="5"/>
  <c r="J4242" i="5"/>
  <c r="B4243" i="5"/>
  <c r="J4243" i="5"/>
  <c r="B4244" i="5"/>
  <c r="J4244" i="5"/>
  <c r="B4245" i="5"/>
  <c r="J4245" i="5"/>
  <c r="B4246" i="5"/>
  <c r="J4246" i="5"/>
  <c r="B4247" i="5"/>
  <c r="J4247" i="5"/>
  <c r="B4248" i="5"/>
  <c r="J4248" i="5"/>
  <c r="B4249" i="5"/>
  <c r="J4249" i="5"/>
  <c r="B4250" i="5"/>
  <c r="J4250" i="5"/>
  <c r="B4251" i="5"/>
  <c r="J4251" i="5"/>
  <c r="B4252" i="5"/>
  <c r="J4252" i="5"/>
  <c r="B4253" i="5"/>
  <c r="J4253" i="5"/>
  <c r="B4254" i="5"/>
  <c r="J4254" i="5"/>
  <c r="B4255" i="5"/>
  <c r="J4255" i="5"/>
  <c r="B4256" i="5"/>
  <c r="J4256" i="5"/>
  <c r="B4257" i="5"/>
  <c r="J4257" i="5"/>
  <c r="B4258" i="5"/>
  <c r="J4258" i="5"/>
  <c r="B4259" i="5"/>
  <c r="J4259" i="5"/>
  <c r="B4260" i="5"/>
  <c r="J4260" i="5"/>
  <c r="B4261" i="5"/>
  <c r="J4261" i="5"/>
  <c r="B4262" i="5"/>
  <c r="J4262" i="5"/>
  <c r="B4263" i="5"/>
  <c r="J4263" i="5"/>
  <c r="B4264" i="5"/>
  <c r="J4264" i="5"/>
  <c r="B4265" i="5"/>
  <c r="J4265" i="5"/>
  <c r="B4266" i="5"/>
  <c r="J4266" i="5"/>
  <c r="B4267" i="5"/>
  <c r="J4267" i="5"/>
  <c r="B4268" i="5"/>
  <c r="J4268" i="5"/>
  <c r="B4269" i="5"/>
  <c r="J4269" i="5"/>
  <c r="B4270" i="5"/>
  <c r="J4270" i="5"/>
  <c r="B4271" i="5"/>
  <c r="J4271" i="5"/>
  <c r="B4272" i="5"/>
  <c r="J4272" i="5"/>
  <c r="B4273" i="5"/>
  <c r="J4273" i="5"/>
  <c r="B4274" i="5"/>
  <c r="J4274" i="5"/>
  <c r="B4275" i="5"/>
  <c r="J4275" i="5"/>
  <c r="B4276" i="5"/>
  <c r="J4276" i="5"/>
  <c r="B4277" i="5"/>
  <c r="J4277" i="5"/>
  <c r="B4278" i="5"/>
  <c r="J4278" i="5"/>
  <c r="B4279" i="5"/>
  <c r="J4279" i="5"/>
  <c r="B4280" i="5"/>
  <c r="J4280" i="5"/>
  <c r="B4281" i="5"/>
  <c r="J4281" i="5"/>
  <c r="B4282" i="5"/>
  <c r="J4282" i="5"/>
  <c r="B4283" i="5"/>
  <c r="J4283" i="5"/>
  <c r="B4284" i="5"/>
  <c r="J4284" i="5"/>
  <c r="B4285" i="5"/>
  <c r="J4285" i="5"/>
  <c r="B4286" i="5"/>
  <c r="J4286" i="5"/>
  <c r="B4287" i="5"/>
  <c r="J4287" i="5"/>
  <c r="B4288" i="5"/>
  <c r="J4288" i="5"/>
  <c r="B4289" i="5"/>
  <c r="J4289" i="5"/>
  <c r="B4290" i="5"/>
  <c r="J4290" i="5"/>
  <c r="B4291" i="5"/>
  <c r="J4291" i="5"/>
  <c r="B4292" i="5"/>
  <c r="J4292" i="5"/>
  <c r="B4293" i="5"/>
  <c r="J4293" i="5"/>
  <c r="B4294" i="5"/>
  <c r="J4294" i="5"/>
  <c r="B4295" i="5"/>
  <c r="J4295" i="5"/>
  <c r="B4296" i="5"/>
  <c r="J4296" i="5"/>
  <c r="B4297" i="5"/>
  <c r="J4297" i="5"/>
  <c r="B4298" i="5"/>
  <c r="J4298" i="5"/>
  <c r="B4299" i="5"/>
  <c r="J4299" i="5"/>
  <c r="B4300" i="5"/>
  <c r="J4300" i="5"/>
  <c r="B4301" i="5"/>
  <c r="J4301" i="5"/>
  <c r="B4302" i="5"/>
  <c r="J4302" i="5"/>
  <c r="B4303" i="5"/>
  <c r="J4303" i="5"/>
  <c r="B4304" i="5"/>
  <c r="J4304" i="5"/>
  <c r="B4305" i="5"/>
  <c r="J4305" i="5"/>
  <c r="B4306" i="5"/>
  <c r="J4306" i="5"/>
  <c r="B4307" i="5"/>
  <c r="J4307" i="5"/>
  <c r="B4308" i="5"/>
  <c r="J4308" i="5"/>
  <c r="B4309" i="5"/>
  <c r="J4309" i="5"/>
  <c r="B4310" i="5"/>
  <c r="J4310" i="5"/>
  <c r="B4311" i="5"/>
  <c r="J4311" i="5"/>
  <c r="B4312" i="5"/>
  <c r="J4312" i="5"/>
  <c r="B4313" i="5"/>
  <c r="J4313" i="5"/>
  <c r="B4314" i="5"/>
  <c r="J4314" i="5"/>
  <c r="B4315" i="5"/>
  <c r="J4315" i="5"/>
  <c r="B4316" i="5"/>
  <c r="J4316" i="5"/>
  <c r="B4317" i="5"/>
  <c r="J4317" i="5"/>
  <c r="B4318" i="5"/>
  <c r="J4318" i="5"/>
  <c r="B4319" i="5"/>
  <c r="J4319" i="5"/>
  <c r="B4320" i="5"/>
  <c r="J4320" i="5"/>
  <c r="B4321" i="5"/>
  <c r="J4321" i="5"/>
  <c r="B4322" i="5"/>
  <c r="J4322" i="5"/>
  <c r="B4323" i="5"/>
  <c r="J4323" i="5"/>
  <c r="B4324" i="5"/>
  <c r="J4324" i="5"/>
  <c r="B4325" i="5"/>
  <c r="J4325" i="5"/>
  <c r="B4326" i="5"/>
  <c r="J4326" i="5"/>
  <c r="B4327" i="5"/>
  <c r="J4327" i="5"/>
  <c r="B4328" i="5"/>
  <c r="J4328" i="5"/>
  <c r="B4329" i="5"/>
  <c r="J4329" i="5"/>
  <c r="B4330" i="5"/>
  <c r="J4330" i="5"/>
  <c r="B4331" i="5"/>
  <c r="J4331" i="5"/>
  <c r="B4332" i="5"/>
  <c r="J4332" i="5"/>
  <c r="B4333" i="5"/>
  <c r="J4333" i="5"/>
  <c r="B4334" i="5"/>
  <c r="J4334" i="5"/>
  <c r="B4335" i="5"/>
  <c r="J4335" i="5"/>
  <c r="B4336" i="5"/>
  <c r="J4336" i="5"/>
  <c r="B4337" i="5"/>
  <c r="J4337" i="5"/>
  <c r="B4338" i="5"/>
  <c r="J4338" i="5"/>
  <c r="B4339" i="5"/>
  <c r="J4339" i="5"/>
  <c r="B4340" i="5"/>
  <c r="J4340" i="5"/>
  <c r="B4341" i="5"/>
  <c r="J4341" i="5"/>
  <c r="B4342" i="5"/>
  <c r="J4342" i="5"/>
  <c r="B4343" i="5"/>
  <c r="J4343" i="5"/>
  <c r="B4344" i="5"/>
  <c r="J4344" i="5"/>
  <c r="B4345" i="5"/>
  <c r="J4345" i="5"/>
  <c r="B4346" i="5"/>
  <c r="J4346" i="5"/>
  <c r="B4347" i="5"/>
  <c r="J4347" i="5"/>
  <c r="B4348" i="5"/>
  <c r="J4348" i="5"/>
  <c r="B4349" i="5"/>
  <c r="J4349" i="5"/>
  <c r="B4350" i="5"/>
  <c r="J4350" i="5"/>
  <c r="B4351" i="5"/>
  <c r="J4351" i="5"/>
  <c r="B4352" i="5"/>
  <c r="J4352" i="5"/>
  <c r="B4353" i="5"/>
  <c r="J4353" i="5"/>
  <c r="B4354" i="5"/>
  <c r="J4354" i="5"/>
  <c r="B4355" i="5"/>
  <c r="J4355" i="5"/>
  <c r="B4356" i="5"/>
  <c r="J4356" i="5"/>
  <c r="B4357" i="5"/>
  <c r="J4357" i="5"/>
  <c r="B4358" i="5"/>
  <c r="J4358" i="5"/>
  <c r="B4359" i="5"/>
  <c r="J4359" i="5"/>
  <c r="B4360" i="5"/>
  <c r="J4360" i="5"/>
  <c r="B4361" i="5"/>
  <c r="J4361" i="5"/>
  <c r="B4362" i="5"/>
  <c r="J4362" i="5"/>
  <c r="B4363" i="5"/>
  <c r="J4363" i="5"/>
  <c r="B4364" i="5"/>
  <c r="J4364" i="5"/>
  <c r="B4365" i="5"/>
  <c r="J4365" i="5"/>
  <c r="B4366" i="5"/>
  <c r="J4366" i="5"/>
  <c r="B4367" i="5"/>
  <c r="J4367" i="5"/>
  <c r="B4368" i="5"/>
  <c r="J4368" i="5"/>
  <c r="B4369" i="5"/>
  <c r="J4369" i="5"/>
  <c r="B4370" i="5"/>
  <c r="J4370" i="5"/>
  <c r="B4371" i="5"/>
  <c r="J4371" i="5"/>
  <c r="B4372" i="5"/>
  <c r="J4372" i="5"/>
  <c r="B4373" i="5"/>
  <c r="J4373" i="5"/>
  <c r="B4374" i="5"/>
  <c r="J4374" i="5"/>
  <c r="B4375" i="5"/>
  <c r="J4375" i="5"/>
  <c r="B4376" i="5"/>
  <c r="J4376" i="5"/>
  <c r="B4377" i="5"/>
  <c r="J4377" i="5"/>
  <c r="B4378" i="5"/>
  <c r="J4378" i="5"/>
  <c r="B4379" i="5"/>
  <c r="J4379" i="5"/>
  <c r="B4380" i="5"/>
  <c r="J4380" i="5"/>
  <c r="B4381" i="5"/>
  <c r="J4381" i="5"/>
  <c r="B4382" i="5"/>
  <c r="J4382" i="5"/>
  <c r="B4383" i="5"/>
  <c r="J4383" i="5"/>
  <c r="B4384" i="5"/>
  <c r="J4384" i="5"/>
  <c r="B4385" i="5"/>
  <c r="J4385" i="5"/>
  <c r="B4386" i="5"/>
  <c r="J4386" i="5"/>
  <c r="B4387" i="5"/>
  <c r="J4387" i="5"/>
  <c r="B4388" i="5"/>
  <c r="J4388" i="5"/>
  <c r="B4389" i="5"/>
  <c r="J4389" i="5"/>
  <c r="B4390" i="5"/>
  <c r="J4390" i="5"/>
  <c r="B4391" i="5"/>
  <c r="J4391" i="5"/>
  <c r="B4392" i="5"/>
  <c r="J4392" i="5"/>
  <c r="B4393" i="5"/>
  <c r="J4393" i="5"/>
  <c r="B4394" i="5"/>
  <c r="J4394" i="5"/>
  <c r="B4395" i="5"/>
  <c r="J4395" i="5"/>
  <c r="B4396" i="5"/>
  <c r="J4396" i="5"/>
  <c r="B4397" i="5"/>
  <c r="J4397" i="5"/>
  <c r="B4398" i="5"/>
  <c r="J4398" i="5"/>
  <c r="B4399" i="5"/>
  <c r="J4399" i="5"/>
  <c r="B4400" i="5"/>
  <c r="J4400" i="5"/>
  <c r="B4401" i="5"/>
  <c r="J4401" i="5"/>
  <c r="B4402" i="5"/>
  <c r="J4402" i="5"/>
  <c r="B4403" i="5"/>
  <c r="J4403" i="5"/>
  <c r="B4404" i="5"/>
  <c r="J4404" i="5"/>
  <c r="B4405" i="5"/>
  <c r="J4405" i="5"/>
  <c r="B4406" i="5"/>
  <c r="J4406" i="5"/>
  <c r="B4407" i="5"/>
  <c r="J4407" i="5"/>
  <c r="B4408" i="5"/>
  <c r="J4408" i="5"/>
  <c r="B4409" i="5"/>
  <c r="J4409" i="5"/>
  <c r="B4410" i="5"/>
  <c r="J4410" i="5"/>
  <c r="B4411" i="5"/>
  <c r="J4411" i="5"/>
  <c r="B4412" i="5"/>
  <c r="J4412" i="5"/>
  <c r="B4413" i="5"/>
  <c r="J4413" i="5"/>
  <c r="B4414" i="5"/>
  <c r="J4414" i="5"/>
  <c r="B4415" i="5"/>
  <c r="J4415" i="5"/>
  <c r="B4416" i="5"/>
  <c r="J4416" i="5"/>
  <c r="B4417" i="5"/>
  <c r="J4417" i="5"/>
  <c r="B4418" i="5"/>
  <c r="J4418" i="5"/>
  <c r="B4419" i="5"/>
  <c r="J4419" i="5"/>
  <c r="B4420" i="5"/>
  <c r="J4420" i="5"/>
  <c r="B4421" i="5"/>
  <c r="J4421" i="5"/>
  <c r="B4422" i="5"/>
  <c r="J4422" i="5"/>
  <c r="B4423" i="5"/>
  <c r="J4423" i="5"/>
  <c r="B4424" i="5"/>
  <c r="J4424" i="5"/>
  <c r="B4425" i="5"/>
  <c r="J4425" i="5"/>
  <c r="B4426" i="5"/>
  <c r="J4426" i="5"/>
  <c r="B4427" i="5"/>
  <c r="J4427" i="5"/>
  <c r="B4428" i="5"/>
  <c r="J4428" i="5"/>
  <c r="B4429" i="5"/>
  <c r="J4429" i="5"/>
  <c r="B4430" i="5"/>
  <c r="J4430" i="5"/>
  <c r="B4431" i="5"/>
  <c r="J4431" i="5"/>
  <c r="B4432" i="5"/>
  <c r="J4432" i="5"/>
  <c r="B4433" i="5"/>
  <c r="J4433" i="5"/>
  <c r="B4434" i="5"/>
  <c r="J4434" i="5"/>
  <c r="B4435" i="5"/>
  <c r="J4435" i="5"/>
  <c r="B4436" i="5"/>
  <c r="J4436" i="5"/>
  <c r="B4437" i="5"/>
  <c r="J4437" i="5"/>
  <c r="B4438" i="5"/>
  <c r="J4438" i="5"/>
  <c r="B4439" i="5"/>
  <c r="J4439" i="5"/>
  <c r="B4440" i="5"/>
  <c r="J4440" i="5"/>
  <c r="B4441" i="5"/>
  <c r="J4441" i="5"/>
  <c r="B4442" i="5"/>
  <c r="J4442" i="5"/>
  <c r="B4443" i="5"/>
  <c r="J4443" i="5"/>
  <c r="B4444" i="5"/>
  <c r="J4444" i="5"/>
  <c r="B4445" i="5"/>
  <c r="J4445" i="5"/>
  <c r="B4446" i="5"/>
  <c r="J4446" i="5"/>
  <c r="B4447" i="5"/>
  <c r="J4447" i="5"/>
  <c r="B4448" i="5"/>
  <c r="J4448" i="5"/>
  <c r="B4449" i="5"/>
  <c r="J4449" i="5"/>
  <c r="B4450" i="5"/>
  <c r="J4450" i="5"/>
  <c r="B4451" i="5"/>
  <c r="J4451" i="5"/>
  <c r="B4452" i="5"/>
  <c r="J4452" i="5"/>
  <c r="B4453" i="5"/>
  <c r="J4453" i="5"/>
  <c r="B4454" i="5"/>
  <c r="J4454" i="5"/>
  <c r="B4455" i="5"/>
  <c r="J4455" i="5"/>
  <c r="B4456" i="5"/>
  <c r="J4456" i="5"/>
  <c r="B4457" i="5"/>
  <c r="J4457" i="5"/>
  <c r="B4458" i="5"/>
  <c r="J4458" i="5"/>
  <c r="B4459" i="5"/>
  <c r="J4459" i="5"/>
  <c r="B4460" i="5"/>
  <c r="J4460" i="5"/>
  <c r="B4461" i="5"/>
  <c r="J4461" i="5"/>
  <c r="B4462" i="5"/>
  <c r="J4462" i="5"/>
  <c r="B4463" i="5"/>
  <c r="J4463" i="5"/>
  <c r="B4464" i="5"/>
  <c r="J4464" i="5"/>
  <c r="B4465" i="5"/>
  <c r="J4465" i="5"/>
  <c r="B4466" i="5"/>
  <c r="J4466" i="5"/>
  <c r="B4467" i="5"/>
  <c r="J4467" i="5"/>
  <c r="B4468" i="5"/>
  <c r="J4468" i="5"/>
  <c r="B4469" i="5"/>
  <c r="J4469" i="5"/>
  <c r="B4470" i="5"/>
  <c r="J4470" i="5"/>
  <c r="B4471" i="5"/>
  <c r="J4471" i="5"/>
  <c r="B4472" i="5"/>
  <c r="J4472" i="5"/>
  <c r="B4473" i="5"/>
  <c r="J4473" i="5"/>
  <c r="B4474" i="5"/>
  <c r="J4474" i="5"/>
  <c r="B4475" i="5"/>
  <c r="J4475" i="5"/>
  <c r="B4476" i="5"/>
  <c r="J4476" i="5"/>
  <c r="B4477" i="5"/>
  <c r="J4477" i="5"/>
  <c r="B4478" i="5"/>
  <c r="J4478" i="5"/>
  <c r="B4479" i="5"/>
  <c r="J4479" i="5"/>
  <c r="B4480" i="5"/>
  <c r="J4480" i="5"/>
  <c r="B4481" i="5"/>
  <c r="J4481" i="5"/>
  <c r="B4482" i="5"/>
  <c r="J4482" i="5"/>
  <c r="B4483" i="5"/>
  <c r="J4483" i="5"/>
  <c r="B4484" i="5"/>
  <c r="J4484" i="5"/>
  <c r="B4485" i="5"/>
  <c r="J4485" i="5"/>
  <c r="B4486" i="5"/>
  <c r="J4486" i="5"/>
  <c r="B4487" i="5"/>
  <c r="J4487" i="5"/>
  <c r="B4488" i="5"/>
  <c r="J4488" i="5"/>
  <c r="B4489" i="5"/>
  <c r="J4489" i="5"/>
  <c r="B4490" i="5"/>
  <c r="J4490" i="5"/>
  <c r="B4491" i="5"/>
  <c r="J4491" i="5"/>
  <c r="B4492" i="5"/>
  <c r="J4492" i="5"/>
  <c r="B4493" i="5"/>
  <c r="J4493" i="5"/>
  <c r="B4494" i="5"/>
  <c r="J4494" i="5"/>
  <c r="B4495" i="5"/>
  <c r="J4495" i="5"/>
  <c r="B4496" i="5"/>
  <c r="J4496" i="5"/>
  <c r="B4497" i="5"/>
  <c r="J4497" i="5"/>
  <c r="B4498" i="5"/>
  <c r="J4498" i="5"/>
  <c r="B4499" i="5"/>
  <c r="J4499" i="5"/>
  <c r="B4500" i="5"/>
  <c r="J4500" i="5"/>
  <c r="B4501" i="5"/>
  <c r="J4501" i="5"/>
  <c r="B4502" i="5"/>
  <c r="J4502" i="5"/>
  <c r="B4503" i="5"/>
  <c r="J4503" i="5"/>
  <c r="B4504" i="5"/>
  <c r="J4504" i="5"/>
  <c r="B4505" i="5"/>
  <c r="J4505" i="5"/>
  <c r="B4506" i="5"/>
  <c r="J4506" i="5"/>
  <c r="B4507" i="5"/>
  <c r="J4507" i="5"/>
  <c r="B4508" i="5"/>
  <c r="J4508" i="5"/>
  <c r="B4509" i="5"/>
  <c r="J4509" i="5"/>
  <c r="B4510" i="5"/>
  <c r="J4510" i="5"/>
  <c r="B4511" i="5"/>
  <c r="J4511" i="5"/>
  <c r="B4512" i="5"/>
  <c r="J4512" i="5"/>
  <c r="B4513" i="5"/>
  <c r="J4513" i="5"/>
  <c r="B4514" i="5"/>
  <c r="J4514" i="5"/>
  <c r="B4515" i="5"/>
  <c r="J4515" i="5"/>
  <c r="B4516" i="5"/>
  <c r="J4516" i="5"/>
  <c r="B4517" i="5"/>
  <c r="J4517" i="5"/>
  <c r="B4518" i="5"/>
  <c r="J4518" i="5"/>
  <c r="B4519" i="5"/>
  <c r="J4519" i="5"/>
  <c r="B4520" i="5"/>
  <c r="J4520" i="5"/>
  <c r="B4521" i="5"/>
  <c r="J4521" i="5"/>
  <c r="B4522" i="5"/>
  <c r="J4522" i="5"/>
  <c r="B4523" i="5"/>
  <c r="J4523" i="5"/>
  <c r="B4524" i="5"/>
  <c r="J4524" i="5"/>
  <c r="B4525" i="5"/>
  <c r="J4525" i="5"/>
  <c r="B4526" i="5"/>
  <c r="J4526" i="5"/>
  <c r="B4527" i="5"/>
  <c r="J4527" i="5"/>
  <c r="B4528" i="5"/>
  <c r="J4528" i="5"/>
  <c r="B4529" i="5"/>
  <c r="J4529" i="5"/>
  <c r="B4530" i="5"/>
  <c r="J4530" i="5"/>
  <c r="B4531" i="5"/>
  <c r="J4531" i="5"/>
  <c r="B4532" i="5"/>
  <c r="J4532" i="5"/>
  <c r="B4533" i="5"/>
  <c r="J4533" i="5"/>
  <c r="B4534" i="5"/>
  <c r="J4534" i="5"/>
  <c r="B4535" i="5"/>
  <c r="J4535" i="5"/>
  <c r="B4536" i="5"/>
  <c r="J4536" i="5"/>
  <c r="B4537" i="5"/>
  <c r="J4537" i="5"/>
  <c r="B4538" i="5"/>
  <c r="J4538" i="5"/>
  <c r="B4539" i="5"/>
  <c r="J4539" i="5"/>
  <c r="B4540" i="5"/>
  <c r="J4540" i="5"/>
  <c r="B4541" i="5"/>
  <c r="J4541" i="5"/>
  <c r="B4542" i="5"/>
  <c r="J4542" i="5"/>
  <c r="B4543" i="5"/>
  <c r="J4543" i="5"/>
  <c r="B4544" i="5"/>
  <c r="J4544" i="5"/>
  <c r="B4545" i="5"/>
  <c r="J4545" i="5"/>
  <c r="B4546" i="5"/>
  <c r="J4546" i="5"/>
  <c r="B4547" i="5"/>
  <c r="J4547" i="5"/>
  <c r="B4548" i="5"/>
  <c r="J4548" i="5"/>
  <c r="B4549" i="5"/>
  <c r="J4549" i="5"/>
  <c r="B4550" i="5"/>
  <c r="J4550" i="5"/>
  <c r="B4551" i="5"/>
  <c r="J4551" i="5"/>
  <c r="B4552" i="5"/>
  <c r="J4552" i="5"/>
  <c r="B4553" i="5"/>
  <c r="J4553" i="5"/>
  <c r="B4554" i="5"/>
  <c r="J4554" i="5"/>
  <c r="B4555" i="5"/>
  <c r="J4555" i="5"/>
  <c r="B4556" i="5"/>
  <c r="J4556" i="5"/>
  <c r="B4557" i="5"/>
  <c r="J4557" i="5"/>
  <c r="B4558" i="5"/>
  <c r="J4558" i="5"/>
  <c r="B4559" i="5"/>
  <c r="J4559" i="5"/>
  <c r="B4560" i="5"/>
  <c r="J4560" i="5"/>
  <c r="B4561" i="5"/>
  <c r="J4561" i="5"/>
  <c r="B4562" i="5"/>
  <c r="J4562" i="5"/>
  <c r="B4563" i="5"/>
  <c r="J4563" i="5"/>
  <c r="B4564" i="5"/>
  <c r="J4564" i="5"/>
  <c r="B4565" i="5"/>
  <c r="J4565" i="5"/>
  <c r="B4566" i="5"/>
  <c r="J4566" i="5"/>
  <c r="B4567" i="5"/>
  <c r="J4567" i="5"/>
  <c r="B4568" i="5"/>
  <c r="J4568" i="5"/>
  <c r="B4569" i="5"/>
  <c r="J4569" i="5"/>
  <c r="B4570" i="5"/>
  <c r="J4570" i="5"/>
  <c r="B4571" i="5"/>
  <c r="J4571" i="5"/>
  <c r="B4572" i="5"/>
  <c r="J4572" i="5"/>
  <c r="B4573" i="5"/>
  <c r="J4573" i="5"/>
  <c r="B4574" i="5"/>
  <c r="J4574" i="5"/>
  <c r="B4575" i="5"/>
  <c r="J4575" i="5"/>
  <c r="B4576" i="5"/>
  <c r="J4576" i="5"/>
  <c r="B4577" i="5"/>
  <c r="J4577" i="5"/>
  <c r="B4578" i="5"/>
  <c r="J4578" i="5"/>
  <c r="B4579" i="5"/>
  <c r="J4579" i="5"/>
  <c r="B4580" i="5"/>
  <c r="J4580" i="5"/>
  <c r="B4581" i="5"/>
  <c r="J4581" i="5"/>
  <c r="B4582" i="5"/>
  <c r="J4582" i="5"/>
  <c r="B4583" i="5"/>
  <c r="J4583" i="5"/>
  <c r="B4584" i="5"/>
  <c r="J4584" i="5"/>
  <c r="B4585" i="5"/>
  <c r="J4585" i="5"/>
  <c r="B4586" i="5"/>
  <c r="J4586" i="5"/>
  <c r="B4587" i="5"/>
  <c r="J4587" i="5"/>
  <c r="B4588" i="5"/>
  <c r="J4588" i="5"/>
  <c r="B4589" i="5"/>
  <c r="J4589" i="5"/>
  <c r="B4590" i="5"/>
  <c r="J4590" i="5"/>
  <c r="B4591" i="5"/>
  <c r="J4591" i="5"/>
  <c r="B4592" i="5"/>
  <c r="J4592" i="5"/>
  <c r="B4593" i="5"/>
  <c r="J4593" i="5"/>
  <c r="B4594" i="5"/>
  <c r="J4594" i="5"/>
  <c r="B4595" i="5"/>
  <c r="J4595" i="5"/>
  <c r="B4596" i="5"/>
  <c r="J4596" i="5"/>
  <c r="B4597" i="5"/>
  <c r="J4597" i="5"/>
  <c r="B4598" i="5"/>
  <c r="J4598" i="5"/>
  <c r="B4599" i="5"/>
  <c r="J4599" i="5"/>
  <c r="B4600" i="5"/>
  <c r="J4600" i="5"/>
  <c r="B4601" i="5"/>
  <c r="J4601" i="5"/>
  <c r="B4602" i="5"/>
  <c r="J4602" i="5"/>
  <c r="B4603" i="5"/>
  <c r="J4603" i="5"/>
  <c r="B4604" i="5"/>
  <c r="J4604" i="5"/>
  <c r="B4605" i="5"/>
  <c r="J4605" i="5"/>
  <c r="B4606" i="5"/>
  <c r="J4606" i="5"/>
  <c r="B4607" i="5"/>
  <c r="J4607" i="5"/>
  <c r="B4608" i="5"/>
  <c r="J4608" i="5"/>
  <c r="B4609" i="5"/>
  <c r="J4609" i="5"/>
  <c r="B4610" i="5"/>
  <c r="J4610" i="5"/>
  <c r="B4611" i="5"/>
  <c r="J4611" i="5"/>
  <c r="B4612" i="5"/>
  <c r="J4612" i="5"/>
  <c r="B4613" i="5"/>
  <c r="J4613" i="5"/>
  <c r="B4614" i="5"/>
  <c r="J4614" i="5"/>
  <c r="B4615" i="5"/>
  <c r="J4615" i="5"/>
  <c r="B4616" i="5"/>
  <c r="J4616" i="5"/>
  <c r="B4617" i="5"/>
  <c r="J4617" i="5"/>
  <c r="B4618" i="5"/>
  <c r="J4618" i="5"/>
  <c r="B4619" i="5"/>
  <c r="J4619" i="5"/>
  <c r="B4620" i="5"/>
  <c r="J4620" i="5"/>
  <c r="B4621" i="5"/>
  <c r="J4621" i="5"/>
  <c r="B4622" i="5"/>
  <c r="J4622" i="5"/>
  <c r="B4623" i="5"/>
  <c r="J4623" i="5"/>
  <c r="B4624" i="5"/>
  <c r="J4624" i="5"/>
  <c r="B4625" i="5"/>
  <c r="J4625" i="5"/>
  <c r="B4626" i="5"/>
  <c r="J4626" i="5"/>
  <c r="B4627" i="5"/>
  <c r="J4627" i="5"/>
  <c r="B4628" i="5"/>
  <c r="J4628" i="5"/>
  <c r="B4629" i="5"/>
  <c r="J4629" i="5"/>
  <c r="B4630" i="5"/>
  <c r="J4630" i="5"/>
  <c r="B4631" i="5"/>
  <c r="J4631" i="5"/>
  <c r="B4632" i="5"/>
  <c r="J4632" i="5"/>
  <c r="B4633" i="5"/>
  <c r="J4633" i="5"/>
  <c r="B4634" i="5"/>
  <c r="J4634" i="5"/>
  <c r="B4635" i="5"/>
  <c r="J4635" i="5"/>
  <c r="B4636" i="5"/>
  <c r="J4636" i="5"/>
  <c r="B4637" i="5"/>
  <c r="J4637" i="5"/>
  <c r="B4638" i="5"/>
  <c r="J4638" i="5"/>
  <c r="B4639" i="5"/>
  <c r="J4639" i="5"/>
  <c r="B4640" i="5"/>
  <c r="J4640" i="5"/>
  <c r="B4641" i="5"/>
  <c r="J4641" i="5"/>
  <c r="B4642" i="5"/>
  <c r="J4642" i="5"/>
  <c r="B4643" i="5"/>
  <c r="J4643" i="5"/>
  <c r="B4644" i="5"/>
  <c r="J4644" i="5"/>
  <c r="B4645" i="5"/>
  <c r="J4645" i="5"/>
  <c r="B4646" i="5"/>
  <c r="J4646" i="5"/>
  <c r="B4647" i="5"/>
  <c r="J4647" i="5"/>
  <c r="B4648" i="5"/>
  <c r="J4648" i="5"/>
  <c r="B4649" i="5"/>
  <c r="J4649" i="5"/>
  <c r="B4650" i="5"/>
  <c r="J4650" i="5"/>
  <c r="B4651" i="5"/>
  <c r="J4651" i="5"/>
  <c r="B4652" i="5"/>
  <c r="J4652" i="5"/>
  <c r="B4653" i="5"/>
  <c r="J4653" i="5"/>
  <c r="B4654" i="5"/>
  <c r="J4654" i="5"/>
  <c r="B4655" i="5"/>
  <c r="J4655" i="5"/>
  <c r="B4656" i="5"/>
  <c r="J4656" i="5"/>
  <c r="B4657" i="5"/>
  <c r="J4657" i="5"/>
  <c r="B4658" i="5"/>
  <c r="J4658" i="5"/>
  <c r="B4659" i="5"/>
  <c r="J4659" i="5"/>
  <c r="B4660" i="5"/>
  <c r="J4660" i="5"/>
  <c r="B4661" i="5"/>
  <c r="J4661" i="5"/>
  <c r="B4662" i="5"/>
  <c r="J4662" i="5"/>
  <c r="B4663" i="5"/>
  <c r="J4663" i="5"/>
  <c r="B4664" i="5"/>
  <c r="J4664" i="5"/>
  <c r="B4665" i="5"/>
  <c r="J4665" i="5"/>
  <c r="B4666" i="5"/>
  <c r="J4666" i="5"/>
  <c r="B4667" i="5"/>
  <c r="J4667" i="5"/>
  <c r="B4668" i="5"/>
  <c r="J4668" i="5"/>
  <c r="B4669" i="5"/>
  <c r="J4669" i="5"/>
  <c r="B4670" i="5"/>
  <c r="J4670" i="5"/>
  <c r="B4671" i="5"/>
  <c r="J4671" i="5"/>
  <c r="B4672" i="5"/>
  <c r="J4672" i="5"/>
  <c r="B4673" i="5"/>
  <c r="J4673" i="5"/>
  <c r="B4674" i="5"/>
  <c r="J4674" i="5"/>
  <c r="B4675" i="5"/>
  <c r="J4675" i="5"/>
  <c r="B4676" i="5"/>
  <c r="J4676" i="5"/>
  <c r="B4677" i="5"/>
  <c r="J4677" i="5"/>
  <c r="B4678" i="5"/>
  <c r="J4678" i="5"/>
  <c r="B4679" i="5"/>
  <c r="J4679" i="5"/>
  <c r="B4680" i="5"/>
  <c r="J4680" i="5"/>
  <c r="B4681" i="5"/>
  <c r="J4681" i="5"/>
  <c r="B4682" i="5"/>
  <c r="J4682" i="5"/>
  <c r="B4683" i="5"/>
  <c r="J4683" i="5"/>
  <c r="B4684" i="5"/>
  <c r="J4684" i="5"/>
  <c r="B4685" i="5"/>
  <c r="J4685" i="5"/>
  <c r="B4686" i="5"/>
  <c r="J4686" i="5"/>
  <c r="B4687" i="5"/>
  <c r="J4687" i="5"/>
  <c r="B4688" i="5"/>
  <c r="J4688" i="5"/>
  <c r="B4689" i="5"/>
  <c r="J4689" i="5"/>
  <c r="B4690" i="5"/>
  <c r="J4690" i="5"/>
  <c r="B4691" i="5"/>
  <c r="J4691" i="5"/>
  <c r="B4692" i="5"/>
  <c r="J4692" i="5"/>
  <c r="B4693" i="5"/>
  <c r="J4693" i="5"/>
  <c r="B4694" i="5"/>
  <c r="J4694" i="5"/>
  <c r="B4695" i="5"/>
  <c r="J4695" i="5"/>
  <c r="B4696" i="5"/>
  <c r="J4696" i="5"/>
  <c r="B4697" i="5"/>
  <c r="J4697" i="5"/>
  <c r="B4698" i="5"/>
  <c r="J4698" i="5"/>
  <c r="B4699" i="5"/>
  <c r="J4699" i="5"/>
  <c r="B4700" i="5"/>
  <c r="J4700" i="5"/>
  <c r="B4701" i="5"/>
  <c r="J4701" i="5"/>
  <c r="B4702" i="5"/>
  <c r="J4702" i="5"/>
  <c r="B4703" i="5"/>
  <c r="J4703" i="5"/>
  <c r="B4704" i="5"/>
  <c r="J4704" i="5"/>
  <c r="B4705" i="5"/>
  <c r="J4705" i="5"/>
  <c r="B4706" i="5"/>
  <c r="J4706" i="5"/>
  <c r="B4707" i="5"/>
  <c r="J4707" i="5"/>
  <c r="B4708" i="5"/>
  <c r="J4708" i="5"/>
  <c r="B4709" i="5"/>
  <c r="J4709" i="5"/>
  <c r="B4710" i="5"/>
  <c r="J4710" i="5"/>
  <c r="B4711" i="5"/>
  <c r="J4711" i="5"/>
  <c r="B4712" i="5"/>
  <c r="J4712" i="5"/>
  <c r="B4713" i="5"/>
  <c r="J4713" i="5"/>
  <c r="B4714" i="5"/>
  <c r="J4714" i="5"/>
  <c r="B4715" i="5"/>
  <c r="J4715" i="5"/>
  <c r="B4716" i="5"/>
  <c r="J4716" i="5"/>
  <c r="B4717" i="5"/>
  <c r="J4717" i="5"/>
  <c r="B4718" i="5"/>
  <c r="J4718" i="5"/>
  <c r="B4719" i="5"/>
  <c r="J4719" i="5"/>
  <c r="B4720" i="5"/>
  <c r="J4720" i="5"/>
  <c r="B4721" i="5"/>
  <c r="J4721" i="5"/>
  <c r="B4722" i="5"/>
  <c r="J4722" i="5"/>
  <c r="B4723" i="5"/>
  <c r="J4723" i="5"/>
  <c r="B4724" i="5"/>
  <c r="J4724" i="5"/>
  <c r="B4725" i="5"/>
  <c r="J4725" i="5"/>
  <c r="B4726" i="5"/>
  <c r="J4726" i="5"/>
  <c r="B4727" i="5"/>
  <c r="J4727" i="5"/>
  <c r="B4728" i="5"/>
  <c r="J4728" i="5"/>
  <c r="B4729" i="5"/>
  <c r="J4729" i="5"/>
  <c r="B4730" i="5"/>
  <c r="J4730" i="5"/>
  <c r="B4731" i="5"/>
  <c r="J4731" i="5"/>
  <c r="B4732" i="5"/>
  <c r="J4732" i="5"/>
  <c r="B4733" i="5"/>
  <c r="J4733" i="5"/>
  <c r="B4734" i="5"/>
  <c r="J4734" i="5"/>
  <c r="B4735" i="5"/>
  <c r="J4735" i="5"/>
  <c r="B4736" i="5"/>
  <c r="J4736" i="5"/>
  <c r="B4737" i="5"/>
  <c r="J4737" i="5"/>
  <c r="B4738" i="5"/>
  <c r="J4738" i="5"/>
  <c r="B4739" i="5"/>
  <c r="J4739" i="5"/>
  <c r="B4740" i="5"/>
  <c r="J4740" i="5"/>
  <c r="B4741" i="5"/>
  <c r="J4741" i="5"/>
  <c r="B4742" i="5"/>
  <c r="J4742" i="5"/>
  <c r="B4743" i="5"/>
  <c r="J4743" i="5"/>
  <c r="B4744" i="5"/>
  <c r="J4744" i="5"/>
  <c r="B4745" i="5"/>
  <c r="J4745" i="5"/>
  <c r="B4746" i="5"/>
  <c r="J4746" i="5"/>
  <c r="B4747" i="5"/>
  <c r="J4747" i="5"/>
  <c r="B4748" i="5"/>
  <c r="J4748" i="5"/>
  <c r="B4749" i="5"/>
  <c r="J4749" i="5"/>
  <c r="B4750" i="5"/>
  <c r="J4750" i="5"/>
  <c r="B4751" i="5"/>
  <c r="J4751" i="5"/>
  <c r="B4752" i="5"/>
  <c r="J4752" i="5"/>
  <c r="B4753" i="5"/>
  <c r="J4753" i="5"/>
  <c r="B4754" i="5"/>
  <c r="J4754" i="5"/>
  <c r="B4755" i="5"/>
  <c r="J4755" i="5"/>
  <c r="B4756" i="5"/>
  <c r="J4756" i="5"/>
  <c r="B4757" i="5"/>
  <c r="J4757" i="5"/>
  <c r="B4758" i="5"/>
  <c r="J4758" i="5"/>
  <c r="B4759" i="5"/>
  <c r="J4759" i="5"/>
  <c r="B4760" i="5"/>
  <c r="J4760" i="5"/>
  <c r="B4761" i="5"/>
  <c r="J4761" i="5"/>
  <c r="B4762" i="5"/>
  <c r="J4762" i="5"/>
  <c r="B4763" i="5"/>
  <c r="J4763" i="5"/>
  <c r="B4764" i="5"/>
  <c r="J4764" i="5"/>
  <c r="B4765" i="5"/>
  <c r="J4765" i="5"/>
  <c r="B4766" i="5"/>
  <c r="J4766" i="5"/>
  <c r="B4767" i="5"/>
  <c r="J4767" i="5"/>
  <c r="B4768" i="5"/>
  <c r="J4768" i="5"/>
  <c r="B4769" i="5"/>
  <c r="J4769" i="5"/>
  <c r="B4770" i="5"/>
  <c r="J4770" i="5"/>
  <c r="B4771" i="5"/>
  <c r="J4771" i="5"/>
  <c r="B4772" i="5"/>
  <c r="J4772" i="5"/>
  <c r="B4773" i="5"/>
  <c r="J4773" i="5"/>
  <c r="B4774" i="5"/>
  <c r="J4774" i="5"/>
  <c r="B4775" i="5"/>
  <c r="J4775" i="5"/>
  <c r="B4776" i="5"/>
  <c r="J4776" i="5"/>
  <c r="B4777" i="5"/>
  <c r="J4777" i="5"/>
  <c r="B4778" i="5"/>
  <c r="J4778" i="5"/>
  <c r="B4779" i="5"/>
  <c r="J4779" i="5"/>
  <c r="B4780" i="5"/>
  <c r="J4780" i="5"/>
  <c r="B4781" i="5"/>
  <c r="J4781" i="5"/>
  <c r="B4782" i="5"/>
  <c r="J4782" i="5"/>
  <c r="B4783" i="5"/>
  <c r="J4783" i="5"/>
  <c r="B4784" i="5"/>
  <c r="J4784" i="5"/>
  <c r="B4785" i="5"/>
  <c r="J4785" i="5"/>
  <c r="B4786" i="5"/>
  <c r="J4786" i="5"/>
  <c r="B4787" i="5"/>
  <c r="J4787" i="5"/>
  <c r="B4788" i="5"/>
  <c r="J4788" i="5"/>
  <c r="B4789" i="5"/>
  <c r="J4789" i="5"/>
  <c r="B4790" i="5"/>
  <c r="J4790" i="5"/>
  <c r="B4791" i="5"/>
  <c r="J4791" i="5"/>
  <c r="B4792" i="5"/>
  <c r="J4792" i="5"/>
  <c r="B4793" i="5"/>
  <c r="J4793" i="5"/>
  <c r="B4794" i="5"/>
  <c r="J4794" i="5"/>
  <c r="B4795" i="5"/>
  <c r="J4795" i="5"/>
  <c r="B4796" i="5"/>
  <c r="J4796" i="5"/>
  <c r="B4797" i="5"/>
  <c r="J4797" i="5"/>
  <c r="B4798" i="5"/>
  <c r="J4798" i="5"/>
  <c r="B4799" i="5"/>
  <c r="J4799" i="5"/>
  <c r="B4800" i="5"/>
  <c r="J4800" i="5"/>
  <c r="B4801" i="5"/>
  <c r="J4801" i="5"/>
  <c r="B4802" i="5"/>
  <c r="J4802" i="5"/>
  <c r="B4803" i="5"/>
  <c r="J4803" i="5"/>
  <c r="B4804" i="5"/>
  <c r="J4804" i="5"/>
  <c r="B4805" i="5"/>
  <c r="J4805" i="5"/>
  <c r="B4806" i="5"/>
  <c r="J4806" i="5"/>
  <c r="B4807" i="5"/>
  <c r="J4807" i="5"/>
  <c r="B4808" i="5"/>
  <c r="J4808" i="5"/>
  <c r="B4809" i="5"/>
  <c r="J4809" i="5"/>
  <c r="B4810" i="5"/>
  <c r="J4810" i="5"/>
  <c r="B4811" i="5"/>
  <c r="J4811" i="5"/>
  <c r="B4812" i="5"/>
  <c r="J4812" i="5"/>
  <c r="B4813" i="5"/>
  <c r="J4813" i="5"/>
  <c r="B4814" i="5"/>
  <c r="J4814" i="5"/>
  <c r="B4815" i="5"/>
  <c r="J4815" i="5"/>
  <c r="B4816" i="5"/>
  <c r="J4816" i="5"/>
  <c r="B4817" i="5"/>
  <c r="J4817" i="5"/>
  <c r="B4818" i="5"/>
  <c r="J4818" i="5"/>
  <c r="B4819" i="5"/>
  <c r="J4819" i="5"/>
  <c r="B4820" i="5"/>
  <c r="J4820" i="5"/>
  <c r="B4821" i="5"/>
  <c r="J4821" i="5"/>
  <c r="B4822" i="5"/>
  <c r="J4822" i="5"/>
  <c r="B4823" i="5"/>
  <c r="J4823" i="5"/>
  <c r="B4824" i="5"/>
  <c r="J4824" i="5"/>
  <c r="B4825" i="5"/>
  <c r="J4825" i="5"/>
  <c r="B4826" i="5"/>
  <c r="J4826" i="5"/>
  <c r="B4827" i="5"/>
  <c r="J4827" i="5"/>
  <c r="B4828" i="5"/>
  <c r="J4828" i="5"/>
  <c r="B4829" i="5"/>
  <c r="J4829" i="5"/>
  <c r="B4830" i="5"/>
  <c r="J4830" i="5"/>
  <c r="B4831" i="5"/>
  <c r="J4831" i="5"/>
  <c r="B4832" i="5"/>
  <c r="J4832" i="5"/>
  <c r="B4833" i="5"/>
  <c r="J4833" i="5"/>
  <c r="B4834" i="5"/>
  <c r="J4834" i="5"/>
  <c r="B4835" i="5"/>
  <c r="J4835" i="5"/>
  <c r="B4836" i="5"/>
  <c r="J4836" i="5"/>
  <c r="B4837" i="5"/>
  <c r="J4837" i="5"/>
  <c r="B4838" i="5"/>
  <c r="J4838" i="5"/>
  <c r="B4839" i="5"/>
  <c r="J4839" i="5"/>
  <c r="B4840" i="5"/>
  <c r="J4840" i="5"/>
  <c r="B4841" i="5"/>
  <c r="J4841" i="5"/>
  <c r="B4842" i="5"/>
  <c r="J4842" i="5"/>
  <c r="B4843" i="5"/>
  <c r="J4843" i="5"/>
  <c r="B4844" i="5"/>
  <c r="J4844" i="5"/>
  <c r="B4845" i="5"/>
  <c r="J4845" i="5"/>
  <c r="B4846" i="5"/>
  <c r="J4846" i="5"/>
  <c r="B4847" i="5"/>
  <c r="J4847" i="5"/>
  <c r="B4848" i="5"/>
  <c r="J4848" i="5"/>
  <c r="B4849" i="5"/>
  <c r="J4849" i="5"/>
  <c r="B4850" i="5"/>
  <c r="J4850" i="5"/>
  <c r="B4851" i="5"/>
  <c r="J4851" i="5"/>
  <c r="B4852" i="5"/>
  <c r="J4852" i="5"/>
  <c r="B4853" i="5"/>
  <c r="J4853" i="5"/>
  <c r="B4854" i="5"/>
  <c r="J4854" i="5"/>
  <c r="B4855" i="5"/>
  <c r="J4855" i="5"/>
  <c r="B4856" i="5"/>
  <c r="J4856" i="5"/>
  <c r="B4857" i="5"/>
  <c r="J4857" i="5"/>
  <c r="B4858" i="5"/>
  <c r="J4858" i="5"/>
  <c r="B4859" i="5"/>
  <c r="J4859" i="5"/>
  <c r="B4860" i="5"/>
  <c r="J4860" i="5"/>
  <c r="B4861" i="5"/>
  <c r="J4861" i="5"/>
  <c r="B4862" i="5"/>
  <c r="J4862" i="5"/>
  <c r="B4863" i="5"/>
  <c r="J4863" i="5"/>
  <c r="B4864" i="5"/>
  <c r="J4864" i="5"/>
  <c r="B4865" i="5"/>
  <c r="J4865" i="5"/>
  <c r="B4866" i="5"/>
  <c r="J4866" i="5"/>
  <c r="B4867" i="5"/>
  <c r="J4867" i="5"/>
  <c r="B4868" i="5"/>
  <c r="J4868" i="5"/>
  <c r="B4869" i="5"/>
  <c r="J4869" i="5"/>
  <c r="B4870" i="5"/>
  <c r="J4870" i="5"/>
  <c r="B4871" i="5"/>
  <c r="J4871" i="5"/>
  <c r="B4872" i="5"/>
  <c r="J4872" i="5"/>
  <c r="B4873" i="5"/>
  <c r="J4873" i="5"/>
  <c r="B4874" i="5"/>
  <c r="J4874" i="5"/>
  <c r="B4875" i="5"/>
  <c r="J4875" i="5"/>
  <c r="B4876" i="5"/>
  <c r="J4876" i="5"/>
  <c r="B4877" i="5"/>
  <c r="J4877" i="5"/>
  <c r="B4878" i="5"/>
  <c r="J4878" i="5"/>
  <c r="B4879" i="5"/>
  <c r="J4879" i="5"/>
  <c r="B4880" i="5"/>
  <c r="J4880" i="5"/>
  <c r="B4881" i="5"/>
  <c r="J4881" i="5"/>
  <c r="B4882" i="5"/>
  <c r="J4882" i="5"/>
  <c r="B4883" i="5"/>
  <c r="J4883" i="5"/>
  <c r="B4884" i="5"/>
  <c r="J4884" i="5"/>
  <c r="B4885" i="5"/>
  <c r="J4885" i="5"/>
  <c r="B4886" i="5"/>
  <c r="J4886" i="5"/>
  <c r="B4887" i="5"/>
  <c r="J4887" i="5"/>
  <c r="B4888" i="5"/>
  <c r="J4888" i="5"/>
  <c r="B4889" i="5"/>
  <c r="J4889" i="5"/>
  <c r="B4890" i="5"/>
  <c r="J4890" i="5"/>
  <c r="B4891" i="5"/>
  <c r="J4891" i="5"/>
  <c r="B4892" i="5"/>
  <c r="J4892" i="5"/>
  <c r="B4893" i="5"/>
  <c r="J4893" i="5"/>
  <c r="B4894" i="5"/>
  <c r="J4894" i="5"/>
  <c r="B4895" i="5"/>
  <c r="J4895" i="5"/>
  <c r="B4896" i="5"/>
  <c r="J4896" i="5"/>
  <c r="B4897" i="5"/>
  <c r="J4897" i="5"/>
  <c r="B4898" i="5"/>
  <c r="J4898" i="5"/>
  <c r="B4899" i="5"/>
  <c r="J4899" i="5"/>
  <c r="B4900" i="5"/>
  <c r="J4900" i="5"/>
  <c r="B4901" i="5"/>
  <c r="J4901" i="5"/>
  <c r="B4902" i="5"/>
  <c r="J4902" i="5"/>
  <c r="B4903" i="5"/>
  <c r="J4903" i="5"/>
  <c r="B4904" i="5"/>
  <c r="J4904" i="5"/>
  <c r="B4905" i="5"/>
  <c r="J4905" i="5"/>
  <c r="B4906" i="5"/>
  <c r="J4906" i="5"/>
  <c r="B4907" i="5"/>
  <c r="J4907" i="5"/>
  <c r="B4908" i="5"/>
  <c r="J4908" i="5"/>
  <c r="B4909" i="5"/>
  <c r="J4909" i="5"/>
  <c r="B4910" i="5"/>
  <c r="J4910" i="5"/>
  <c r="B4911" i="5"/>
  <c r="J4911" i="5"/>
  <c r="B4912" i="5"/>
  <c r="J4912" i="5"/>
  <c r="B4913" i="5"/>
  <c r="J4913" i="5"/>
  <c r="B4914" i="5"/>
  <c r="J4914" i="5"/>
  <c r="B4915" i="5"/>
  <c r="J4915" i="5"/>
  <c r="B4916" i="5"/>
  <c r="J4916" i="5"/>
  <c r="B4917" i="5"/>
  <c r="J4917" i="5"/>
  <c r="B4918" i="5"/>
  <c r="J4918" i="5"/>
  <c r="B4919" i="5"/>
  <c r="J4919" i="5"/>
  <c r="B4920" i="5"/>
  <c r="J4920" i="5"/>
  <c r="B4921" i="5"/>
  <c r="J4921" i="5"/>
  <c r="B4922" i="5"/>
  <c r="J4922" i="5"/>
  <c r="B4923" i="5"/>
  <c r="J4923" i="5"/>
  <c r="B4924" i="5"/>
  <c r="J4924" i="5"/>
  <c r="B4925" i="5"/>
  <c r="J4925" i="5"/>
  <c r="B4926" i="5"/>
  <c r="J4926" i="5"/>
  <c r="B4927" i="5"/>
  <c r="J4927" i="5"/>
  <c r="B4928" i="5"/>
  <c r="J4928" i="5"/>
  <c r="B4929" i="5"/>
  <c r="J4929" i="5"/>
  <c r="B4930" i="5"/>
  <c r="J4930" i="5"/>
  <c r="B4931" i="5"/>
  <c r="J4931" i="5"/>
  <c r="B4932" i="5"/>
  <c r="J4932" i="5"/>
  <c r="B4933" i="5"/>
  <c r="J4933" i="5"/>
  <c r="B4934" i="5"/>
  <c r="J4934" i="5"/>
  <c r="B4935" i="5"/>
  <c r="J4935" i="5"/>
  <c r="B4936" i="5"/>
  <c r="J4936" i="5"/>
  <c r="B4937" i="5"/>
  <c r="J4937" i="5"/>
  <c r="B4938" i="5"/>
  <c r="J4938" i="5"/>
  <c r="B4939" i="5"/>
  <c r="J4939" i="5"/>
  <c r="B4940" i="5"/>
  <c r="J4940" i="5"/>
  <c r="B4941" i="5"/>
  <c r="J4941" i="5"/>
  <c r="B4942" i="5"/>
  <c r="J4942" i="5"/>
  <c r="B4943" i="5"/>
  <c r="J4943" i="5"/>
  <c r="B4944" i="5"/>
  <c r="J4944" i="5"/>
  <c r="B4945" i="5"/>
  <c r="J4945" i="5"/>
  <c r="B4946" i="5"/>
  <c r="J4946" i="5"/>
  <c r="B4947" i="5"/>
  <c r="J4947" i="5"/>
  <c r="B4948" i="5"/>
  <c r="J4948" i="5"/>
  <c r="B4949" i="5"/>
  <c r="J4949" i="5"/>
  <c r="B4950" i="5"/>
  <c r="J4950" i="5"/>
  <c r="B4951" i="5"/>
  <c r="J4951" i="5"/>
  <c r="B4952" i="5"/>
  <c r="J4952" i="5"/>
  <c r="B4953" i="5"/>
  <c r="J4953" i="5"/>
  <c r="B4954" i="5"/>
  <c r="J4954" i="5"/>
  <c r="B4955" i="5"/>
  <c r="J4955" i="5"/>
  <c r="B4956" i="5"/>
  <c r="J4956" i="5"/>
  <c r="B4957" i="5"/>
  <c r="J4957" i="5"/>
  <c r="B4958" i="5"/>
  <c r="J4958" i="5"/>
  <c r="B4959" i="5"/>
  <c r="J4959" i="5"/>
  <c r="B4960" i="5"/>
  <c r="J4960" i="5"/>
  <c r="B4961" i="5"/>
  <c r="J4961" i="5"/>
  <c r="B4962" i="5"/>
  <c r="J4962" i="5"/>
  <c r="B4963" i="5"/>
  <c r="J4963" i="5"/>
  <c r="B4964" i="5"/>
  <c r="J4964" i="5"/>
  <c r="B4965" i="5"/>
  <c r="J4965" i="5"/>
  <c r="B4966" i="5"/>
  <c r="J4966" i="5"/>
  <c r="B4967" i="5"/>
  <c r="J4967" i="5"/>
  <c r="B4968" i="5"/>
  <c r="J4968" i="5"/>
  <c r="B4969" i="5"/>
  <c r="J4969" i="5"/>
  <c r="B4970" i="5"/>
  <c r="J4970" i="5"/>
  <c r="B4971" i="5"/>
  <c r="J4971" i="5"/>
  <c r="B4972" i="5"/>
  <c r="J4972" i="5"/>
  <c r="B4973" i="5"/>
  <c r="J4973" i="5"/>
  <c r="B4974" i="5"/>
  <c r="J4974" i="5"/>
  <c r="B4975" i="5"/>
  <c r="J4975" i="5"/>
  <c r="B4976" i="5"/>
  <c r="J4976" i="5"/>
  <c r="B4977" i="5"/>
  <c r="J4977" i="5"/>
  <c r="B4978" i="5"/>
  <c r="J4978" i="5"/>
  <c r="B4979" i="5"/>
  <c r="J4979" i="5"/>
  <c r="B4980" i="5"/>
  <c r="J4980" i="5"/>
  <c r="B4981" i="5"/>
  <c r="J4981" i="5"/>
  <c r="B4982" i="5"/>
  <c r="J4982" i="5"/>
  <c r="B4983" i="5"/>
  <c r="J4983" i="5"/>
  <c r="B4984" i="5"/>
  <c r="J4984" i="5"/>
  <c r="B4985" i="5"/>
  <c r="J4985" i="5"/>
  <c r="B4986" i="5"/>
  <c r="J4986" i="5"/>
  <c r="B4987" i="5"/>
  <c r="J4987" i="5"/>
  <c r="B4988" i="5"/>
  <c r="J4988" i="5"/>
  <c r="B4989" i="5"/>
  <c r="J4989" i="5"/>
  <c r="B4990" i="5"/>
  <c r="J4990" i="5"/>
  <c r="B4991" i="5"/>
  <c r="J4991" i="5"/>
  <c r="B4992" i="5"/>
  <c r="J4992" i="5"/>
  <c r="B4993" i="5"/>
  <c r="J4993" i="5"/>
  <c r="B4994" i="5"/>
  <c r="J4994" i="5"/>
  <c r="B4995" i="5"/>
  <c r="J4995" i="5"/>
  <c r="B4996" i="5"/>
  <c r="J4996" i="5"/>
  <c r="B4997" i="5"/>
  <c r="J4997" i="5"/>
  <c r="B4998" i="5"/>
  <c r="J4998" i="5"/>
  <c r="B4999" i="5"/>
  <c r="J4999" i="5"/>
  <c r="B5000" i="5"/>
  <c r="J5000" i="5"/>
  <c r="B5001" i="5"/>
  <c r="J5001" i="5"/>
  <c r="B5002" i="5"/>
  <c r="J5002" i="5"/>
  <c r="B5003" i="5"/>
  <c r="J5003" i="5"/>
  <c r="B5004" i="5"/>
  <c r="J5004" i="5"/>
  <c r="B5005" i="5"/>
  <c r="J5005" i="5"/>
  <c r="B5006" i="5"/>
  <c r="J5006" i="5"/>
  <c r="B5007" i="5"/>
  <c r="J5007" i="5"/>
  <c r="B5008" i="5"/>
  <c r="J5008" i="5"/>
  <c r="B5009" i="5"/>
  <c r="J5009" i="5"/>
  <c r="B5010" i="5"/>
  <c r="J5010" i="5"/>
  <c r="B5011" i="5"/>
  <c r="J5011" i="5"/>
  <c r="B5012" i="5"/>
  <c r="J5012" i="5"/>
  <c r="B5013" i="5"/>
  <c r="J5013" i="5"/>
  <c r="B5014" i="5"/>
  <c r="J5014" i="5"/>
  <c r="B5015" i="5"/>
  <c r="J5015" i="5"/>
  <c r="B5016" i="5"/>
  <c r="J5016" i="5"/>
  <c r="B5017" i="5"/>
  <c r="J5017" i="5"/>
  <c r="B5018" i="5"/>
  <c r="J5018" i="5"/>
  <c r="B5019" i="5"/>
  <c r="J5019" i="5"/>
  <c r="B5020" i="5"/>
  <c r="J5020" i="5"/>
  <c r="B5021" i="5"/>
  <c r="J5021" i="5"/>
  <c r="B5022" i="5"/>
  <c r="J5022" i="5"/>
  <c r="B5023" i="5"/>
  <c r="J5023" i="5"/>
  <c r="B5024" i="5"/>
  <c r="J5024" i="5"/>
  <c r="B5025" i="5"/>
  <c r="J5025" i="5"/>
  <c r="B5026" i="5"/>
  <c r="J5026" i="5"/>
  <c r="B5027" i="5"/>
  <c r="J5027" i="5"/>
  <c r="B5028" i="5"/>
  <c r="J5028" i="5"/>
  <c r="B5029" i="5"/>
  <c r="J5029" i="5"/>
  <c r="B5030" i="5"/>
  <c r="J5030" i="5"/>
  <c r="B5031" i="5"/>
  <c r="J5031" i="5"/>
  <c r="B5032" i="5"/>
  <c r="J5032" i="5"/>
  <c r="B5033" i="5"/>
  <c r="J5033" i="5"/>
  <c r="B5034" i="5"/>
  <c r="J5034" i="5"/>
  <c r="B5035" i="5"/>
  <c r="J5035" i="5"/>
  <c r="B5036" i="5"/>
  <c r="J5036" i="5"/>
  <c r="B5037" i="5"/>
  <c r="J5037" i="5"/>
  <c r="B5038" i="5"/>
  <c r="J5038" i="5"/>
  <c r="B5039" i="5"/>
  <c r="J5039" i="5"/>
  <c r="B5040" i="5"/>
  <c r="J5040" i="5"/>
  <c r="B5041" i="5"/>
  <c r="J5041" i="5"/>
  <c r="B5042" i="5"/>
  <c r="J5042" i="5"/>
  <c r="B5043" i="5"/>
  <c r="J5043" i="5"/>
  <c r="B5044" i="5"/>
  <c r="J5044" i="5"/>
  <c r="B5045" i="5"/>
  <c r="J5045" i="5"/>
  <c r="B5046" i="5"/>
  <c r="J5046" i="5"/>
  <c r="B5047" i="5"/>
  <c r="J5047" i="5"/>
  <c r="B5048" i="5"/>
  <c r="J5048" i="5"/>
  <c r="B5049" i="5"/>
  <c r="J5049" i="5"/>
  <c r="B5050" i="5"/>
  <c r="J5050" i="5"/>
  <c r="B5051" i="5"/>
  <c r="J5051" i="5"/>
  <c r="B5052" i="5"/>
  <c r="J5052" i="5"/>
  <c r="B5053" i="5"/>
  <c r="J5053" i="5"/>
  <c r="B5054" i="5"/>
  <c r="J5054" i="5"/>
  <c r="B5055" i="5"/>
  <c r="J5055" i="5"/>
  <c r="B5056" i="5"/>
  <c r="J5056" i="5"/>
  <c r="B5057" i="5"/>
  <c r="J5057" i="5"/>
  <c r="B5058" i="5"/>
  <c r="J5058" i="5"/>
  <c r="B5059" i="5"/>
  <c r="J5059" i="5"/>
  <c r="B5060" i="5"/>
  <c r="J5060" i="5"/>
  <c r="B5061" i="5"/>
  <c r="J5061" i="5"/>
  <c r="B5062" i="5"/>
  <c r="J5062" i="5"/>
  <c r="B5063" i="5"/>
  <c r="J5063" i="5"/>
  <c r="B5064" i="5"/>
  <c r="J5064" i="5"/>
  <c r="B5065" i="5"/>
  <c r="J5065" i="5"/>
  <c r="B5066" i="5"/>
  <c r="J5066" i="5"/>
  <c r="B5067" i="5"/>
  <c r="J5067" i="5"/>
  <c r="B5068" i="5"/>
  <c r="J5068" i="5"/>
  <c r="B5069" i="5"/>
  <c r="J5069" i="5"/>
  <c r="B5070" i="5"/>
  <c r="J5070" i="5"/>
  <c r="B5071" i="5"/>
  <c r="J5071" i="5"/>
  <c r="B5072" i="5"/>
  <c r="J5072" i="5"/>
  <c r="B5073" i="5"/>
  <c r="J5073" i="5"/>
  <c r="B5074" i="5"/>
  <c r="J5074" i="5"/>
  <c r="B5075" i="5"/>
  <c r="J5075" i="5"/>
  <c r="B5076" i="5"/>
  <c r="J5076" i="5"/>
  <c r="B5077" i="5"/>
  <c r="J5077" i="5"/>
  <c r="B5078" i="5"/>
  <c r="J5078" i="5"/>
  <c r="B5079" i="5"/>
  <c r="J5079" i="5"/>
  <c r="B5080" i="5"/>
  <c r="J5080" i="5"/>
  <c r="B5081" i="5"/>
  <c r="J5081" i="5"/>
  <c r="B5082" i="5"/>
  <c r="J5082" i="5"/>
  <c r="B5083" i="5"/>
  <c r="J5083" i="5"/>
  <c r="B5084" i="5"/>
  <c r="J5084" i="5"/>
  <c r="B5085" i="5"/>
  <c r="J5085" i="5"/>
  <c r="B5086" i="5"/>
  <c r="J5086" i="5"/>
  <c r="B5087" i="5"/>
  <c r="J5087" i="5"/>
  <c r="B5088" i="5"/>
  <c r="J5088" i="5"/>
  <c r="B5089" i="5"/>
  <c r="J5089" i="5"/>
  <c r="B5090" i="5"/>
  <c r="J5090" i="5"/>
  <c r="B5091" i="5"/>
  <c r="J5091" i="5"/>
  <c r="B5092" i="5"/>
  <c r="J5092" i="5"/>
  <c r="B5093" i="5"/>
  <c r="J5093" i="5"/>
  <c r="B5094" i="5"/>
  <c r="J5094" i="5"/>
  <c r="B5095" i="5"/>
  <c r="J5095" i="5"/>
  <c r="B5096" i="5"/>
  <c r="J5096" i="5"/>
  <c r="B5097" i="5"/>
  <c r="J5097" i="5"/>
  <c r="B5098" i="5"/>
  <c r="J5098" i="5"/>
  <c r="B5099" i="5"/>
  <c r="J5099" i="5"/>
  <c r="B5100" i="5"/>
  <c r="J5100" i="5"/>
  <c r="B5101" i="5"/>
  <c r="J5101" i="5"/>
  <c r="B5102" i="5"/>
  <c r="J5102" i="5"/>
  <c r="B5103" i="5"/>
  <c r="J5103" i="5"/>
  <c r="B5104" i="5"/>
  <c r="J5104" i="5"/>
  <c r="B5105" i="5"/>
  <c r="J5105" i="5"/>
  <c r="B5106" i="5"/>
  <c r="J5106" i="5"/>
  <c r="B5107" i="5"/>
  <c r="J5107" i="5"/>
  <c r="B5108" i="5"/>
  <c r="J5108" i="5"/>
  <c r="B5109" i="5"/>
  <c r="J5109" i="5"/>
  <c r="B5110" i="5"/>
  <c r="J5110" i="5"/>
  <c r="B5111" i="5"/>
  <c r="J5111" i="5"/>
  <c r="B5112" i="5"/>
  <c r="J5112" i="5"/>
  <c r="B5113" i="5"/>
  <c r="J5113" i="5"/>
  <c r="B5114" i="5"/>
  <c r="J5114" i="5"/>
  <c r="B5115" i="5"/>
  <c r="J5115" i="5"/>
  <c r="B5116" i="5"/>
  <c r="J5116" i="5"/>
  <c r="B5117" i="5"/>
  <c r="J5117" i="5"/>
  <c r="B5118" i="5"/>
  <c r="J5118" i="5"/>
  <c r="B5119" i="5"/>
  <c r="J5119" i="5"/>
  <c r="B5120" i="5"/>
  <c r="J5120" i="5"/>
  <c r="B5121" i="5"/>
  <c r="J5121" i="5"/>
  <c r="B5122" i="5"/>
  <c r="J5122" i="5"/>
  <c r="B5123" i="5"/>
  <c r="J5123" i="5"/>
  <c r="B5124" i="5"/>
  <c r="J5124" i="5"/>
  <c r="B5125" i="5"/>
  <c r="J5125" i="5"/>
  <c r="B5126" i="5"/>
  <c r="J5126" i="5"/>
  <c r="B5127" i="5"/>
  <c r="J5127" i="5"/>
  <c r="B5128" i="5"/>
  <c r="J5128" i="5"/>
  <c r="B5129" i="5"/>
  <c r="J5129" i="5"/>
  <c r="B5130" i="5"/>
  <c r="J5130" i="5"/>
  <c r="B5131" i="5"/>
  <c r="J5131" i="5"/>
  <c r="B5132" i="5"/>
  <c r="J5132" i="5"/>
  <c r="B5133" i="5"/>
  <c r="J5133" i="5"/>
  <c r="B5134" i="5"/>
  <c r="J5134" i="5"/>
  <c r="B5135" i="5"/>
  <c r="J5135" i="5"/>
  <c r="B5136" i="5"/>
  <c r="J5136" i="5"/>
  <c r="B5137" i="5"/>
  <c r="J5137" i="5"/>
  <c r="B5138" i="5"/>
  <c r="J5138" i="5"/>
  <c r="B5139" i="5"/>
  <c r="J5139" i="5"/>
  <c r="B5140" i="5"/>
  <c r="J5140" i="5"/>
  <c r="B5141" i="5"/>
  <c r="J5141" i="5"/>
  <c r="B5142" i="5"/>
  <c r="J5142" i="5"/>
  <c r="B5143" i="5"/>
  <c r="J5143" i="5"/>
  <c r="B5144" i="5"/>
  <c r="J5144" i="5"/>
  <c r="B5145" i="5"/>
  <c r="J5145" i="5"/>
  <c r="B5146" i="5"/>
  <c r="J5146" i="5"/>
  <c r="B5147" i="5"/>
  <c r="J5147" i="5"/>
  <c r="B5148" i="5"/>
  <c r="J5148" i="5"/>
  <c r="B5149" i="5"/>
  <c r="J5149" i="5"/>
  <c r="B5150" i="5"/>
  <c r="J5150" i="5"/>
  <c r="B5151" i="5"/>
  <c r="J5151" i="5"/>
  <c r="B5152" i="5"/>
  <c r="J5152" i="5"/>
  <c r="B5153" i="5"/>
  <c r="J5153" i="5"/>
  <c r="B5154" i="5"/>
  <c r="J5154" i="5"/>
  <c r="B5155" i="5"/>
  <c r="J5155" i="5"/>
  <c r="B5156" i="5"/>
  <c r="J5156" i="5"/>
  <c r="B5157" i="5"/>
  <c r="J5157" i="5"/>
  <c r="B5158" i="5"/>
  <c r="J5158" i="5"/>
  <c r="B5159" i="5"/>
  <c r="J5159" i="5"/>
  <c r="B5160" i="5"/>
  <c r="J5160" i="5"/>
  <c r="B5161" i="5"/>
  <c r="J5161" i="5"/>
  <c r="B5162" i="5"/>
  <c r="J5162" i="5"/>
  <c r="B5163" i="5"/>
  <c r="J5163" i="5"/>
  <c r="B5164" i="5"/>
  <c r="J5164" i="5"/>
  <c r="B5165" i="5"/>
  <c r="J5165" i="5"/>
  <c r="B5166" i="5"/>
  <c r="J5166" i="5"/>
  <c r="B5167" i="5"/>
  <c r="J5167" i="5"/>
  <c r="B5168" i="5"/>
  <c r="J5168" i="5"/>
  <c r="B5169" i="5"/>
  <c r="J5169" i="5"/>
  <c r="B5170" i="5"/>
  <c r="J5170" i="5"/>
  <c r="B5171" i="5"/>
  <c r="J5171" i="5"/>
  <c r="B5172" i="5"/>
  <c r="J5172" i="5"/>
  <c r="B5173" i="5"/>
  <c r="J5173" i="5"/>
  <c r="B5174" i="5"/>
  <c r="J5174" i="5"/>
  <c r="B5175" i="5"/>
  <c r="J5175" i="5"/>
  <c r="B5176" i="5"/>
  <c r="J5176" i="5"/>
  <c r="B5177" i="5"/>
  <c r="J5177" i="5"/>
  <c r="B5178" i="5"/>
  <c r="J5178" i="5"/>
  <c r="B5179" i="5"/>
  <c r="J5179" i="5"/>
  <c r="B5180" i="5"/>
  <c r="J5180" i="5"/>
  <c r="B5181" i="5"/>
  <c r="J5181" i="5"/>
  <c r="B5182" i="5"/>
  <c r="J5182" i="5"/>
  <c r="B5183" i="5"/>
  <c r="J5183" i="5"/>
  <c r="B5184" i="5"/>
  <c r="J5184" i="5"/>
  <c r="B5185" i="5"/>
  <c r="J5185" i="5"/>
  <c r="B5186" i="5"/>
  <c r="J5186" i="5"/>
  <c r="B5187" i="5"/>
  <c r="J5187" i="5"/>
  <c r="B5188" i="5"/>
  <c r="J5188" i="5"/>
  <c r="B5189" i="5"/>
  <c r="J5189" i="5"/>
  <c r="B5190" i="5"/>
  <c r="J5190" i="5"/>
  <c r="B5191" i="5"/>
  <c r="J5191" i="5"/>
  <c r="B5192" i="5"/>
  <c r="J5192" i="5"/>
  <c r="B5193" i="5"/>
  <c r="J5193" i="5"/>
  <c r="B5194" i="5"/>
  <c r="J5194" i="5"/>
  <c r="B5195" i="5"/>
  <c r="J5195" i="5"/>
  <c r="B5196" i="5"/>
  <c r="J5196" i="5"/>
  <c r="B5197" i="5"/>
  <c r="J5197" i="5"/>
  <c r="B5198" i="5"/>
  <c r="J5198" i="5"/>
  <c r="B5199" i="5"/>
  <c r="J5199" i="5"/>
  <c r="B5200" i="5"/>
  <c r="J5200" i="5"/>
  <c r="B5201" i="5"/>
  <c r="J5201" i="5"/>
  <c r="B5202" i="5"/>
  <c r="J5202" i="5"/>
  <c r="B5203" i="5"/>
  <c r="J5203" i="5"/>
  <c r="B5204" i="5"/>
  <c r="J5204" i="5"/>
  <c r="B5205" i="5"/>
  <c r="J5205" i="5"/>
  <c r="B5206" i="5"/>
  <c r="B5207" i="5"/>
  <c r="B5208" i="5"/>
  <c r="J5208" i="5"/>
  <c r="B5209" i="5"/>
  <c r="J5209" i="5"/>
  <c r="B5210" i="5"/>
  <c r="J5210" i="5"/>
  <c r="B5211" i="5"/>
  <c r="B5212" i="5"/>
  <c r="J5212" i="5"/>
  <c r="B5213" i="5"/>
  <c r="J5213" i="5"/>
  <c r="B5214" i="5"/>
  <c r="J5214" i="5"/>
  <c r="B5215" i="5"/>
  <c r="J5215" i="5"/>
  <c r="B5216" i="5"/>
  <c r="J5216" i="5"/>
  <c r="B5217" i="5"/>
  <c r="J5217" i="5"/>
  <c r="B5218" i="5"/>
  <c r="J5218" i="5"/>
  <c r="B5219" i="5"/>
  <c r="J5219" i="5"/>
  <c r="B5220" i="5"/>
  <c r="J5220" i="5"/>
  <c r="B5221" i="5"/>
  <c r="J5221" i="5"/>
  <c r="B5222" i="5"/>
  <c r="J5222" i="5"/>
  <c r="B5223" i="5"/>
  <c r="J5223" i="5"/>
  <c r="B5224" i="5"/>
  <c r="J5224" i="5"/>
  <c r="B5225" i="5"/>
  <c r="J5225" i="5"/>
  <c r="B5226" i="5"/>
  <c r="J5226" i="5"/>
  <c r="B5227" i="5"/>
  <c r="J5227" i="5"/>
  <c r="B5228" i="5"/>
  <c r="J5228" i="5"/>
  <c r="B5229" i="5"/>
  <c r="J5229" i="5"/>
  <c r="B5230" i="5"/>
  <c r="J5230" i="5"/>
  <c r="B5231" i="5"/>
  <c r="J5231" i="5"/>
  <c r="B5232" i="5"/>
  <c r="J5232" i="5"/>
  <c r="B5233" i="5"/>
  <c r="J5233" i="5"/>
  <c r="B5234" i="5"/>
  <c r="J5234" i="5"/>
  <c r="B5235" i="5"/>
  <c r="J5235" i="5"/>
  <c r="B5236" i="5"/>
  <c r="J5236" i="5"/>
  <c r="B5237" i="5"/>
  <c r="J5237" i="5"/>
  <c r="B5238" i="5"/>
  <c r="J5238" i="5"/>
  <c r="B5239" i="5"/>
  <c r="J5239" i="5"/>
  <c r="B5240" i="5"/>
  <c r="J5240" i="5"/>
  <c r="B5241" i="5"/>
  <c r="J5241" i="5"/>
  <c r="B5242" i="5"/>
  <c r="J5242" i="5"/>
  <c r="B5243" i="5"/>
  <c r="J5243" i="5"/>
  <c r="B5244" i="5"/>
  <c r="J5244" i="5"/>
  <c r="B5245" i="5"/>
  <c r="J5245" i="5"/>
  <c r="B5246" i="5"/>
  <c r="J5246" i="5"/>
  <c r="B5247" i="5"/>
  <c r="J5247" i="5"/>
  <c r="B5248" i="5"/>
  <c r="J5248" i="5"/>
  <c r="B5249" i="5"/>
  <c r="J5249" i="5"/>
  <c r="B5250" i="5"/>
  <c r="J5250" i="5"/>
  <c r="B5251" i="5"/>
  <c r="J5251" i="5"/>
  <c r="B5252" i="5"/>
  <c r="J5252" i="5"/>
  <c r="B5253" i="5"/>
  <c r="J5253" i="5"/>
  <c r="B5254" i="5"/>
  <c r="J5254" i="5"/>
  <c r="B5255" i="5"/>
  <c r="J5255" i="5"/>
  <c r="B5256" i="5"/>
  <c r="J5256" i="5"/>
  <c r="B5257" i="5"/>
  <c r="J5257" i="5"/>
  <c r="B5258" i="5"/>
  <c r="J5258" i="5"/>
  <c r="B5259" i="5"/>
  <c r="J5259" i="5"/>
  <c r="B5260" i="5"/>
  <c r="J5260" i="5"/>
  <c r="B5261" i="5"/>
  <c r="J5261" i="5"/>
  <c r="B5262" i="5"/>
  <c r="J5262" i="5"/>
  <c r="B5263" i="5"/>
  <c r="J5263" i="5"/>
  <c r="B5264" i="5"/>
  <c r="J5264" i="5"/>
  <c r="B5265" i="5"/>
  <c r="J5265" i="5"/>
  <c r="B5266" i="5"/>
  <c r="J5266" i="5"/>
  <c r="B5267" i="5"/>
  <c r="J5267" i="5"/>
  <c r="B5268" i="5"/>
  <c r="J5268" i="5"/>
  <c r="B5269" i="5"/>
  <c r="J5269" i="5"/>
  <c r="B5270" i="5"/>
  <c r="J5270" i="5"/>
  <c r="B5271" i="5"/>
  <c r="J5271" i="5"/>
  <c r="B5272" i="5"/>
  <c r="J5272" i="5"/>
  <c r="B5273" i="5"/>
  <c r="J5273" i="5"/>
  <c r="B5274" i="5"/>
  <c r="J5274" i="5"/>
  <c r="B5275" i="5"/>
  <c r="J5275" i="5"/>
  <c r="B5276" i="5"/>
  <c r="J5276" i="5"/>
  <c r="B5277" i="5"/>
  <c r="J5277" i="5"/>
  <c r="B5278" i="5"/>
  <c r="J5278" i="5"/>
  <c r="B5279" i="5"/>
  <c r="J5279" i="5"/>
  <c r="B5280" i="5"/>
  <c r="J5280" i="5"/>
  <c r="B5281" i="5"/>
  <c r="J5281" i="5"/>
  <c r="B5282" i="5"/>
  <c r="J5282" i="5"/>
  <c r="B5283" i="5"/>
  <c r="J5283" i="5"/>
  <c r="B5284" i="5"/>
  <c r="J5284" i="5"/>
  <c r="B5285" i="5"/>
  <c r="J5285" i="5"/>
  <c r="B5286" i="5"/>
  <c r="J5286" i="5"/>
  <c r="B5287" i="5"/>
  <c r="J5287" i="5"/>
  <c r="B5288" i="5"/>
  <c r="J5288" i="5"/>
  <c r="B5289" i="5"/>
  <c r="J5289" i="5"/>
  <c r="B5290" i="5"/>
  <c r="J5290" i="5"/>
  <c r="B5291" i="5"/>
  <c r="J5291" i="5"/>
  <c r="B5292" i="5"/>
  <c r="J5292" i="5"/>
  <c r="B5293" i="5"/>
  <c r="J5293" i="5"/>
  <c r="B5294" i="5"/>
  <c r="J5294" i="5"/>
  <c r="B5295" i="5"/>
  <c r="J5295" i="5"/>
  <c r="B5296" i="5"/>
  <c r="J5296" i="5"/>
  <c r="B5297" i="5"/>
  <c r="J5297" i="5"/>
  <c r="B5298" i="5"/>
  <c r="J5298" i="5"/>
  <c r="B5299" i="5"/>
  <c r="J5299" i="5"/>
  <c r="B5300" i="5"/>
  <c r="J5300" i="5"/>
  <c r="B5301" i="5"/>
  <c r="J5301" i="5"/>
  <c r="B5302" i="5"/>
  <c r="J5302" i="5"/>
  <c r="B5303" i="5"/>
  <c r="J5303" i="5"/>
  <c r="B5304" i="5"/>
  <c r="J5304" i="5"/>
  <c r="B5305" i="5"/>
  <c r="J5305" i="5"/>
  <c r="B5306" i="5"/>
  <c r="J5306" i="5"/>
  <c r="B5307" i="5"/>
  <c r="J5307" i="5"/>
  <c r="B5308" i="5"/>
  <c r="J5308" i="5"/>
  <c r="B5309" i="5"/>
  <c r="J5309" i="5"/>
  <c r="B5310" i="5"/>
  <c r="J5310" i="5"/>
  <c r="B5311" i="5"/>
  <c r="J5311" i="5"/>
  <c r="B5312" i="5"/>
  <c r="J5312" i="5"/>
  <c r="B5313" i="5"/>
  <c r="J5313" i="5"/>
  <c r="B5314" i="5"/>
  <c r="J5314" i="5"/>
  <c r="B5315" i="5"/>
  <c r="J5315" i="5"/>
  <c r="B5316" i="5"/>
  <c r="J5316" i="5"/>
  <c r="B5317" i="5"/>
  <c r="J5317" i="5"/>
  <c r="B5318" i="5"/>
  <c r="J5318" i="5"/>
  <c r="B5319" i="5"/>
  <c r="J5319" i="5"/>
  <c r="B5320" i="5"/>
  <c r="J5320" i="5"/>
  <c r="B5321" i="5"/>
  <c r="J5321" i="5"/>
  <c r="B5322" i="5"/>
  <c r="J5322" i="5"/>
  <c r="B5323" i="5"/>
  <c r="J5323" i="5"/>
  <c r="B5324" i="5"/>
  <c r="J5324" i="5"/>
  <c r="B5325" i="5"/>
  <c r="J5325" i="5"/>
  <c r="B5326" i="5"/>
  <c r="J5326" i="5"/>
  <c r="B5327" i="5"/>
  <c r="J5327" i="5"/>
  <c r="B5328" i="5"/>
  <c r="J5328" i="5"/>
  <c r="B5329" i="5"/>
  <c r="J5329" i="5"/>
  <c r="B5330" i="5"/>
  <c r="J5330" i="5"/>
  <c r="B5331" i="5"/>
  <c r="J5331" i="5"/>
  <c r="B5332" i="5"/>
  <c r="J5332" i="5"/>
  <c r="B5333" i="5"/>
  <c r="J5333" i="5"/>
  <c r="B5334" i="5"/>
  <c r="J5334" i="5"/>
  <c r="B5335" i="5"/>
  <c r="J5335" i="5"/>
  <c r="B5336" i="5"/>
  <c r="J5336" i="5"/>
  <c r="B5337" i="5"/>
  <c r="J5337" i="5"/>
  <c r="B5338" i="5"/>
  <c r="J5338" i="5"/>
  <c r="B5339" i="5"/>
  <c r="J5339" i="5"/>
  <c r="B5340" i="5"/>
  <c r="J5340" i="5"/>
  <c r="B5341" i="5"/>
  <c r="J5341" i="5"/>
  <c r="B5342" i="5"/>
  <c r="J5342" i="5"/>
  <c r="B5343" i="5"/>
  <c r="J5343" i="5"/>
  <c r="B5344" i="5"/>
  <c r="J5344" i="5"/>
  <c r="B5345" i="5"/>
  <c r="J5345" i="5"/>
  <c r="B5346" i="5"/>
  <c r="J5346" i="5"/>
  <c r="B5347" i="5"/>
  <c r="J5347" i="5"/>
  <c r="B5348" i="5"/>
  <c r="J5348" i="5"/>
  <c r="B5349" i="5"/>
  <c r="J5349" i="5"/>
  <c r="B5350" i="5"/>
  <c r="J5350" i="5"/>
  <c r="B5351" i="5"/>
  <c r="J5351" i="5"/>
  <c r="B5352" i="5"/>
  <c r="J5352" i="5"/>
  <c r="B5353" i="5"/>
  <c r="J5353" i="5"/>
  <c r="B5354" i="5"/>
  <c r="J5354" i="5"/>
  <c r="B5355" i="5"/>
  <c r="J5355" i="5"/>
  <c r="B5356" i="5"/>
  <c r="J5356" i="5"/>
  <c r="B5357" i="5"/>
  <c r="J5357" i="5"/>
  <c r="B5358" i="5"/>
  <c r="J5358" i="5"/>
  <c r="B5359" i="5"/>
  <c r="J5359" i="5"/>
  <c r="B5360" i="5"/>
  <c r="J5360" i="5"/>
  <c r="B5361" i="5"/>
  <c r="J5361" i="5"/>
  <c r="B5362" i="5"/>
  <c r="J5362" i="5"/>
  <c r="B5363" i="5"/>
  <c r="J5363" i="5"/>
  <c r="B5364" i="5"/>
  <c r="J5364" i="5"/>
  <c r="B5365" i="5"/>
  <c r="J5365" i="5"/>
  <c r="B5366" i="5"/>
  <c r="J5366" i="5"/>
  <c r="B5367" i="5"/>
  <c r="J5367" i="5"/>
  <c r="B5368" i="5"/>
  <c r="J5368" i="5"/>
  <c r="B5369" i="5"/>
  <c r="J5369" i="5"/>
  <c r="B5370" i="5"/>
  <c r="J5370" i="5"/>
  <c r="B5371" i="5"/>
  <c r="J5371" i="5"/>
  <c r="B5372" i="5"/>
  <c r="J5372" i="5"/>
  <c r="B5373" i="5"/>
  <c r="J5373" i="5"/>
  <c r="B5374" i="5"/>
  <c r="J5374" i="5"/>
  <c r="B5375" i="5"/>
  <c r="J5375" i="5"/>
  <c r="B5376" i="5"/>
  <c r="J5376" i="5"/>
  <c r="B5377" i="5"/>
  <c r="J5377" i="5"/>
  <c r="B5378" i="5"/>
  <c r="J5378" i="5"/>
  <c r="B5379" i="5"/>
  <c r="J5379" i="5"/>
  <c r="B5380" i="5"/>
  <c r="J5380" i="5"/>
  <c r="B5381" i="5"/>
  <c r="J5381" i="5"/>
  <c r="B5382" i="5"/>
  <c r="J5382" i="5"/>
  <c r="B5383" i="5"/>
  <c r="J5383" i="5"/>
  <c r="B5384" i="5"/>
  <c r="J5384" i="5"/>
  <c r="B5385" i="5"/>
  <c r="J5385" i="5"/>
  <c r="B5386" i="5"/>
  <c r="J5386" i="5"/>
  <c r="B5387" i="5"/>
  <c r="J5387" i="5"/>
  <c r="B5388" i="5"/>
  <c r="J5388" i="5"/>
  <c r="B5389" i="5"/>
  <c r="J5389" i="5"/>
  <c r="B5390" i="5"/>
  <c r="J5390" i="5"/>
  <c r="B5391" i="5"/>
  <c r="J5391" i="5"/>
  <c r="B5392" i="5"/>
  <c r="J5392" i="5"/>
  <c r="B5393" i="5"/>
  <c r="J5393" i="5"/>
  <c r="B5394" i="5"/>
  <c r="J5394" i="5"/>
  <c r="B5395" i="5"/>
  <c r="J5395" i="5"/>
  <c r="B5396" i="5"/>
  <c r="J5396" i="5"/>
  <c r="B5397" i="5"/>
  <c r="J5397" i="5"/>
  <c r="B5398" i="5"/>
  <c r="J5398" i="5"/>
  <c r="B5399" i="5"/>
  <c r="J5399" i="5"/>
  <c r="B5400" i="5"/>
  <c r="J5400" i="5"/>
  <c r="B5401" i="5"/>
  <c r="J5401" i="5"/>
  <c r="B5402" i="5"/>
  <c r="J5402" i="5"/>
  <c r="B5403" i="5"/>
  <c r="J5403" i="5"/>
  <c r="B5404" i="5"/>
  <c r="J5404" i="5"/>
  <c r="B5405" i="5"/>
  <c r="J5405" i="5"/>
  <c r="B5406" i="5"/>
  <c r="J5406" i="5"/>
  <c r="B5407" i="5"/>
  <c r="J5407" i="5"/>
  <c r="B5408" i="5"/>
  <c r="J5408" i="5"/>
  <c r="B5409" i="5"/>
  <c r="J5409" i="5"/>
  <c r="B5410" i="5"/>
  <c r="J5410" i="5"/>
  <c r="B5411" i="5"/>
  <c r="J5411" i="5"/>
  <c r="B5412" i="5"/>
  <c r="J5412" i="5"/>
  <c r="B5413" i="5"/>
  <c r="J5413" i="5"/>
  <c r="B5414" i="5"/>
  <c r="J5414" i="5"/>
  <c r="B5415" i="5"/>
  <c r="J5415" i="5"/>
  <c r="B5416" i="5"/>
  <c r="J5416" i="5"/>
  <c r="B5417" i="5"/>
  <c r="J5417" i="5"/>
  <c r="B5418" i="5"/>
  <c r="J5418" i="5"/>
  <c r="B5419" i="5"/>
  <c r="J5419" i="5"/>
  <c r="B5420" i="5"/>
  <c r="J5420" i="5"/>
  <c r="B5421" i="5"/>
  <c r="J5421" i="5"/>
  <c r="B5422" i="5"/>
  <c r="J5422" i="5"/>
  <c r="B5423" i="5"/>
  <c r="J5423" i="5"/>
  <c r="B5424" i="5"/>
  <c r="J5424" i="5"/>
  <c r="B5425" i="5"/>
  <c r="J5425" i="5"/>
  <c r="B5426" i="5"/>
  <c r="J5426" i="5"/>
  <c r="B5427" i="5"/>
  <c r="J5427" i="5"/>
  <c r="B5428" i="5"/>
  <c r="J5428" i="5"/>
  <c r="B5429" i="5"/>
  <c r="J5429" i="5"/>
  <c r="B5430" i="5"/>
  <c r="J5430" i="5"/>
  <c r="B5431" i="5"/>
  <c r="J5431" i="5"/>
  <c r="B5432" i="5"/>
  <c r="J5432" i="5"/>
  <c r="B5433" i="5"/>
  <c r="J5433" i="5"/>
  <c r="B5434" i="5"/>
  <c r="J5434" i="5"/>
  <c r="B5435" i="5"/>
  <c r="J5435" i="5"/>
  <c r="B5436" i="5"/>
  <c r="J5436" i="5"/>
  <c r="B5437" i="5"/>
  <c r="J5437" i="5"/>
  <c r="B5438" i="5"/>
  <c r="J5438" i="5"/>
  <c r="B5439" i="5"/>
  <c r="J5439" i="5"/>
  <c r="B5440" i="5"/>
  <c r="J5440" i="5"/>
  <c r="B5441" i="5"/>
  <c r="J5441" i="5"/>
  <c r="B5442" i="5"/>
  <c r="J5442" i="5"/>
  <c r="B5443" i="5"/>
  <c r="J5443" i="5"/>
  <c r="B5444" i="5"/>
  <c r="J5444" i="5"/>
  <c r="B5445" i="5"/>
  <c r="J5445" i="5"/>
  <c r="B5446" i="5"/>
  <c r="J5446" i="5"/>
  <c r="B5447" i="5"/>
  <c r="J5447" i="5"/>
  <c r="B5448" i="5"/>
  <c r="J5448" i="5"/>
  <c r="B5449" i="5"/>
  <c r="J5449" i="5"/>
  <c r="B5450" i="5"/>
  <c r="J5450" i="5"/>
  <c r="B5451" i="5"/>
  <c r="J5451" i="5"/>
  <c r="B5452" i="5"/>
  <c r="J5452" i="5"/>
  <c r="B5453" i="5"/>
  <c r="J5453" i="5"/>
  <c r="B5454" i="5"/>
  <c r="J5454" i="5"/>
  <c r="B5455" i="5"/>
  <c r="J5455" i="5"/>
  <c r="B5456" i="5"/>
  <c r="J5456" i="5"/>
  <c r="B5457" i="5"/>
  <c r="J5457" i="5"/>
  <c r="B5458" i="5"/>
  <c r="J5458" i="5"/>
  <c r="B5459" i="5"/>
  <c r="J5459" i="5"/>
  <c r="B5460" i="5"/>
  <c r="J5460" i="5"/>
  <c r="B5461" i="5"/>
  <c r="J5461" i="5"/>
  <c r="B5462" i="5"/>
  <c r="J5462" i="5"/>
  <c r="B5463" i="5"/>
  <c r="J5463" i="5"/>
  <c r="B5464" i="5"/>
  <c r="J5464" i="5"/>
  <c r="B5465" i="5"/>
  <c r="J5465" i="5"/>
  <c r="B5466" i="5"/>
  <c r="J5466" i="5"/>
  <c r="B5467" i="5"/>
  <c r="J5467" i="5"/>
  <c r="B5468" i="5"/>
  <c r="J5468" i="5"/>
  <c r="B5469" i="5"/>
  <c r="J5469" i="5"/>
  <c r="B5470" i="5"/>
  <c r="J5470" i="5"/>
  <c r="B5471" i="5"/>
  <c r="J5471" i="5"/>
  <c r="B5472" i="5"/>
  <c r="J5472" i="5"/>
  <c r="B5473" i="5"/>
  <c r="J5473" i="5"/>
  <c r="B5474" i="5"/>
  <c r="J5474" i="5"/>
  <c r="B5475" i="5"/>
  <c r="J5475" i="5"/>
  <c r="B5476" i="5"/>
  <c r="J5476" i="5"/>
  <c r="B5477" i="5"/>
  <c r="J5477" i="5"/>
  <c r="B5478" i="5"/>
  <c r="J5478" i="5"/>
  <c r="B5479" i="5"/>
  <c r="J5479" i="5"/>
  <c r="B5480" i="5"/>
  <c r="J5480" i="5"/>
  <c r="B5481" i="5"/>
  <c r="J5481" i="5"/>
  <c r="B5482" i="5"/>
  <c r="J5482" i="5"/>
  <c r="B5483" i="5"/>
  <c r="J5483" i="5"/>
  <c r="B5484" i="5"/>
  <c r="J5484" i="5"/>
  <c r="B5485" i="5"/>
  <c r="J5485" i="5"/>
  <c r="B5486" i="5"/>
  <c r="J5486" i="5"/>
  <c r="B5487" i="5"/>
  <c r="J5487" i="5"/>
  <c r="B5488" i="5"/>
  <c r="J5488" i="5"/>
  <c r="B5489" i="5"/>
  <c r="J5489" i="5"/>
  <c r="B5490" i="5"/>
  <c r="J5490" i="5"/>
  <c r="B5491" i="5"/>
  <c r="J5491" i="5"/>
  <c r="B5492" i="5"/>
  <c r="J5492" i="5"/>
  <c r="B5493" i="5"/>
  <c r="J5493" i="5"/>
  <c r="B5494" i="5"/>
  <c r="J5494" i="5"/>
  <c r="B5495" i="5"/>
  <c r="J5495" i="5"/>
  <c r="B5496" i="5"/>
  <c r="J5496" i="5"/>
  <c r="B5497" i="5"/>
  <c r="J5497" i="5"/>
  <c r="B5498" i="5"/>
  <c r="J5498" i="5"/>
  <c r="B5499" i="5"/>
  <c r="J5499" i="5"/>
  <c r="B5500" i="5"/>
  <c r="J5500" i="5"/>
  <c r="B5501" i="5"/>
  <c r="J5501" i="5"/>
  <c r="B5502" i="5"/>
  <c r="J5502" i="5"/>
  <c r="B5503" i="5"/>
  <c r="J5503" i="5"/>
  <c r="B5504" i="5"/>
  <c r="J5504" i="5"/>
  <c r="B5505" i="5"/>
  <c r="J5505" i="5"/>
  <c r="B5506" i="5"/>
  <c r="J5506" i="5"/>
  <c r="B5507" i="5"/>
  <c r="J5507" i="5"/>
  <c r="B5508" i="5"/>
  <c r="J5508" i="5"/>
  <c r="B5509" i="5"/>
  <c r="J5509" i="5"/>
  <c r="B5510" i="5"/>
  <c r="J5510" i="5"/>
  <c r="B5511" i="5"/>
  <c r="J5511" i="5"/>
  <c r="B5512" i="5"/>
  <c r="J5512" i="5"/>
  <c r="B5513" i="5"/>
  <c r="J5513" i="5"/>
  <c r="B5514" i="5"/>
  <c r="J5514" i="5"/>
  <c r="B5515" i="5"/>
  <c r="J5515" i="5"/>
  <c r="B5516" i="5"/>
  <c r="J5516" i="5"/>
  <c r="B5517" i="5"/>
  <c r="J5517" i="5"/>
  <c r="B5518" i="5"/>
  <c r="J5518" i="5"/>
  <c r="B5519" i="5"/>
  <c r="J5519" i="5"/>
  <c r="B5520" i="5"/>
  <c r="J5520" i="5"/>
  <c r="B5521" i="5"/>
  <c r="J5521" i="5"/>
  <c r="B5522" i="5"/>
  <c r="J5522" i="5"/>
  <c r="B5523" i="5"/>
  <c r="J5523" i="5"/>
  <c r="B5524" i="5"/>
  <c r="J5524" i="5"/>
  <c r="B5525" i="5"/>
  <c r="J5525" i="5"/>
  <c r="B5526" i="5"/>
  <c r="J5526" i="5"/>
  <c r="B5527" i="5"/>
  <c r="J5527" i="5"/>
  <c r="B5528" i="5"/>
  <c r="J5528" i="5"/>
  <c r="B5529" i="5"/>
  <c r="J5529" i="5"/>
  <c r="B5530" i="5"/>
  <c r="J5530" i="5"/>
  <c r="B5531" i="5"/>
  <c r="J5531" i="5"/>
  <c r="B5532" i="5"/>
  <c r="J5532" i="5"/>
  <c r="B5533" i="5"/>
  <c r="J5533" i="5"/>
  <c r="B5534" i="5"/>
  <c r="J5534" i="5"/>
  <c r="B5535" i="5"/>
  <c r="J5535" i="5"/>
  <c r="B5536" i="5"/>
  <c r="J5536" i="5"/>
  <c r="B5537" i="5"/>
  <c r="J5537" i="5"/>
  <c r="B5538" i="5"/>
  <c r="J5538" i="5"/>
  <c r="B5539" i="5"/>
  <c r="J5539" i="5"/>
  <c r="B5540" i="5"/>
  <c r="J5540" i="5"/>
  <c r="B5541" i="5"/>
  <c r="J5541" i="5"/>
  <c r="B5542" i="5"/>
  <c r="J5542" i="5"/>
  <c r="B5543" i="5"/>
  <c r="J5543" i="5"/>
  <c r="B5544" i="5"/>
  <c r="J5544" i="5"/>
  <c r="B5545" i="5"/>
  <c r="J5545" i="5"/>
  <c r="B5546" i="5"/>
  <c r="J5546" i="5"/>
  <c r="B5547" i="5"/>
  <c r="J5547" i="5"/>
  <c r="B5548" i="5"/>
  <c r="J5548" i="5"/>
  <c r="B5549" i="5"/>
  <c r="J5549" i="5"/>
  <c r="B5550" i="5"/>
  <c r="J5550" i="5"/>
  <c r="B5551" i="5"/>
  <c r="J5551" i="5"/>
  <c r="B5552" i="5"/>
  <c r="J5552" i="5"/>
  <c r="B5553" i="5"/>
  <c r="J5553" i="5"/>
  <c r="B5554" i="5"/>
  <c r="J5554" i="5"/>
  <c r="B5555" i="5"/>
  <c r="J5555" i="5"/>
  <c r="B5556" i="5"/>
  <c r="J5556" i="5"/>
  <c r="B5557" i="5"/>
  <c r="J5557" i="5"/>
  <c r="B5558" i="5"/>
  <c r="J5558" i="5"/>
  <c r="B5559" i="5"/>
  <c r="J5559" i="5"/>
  <c r="B5560" i="5"/>
  <c r="J5560" i="5"/>
  <c r="B5561" i="5"/>
  <c r="J5561" i="5"/>
  <c r="B5562" i="5"/>
  <c r="J5562" i="5"/>
  <c r="B5563" i="5"/>
  <c r="J5563" i="5"/>
  <c r="B5564" i="5"/>
  <c r="J5564" i="5"/>
  <c r="B5565" i="5"/>
  <c r="J5565" i="5"/>
  <c r="B5566" i="5"/>
  <c r="J5566" i="5"/>
  <c r="B5567" i="5"/>
  <c r="J5567" i="5"/>
  <c r="B5568" i="5"/>
  <c r="J5568" i="5"/>
  <c r="B5569" i="5"/>
  <c r="J5569" i="5"/>
  <c r="B5570" i="5"/>
  <c r="J5570" i="5"/>
  <c r="B5571" i="5"/>
  <c r="J5571" i="5"/>
  <c r="B5572" i="5"/>
  <c r="J5572" i="5"/>
  <c r="B5573" i="5"/>
  <c r="J5573" i="5"/>
  <c r="B5574" i="5"/>
  <c r="J5574" i="5"/>
  <c r="B5575" i="5"/>
  <c r="J5575" i="5"/>
  <c r="B5576" i="5"/>
  <c r="J5576" i="5"/>
  <c r="B5577" i="5"/>
  <c r="J5577" i="5"/>
  <c r="B5578" i="5"/>
  <c r="J5578" i="5"/>
  <c r="B5579" i="5"/>
  <c r="J5579" i="5"/>
  <c r="B5580" i="5"/>
  <c r="J5580" i="5"/>
  <c r="B5581" i="5"/>
  <c r="J5581" i="5"/>
  <c r="B5582" i="5"/>
  <c r="J5582" i="5"/>
  <c r="B5583" i="5"/>
  <c r="J5583" i="5"/>
  <c r="B5584" i="5"/>
  <c r="J5584" i="5"/>
  <c r="B5585" i="5"/>
  <c r="J5585" i="5"/>
  <c r="B5586" i="5"/>
  <c r="J5586" i="5"/>
  <c r="B5587" i="5"/>
  <c r="J5587" i="5"/>
  <c r="B5588" i="5"/>
  <c r="J5588" i="5"/>
  <c r="B5589" i="5"/>
  <c r="J5589" i="5"/>
  <c r="B5590" i="5"/>
  <c r="J5590" i="5"/>
  <c r="B5591" i="5"/>
  <c r="J5591" i="5"/>
  <c r="B5592" i="5"/>
  <c r="J5592" i="5"/>
  <c r="B5593" i="5"/>
  <c r="J5593" i="5"/>
  <c r="B5594" i="5"/>
  <c r="J5594" i="5"/>
  <c r="B5595" i="5"/>
  <c r="J5595" i="5"/>
  <c r="B5596" i="5"/>
  <c r="J5596" i="5"/>
  <c r="B5597" i="5"/>
  <c r="J5597" i="5"/>
  <c r="B5598" i="5"/>
  <c r="J5598" i="5"/>
  <c r="B5599" i="5"/>
  <c r="J5599" i="5"/>
  <c r="B5600" i="5"/>
  <c r="J5600" i="5"/>
  <c r="B5601" i="5"/>
  <c r="J5601" i="5"/>
  <c r="B5602" i="5"/>
  <c r="J5602" i="5"/>
  <c r="B5603" i="5"/>
  <c r="J5603" i="5"/>
  <c r="B5604" i="5"/>
  <c r="J5604" i="5"/>
  <c r="B5605" i="5"/>
  <c r="J5605" i="5"/>
  <c r="B5606" i="5"/>
  <c r="J5606" i="5"/>
  <c r="B5607" i="5"/>
  <c r="J5607" i="5"/>
  <c r="B5608" i="5"/>
  <c r="J5608" i="5"/>
  <c r="B5609" i="5"/>
  <c r="J5609" i="5"/>
  <c r="B5610" i="5"/>
  <c r="J5610" i="5"/>
  <c r="B5611" i="5"/>
  <c r="J5611" i="5"/>
  <c r="B5612" i="5"/>
  <c r="J5612" i="5"/>
  <c r="B5613" i="5"/>
  <c r="J5613" i="5"/>
  <c r="B5614" i="5"/>
  <c r="J5614" i="5"/>
  <c r="B5615" i="5"/>
  <c r="J5615" i="5"/>
  <c r="B5616" i="5"/>
  <c r="J5616" i="5"/>
  <c r="B5617" i="5"/>
  <c r="J5617" i="5"/>
  <c r="B5618" i="5"/>
  <c r="J5618" i="5"/>
  <c r="B5619" i="5"/>
  <c r="J5619" i="5"/>
  <c r="B5620" i="5"/>
  <c r="J5620" i="5"/>
  <c r="B5621" i="5"/>
  <c r="J5621" i="5"/>
  <c r="B5622" i="5"/>
  <c r="J5622" i="5"/>
  <c r="B5623" i="5"/>
  <c r="J5623" i="5"/>
  <c r="B5624" i="5"/>
  <c r="J5624" i="5"/>
  <c r="B5625" i="5"/>
  <c r="J5625" i="5"/>
  <c r="B5626" i="5"/>
  <c r="J5626" i="5"/>
  <c r="B5627" i="5"/>
  <c r="J5627" i="5"/>
  <c r="B5628" i="5"/>
  <c r="J5628" i="5"/>
  <c r="B5629" i="5"/>
  <c r="J5629" i="5"/>
  <c r="B5630" i="5"/>
  <c r="J5630" i="5"/>
  <c r="B5631" i="5"/>
  <c r="J5631" i="5"/>
  <c r="B5632" i="5"/>
  <c r="J5632" i="5"/>
  <c r="B5633" i="5"/>
  <c r="J5633" i="5"/>
  <c r="B5634" i="5"/>
  <c r="J5634" i="5"/>
  <c r="B5635" i="5"/>
  <c r="J5635" i="5"/>
  <c r="B5636" i="5"/>
  <c r="J5636" i="5"/>
  <c r="B5637" i="5"/>
  <c r="J5637" i="5"/>
  <c r="B5638" i="5"/>
  <c r="J5638" i="5"/>
  <c r="B5639" i="5"/>
  <c r="J5639" i="5"/>
  <c r="B5640" i="5"/>
  <c r="J5640" i="5"/>
  <c r="B5641" i="5"/>
  <c r="J5641" i="5"/>
  <c r="B5642" i="5"/>
  <c r="J5642" i="5"/>
  <c r="B5643" i="5"/>
  <c r="J5643" i="5"/>
  <c r="B5644" i="5"/>
  <c r="J5644" i="5"/>
  <c r="B5645" i="5"/>
  <c r="J5645" i="5"/>
  <c r="B5646" i="5"/>
  <c r="J5646" i="5"/>
  <c r="B5647" i="5"/>
  <c r="J5647" i="5"/>
  <c r="B5648" i="5"/>
  <c r="J5648" i="5"/>
  <c r="B5649" i="5"/>
  <c r="J5649" i="5"/>
  <c r="B5650" i="5"/>
  <c r="J5650" i="5"/>
  <c r="B5651" i="5"/>
  <c r="J5651" i="5"/>
  <c r="B5652" i="5"/>
  <c r="J5652" i="5"/>
  <c r="B5653" i="5"/>
  <c r="J5653" i="5"/>
  <c r="B5654" i="5"/>
  <c r="J5654" i="5"/>
  <c r="B5655" i="5"/>
  <c r="J5655" i="5"/>
  <c r="B5656" i="5"/>
  <c r="J5656" i="5"/>
  <c r="B5657" i="5"/>
  <c r="J5657" i="5"/>
  <c r="B5658" i="5"/>
  <c r="J5658" i="5"/>
  <c r="B5659" i="5"/>
  <c r="J5659" i="5"/>
  <c r="B5660" i="5"/>
  <c r="J5660" i="5"/>
  <c r="B5661" i="5"/>
  <c r="J5661" i="5"/>
  <c r="B5662" i="5"/>
  <c r="J5662" i="5"/>
  <c r="B5663" i="5"/>
  <c r="J5663" i="5"/>
  <c r="B5664" i="5"/>
  <c r="J5664" i="5"/>
  <c r="B5665" i="5"/>
  <c r="J5665" i="5"/>
  <c r="B5666" i="5"/>
  <c r="J5666" i="5"/>
  <c r="B5667" i="5"/>
  <c r="J5667" i="5"/>
  <c r="B5668" i="5"/>
  <c r="J5668" i="5"/>
  <c r="B5669" i="5"/>
  <c r="J5669" i="5"/>
  <c r="B5670" i="5"/>
  <c r="J5670" i="5"/>
  <c r="B5671" i="5"/>
  <c r="J5671" i="5"/>
  <c r="B5672" i="5"/>
  <c r="J5672" i="5"/>
  <c r="B5673" i="5"/>
  <c r="J5673" i="5"/>
  <c r="B5674" i="5"/>
  <c r="J5674" i="5"/>
  <c r="B5675" i="5"/>
  <c r="J5675" i="5"/>
  <c r="B5676" i="5"/>
  <c r="J5676" i="5"/>
  <c r="B5677" i="5"/>
  <c r="J5677" i="5"/>
  <c r="B5678" i="5"/>
  <c r="J5678" i="5"/>
  <c r="B5679" i="5"/>
  <c r="J5679" i="5"/>
  <c r="B5680" i="5"/>
  <c r="J5680" i="5"/>
  <c r="B5681" i="5"/>
  <c r="J5681" i="5"/>
  <c r="B5682" i="5"/>
  <c r="J5682" i="5"/>
  <c r="B5683" i="5"/>
  <c r="J5683" i="5"/>
  <c r="B5684" i="5"/>
  <c r="J5684" i="5"/>
  <c r="B5685" i="5"/>
  <c r="J5685" i="5"/>
  <c r="B5686" i="5"/>
  <c r="J5686" i="5"/>
  <c r="B5687" i="5"/>
  <c r="J5687" i="5"/>
  <c r="B5688" i="5"/>
  <c r="J5688" i="5"/>
  <c r="B5689" i="5"/>
  <c r="J5689" i="5"/>
  <c r="B5690" i="5"/>
  <c r="J5690" i="5"/>
  <c r="B5691" i="5"/>
  <c r="J5691" i="5"/>
  <c r="B5692" i="5"/>
  <c r="J5692" i="5"/>
  <c r="B5693" i="5"/>
  <c r="J5693" i="5"/>
  <c r="B5694" i="5"/>
  <c r="J5694" i="5"/>
  <c r="B5695" i="5"/>
  <c r="J5695" i="5"/>
  <c r="B5696" i="5"/>
  <c r="J5696" i="5"/>
  <c r="B5697" i="5"/>
  <c r="J5697" i="5"/>
  <c r="B5698" i="5"/>
  <c r="J5698" i="5"/>
  <c r="B5699" i="5"/>
  <c r="J5699" i="5"/>
  <c r="B5700" i="5"/>
  <c r="J5700" i="5"/>
  <c r="B5701" i="5"/>
  <c r="J5701" i="5"/>
  <c r="B5702" i="5"/>
  <c r="J5702" i="5"/>
  <c r="B5703" i="5"/>
  <c r="J5703" i="5"/>
  <c r="B5704" i="5"/>
  <c r="J5704" i="5"/>
  <c r="B5705" i="5"/>
  <c r="J5705" i="5"/>
  <c r="B5706" i="5"/>
  <c r="J5706" i="5"/>
  <c r="B5707" i="5"/>
  <c r="J5707" i="5"/>
  <c r="B5708" i="5"/>
  <c r="J5708" i="5"/>
  <c r="B5709" i="5"/>
  <c r="J5709" i="5"/>
  <c r="B5710" i="5"/>
  <c r="J5710" i="5"/>
  <c r="B5711" i="5"/>
  <c r="J5711" i="5"/>
  <c r="B5712" i="5"/>
  <c r="J5712" i="5"/>
  <c r="B5713" i="5"/>
  <c r="J5713" i="5"/>
  <c r="B5714" i="5"/>
  <c r="J5714" i="5"/>
  <c r="B5715" i="5"/>
  <c r="J5715" i="5"/>
  <c r="B5716" i="5"/>
  <c r="J5716" i="5"/>
  <c r="B5717" i="5"/>
  <c r="J5717" i="5"/>
  <c r="B5718" i="5"/>
  <c r="J5718" i="5"/>
  <c r="B5719" i="5"/>
  <c r="J5719" i="5"/>
  <c r="B5720" i="5"/>
  <c r="J5720" i="5"/>
  <c r="B5721" i="5"/>
  <c r="J5721" i="5"/>
  <c r="B5722" i="5"/>
  <c r="J5722" i="5"/>
  <c r="B5723" i="5"/>
  <c r="J5723" i="5"/>
  <c r="B5724" i="5"/>
  <c r="J5724" i="5"/>
  <c r="B5725" i="5"/>
  <c r="J5725" i="5"/>
  <c r="B5726" i="5"/>
  <c r="J5726" i="5"/>
  <c r="B5727" i="5"/>
  <c r="J5727" i="5"/>
  <c r="B5728" i="5"/>
  <c r="J5728" i="5"/>
  <c r="B5729" i="5"/>
  <c r="J5729" i="5"/>
  <c r="B5730" i="5"/>
  <c r="J5730" i="5"/>
  <c r="B5731" i="5"/>
  <c r="J5731" i="5"/>
  <c r="B5732" i="5"/>
  <c r="J5732" i="5"/>
  <c r="B5733" i="5"/>
  <c r="J5733" i="5"/>
  <c r="B5734" i="5"/>
  <c r="J5734" i="5"/>
  <c r="B5735" i="5"/>
  <c r="J5735" i="5"/>
  <c r="B5736" i="5"/>
  <c r="J5736" i="5"/>
  <c r="B5737" i="5"/>
  <c r="J5737" i="5"/>
  <c r="B5738" i="5"/>
  <c r="J5738" i="5"/>
  <c r="B5739" i="5"/>
  <c r="J5739" i="5"/>
  <c r="B5740" i="5"/>
  <c r="J5740" i="5"/>
  <c r="B5741" i="5"/>
  <c r="J5741" i="5"/>
  <c r="B5742" i="5"/>
  <c r="J5742" i="5"/>
  <c r="B5743" i="5"/>
  <c r="J5743" i="5"/>
  <c r="B5744" i="5"/>
  <c r="J5744" i="5"/>
  <c r="B5745" i="5"/>
  <c r="J5745" i="5"/>
  <c r="B5746" i="5"/>
  <c r="J5746" i="5"/>
  <c r="B5747" i="5"/>
  <c r="J5747" i="5"/>
  <c r="B5748" i="5"/>
  <c r="J5748" i="5"/>
  <c r="B5749" i="5"/>
  <c r="J5749" i="5"/>
  <c r="B5750" i="5"/>
  <c r="J5750" i="5"/>
  <c r="B5751" i="5"/>
  <c r="J5751" i="5"/>
  <c r="B5752" i="5"/>
  <c r="J5752" i="5"/>
  <c r="B5753" i="5"/>
  <c r="J5753" i="5"/>
  <c r="B5754" i="5"/>
  <c r="J5754" i="5"/>
  <c r="B5755" i="5"/>
  <c r="J5755" i="5"/>
  <c r="B5756" i="5"/>
  <c r="J5756" i="5"/>
  <c r="B5757" i="5"/>
  <c r="J5757" i="5"/>
  <c r="B5758" i="5"/>
  <c r="J5758" i="5"/>
  <c r="B5759" i="5"/>
  <c r="J5759" i="5"/>
  <c r="B5760" i="5"/>
  <c r="J5760" i="5"/>
  <c r="B5761" i="5"/>
  <c r="J5761" i="5"/>
  <c r="B5762" i="5"/>
  <c r="J5762" i="5"/>
  <c r="B5763" i="5"/>
  <c r="J5763" i="5"/>
  <c r="B5764" i="5"/>
  <c r="J5764" i="5"/>
  <c r="B5765" i="5"/>
  <c r="J5765" i="5"/>
  <c r="B5766" i="5"/>
  <c r="J5766" i="5"/>
  <c r="B5767" i="5"/>
  <c r="J5767" i="5"/>
  <c r="B5768" i="5"/>
  <c r="J5768" i="5"/>
  <c r="B5769" i="5"/>
  <c r="J5769" i="5"/>
  <c r="B5770" i="5"/>
  <c r="J5770" i="5"/>
  <c r="B5771" i="5"/>
  <c r="J5771" i="5"/>
  <c r="B5772" i="5"/>
  <c r="J5772" i="5"/>
  <c r="B5773" i="5"/>
  <c r="J5773" i="5"/>
  <c r="B5774" i="5"/>
  <c r="J5774" i="5"/>
  <c r="B5775" i="5"/>
  <c r="J5775" i="5"/>
  <c r="B5776" i="5"/>
  <c r="J5776" i="5"/>
  <c r="B5777" i="5"/>
  <c r="J5777" i="5"/>
  <c r="B5778" i="5"/>
  <c r="J5778" i="5"/>
  <c r="B5779" i="5"/>
  <c r="J5779" i="5"/>
  <c r="B5780" i="5"/>
  <c r="J5780" i="5"/>
  <c r="B5781" i="5"/>
  <c r="J5781" i="5"/>
  <c r="B5782" i="5"/>
  <c r="J5782" i="5"/>
  <c r="B5783" i="5"/>
  <c r="J5783" i="5"/>
  <c r="B5784" i="5"/>
  <c r="J5784" i="5"/>
  <c r="B5785" i="5"/>
  <c r="J5785" i="5"/>
  <c r="B5786" i="5"/>
  <c r="J5786" i="5"/>
  <c r="B5787" i="5"/>
  <c r="J5787" i="5"/>
  <c r="B5788" i="5"/>
  <c r="J5788" i="5"/>
  <c r="B5789" i="5"/>
  <c r="J5789" i="5"/>
  <c r="B5790" i="5"/>
  <c r="J5790" i="5"/>
  <c r="B5791" i="5"/>
  <c r="J5791" i="5"/>
  <c r="B5792" i="5"/>
  <c r="J5792" i="5"/>
  <c r="B5793" i="5"/>
  <c r="J5793" i="5"/>
  <c r="B5794" i="5"/>
  <c r="J5794" i="5"/>
  <c r="B5795" i="5"/>
  <c r="J5795" i="5"/>
  <c r="B5796" i="5"/>
  <c r="J5796" i="5"/>
  <c r="B5797" i="5"/>
  <c r="J5797" i="5"/>
  <c r="B5798" i="5"/>
  <c r="J5798" i="5"/>
  <c r="B5799" i="5"/>
  <c r="J5799" i="5"/>
  <c r="B5800" i="5"/>
  <c r="J5800" i="5"/>
  <c r="B5801" i="5"/>
  <c r="J5801" i="5"/>
  <c r="B5802" i="5"/>
  <c r="J5802" i="5"/>
  <c r="B5803" i="5"/>
  <c r="J5803" i="5"/>
  <c r="B5804" i="5"/>
  <c r="J5804" i="5"/>
  <c r="B5805" i="5"/>
  <c r="J5805" i="5"/>
  <c r="B5806" i="5"/>
  <c r="J5806" i="5"/>
  <c r="B5807" i="5"/>
  <c r="J5807" i="5"/>
  <c r="B5808" i="5"/>
  <c r="J5808" i="5"/>
  <c r="B5809" i="5"/>
  <c r="J5809" i="5"/>
  <c r="B5810" i="5"/>
  <c r="J5810" i="5"/>
  <c r="B5811" i="5"/>
  <c r="J5811" i="5"/>
  <c r="B5812" i="5"/>
  <c r="J5812" i="5"/>
  <c r="B5813" i="5"/>
  <c r="J5813" i="5"/>
  <c r="B5814" i="5"/>
  <c r="J5814" i="5"/>
  <c r="B5815" i="5"/>
  <c r="J5815" i="5"/>
  <c r="B5816" i="5"/>
  <c r="J5816" i="5"/>
  <c r="B5817" i="5"/>
  <c r="J5817" i="5"/>
  <c r="B5818" i="5"/>
  <c r="J5818" i="5"/>
  <c r="B5819" i="5"/>
  <c r="J5819" i="5"/>
  <c r="B5820" i="5"/>
  <c r="J5820" i="5"/>
  <c r="B5821" i="5"/>
  <c r="J5821" i="5"/>
  <c r="B5822" i="5"/>
  <c r="J5822" i="5"/>
  <c r="B5823" i="5"/>
  <c r="J5823" i="5"/>
  <c r="B5824" i="5"/>
  <c r="J5824" i="5"/>
  <c r="B5825" i="5"/>
  <c r="J5825" i="5"/>
  <c r="B5826" i="5"/>
  <c r="J5826" i="5"/>
  <c r="B5827" i="5"/>
  <c r="J5827" i="5"/>
  <c r="B5828" i="5"/>
  <c r="J5828" i="5"/>
  <c r="B5829" i="5"/>
  <c r="J5829" i="5"/>
  <c r="B5830" i="5"/>
  <c r="J5830" i="5"/>
  <c r="B5831" i="5"/>
  <c r="J5831" i="5"/>
  <c r="B5832" i="5"/>
  <c r="J5832" i="5"/>
  <c r="B5833" i="5"/>
  <c r="J5833" i="5"/>
  <c r="B5834" i="5"/>
  <c r="J5834" i="5"/>
  <c r="B5835" i="5"/>
  <c r="J5835" i="5"/>
  <c r="B5836" i="5"/>
  <c r="J5836" i="5"/>
  <c r="B5837" i="5"/>
  <c r="J5837" i="5"/>
  <c r="B5838" i="5"/>
  <c r="J5838" i="5"/>
  <c r="B5839" i="5"/>
  <c r="J5839" i="5"/>
  <c r="B5840" i="5"/>
  <c r="J5840" i="5"/>
  <c r="B5841" i="5"/>
  <c r="J5841" i="5"/>
  <c r="B5842" i="5"/>
  <c r="J5842" i="5"/>
  <c r="B5843" i="5"/>
  <c r="J5843" i="5"/>
  <c r="B5844" i="5"/>
  <c r="J5844" i="5"/>
  <c r="B5845" i="5"/>
  <c r="J5845" i="5"/>
  <c r="C11" i="2"/>
  <c r="A11" i="2"/>
  <c r="C10" i="2"/>
  <c r="A10" i="2"/>
  <c r="C9" i="2"/>
  <c r="A9" i="2"/>
  <c r="C8" i="2"/>
  <c r="A8" i="2"/>
  <c r="C7" i="2"/>
  <c r="A7" i="2"/>
  <c r="C6" i="2"/>
  <c r="A6" i="2"/>
  <c r="C5" i="2"/>
  <c r="A5" i="2"/>
  <c r="C4" i="2"/>
  <c r="A4" i="2"/>
  <c r="C3" i="2"/>
  <c r="A3" i="2"/>
  <c r="C2" i="2"/>
  <c r="A2" i="2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8" i="1"/>
  <c r="F369" i="1"/>
  <c r="F733" i="1" s="1"/>
  <c r="B3" i="2" s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4" i="1"/>
  <c r="F1099" i="1" s="1"/>
  <c r="B4" i="2" s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100" i="1"/>
  <c r="F1101" i="1"/>
  <c r="F1466" i="1" s="1"/>
  <c r="B5" i="2" s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7" i="1"/>
  <c r="F1832" i="1" s="1"/>
  <c r="B6" i="2" s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3" i="1"/>
  <c r="F2198" i="1" s="1"/>
  <c r="B7" i="2" s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9" i="1"/>
  <c r="F2564" i="1" s="1"/>
  <c r="B8" i="2" s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5" i="1"/>
  <c r="F2566" i="1"/>
  <c r="F2931" i="1" s="1"/>
  <c r="B9" i="2" s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2" i="1"/>
  <c r="F3297" i="1" s="1"/>
  <c r="B10" i="2" s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3131" i="1"/>
  <c r="F3132" i="1"/>
  <c r="F3133" i="1"/>
  <c r="F3134" i="1"/>
  <c r="F3135" i="1"/>
  <c r="F3136" i="1"/>
  <c r="F3137" i="1"/>
  <c r="F3138" i="1"/>
  <c r="F3139" i="1"/>
  <c r="F3140" i="1"/>
  <c r="F3141" i="1"/>
  <c r="F3142" i="1"/>
  <c r="F3143" i="1"/>
  <c r="F3144" i="1"/>
  <c r="F3145" i="1"/>
  <c r="F3146" i="1"/>
  <c r="F3147" i="1"/>
  <c r="F3148" i="1"/>
  <c r="F3149" i="1"/>
  <c r="F3150" i="1"/>
  <c r="F3151" i="1"/>
  <c r="F3152" i="1"/>
  <c r="F3153" i="1"/>
  <c r="F3154" i="1"/>
  <c r="F3155" i="1"/>
  <c r="F3156" i="1"/>
  <c r="F3157" i="1"/>
  <c r="F3158" i="1"/>
  <c r="F3159" i="1"/>
  <c r="F3160" i="1"/>
  <c r="F3161" i="1"/>
  <c r="F3162" i="1"/>
  <c r="F3163" i="1"/>
  <c r="F3164" i="1"/>
  <c r="F3165" i="1"/>
  <c r="F3166" i="1"/>
  <c r="F3167" i="1"/>
  <c r="F3168" i="1"/>
  <c r="F3169" i="1"/>
  <c r="F3170" i="1"/>
  <c r="F3171" i="1"/>
  <c r="F3172" i="1"/>
  <c r="F3173" i="1"/>
  <c r="F3174" i="1"/>
  <c r="F3175" i="1"/>
  <c r="F3176" i="1"/>
  <c r="F3177" i="1"/>
  <c r="F3178" i="1"/>
  <c r="F3179" i="1"/>
  <c r="F3180" i="1"/>
  <c r="F3181" i="1"/>
  <c r="F3182" i="1"/>
  <c r="F3183" i="1"/>
  <c r="F3184" i="1"/>
  <c r="F3185" i="1"/>
  <c r="F3186" i="1"/>
  <c r="F3187" i="1"/>
  <c r="F3188" i="1"/>
  <c r="F3189" i="1"/>
  <c r="F3190" i="1"/>
  <c r="F3191" i="1"/>
  <c r="F3192" i="1"/>
  <c r="F3193" i="1"/>
  <c r="F3194" i="1"/>
  <c r="F3195" i="1"/>
  <c r="F3196" i="1"/>
  <c r="F3197" i="1"/>
  <c r="F3198" i="1"/>
  <c r="F3199" i="1"/>
  <c r="F3200" i="1"/>
  <c r="F3201" i="1"/>
  <c r="F3202" i="1"/>
  <c r="F3203" i="1"/>
  <c r="F3204" i="1"/>
  <c r="F3205" i="1"/>
  <c r="F3206" i="1"/>
  <c r="F3207" i="1"/>
  <c r="F3208" i="1"/>
  <c r="F3209" i="1"/>
  <c r="F3210" i="1"/>
  <c r="F3211" i="1"/>
  <c r="F3212" i="1"/>
  <c r="F3213" i="1"/>
  <c r="F3214" i="1"/>
  <c r="F3215" i="1"/>
  <c r="F3216" i="1"/>
  <c r="F3217" i="1"/>
  <c r="F3218" i="1"/>
  <c r="F3219" i="1"/>
  <c r="F3220" i="1"/>
  <c r="F3221" i="1"/>
  <c r="F3222" i="1"/>
  <c r="F3223" i="1"/>
  <c r="F3224" i="1"/>
  <c r="F3225" i="1"/>
  <c r="F3226" i="1"/>
  <c r="F3227" i="1"/>
  <c r="F3228" i="1"/>
  <c r="F3229" i="1"/>
  <c r="F3230" i="1"/>
  <c r="F3231" i="1"/>
  <c r="F3232" i="1"/>
  <c r="F3233" i="1"/>
  <c r="F3234" i="1"/>
  <c r="F3235" i="1"/>
  <c r="F3236" i="1"/>
  <c r="F3237" i="1"/>
  <c r="F3238" i="1"/>
  <c r="F3239" i="1"/>
  <c r="F3240" i="1"/>
  <c r="F3241" i="1"/>
  <c r="F3242" i="1"/>
  <c r="F3243" i="1"/>
  <c r="F3244" i="1"/>
  <c r="F3245" i="1"/>
  <c r="F3246" i="1"/>
  <c r="F3247" i="1"/>
  <c r="F3248" i="1"/>
  <c r="F3249" i="1"/>
  <c r="F3250" i="1"/>
  <c r="F3251" i="1"/>
  <c r="F3252" i="1"/>
  <c r="F3253" i="1"/>
  <c r="F3254" i="1"/>
  <c r="F3255" i="1"/>
  <c r="F3256" i="1"/>
  <c r="F3257" i="1"/>
  <c r="F3258" i="1"/>
  <c r="F3259" i="1"/>
  <c r="F3260" i="1"/>
  <c r="F3261" i="1"/>
  <c r="F3262" i="1"/>
  <c r="F3263" i="1"/>
  <c r="F3264" i="1"/>
  <c r="F3265" i="1"/>
  <c r="F3266" i="1"/>
  <c r="F3267" i="1"/>
  <c r="F3268" i="1"/>
  <c r="F3269" i="1"/>
  <c r="F3270" i="1"/>
  <c r="F3271" i="1"/>
  <c r="F3272" i="1"/>
  <c r="F3273" i="1"/>
  <c r="F3274" i="1"/>
  <c r="F3275" i="1"/>
  <c r="F3276" i="1"/>
  <c r="F3277" i="1"/>
  <c r="F3278" i="1"/>
  <c r="F3279" i="1"/>
  <c r="F3280" i="1"/>
  <c r="F3281" i="1"/>
  <c r="F3282" i="1"/>
  <c r="F3283" i="1"/>
  <c r="F3284" i="1"/>
  <c r="F3285" i="1"/>
  <c r="F3286" i="1"/>
  <c r="F3287" i="1"/>
  <c r="F3288" i="1"/>
  <c r="F3289" i="1"/>
  <c r="F3290" i="1"/>
  <c r="F3291" i="1"/>
  <c r="F3292" i="1"/>
  <c r="F3293" i="1"/>
  <c r="F3294" i="1"/>
  <c r="F3295" i="1"/>
  <c r="F3296" i="1"/>
  <c r="F3298" i="1"/>
  <c r="F3299" i="1"/>
  <c r="F3300" i="1"/>
  <c r="F3301" i="1"/>
  <c r="F3302" i="1"/>
  <c r="F3303" i="1"/>
  <c r="F3304" i="1"/>
  <c r="F3305" i="1"/>
  <c r="F3306" i="1"/>
  <c r="F3307" i="1"/>
  <c r="F3308" i="1"/>
  <c r="F3309" i="1"/>
  <c r="F3310" i="1"/>
  <c r="F3311" i="1"/>
  <c r="F3312" i="1"/>
  <c r="F3313" i="1"/>
  <c r="F3314" i="1"/>
  <c r="F3315" i="1"/>
  <c r="F3316" i="1"/>
  <c r="F3317" i="1"/>
  <c r="F3318" i="1"/>
  <c r="F3319" i="1"/>
  <c r="F3320" i="1"/>
  <c r="F3321" i="1"/>
  <c r="F3322" i="1"/>
  <c r="F3323" i="1"/>
  <c r="F3324" i="1"/>
  <c r="F3325" i="1"/>
  <c r="F3326" i="1"/>
  <c r="F3327" i="1"/>
  <c r="F3328" i="1"/>
  <c r="F3329" i="1"/>
  <c r="F3330" i="1"/>
  <c r="F3331" i="1"/>
  <c r="F3332" i="1"/>
  <c r="F3333" i="1"/>
  <c r="F3334" i="1"/>
  <c r="F3335" i="1"/>
  <c r="F3336" i="1"/>
  <c r="F3337" i="1"/>
  <c r="F3338" i="1"/>
  <c r="F3339" i="1"/>
  <c r="F3340" i="1"/>
  <c r="F3341" i="1"/>
  <c r="F3342" i="1"/>
  <c r="F3343" i="1"/>
  <c r="F3344" i="1"/>
  <c r="F3345" i="1"/>
  <c r="F3346" i="1"/>
  <c r="F3347" i="1"/>
  <c r="F3348" i="1"/>
  <c r="F3349" i="1"/>
  <c r="F3350" i="1"/>
  <c r="F3351" i="1"/>
  <c r="F3352" i="1"/>
  <c r="F3353" i="1"/>
  <c r="F3354" i="1"/>
  <c r="F3355" i="1"/>
  <c r="F3356" i="1"/>
  <c r="F3357" i="1"/>
  <c r="F3358" i="1"/>
  <c r="F3359" i="1"/>
  <c r="F3360" i="1"/>
  <c r="F3361" i="1"/>
  <c r="F3362" i="1"/>
  <c r="F3363" i="1"/>
  <c r="F3364" i="1"/>
  <c r="F3365" i="1"/>
  <c r="F3366" i="1"/>
  <c r="F3367" i="1"/>
  <c r="F3368" i="1"/>
  <c r="F3369" i="1"/>
  <c r="F3370" i="1"/>
  <c r="F3371" i="1"/>
  <c r="F3372" i="1"/>
  <c r="F3373" i="1"/>
  <c r="F3374" i="1"/>
  <c r="F3375" i="1"/>
  <c r="F3376" i="1"/>
  <c r="F3377" i="1"/>
  <c r="F3378" i="1"/>
  <c r="F3379" i="1"/>
  <c r="F3380" i="1"/>
  <c r="F3381" i="1"/>
  <c r="F3382" i="1"/>
  <c r="F3383" i="1"/>
  <c r="F3384" i="1"/>
  <c r="F3385" i="1"/>
  <c r="F3386" i="1"/>
  <c r="F3387" i="1"/>
  <c r="F3388" i="1"/>
  <c r="F3389" i="1"/>
  <c r="F3390" i="1"/>
  <c r="F3391" i="1"/>
  <c r="F3392" i="1"/>
  <c r="F3393" i="1"/>
  <c r="F3394" i="1"/>
  <c r="F3395" i="1"/>
  <c r="F3396" i="1"/>
  <c r="F3397" i="1"/>
  <c r="F3398" i="1"/>
  <c r="F3399" i="1"/>
  <c r="F3400" i="1"/>
  <c r="F3401" i="1"/>
  <c r="F3402" i="1"/>
  <c r="F3403" i="1"/>
  <c r="F3404" i="1"/>
  <c r="F3405" i="1"/>
  <c r="F3406" i="1"/>
  <c r="F3407" i="1"/>
  <c r="F3408" i="1"/>
  <c r="F3409" i="1"/>
  <c r="F3410" i="1"/>
  <c r="F3411" i="1"/>
  <c r="F3412" i="1"/>
  <c r="F3413" i="1"/>
  <c r="F3414" i="1"/>
  <c r="F3415" i="1"/>
  <c r="F3416" i="1"/>
  <c r="F3417" i="1"/>
  <c r="F3418" i="1"/>
  <c r="F3419" i="1"/>
  <c r="F3420" i="1"/>
  <c r="F3421" i="1"/>
  <c r="F3422" i="1"/>
  <c r="F3423" i="1"/>
  <c r="F3424" i="1"/>
  <c r="F3425" i="1"/>
  <c r="F3426" i="1"/>
  <c r="F3427" i="1"/>
  <c r="F3428" i="1"/>
  <c r="F3429" i="1"/>
  <c r="F3430" i="1"/>
  <c r="F3431" i="1"/>
  <c r="F3432" i="1"/>
  <c r="F3433" i="1"/>
  <c r="F3434" i="1"/>
  <c r="F3435" i="1"/>
  <c r="F3436" i="1"/>
  <c r="F3437" i="1"/>
  <c r="F3438" i="1"/>
  <c r="F3439" i="1"/>
  <c r="F3440" i="1"/>
  <c r="F3441" i="1"/>
  <c r="F3442" i="1"/>
  <c r="F3443" i="1"/>
  <c r="F3444" i="1"/>
  <c r="F3445" i="1"/>
  <c r="F3446" i="1"/>
  <c r="F3447" i="1"/>
  <c r="F3448" i="1"/>
  <c r="F3449" i="1"/>
  <c r="F3450" i="1"/>
  <c r="F3451" i="1"/>
  <c r="F3452" i="1"/>
  <c r="F3453" i="1"/>
  <c r="F3454" i="1"/>
  <c r="F3455" i="1"/>
  <c r="F3456" i="1"/>
  <c r="F3457" i="1"/>
  <c r="F3458" i="1"/>
  <c r="F3459" i="1"/>
  <c r="F3460" i="1"/>
  <c r="F3461" i="1"/>
  <c r="F3462" i="1"/>
  <c r="F3463" i="1"/>
  <c r="F3464" i="1"/>
  <c r="F3465" i="1"/>
  <c r="F3466" i="1"/>
  <c r="F3467" i="1"/>
  <c r="F3468" i="1"/>
  <c r="F3469" i="1"/>
  <c r="F3470" i="1"/>
  <c r="F3471" i="1"/>
  <c r="F3472" i="1"/>
  <c r="F3473" i="1"/>
  <c r="F3474" i="1"/>
  <c r="F3475" i="1"/>
  <c r="F3476" i="1"/>
  <c r="F3477" i="1"/>
  <c r="F3478" i="1"/>
  <c r="F3479" i="1"/>
  <c r="F3480" i="1"/>
  <c r="F3481" i="1"/>
  <c r="F3482" i="1"/>
  <c r="F3483" i="1"/>
  <c r="F3484" i="1"/>
  <c r="F3485" i="1"/>
  <c r="F3486" i="1"/>
  <c r="F3487" i="1"/>
  <c r="F3488" i="1"/>
  <c r="F3489" i="1"/>
  <c r="F3490" i="1"/>
  <c r="F3491" i="1"/>
  <c r="F3492" i="1"/>
  <c r="F3493" i="1"/>
  <c r="F3494" i="1"/>
  <c r="F3495" i="1"/>
  <c r="F3496" i="1"/>
  <c r="F3497" i="1"/>
  <c r="F3498" i="1"/>
  <c r="F3499" i="1"/>
  <c r="F3500" i="1"/>
  <c r="F3501" i="1"/>
  <c r="F3502" i="1"/>
  <c r="F3503" i="1"/>
  <c r="F3504" i="1"/>
  <c r="F3505" i="1"/>
  <c r="F3506" i="1"/>
  <c r="F3507" i="1"/>
  <c r="F3508" i="1"/>
  <c r="F3509" i="1"/>
  <c r="F3510" i="1"/>
  <c r="F3511" i="1"/>
  <c r="F3512" i="1"/>
  <c r="F3513" i="1"/>
  <c r="F3514" i="1"/>
  <c r="F3515" i="1"/>
  <c r="F3516" i="1"/>
  <c r="F3517" i="1"/>
  <c r="F3518" i="1"/>
  <c r="F3519" i="1"/>
  <c r="F3520" i="1"/>
  <c r="F3521" i="1"/>
  <c r="F3522" i="1"/>
  <c r="F3523" i="1"/>
  <c r="F3524" i="1"/>
  <c r="F3525" i="1"/>
  <c r="F3526" i="1"/>
  <c r="F3527" i="1"/>
  <c r="F3528" i="1"/>
  <c r="F3529" i="1"/>
  <c r="F3530" i="1"/>
  <c r="F3531" i="1"/>
  <c r="F3532" i="1"/>
  <c r="F3533" i="1"/>
  <c r="F3534" i="1"/>
  <c r="F3535" i="1"/>
  <c r="F3536" i="1"/>
  <c r="F3537" i="1"/>
  <c r="F3538" i="1"/>
  <c r="F3539" i="1"/>
  <c r="F3540" i="1"/>
  <c r="F3541" i="1"/>
  <c r="F3542" i="1"/>
  <c r="F3543" i="1"/>
  <c r="F3544" i="1"/>
  <c r="F3545" i="1"/>
  <c r="F3546" i="1"/>
  <c r="F3547" i="1"/>
  <c r="F3548" i="1"/>
  <c r="F3549" i="1"/>
  <c r="F3550" i="1"/>
  <c r="F3551" i="1"/>
  <c r="F3552" i="1"/>
  <c r="F3553" i="1"/>
  <c r="F3554" i="1"/>
  <c r="F3555" i="1"/>
  <c r="F3556" i="1"/>
  <c r="F3557" i="1"/>
  <c r="F3558" i="1"/>
  <c r="F3559" i="1"/>
  <c r="F3560" i="1"/>
  <c r="F3561" i="1"/>
  <c r="F3562" i="1"/>
  <c r="F3563" i="1"/>
  <c r="F3564" i="1"/>
  <c r="F3565" i="1"/>
  <c r="F3566" i="1"/>
  <c r="F3567" i="1"/>
  <c r="F3568" i="1"/>
  <c r="F3569" i="1"/>
  <c r="F3570" i="1"/>
  <c r="F3571" i="1"/>
  <c r="F3572" i="1"/>
  <c r="F3573" i="1"/>
  <c r="F3574" i="1"/>
  <c r="F3575" i="1"/>
  <c r="F3576" i="1"/>
  <c r="F3577" i="1"/>
  <c r="F3578" i="1"/>
  <c r="F3579" i="1"/>
  <c r="F3580" i="1"/>
  <c r="F3581" i="1"/>
  <c r="F3582" i="1"/>
  <c r="F3583" i="1"/>
  <c r="F3584" i="1"/>
  <c r="F3585" i="1"/>
  <c r="F3586" i="1"/>
  <c r="F3587" i="1"/>
  <c r="F3588" i="1"/>
  <c r="F3589" i="1"/>
  <c r="F3590" i="1"/>
  <c r="F3591" i="1"/>
  <c r="F3592" i="1"/>
  <c r="F3593" i="1"/>
  <c r="F3594" i="1"/>
  <c r="F3595" i="1"/>
  <c r="F3596" i="1"/>
  <c r="F3597" i="1"/>
  <c r="F3598" i="1"/>
  <c r="F3599" i="1"/>
  <c r="F3600" i="1"/>
  <c r="F3601" i="1"/>
  <c r="F3602" i="1"/>
  <c r="F3603" i="1"/>
  <c r="F3604" i="1"/>
  <c r="F3605" i="1"/>
  <c r="F3606" i="1"/>
  <c r="F3607" i="1"/>
  <c r="F3608" i="1"/>
  <c r="F3609" i="1"/>
  <c r="F3610" i="1"/>
  <c r="F3611" i="1"/>
  <c r="F3612" i="1"/>
  <c r="F3613" i="1"/>
  <c r="F3614" i="1"/>
  <c r="F3615" i="1"/>
  <c r="F3616" i="1"/>
  <c r="F3617" i="1"/>
  <c r="F3618" i="1"/>
  <c r="F3619" i="1"/>
  <c r="F3620" i="1"/>
  <c r="F3621" i="1"/>
  <c r="F3622" i="1"/>
  <c r="F3623" i="1"/>
  <c r="F3624" i="1"/>
  <c r="F3625" i="1"/>
  <c r="F3626" i="1"/>
  <c r="F3627" i="1"/>
  <c r="F3628" i="1"/>
  <c r="F3629" i="1"/>
  <c r="F3630" i="1"/>
  <c r="F3631" i="1"/>
  <c r="F3632" i="1"/>
  <c r="F3633" i="1"/>
  <c r="F3634" i="1"/>
  <c r="F3635" i="1"/>
  <c r="F3636" i="1"/>
  <c r="F3637" i="1"/>
  <c r="F3638" i="1"/>
  <c r="F3639" i="1"/>
  <c r="F3640" i="1"/>
  <c r="F3641" i="1"/>
  <c r="F3642" i="1"/>
  <c r="F3643" i="1"/>
  <c r="F3644" i="1"/>
  <c r="F3645" i="1"/>
  <c r="F3646" i="1"/>
  <c r="F3647" i="1"/>
  <c r="F3648" i="1"/>
  <c r="F3649" i="1"/>
  <c r="F3650" i="1"/>
  <c r="F3651" i="1"/>
  <c r="F3652" i="1"/>
  <c r="F3653" i="1"/>
  <c r="F3654" i="1"/>
  <c r="F3655" i="1"/>
  <c r="F3656" i="1"/>
  <c r="F3657" i="1"/>
  <c r="F3658" i="1"/>
  <c r="F3659" i="1"/>
  <c r="F3660" i="1"/>
  <c r="F3661" i="1"/>
  <c r="F3662" i="1"/>
  <c r="F2" i="1"/>
  <c r="F367" i="1" s="1"/>
  <c r="B2" i="2" s="1"/>
  <c r="B2" i="1"/>
  <c r="J2" i="1"/>
  <c r="B3" i="1"/>
  <c r="J3" i="1"/>
  <c r="B4" i="1"/>
  <c r="J4" i="1"/>
  <c r="B5" i="1"/>
  <c r="J5" i="1"/>
  <c r="B6" i="1"/>
  <c r="J6" i="1"/>
  <c r="B7" i="1"/>
  <c r="J7" i="1"/>
  <c r="B8" i="1"/>
  <c r="J8" i="1"/>
  <c r="B9" i="1"/>
  <c r="J9" i="1"/>
  <c r="B10" i="1"/>
  <c r="J10" i="1"/>
  <c r="B11" i="1"/>
  <c r="J11" i="1"/>
  <c r="B12" i="1"/>
  <c r="J12" i="1"/>
  <c r="B13" i="1"/>
  <c r="J13" i="1"/>
  <c r="B14" i="1"/>
  <c r="J14" i="1"/>
  <c r="B15" i="1"/>
  <c r="J15" i="1"/>
  <c r="B16" i="1"/>
  <c r="J16" i="1"/>
  <c r="B17" i="1"/>
  <c r="J17" i="1"/>
  <c r="B18" i="1"/>
  <c r="J18" i="1"/>
  <c r="B19" i="1"/>
  <c r="J19" i="1"/>
  <c r="B20" i="1"/>
  <c r="J20" i="1"/>
  <c r="B21" i="1"/>
  <c r="J21" i="1"/>
  <c r="B22" i="1"/>
  <c r="J22" i="1"/>
  <c r="B23" i="1"/>
  <c r="J23" i="1"/>
  <c r="B24" i="1"/>
  <c r="J24" i="1"/>
  <c r="B25" i="1"/>
  <c r="J25" i="1"/>
  <c r="B26" i="1"/>
  <c r="J26" i="1"/>
  <c r="B27" i="1"/>
  <c r="J27" i="1"/>
  <c r="B28" i="1"/>
  <c r="J28" i="1"/>
  <c r="B29" i="1"/>
  <c r="J29" i="1"/>
  <c r="B30" i="1"/>
  <c r="J30" i="1"/>
  <c r="B31" i="1"/>
  <c r="J31" i="1"/>
  <c r="B32" i="1"/>
  <c r="J32" i="1"/>
  <c r="B33" i="1"/>
  <c r="J33" i="1"/>
  <c r="B34" i="1"/>
  <c r="J34" i="1"/>
  <c r="B35" i="1"/>
  <c r="J35" i="1"/>
  <c r="B36" i="1"/>
  <c r="J36" i="1"/>
  <c r="B37" i="1"/>
  <c r="J37" i="1"/>
  <c r="B38" i="1"/>
  <c r="J38" i="1"/>
  <c r="B39" i="1"/>
  <c r="J39" i="1"/>
  <c r="B40" i="1"/>
  <c r="J40" i="1"/>
  <c r="B41" i="1"/>
  <c r="J41" i="1"/>
  <c r="B42" i="1"/>
  <c r="J42" i="1"/>
  <c r="B43" i="1"/>
  <c r="J43" i="1"/>
  <c r="B44" i="1"/>
  <c r="J44" i="1"/>
  <c r="B45" i="1"/>
  <c r="J45" i="1"/>
  <c r="B46" i="1"/>
  <c r="J46" i="1"/>
  <c r="B47" i="1"/>
  <c r="J47" i="1"/>
  <c r="B48" i="1"/>
  <c r="J48" i="1"/>
  <c r="B49" i="1"/>
  <c r="J49" i="1"/>
  <c r="B50" i="1"/>
  <c r="J50" i="1"/>
  <c r="B51" i="1"/>
  <c r="J51" i="1"/>
  <c r="B52" i="1"/>
  <c r="J52" i="1"/>
  <c r="B53" i="1"/>
  <c r="J53" i="1"/>
  <c r="B54" i="1"/>
  <c r="J54" i="1"/>
  <c r="B55" i="1"/>
  <c r="J55" i="1"/>
  <c r="B56" i="1"/>
  <c r="J56" i="1"/>
  <c r="B57" i="1"/>
  <c r="J57" i="1"/>
  <c r="B58" i="1"/>
  <c r="J58" i="1"/>
  <c r="B59" i="1"/>
  <c r="J59" i="1"/>
  <c r="B60" i="1"/>
  <c r="J60" i="1"/>
  <c r="B61" i="1"/>
  <c r="J61" i="1"/>
  <c r="B62" i="1"/>
  <c r="J62" i="1"/>
  <c r="B63" i="1"/>
  <c r="J63" i="1"/>
  <c r="B64" i="1"/>
  <c r="J64" i="1"/>
  <c r="B65" i="1"/>
  <c r="J65" i="1"/>
  <c r="B66" i="1"/>
  <c r="J66" i="1"/>
  <c r="B67" i="1"/>
  <c r="J67" i="1"/>
  <c r="B68" i="1"/>
  <c r="J68" i="1"/>
  <c r="B69" i="1"/>
  <c r="J69" i="1"/>
  <c r="B70" i="1"/>
  <c r="J70" i="1"/>
  <c r="B71" i="1"/>
  <c r="J71" i="1"/>
  <c r="B72" i="1"/>
  <c r="J72" i="1"/>
  <c r="B73" i="1"/>
  <c r="J73" i="1"/>
  <c r="B74" i="1"/>
  <c r="J74" i="1"/>
  <c r="B75" i="1"/>
  <c r="J75" i="1"/>
  <c r="B76" i="1"/>
  <c r="J76" i="1"/>
  <c r="B77" i="1"/>
  <c r="J77" i="1"/>
  <c r="B78" i="1"/>
  <c r="J78" i="1"/>
  <c r="B79" i="1"/>
  <c r="J79" i="1"/>
  <c r="B80" i="1"/>
  <c r="J80" i="1"/>
  <c r="B81" i="1"/>
  <c r="J81" i="1"/>
  <c r="B82" i="1"/>
  <c r="J82" i="1"/>
  <c r="B83" i="1"/>
  <c r="J83" i="1"/>
  <c r="B84" i="1"/>
  <c r="J84" i="1"/>
  <c r="B85" i="1"/>
  <c r="J85" i="1"/>
  <c r="B86" i="1"/>
  <c r="J86" i="1"/>
  <c r="B87" i="1"/>
  <c r="J87" i="1"/>
  <c r="B88" i="1"/>
  <c r="J88" i="1"/>
  <c r="B89" i="1"/>
  <c r="J89" i="1"/>
  <c r="B90" i="1"/>
  <c r="J90" i="1"/>
  <c r="B91" i="1"/>
  <c r="J91" i="1"/>
  <c r="B92" i="1"/>
  <c r="J92" i="1"/>
  <c r="B93" i="1"/>
  <c r="J93" i="1"/>
  <c r="B94" i="1"/>
  <c r="J94" i="1"/>
  <c r="B95" i="1"/>
  <c r="J95" i="1"/>
  <c r="B96" i="1"/>
  <c r="J96" i="1"/>
  <c r="B97" i="1"/>
  <c r="J97" i="1"/>
  <c r="B98" i="1"/>
  <c r="J98" i="1"/>
  <c r="B99" i="1"/>
  <c r="J99" i="1"/>
  <c r="B100" i="1"/>
  <c r="J100" i="1"/>
  <c r="B101" i="1"/>
  <c r="J101" i="1"/>
  <c r="B102" i="1"/>
  <c r="J102" i="1"/>
  <c r="B103" i="1"/>
  <c r="J103" i="1"/>
  <c r="B104" i="1"/>
  <c r="J104" i="1"/>
  <c r="B105" i="1"/>
  <c r="J105" i="1"/>
  <c r="B106" i="1"/>
  <c r="J106" i="1"/>
  <c r="B107" i="1"/>
  <c r="J107" i="1"/>
  <c r="B108" i="1"/>
  <c r="J108" i="1"/>
  <c r="B109" i="1"/>
  <c r="J109" i="1"/>
  <c r="B110" i="1"/>
  <c r="J110" i="1"/>
  <c r="B111" i="1"/>
  <c r="J111" i="1"/>
  <c r="B112" i="1"/>
  <c r="J112" i="1"/>
  <c r="B113" i="1"/>
  <c r="J113" i="1"/>
  <c r="B114" i="1"/>
  <c r="J114" i="1"/>
  <c r="B115" i="1"/>
  <c r="J115" i="1"/>
  <c r="B116" i="1"/>
  <c r="J116" i="1"/>
  <c r="B117" i="1"/>
  <c r="J117" i="1"/>
  <c r="B118" i="1"/>
  <c r="J118" i="1"/>
  <c r="B119" i="1"/>
  <c r="J119" i="1"/>
  <c r="B120" i="1"/>
  <c r="J120" i="1"/>
  <c r="B121" i="1"/>
  <c r="J121" i="1"/>
  <c r="B122" i="1"/>
  <c r="J122" i="1"/>
  <c r="B123" i="1"/>
  <c r="J123" i="1"/>
  <c r="B124" i="1"/>
  <c r="J124" i="1"/>
  <c r="B125" i="1"/>
  <c r="J125" i="1"/>
  <c r="B126" i="1"/>
  <c r="J126" i="1"/>
  <c r="B127" i="1"/>
  <c r="J127" i="1"/>
  <c r="B128" i="1"/>
  <c r="J128" i="1"/>
  <c r="B129" i="1"/>
  <c r="J129" i="1"/>
  <c r="B130" i="1"/>
  <c r="J130" i="1"/>
  <c r="B131" i="1"/>
  <c r="J131" i="1"/>
  <c r="B132" i="1"/>
  <c r="J132" i="1"/>
  <c r="B133" i="1"/>
  <c r="J133" i="1"/>
  <c r="B134" i="1"/>
  <c r="J134" i="1"/>
  <c r="B135" i="1"/>
  <c r="J135" i="1"/>
  <c r="B136" i="1"/>
  <c r="J136" i="1"/>
  <c r="B137" i="1"/>
  <c r="J137" i="1"/>
  <c r="B138" i="1"/>
  <c r="J138" i="1"/>
  <c r="B139" i="1"/>
  <c r="J139" i="1"/>
  <c r="B140" i="1"/>
  <c r="J140" i="1"/>
  <c r="B141" i="1"/>
  <c r="J141" i="1"/>
  <c r="B142" i="1"/>
  <c r="J142" i="1"/>
  <c r="B143" i="1"/>
  <c r="J143" i="1"/>
  <c r="B144" i="1"/>
  <c r="J144" i="1"/>
  <c r="B145" i="1"/>
  <c r="J145" i="1"/>
  <c r="B146" i="1"/>
  <c r="J146" i="1"/>
  <c r="B147" i="1"/>
  <c r="J147" i="1"/>
  <c r="B148" i="1"/>
  <c r="J148" i="1"/>
  <c r="B149" i="1"/>
  <c r="J149" i="1"/>
  <c r="B150" i="1"/>
  <c r="J150" i="1"/>
  <c r="B151" i="1"/>
  <c r="J151" i="1"/>
  <c r="B152" i="1"/>
  <c r="J152" i="1"/>
  <c r="B153" i="1"/>
  <c r="J153" i="1"/>
  <c r="B154" i="1"/>
  <c r="J154" i="1"/>
  <c r="B155" i="1"/>
  <c r="J155" i="1"/>
  <c r="B156" i="1"/>
  <c r="J156" i="1"/>
  <c r="B157" i="1"/>
  <c r="J157" i="1"/>
  <c r="B158" i="1"/>
  <c r="J158" i="1"/>
  <c r="B159" i="1"/>
  <c r="J159" i="1"/>
  <c r="B160" i="1"/>
  <c r="J160" i="1"/>
  <c r="B161" i="1"/>
  <c r="J161" i="1"/>
  <c r="B162" i="1"/>
  <c r="J162" i="1"/>
  <c r="B163" i="1"/>
  <c r="J163" i="1"/>
  <c r="B164" i="1"/>
  <c r="J164" i="1"/>
  <c r="B165" i="1"/>
  <c r="J165" i="1"/>
  <c r="B166" i="1"/>
  <c r="J166" i="1"/>
  <c r="B167" i="1"/>
  <c r="J167" i="1"/>
  <c r="B168" i="1"/>
  <c r="J168" i="1"/>
  <c r="B169" i="1"/>
  <c r="J169" i="1"/>
  <c r="B170" i="1"/>
  <c r="J170" i="1"/>
  <c r="B171" i="1"/>
  <c r="J171" i="1"/>
  <c r="B172" i="1"/>
  <c r="J172" i="1"/>
  <c r="B173" i="1"/>
  <c r="J173" i="1"/>
  <c r="B174" i="1"/>
  <c r="J174" i="1"/>
  <c r="B175" i="1"/>
  <c r="J175" i="1"/>
  <c r="B176" i="1"/>
  <c r="J176" i="1"/>
  <c r="B177" i="1"/>
  <c r="J177" i="1"/>
  <c r="B178" i="1"/>
  <c r="J178" i="1"/>
  <c r="B179" i="1"/>
  <c r="J179" i="1"/>
  <c r="B180" i="1"/>
  <c r="J180" i="1"/>
  <c r="B181" i="1"/>
  <c r="J181" i="1"/>
  <c r="B182" i="1"/>
  <c r="J182" i="1"/>
  <c r="B183" i="1"/>
  <c r="J183" i="1"/>
  <c r="B184" i="1"/>
  <c r="J184" i="1"/>
  <c r="B185" i="1"/>
  <c r="J185" i="1"/>
  <c r="B186" i="1"/>
  <c r="J186" i="1"/>
  <c r="B187" i="1"/>
  <c r="J187" i="1"/>
  <c r="B188" i="1"/>
  <c r="J188" i="1"/>
  <c r="B189" i="1"/>
  <c r="J189" i="1"/>
  <c r="B190" i="1"/>
  <c r="J190" i="1"/>
  <c r="B191" i="1"/>
  <c r="J191" i="1"/>
  <c r="B192" i="1"/>
  <c r="J192" i="1"/>
  <c r="B193" i="1"/>
  <c r="J193" i="1"/>
  <c r="B194" i="1"/>
  <c r="J194" i="1"/>
  <c r="B195" i="1"/>
  <c r="J195" i="1"/>
  <c r="B196" i="1"/>
  <c r="J196" i="1"/>
  <c r="B197" i="1"/>
  <c r="J197" i="1"/>
  <c r="B198" i="1"/>
  <c r="J198" i="1"/>
  <c r="B199" i="1"/>
  <c r="J199" i="1"/>
  <c r="B200" i="1"/>
  <c r="J200" i="1"/>
  <c r="B201" i="1"/>
  <c r="J201" i="1"/>
  <c r="B202" i="1"/>
  <c r="J202" i="1"/>
  <c r="B203" i="1"/>
  <c r="J203" i="1"/>
  <c r="B204" i="1"/>
  <c r="J204" i="1"/>
  <c r="B205" i="1"/>
  <c r="J205" i="1"/>
  <c r="B206" i="1"/>
  <c r="J206" i="1"/>
  <c r="B207" i="1"/>
  <c r="J207" i="1"/>
  <c r="B208" i="1"/>
  <c r="J208" i="1"/>
  <c r="B209" i="1"/>
  <c r="J209" i="1"/>
  <c r="B210" i="1"/>
  <c r="J210" i="1"/>
  <c r="B211" i="1"/>
  <c r="J211" i="1"/>
  <c r="B212" i="1"/>
  <c r="J212" i="1"/>
  <c r="B213" i="1"/>
  <c r="J213" i="1"/>
  <c r="B214" i="1"/>
  <c r="J214" i="1"/>
  <c r="B215" i="1"/>
  <c r="J215" i="1"/>
  <c r="B216" i="1"/>
  <c r="J216" i="1"/>
  <c r="B217" i="1"/>
  <c r="J217" i="1"/>
  <c r="B218" i="1"/>
  <c r="J218" i="1"/>
  <c r="B219" i="1"/>
  <c r="J219" i="1"/>
  <c r="B220" i="1"/>
  <c r="J220" i="1"/>
  <c r="B221" i="1"/>
  <c r="J221" i="1"/>
  <c r="B222" i="1"/>
  <c r="J222" i="1"/>
  <c r="B223" i="1"/>
  <c r="J223" i="1"/>
  <c r="B224" i="1"/>
  <c r="J224" i="1"/>
  <c r="B225" i="1"/>
  <c r="J225" i="1"/>
  <c r="B226" i="1"/>
  <c r="J226" i="1"/>
  <c r="B227" i="1"/>
  <c r="J227" i="1"/>
  <c r="B228" i="1"/>
  <c r="J228" i="1"/>
  <c r="B229" i="1"/>
  <c r="J229" i="1"/>
  <c r="B230" i="1"/>
  <c r="J230" i="1"/>
  <c r="B231" i="1"/>
  <c r="J231" i="1"/>
  <c r="B232" i="1"/>
  <c r="J232" i="1"/>
  <c r="B233" i="1"/>
  <c r="J233" i="1"/>
  <c r="B234" i="1"/>
  <c r="J234" i="1"/>
  <c r="B235" i="1"/>
  <c r="J235" i="1"/>
  <c r="B236" i="1"/>
  <c r="J236" i="1"/>
  <c r="B237" i="1"/>
  <c r="J237" i="1"/>
  <c r="B238" i="1"/>
  <c r="J238" i="1"/>
  <c r="B239" i="1"/>
  <c r="J239" i="1"/>
  <c r="B240" i="1"/>
  <c r="J240" i="1"/>
  <c r="B241" i="1"/>
  <c r="J241" i="1"/>
  <c r="B242" i="1"/>
  <c r="J242" i="1"/>
  <c r="B243" i="1"/>
  <c r="J243" i="1"/>
  <c r="B244" i="1"/>
  <c r="J244" i="1"/>
  <c r="B245" i="1"/>
  <c r="J245" i="1"/>
  <c r="B246" i="1"/>
  <c r="J246" i="1"/>
  <c r="B247" i="1"/>
  <c r="J247" i="1"/>
  <c r="B248" i="1"/>
  <c r="J248" i="1"/>
  <c r="B249" i="1"/>
  <c r="J249" i="1"/>
  <c r="B250" i="1"/>
  <c r="J250" i="1"/>
  <c r="B251" i="1"/>
  <c r="J251" i="1"/>
  <c r="B252" i="1"/>
  <c r="J252" i="1"/>
  <c r="B253" i="1"/>
  <c r="J253" i="1"/>
  <c r="B254" i="1"/>
  <c r="J254" i="1"/>
  <c r="B255" i="1"/>
  <c r="J255" i="1"/>
  <c r="B256" i="1"/>
  <c r="J256" i="1"/>
  <c r="B257" i="1"/>
  <c r="J257" i="1"/>
  <c r="B258" i="1"/>
  <c r="J258" i="1"/>
  <c r="B259" i="1"/>
  <c r="J259" i="1"/>
  <c r="B260" i="1"/>
  <c r="J260" i="1"/>
  <c r="B261" i="1"/>
  <c r="J261" i="1"/>
  <c r="B262" i="1"/>
  <c r="J262" i="1"/>
  <c r="B263" i="1"/>
  <c r="J263" i="1"/>
  <c r="B264" i="1"/>
  <c r="J264" i="1"/>
  <c r="B265" i="1"/>
  <c r="J265" i="1"/>
  <c r="B266" i="1"/>
  <c r="J266" i="1"/>
  <c r="B267" i="1"/>
  <c r="J267" i="1"/>
  <c r="B268" i="1"/>
  <c r="J268" i="1"/>
  <c r="B269" i="1"/>
  <c r="J269" i="1"/>
  <c r="B270" i="1"/>
  <c r="J270" i="1"/>
  <c r="B271" i="1"/>
  <c r="J271" i="1"/>
  <c r="B272" i="1"/>
  <c r="J272" i="1"/>
  <c r="B273" i="1"/>
  <c r="J273" i="1"/>
  <c r="B274" i="1"/>
  <c r="J274" i="1"/>
  <c r="B275" i="1"/>
  <c r="J275" i="1"/>
  <c r="B276" i="1"/>
  <c r="J276" i="1"/>
  <c r="B277" i="1"/>
  <c r="J277" i="1"/>
  <c r="B278" i="1"/>
  <c r="J278" i="1"/>
  <c r="B279" i="1"/>
  <c r="J279" i="1"/>
  <c r="B280" i="1"/>
  <c r="J280" i="1"/>
  <c r="B281" i="1"/>
  <c r="J281" i="1"/>
  <c r="B282" i="1"/>
  <c r="J282" i="1"/>
  <c r="B283" i="1"/>
  <c r="J283" i="1"/>
  <c r="B284" i="1"/>
  <c r="J284" i="1"/>
  <c r="B285" i="1"/>
  <c r="J285" i="1"/>
  <c r="B286" i="1"/>
  <c r="J286" i="1"/>
  <c r="B287" i="1"/>
  <c r="J287" i="1"/>
  <c r="B288" i="1"/>
  <c r="J288" i="1"/>
  <c r="B289" i="1"/>
  <c r="J289" i="1"/>
  <c r="B290" i="1"/>
  <c r="J290" i="1"/>
  <c r="B291" i="1"/>
  <c r="J291" i="1"/>
  <c r="B292" i="1"/>
  <c r="J292" i="1"/>
  <c r="B293" i="1"/>
  <c r="J293" i="1"/>
  <c r="B294" i="1"/>
  <c r="J294" i="1"/>
  <c r="B295" i="1"/>
  <c r="J295" i="1"/>
  <c r="B296" i="1"/>
  <c r="J296" i="1"/>
  <c r="B297" i="1"/>
  <c r="J297" i="1"/>
  <c r="B298" i="1"/>
  <c r="J298" i="1"/>
  <c r="B299" i="1"/>
  <c r="J299" i="1"/>
  <c r="B300" i="1"/>
  <c r="J300" i="1"/>
  <c r="B301" i="1"/>
  <c r="J301" i="1"/>
  <c r="B302" i="1"/>
  <c r="J302" i="1"/>
  <c r="B303" i="1"/>
  <c r="J303" i="1"/>
  <c r="B304" i="1"/>
  <c r="J304" i="1"/>
  <c r="B305" i="1"/>
  <c r="J305" i="1"/>
  <c r="B306" i="1"/>
  <c r="J306" i="1"/>
  <c r="B307" i="1"/>
  <c r="J307" i="1"/>
  <c r="B308" i="1"/>
  <c r="J308" i="1"/>
  <c r="B309" i="1"/>
  <c r="J309" i="1"/>
  <c r="B310" i="1"/>
  <c r="J310" i="1"/>
  <c r="B311" i="1"/>
  <c r="J311" i="1"/>
  <c r="B312" i="1"/>
  <c r="J312" i="1"/>
  <c r="B313" i="1"/>
  <c r="J313" i="1"/>
  <c r="B314" i="1"/>
  <c r="J314" i="1"/>
  <c r="B315" i="1"/>
  <c r="J315" i="1"/>
  <c r="B316" i="1"/>
  <c r="J316" i="1"/>
  <c r="B317" i="1"/>
  <c r="J317" i="1"/>
  <c r="B318" i="1"/>
  <c r="J318" i="1"/>
  <c r="B319" i="1"/>
  <c r="J319" i="1"/>
  <c r="B320" i="1"/>
  <c r="J320" i="1"/>
  <c r="B321" i="1"/>
  <c r="J321" i="1"/>
  <c r="B322" i="1"/>
  <c r="J322" i="1"/>
  <c r="B323" i="1"/>
  <c r="J323" i="1"/>
  <c r="B324" i="1"/>
  <c r="J324" i="1"/>
  <c r="B325" i="1"/>
  <c r="J325" i="1"/>
  <c r="B326" i="1"/>
  <c r="J326" i="1"/>
  <c r="B327" i="1"/>
  <c r="J327" i="1"/>
  <c r="B328" i="1"/>
  <c r="J328" i="1"/>
  <c r="B329" i="1"/>
  <c r="J329" i="1"/>
  <c r="B330" i="1"/>
  <c r="J330" i="1"/>
  <c r="B331" i="1"/>
  <c r="J331" i="1"/>
  <c r="B332" i="1"/>
  <c r="J332" i="1"/>
  <c r="B333" i="1"/>
  <c r="J333" i="1"/>
  <c r="B334" i="1"/>
  <c r="J334" i="1"/>
  <c r="B335" i="1"/>
  <c r="J335" i="1"/>
  <c r="B336" i="1"/>
  <c r="J336" i="1"/>
  <c r="B337" i="1"/>
  <c r="J337" i="1"/>
  <c r="B338" i="1"/>
  <c r="J338" i="1"/>
  <c r="B339" i="1"/>
  <c r="J339" i="1"/>
  <c r="B340" i="1"/>
  <c r="J340" i="1"/>
  <c r="B341" i="1"/>
  <c r="J341" i="1"/>
  <c r="B342" i="1"/>
  <c r="J342" i="1"/>
  <c r="B343" i="1"/>
  <c r="J343" i="1"/>
  <c r="B344" i="1"/>
  <c r="J344" i="1"/>
  <c r="B345" i="1"/>
  <c r="J345" i="1"/>
  <c r="B346" i="1"/>
  <c r="J346" i="1"/>
  <c r="B347" i="1"/>
  <c r="J347" i="1"/>
  <c r="B348" i="1"/>
  <c r="J348" i="1"/>
  <c r="B349" i="1"/>
  <c r="J349" i="1"/>
  <c r="B350" i="1"/>
  <c r="J350" i="1"/>
  <c r="B351" i="1"/>
  <c r="J351" i="1"/>
  <c r="B352" i="1"/>
  <c r="J352" i="1"/>
  <c r="B353" i="1"/>
  <c r="J353" i="1"/>
  <c r="B354" i="1"/>
  <c r="J354" i="1"/>
  <c r="B355" i="1"/>
  <c r="J355" i="1"/>
  <c r="B356" i="1"/>
  <c r="J356" i="1"/>
  <c r="B357" i="1"/>
  <c r="J357" i="1"/>
  <c r="B358" i="1"/>
  <c r="J358" i="1"/>
  <c r="B359" i="1"/>
  <c r="J359" i="1"/>
  <c r="B360" i="1"/>
  <c r="J360" i="1"/>
  <c r="B361" i="1"/>
  <c r="J361" i="1"/>
  <c r="B362" i="1"/>
  <c r="J362" i="1"/>
  <c r="B363" i="1"/>
  <c r="J363" i="1"/>
  <c r="B364" i="1"/>
  <c r="J364" i="1"/>
  <c r="B365" i="1"/>
  <c r="J365" i="1"/>
  <c r="B366" i="1"/>
  <c r="J366" i="1"/>
  <c r="B368" i="1"/>
  <c r="J368" i="1"/>
  <c r="B369" i="1"/>
  <c r="J369" i="1"/>
  <c r="B370" i="1"/>
  <c r="J370" i="1"/>
  <c r="B371" i="1"/>
  <c r="J371" i="1"/>
  <c r="B372" i="1"/>
  <c r="J372" i="1"/>
  <c r="B373" i="1"/>
  <c r="J373" i="1"/>
  <c r="B374" i="1"/>
  <c r="J374" i="1"/>
  <c r="B375" i="1"/>
  <c r="J375" i="1"/>
  <c r="B376" i="1"/>
  <c r="J376" i="1"/>
  <c r="B377" i="1"/>
  <c r="J377" i="1"/>
  <c r="B378" i="1"/>
  <c r="J378" i="1"/>
  <c r="B379" i="1"/>
  <c r="J379" i="1"/>
  <c r="B380" i="1"/>
  <c r="J380" i="1"/>
  <c r="B381" i="1"/>
  <c r="J381" i="1"/>
  <c r="B382" i="1"/>
  <c r="J382" i="1"/>
  <c r="B383" i="1"/>
  <c r="J383" i="1"/>
  <c r="B384" i="1"/>
  <c r="J384" i="1"/>
  <c r="B385" i="1"/>
  <c r="J385" i="1"/>
  <c r="B386" i="1"/>
  <c r="J386" i="1"/>
  <c r="B387" i="1"/>
  <c r="J387" i="1"/>
  <c r="B388" i="1"/>
  <c r="J388" i="1"/>
  <c r="B389" i="1"/>
  <c r="J389" i="1"/>
  <c r="B390" i="1"/>
  <c r="J390" i="1"/>
  <c r="B391" i="1"/>
  <c r="J391" i="1"/>
  <c r="B392" i="1"/>
  <c r="J392" i="1"/>
  <c r="B393" i="1"/>
  <c r="J393" i="1"/>
  <c r="B394" i="1"/>
  <c r="J394" i="1"/>
  <c r="B395" i="1"/>
  <c r="J395" i="1"/>
  <c r="B396" i="1"/>
  <c r="J396" i="1"/>
  <c r="B397" i="1"/>
  <c r="J397" i="1"/>
  <c r="B398" i="1"/>
  <c r="J398" i="1"/>
  <c r="B399" i="1"/>
  <c r="J399" i="1"/>
  <c r="B400" i="1"/>
  <c r="J400" i="1"/>
  <c r="B401" i="1"/>
  <c r="J401" i="1"/>
  <c r="B402" i="1"/>
  <c r="J402" i="1"/>
  <c r="B403" i="1"/>
  <c r="J403" i="1"/>
  <c r="B404" i="1"/>
  <c r="J404" i="1"/>
  <c r="B405" i="1"/>
  <c r="J405" i="1"/>
  <c r="B406" i="1"/>
  <c r="J406" i="1"/>
  <c r="B407" i="1"/>
  <c r="J407" i="1"/>
  <c r="B408" i="1"/>
  <c r="J408" i="1"/>
  <c r="B409" i="1"/>
  <c r="J409" i="1"/>
  <c r="B410" i="1"/>
  <c r="J410" i="1"/>
  <c r="B411" i="1"/>
  <c r="J411" i="1"/>
  <c r="B412" i="1"/>
  <c r="J412" i="1"/>
  <c r="B413" i="1"/>
  <c r="J413" i="1"/>
  <c r="B414" i="1"/>
  <c r="J414" i="1"/>
  <c r="B415" i="1"/>
  <c r="J415" i="1"/>
  <c r="B416" i="1"/>
  <c r="J416" i="1"/>
  <c r="B417" i="1"/>
  <c r="J417" i="1"/>
  <c r="B418" i="1"/>
  <c r="J418" i="1"/>
  <c r="B419" i="1"/>
  <c r="J419" i="1"/>
  <c r="B420" i="1"/>
  <c r="J420" i="1"/>
  <c r="B421" i="1"/>
  <c r="J421" i="1"/>
  <c r="B422" i="1"/>
  <c r="J422" i="1"/>
  <c r="B423" i="1"/>
  <c r="J423" i="1"/>
  <c r="B424" i="1"/>
  <c r="J424" i="1"/>
  <c r="B425" i="1"/>
  <c r="J425" i="1"/>
  <c r="B426" i="1"/>
  <c r="J426" i="1"/>
  <c r="B427" i="1"/>
  <c r="J427" i="1"/>
  <c r="B428" i="1"/>
  <c r="J428" i="1"/>
  <c r="B429" i="1"/>
  <c r="J429" i="1"/>
  <c r="B430" i="1"/>
  <c r="J430" i="1"/>
  <c r="B431" i="1"/>
  <c r="J431" i="1"/>
  <c r="B432" i="1"/>
  <c r="J432" i="1"/>
  <c r="B433" i="1"/>
  <c r="J433" i="1"/>
  <c r="B434" i="1"/>
  <c r="J434" i="1"/>
  <c r="B435" i="1"/>
  <c r="J435" i="1"/>
  <c r="B436" i="1"/>
  <c r="J436" i="1"/>
  <c r="B437" i="1"/>
  <c r="J437" i="1"/>
  <c r="B438" i="1"/>
  <c r="J438" i="1"/>
  <c r="B439" i="1"/>
  <c r="J439" i="1"/>
  <c r="B440" i="1"/>
  <c r="J440" i="1"/>
  <c r="B441" i="1"/>
  <c r="J441" i="1"/>
  <c r="B442" i="1"/>
  <c r="J442" i="1"/>
  <c r="B443" i="1"/>
  <c r="J443" i="1"/>
  <c r="B444" i="1"/>
  <c r="J444" i="1"/>
  <c r="B445" i="1"/>
  <c r="J445" i="1"/>
  <c r="B446" i="1"/>
  <c r="J446" i="1"/>
  <c r="B447" i="1"/>
  <c r="J447" i="1"/>
  <c r="B448" i="1"/>
  <c r="J448" i="1"/>
  <c r="B449" i="1"/>
  <c r="J449" i="1"/>
  <c r="B450" i="1"/>
  <c r="J450" i="1"/>
  <c r="B451" i="1"/>
  <c r="J451" i="1"/>
  <c r="B452" i="1"/>
  <c r="J452" i="1"/>
  <c r="B453" i="1"/>
  <c r="J453" i="1"/>
  <c r="B454" i="1"/>
  <c r="J454" i="1"/>
  <c r="B455" i="1"/>
  <c r="J455" i="1"/>
  <c r="B456" i="1"/>
  <c r="J456" i="1"/>
  <c r="B457" i="1"/>
  <c r="J457" i="1"/>
  <c r="B458" i="1"/>
  <c r="J458" i="1"/>
  <c r="B459" i="1"/>
  <c r="J459" i="1"/>
  <c r="B460" i="1"/>
  <c r="J460" i="1"/>
  <c r="B461" i="1"/>
  <c r="J461" i="1"/>
  <c r="B462" i="1"/>
  <c r="J462" i="1"/>
  <c r="B463" i="1"/>
  <c r="J463" i="1"/>
  <c r="B464" i="1"/>
  <c r="J464" i="1"/>
  <c r="B465" i="1"/>
  <c r="J465" i="1"/>
  <c r="B466" i="1"/>
  <c r="J466" i="1"/>
  <c r="B467" i="1"/>
  <c r="J467" i="1"/>
  <c r="B468" i="1"/>
  <c r="J468" i="1"/>
  <c r="B469" i="1"/>
  <c r="J469" i="1"/>
  <c r="B470" i="1"/>
  <c r="J470" i="1"/>
  <c r="B471" i="1"/>
  <c r="J471" i="1"/>
  <c r="B472" i="1"/>
  <c r="J472" i="1"/>
  <c r="B473" i="1"/>
  <c r="J473" i="1"/>
  <c r="B474" i="1"/>
  <c r="J474" i="1"/>
  <c r="B475" i="1"/>
  <c r="J475" i="1"/>
  <c r="B476" i="1"/>
  <c r="J476" i="1"/>
  <c r="B477" i="1"/>
  <c r="J477" i="1"/>
  <c r="B478" i="1"/>
  <c r="J478" i="1"/>
  <c r="B479" i="1"/>
  <c r="J479" i="1"/>
  <c r="B480" i="1"/>
  <c r="J480" i="1"/>
  <c r="B481" i="1"/>
  <c r="J481" i="1"/>
  <c r="B482" i="1"/>
  <c r="J482" i="1"/>
  <c r="B483" i="1"/>
  <c r="J483" i="1"/>
  <c r="B484" i="1"/>
  <c r="J484" i="1"/>
  <c r="B485" i="1"/>
  <c r="J485" i="1"/>
  <c r="B486" i="1"/>
  <c r="J486" i="1"/>
  <c r="B487" i="1"/>
  <c r="J487" i="1"/>
  <c r="B488" i="1"/>
  <c r="J488" i="1"/>
  <c r="B489" i="1"/>
  <c r="J489" i="1"/>
  <c r="B490" i="1"/>
  <c r="J490" i="1"/>
  <c r="B491" i="1"/>
  <c r="J491" i="1"/>
  <c r="B492" i="1"/>
  <c r="J492" i="1"/>
  <c r="B493" i="1"/>
  <c r="J493" i="1"/>
  <c r="B494" i="1"/>
  <c r="J494" i="1"/>
  <c r="B495" i="1"/>
  <c r="J495" i="1"/>
  <c r="B496" i="1"/>
  <c r="J496" i="1"/>
  <c r="B497" i="1"/>
  <c r="J497" i="1"/>
  <c r="B498" i="1"/>
  <c r="J498" i="1"/>
  <c r="B499" i="1"/>
  <c r="J499" i="1"/>
  <c r="B500" i="1"/>
  <c r="J500" i="1"/>
  <c r="B501" i="1"/>
  <c r="J501" i="1"/>
  <c r="B502" i="1"/>
  <c r="J502" i="1"/>
  <c r="B503" i="1"/>
  <c r="J503" i="1"/>
  <c r="B504" i="1"/>
  <c r="J504" i="1"/>
  <c r="B505" i="1"/>
  <c r="J505" i="1"/>
  <c r="B506" i="1"/>
  <c r="J506" i="1"/>
  <c r="B507" i="1"/>
  <c r="J507" i="1"/>
  <c r="B508" i="1"/>
  <c r="J508" i="1"/>
  <c r="B509" i="1"/>
  <c r="J509" i="1"/>
  <c r="B510" i="1"/>
  <c r="J510" i="1"/>
  <c r="B511" i="1"/>
  <c r="J511" i="1"/>
  <c r="B512" i="1"/>
  <c r="J512" i="1"/>
  <c r="B513" i="1"/>
  <c r="J513" i="1"/>
  <c r="B514" i="1"/>
  <c r="J514" i="1"/>
  <c r="B515" i="1"/>
  <c r="J515" i="1"/>
  <c r="B516" i="1"/>
  <c r="J516" i="1"/>
  <c r="B517" i="1"/>
  <c r="J517" i="1"/>
  <c r="B518" i="1"/>
  <c r="J518" i="1"/>
  <c r="B519" i="1"/>
  <c r="J519" i="1"/>
  <c r="B520" i="1"/>
  <c r="J520" i="1"/>
  <c r="B521" i="1"/>
  <c r="J521" i="1"/>
  <c r="B522" i="1"/>
  <c r="J522" i="1"/>
  <c r="B523" i="1"/>
  <c r="J523" i="1"/>
  <c r="B524" i="1"/>
  <c r="J524" i="1"/>
  <c r="B525" i="1"/>
  <c r="J525" i="1"/>
  <c r="B526" i="1"/>
  <c r="J526" i="1"/>
  <c r="B527" i="1"/>
  <c r="J527" i="1"/>
  <c r="B528" i="1"/>
  <c r="J528" i="1"/>
  <c r="B529" i="1"/>
  <c r="J529" i="1"/>
  <c r="B530" i="1"/>
  <c r="J530" i="1"/>
  <c r="B531" i="1"/>
  <c r="J531" i="1"/>
  <c r="B532" i="1"/>
  <c r="J532" i="1"/>
  <c r="B533" i="1"/>
  <c r="J533" i="1"/>
  <c r="B534" i="1"/>
  <c r="J534" i="1"/>
  <c r="B535" i="1"/>
  <c r="J535" i="1"/>
  <c r="B536" i="1"/>
  <c r="J536" i="1"/>
  <c r="B537" i="1"/>
  <c r="J537" i="1"/>
  <c r="B538" i="1"/>
  <c r="J538" i="1"/>
  <c r="B539" i="1"/>
  <c r="J539" i="1"/>
  <c r="B540" i="1"/>
  <c r="J540" i="1"/>
  <c r="B541" i="1"/>
  <c r="J541" i="1"/>
  <c r="B542" i="1"/>
  <c r="J542" i="1"/>
  <c r="B543" i="1"/>
  <c r="J543" i="1"/>
  <c r="B544" i="1"/>
  <c r="J544" i="1"/>
  <c r="B545" i="1"/>
  <c r="J545" i="1"/>
  <c r="B546" i="1"/>
  <c r="J546" i="1"/>
  <c r="B547" i="1"/>
  <c r="J547" i="1"/>
  <c r="B548" i="1"/>
  <c r="J548" i="1"/>
  <c r="B549" i="1"/>
  <c r="J549" i="1"/>
  <c r="B550" i="1"/>
  <c r="J550" i="1"/>
  <c r="B551" i="1"/>
  <c r="J551" i="1"/>
  <c r="B552" i="1"/>
  <c r="J552" i="1"/>
  <c r="B553" i="1"/>
  <c r="J553" i="1"/>
  <c r="B554" i="1"/>
  <c r="J554" i="1"/>
  <c r="B555" i="1"/>
  <c r="J555" i="1"/>
  <c r="B556" i="1"/>
  <c r="J556" i="1"/>
  <c r="B557" i="1"/>
  <c r="J557" i="1"/>
  <c r="B558" i="1"/>
  <c r="J558" i="1"/>
  <c r="B559" i="1"/>
  <c r="J559" i="1"/>
  <c r="B560" i="1"/>
  <c r="J560" i="1"/>
  <c r="B561" i="1"/>
  <c r="J561" i="1"/>
  <c r="B562" i="1"/>
  <c r="J562" i="1"/>
  <c r="B563" i="1"/>
  <c r="J563" i="1"/>
  <c r="B564" i="1"/>
  <c r="J564" i="1"/>
  <c r="B565" i="1"/>
  <c r="J565" i="1"/>
  <c r="B566" i="1"/>
  <c r="J566" i="1"/>
  <c r="B567" i="1"/>
  <c r="J567" i="1"/>
  <c r="B568" i="1"/>
  <c r="J568" i="1"/>
  <c r="B569" i="1"/>
  <c r="J569" i="1"/>
  <c r="B570" i="1"/>
  <c r="J570" i="1"/>
  <c r="B571" i="1"/>
  <c r="J571" i="1"/>
  <c r="B572" i="1"/>
  <c r="J572" i="1"/>
  <c r="B573" i="1"/>
  <c r="J573" i="1"/>
  <c r="B574" i="1"/>
  <c r="J574" i="1"/>
  <c r="B575" i="1"/>
  <c r="J575" i="1"/>
  <c r="B576" i="1"/>
  <c r="J576" i="1"/>
  <c r="B577" i="1"/>
  <c r="J577" i="1"/>
  <c r="B578" i="1"/>
  <c r="J578" i="1"/>
  <c r="B579" i="1"/>
  <c r="J579" i="1"/>
  <c r="B580" i="1"/>
  <c r="J580" i="1"/>
  <c r="B581" i="1"/>
  <c r="J581" i="1"/>
  <c r="B582" i="1"/>
  <c r="J582" i="1"/>
  <c r="B583" i="1"/>
  <c r="J583" i="1"/>
  <c r="B584" i="1"/>
  <c r="J584" i="1"/>
  <c r="B585" i="1"/>
  <c r="J585" i="1"/>
  <c r="B586" i="1"/>
  <c r="J586" i="1"/>
  <c r="B587" i="1"/>
  <c r="J587" i="1"/>
  <c r="B588" i="1"/>
  <c r="J588" i="1"/>
  <c r="B589" i="1"/>
  <c r="J589" i="1"/>
  <c r="B590" i="1"/>
  <c r="J590" i="1"/>
  <c r="B591" i="1"/>
  <c r="J591" i="1"/>
  <c r="B592" i="1"/>
  <c r="J592" i="1"/>
  <c r="B593" i="1"/>
  <c r="J593" i="1"/>
  <c r="B594" i="1"/>
  <c r="J594" i="1"/>
  <c r="B595" i="1"/>
  <c r="J595" i="1"/>
  <c r="B596" i="1"/>
  <c r="J596" i="1"/>
  <c r="B597" i="1"/>
  <c r="J597" i="1"/>
  <c r="B598" i="1"/>
  <c r="J598" i="1"/>
  <c r="B599" i="1"/>
  <c r="J599" i="1"/>
  <c r="B600" i="1"/>
  <c r="J600" i="1"/>
  <c r="B601" i="1"/>
  <c r="J601" i="1"/>
  <c r="B602" i="1"/>
  <c r="J602" i="1"/>
  <c r="B603" i="1"/>
  <c r="J603" i="1"/>
  <c r="B604" i="1"/>
  <c r="J604" i="1"/>
  <c r="B605" i="1"/>
  <c r="J605" i="1"/>
  <c r="B606" i="1"/>
  <c r="J606" i="1"/>
  <c r="B607" i="1"/>
  <c r="J607" i="1"/>
  <c r="B608" i="1"/>
  <c r="J608" i="1"/>
  <c r="B609" i="1"/>
  <c r="J609" i="1"/>
  <c r="B610" i="1"/>
  <c r="J610" i="1"/>
  <c r="B611" i="1"/>
  <c r="J611" i="1"/>
  <c r="B612" i="1"/>
  <c r="J612" i="1"/>
  <c r="B613" i="1"/>
  <c r="J613" i="1"/>
  <c r="B614" i="1"/>
  <c r="J614" i="1"/>
  <c r="B615" i="1"/>
  <c r="J615" i="1"/>
  <c r="B616" i="1"/>
  <c r="J616" i="1"/>
  <c r="B617" i="1"/>
  <c r="J617" i="1"/>
  <c r="B618" i="1"/>
  <c r="J618" i="1"/>
  <c r="B619" i="1"/>
  <c r="J619" i="1"/>
  <c r="B620" i="1"/>
  <c r="J620" i="1"/>
  <c r="B621" i="1"/>
  <c r="J621" i="1"/>
  <c r="B622" i="1"/>
  <c r="J622" i="1"/>
  <c r="B623" i="1"/>
  <c r="J623" i="1"/>
  <c r="B624" i="1"/>
  <c r="J624" i="1"/>
  <c r="B625" i="1"/>
  <c r="J625" i="1"/>
  <c r="B626" i="1"/>
  <c r="J626" i="1"/>
  <c r="B627" i="1"/>
  <c r="J627" i="1"/>
  <c r="B628" i="1"/>
  <c r="J628" i="1"/>
  <c r="B629" i="1"/>
  <c r="J629" i="1"/>
  <c r="B630" i="1"/>
  <c r="J630" i="1"/>
  <c r="B631" i="1"/>
  <c r="J631" i="1"/>
  <c r="B632" i="1"/>
  <c r="J632" i="1"/>
  <c r="B633" i="1"/>
  <c r="J633" i="1"/>
  <c r="B634" i="1"/>
  <c r="J634" i="1"/>
  <c r="B635" i="1"/>
  <c r="J635" i="1"/>
  <c r="B636" i="1"/>
  <c r="J636" i="1"/>
  <c r="B637" i="1"/>
  <c r="J637" i="1"/>
  <c r="B638" i="1"/>
  <c r="J638" i="1"/>
  <c r="B639" i="1"/>
  <c r="J639" i="1"/>
  <c r="B640" i="1"/>
  <c r="J640" i="1"/>
  <c r="B641" i="1"/>
  <c r="J641" i="1"/>
  <c r="B642" i="1"/>
  <c r="J642" i="1"/>
  <c r="B643" i="1"/>
  <c r="J643" i="1"/>
  <c r="B644" i="1"/>
  <c r="J644" i="1"/>
  <c r="B645" i="1"/>
  <c r="J645" i="1"/>
  <c r="B646" i="1"/>
  <c r="J646" i="1"/>
  <c r="B647" i="1"/>
  <c r="J647" i="1"/>
  <c r="B648" i="1"/>
  <c r="J648" i="1"/>
  <c r="B649" i="1"/>
  <c r="J649" i="1"/>
  <c r="B650" i="1"/>
  <c r="J650" i="1"/>
  <c r="B651" i="1"/>
  <c r="J651" i="1"/>
  <c r="B652" i="1"/>
  <c r="J652" i="1"/>
  <c r="B653" i="1"/>
  <c r="J653" i="1"/>
  <c r="B654" i="1"/>
  <c r="J654" i="1"/>
  <c r="B655" i="1"/>
  <c r="J655" i="1"/>
  <c r="B656" i="1"/>
  <c r="J656" i="1"/>
  <c r="B657" i="1"/>
  <c r="J657" i="1"/>
  <c r="B658" i="1"/>
  <c r="J658" i="1"/>
  <c r="B659" i="1"/>
  <c r="J659" i="1"/>
  <c r="B660" i="1"/>
  <c r="J660" i="1"/>
  <c r="B661" i="1"/>
  <c r="J661" i="1"/>
  <c r="B662" i="1"/>
  <c r="J662" i="1"/>
  <c r="B663" i="1"/>
  <c r="J663" i="1"/>
  <c r="B664" i="1"/>
  <c r="J664" i="1"/>
  <c r="B665" i="1"/>
  <c r="J665" i="1"/>
  <c r="B666" i="1"/>
  <c r="J666" i="1"/>
  <c r="B667" i="1"/>
  <c r="J667" i="1"/>
  <c r="B668" i="1"/>
  <c r="J668" i="1"/>
  <c r="B669" i="1"/>
  <c r="J669" i="1"/>
  <c r="B670" i="1"/>
  <c r="J670" i="1"/>
  <c r="B671" i="1"/>
  <c r="J671" i="1"/>
  <c r="B672" i="1"/>
  <c r="J672" i="1"/>
  <c r="B673" i="1"/>
  <c r="J673" i="1"/>
  <c r="B674" i="1"/>
  <c r="J674" i="1"/>
  <c r="B675" i="1"/>
  <c r="J675" i="1"/>
  <c r="B676" i="1"/>
  <c r="J676" i="1"/>
  <c r="B677" i="1"/>
  <c r="J677" i="1"/>
  <c r="B678" i="1"/>
  <c r="J678" i="1"/>
  <c r="B679" i="1"/>
  <c r="J679" i="1"/>
  <c r="B680" i="1"/>
  <c r="J680" i="1"/>
  <c r="B681" i="1"/>
  <c r="J681" i="1"/>
  <c r="B682" i="1"/>
  <c r="J682" i="1"/>
  <c r="B683" i="1"/>
  <c r="J683" i="1"/>
  <c r="B684" i="1"/>
  <c r="J684" i="1"/>
  <c r="B685" i="1"/>
  <c r="J685" i="1"/>
  <c r="B686" i="1"/>
  <c r="J686" i="1"/>
  <c r="B687" i="1"/>
  <c r="J687" i="1"/>
  <c r="B688" i="1"/>
  <c r="J688" i="1"/>
  <c r="B689" i="1"/>
  <c r="J689" i="1"/>
  <c r="B690" i="1"/>
  <c r="J690" i="1"/>
  <c r="B691" i="1"/>
  <c r="J691" i="1"/>
  <c r="B692" i="1"/>
  <c r="J692" i="1"/>
  <c r="B693" i="1"/>
  <c r="J693" i="1"/>
  <c r="B694" i="1"/>
  <c r="J694" i="1"/>
  <c r="B695" i="1"/>
  <c r="J695" i="1"/>
  <c r="B696" i="1"/>
  <c r="J696" i="1"/>
  <c r="B697" i="1"/>
  <c r="J697" i="1"/>
  <c r="B698" i="1"/>
  <c r="J698" i="1"/>
  <c r="B699" i="1"/>
  <c r="J699" i="1"/>
  <c r="B700" i="1"/>
  <c r="J700" i="1"/>
  <c r="B701" i="1"/>
  <c r="J701" i="1"/>
  <c r="B702" i="1"/>
  <c r="J702" i="1"/>
  <c r="B703" i="1"/>
  <c r="J703" i="1"/>
  <c r="B704" i="1"/>
  <c r="J704" i="1"/>
  <c r="B705" i="1"/>
  <c r="J705" i="1"/>
  <c r="B706" i="1"/>
  <c r="J706" i="1"/>
  <c r="B707" i="1"/>
  <c r="J707" i="1"/>
  <c r="B708" i="1"/>
  <c r="J708" i="1"/>
  <c r="B709" i="1"/>
  <c r="J709" i="1"/>
  <c r="B710" i="1"/>
  <c r="J710" i="1"/>
  <c r="B711" i="1"/>
  <c r="J711" i="1"/>
  <c r="B712" i="1"/>
  <c r="J712" i="1"/>
  <c r="B713" i="1"/>
  <c r="J713" i="1"/>
  <c r="B714" i="1"/>
  <c r="J714" i="1"/>
  <c r="B715" i="1"/>
  <c r="J715" i="1"/>
  <c r="B716" i="1"/>
  <c r="J716" i="1"/>
  <c r="B717" i="1"/>
  <c r="J717" i="1"/>
  <c r="B718" i="1"/>
  <c r="J718" i="1"/>
  <c r="B719" i="1"/>
  <c r="J719" i="1"/>
  <c r="B720" i="1"/>
  <c r="J720" i="1"/>
  <c r="B721" i="1"/>
  <c r="J721" i="1"/>
  <c r="B722" i="1"/>
  <c r="J722" i="1"/>
  <c r="B723" i="1"/>
  <c r="J723" i="1"/>
  <c r="B724" i="1"/>
  <c r="J724" i="1"/>
  <c r="B725" i="1"/>
  <c r="J725" i="1"/>
  <c r="B726" i="1"/>
  <c r="J726" i="1"/>
  <c r="B727" i="1"/>
  <c r="J727" i="1"/>
  <c r="B728" i="1"/>
  <c r="J728" i="1"/>
  <c r="B729" i="1"/>
  <c r="J729" i="1"/>
  <c r="B730" i="1"/>
  <c r="J730" i="1"/>
  <c r="B731" i="1"/>
  <c r="J731" i="1"/>
  <c r="B732" i="1"/>
  <c r="J732" i="1"/>
  <c r="B734" i="1"/>
  <c r="J734" i="1"/>
  <c r="B735" i="1"/>
  <c r="J735" i="1"/>
  <c r="B736" i="1"/>
  <c r="J736" i="1"/>
  <c r="B737" i="1"/>
  <c r="J737" i="1"/>
  <c r="B738" i="1"/>
  <c r="J738" i="1"/>
  <c r="B739" i="1"/>
  <c r="J739" i="1"/>
  <c r="B740" i="1"/>
  <c r="J740" i="1"/>
  <c r="B741" i="1"/>
  <c r="J741" i="1"/>
  <c r="B742" i="1"/>
  <c r="J742" i="1"/>
  <c r="B743" i="1"/>
  <c r="J743" i="1"/>
  <c r="B744" i="1"/>
  <c r="J744" i="1"/>
  <c r="B745" i="1"/>
  <c r="J745" i="1"/>
  <c r="B746" i="1"/>
  <c r="J746" i="1"/>
  <c r="B747" i="1"/>
  <c r="J747" i="1"/>
  <c r="B748" i="1"/>
  <c r="J748" i="1"/>
  <c r="B749" i="1"/>
  <c r="J749" i="1"/>
  <c r="B750" i="1"/>
  <c r="J750" i="1"/>
  <c r="B751" i="1"/>
  <c r="J751" i="1"/>
  <c r="B752" i="1"/>
  <c r="J752" i="1"/>
  <c r="B753" i="1"/>
  <c r="J753" i="1"/>
  <c r="B754" i="1"/>
  <c r="J754" i="1"/>
  <c r="B755" i="1"/>
  <c r="J755" i="1"/>
  <c r="B756" i="1"/>
  <c r="J756" i="1"/>
  <c r="B757" i="1"/>
  <c r="J757" i="1"/>
  <c r="B758" i="1"/>
  <c r="J758" i="1"/>
  <c r="B759" i="1"/>
  <c r="J759" i="1"/>
  <c r="B760" i="1"/>
  <c r="J760" i="1"/>
  <c r="B761" i="1"/>
  <c r="J761" i="1"/>
  <c r="B762" i="1"/>
  <c r="J762" i="1"/>
  <c r="B763" i="1"/>
  <c r="J763" i="1"/>
  <c r="B764" i="1"/>
  <c r="J764" i="1"/>
  <c r="B765" i="1"/>
  <c r="J765" i="1"/>
  <c r="B766" i="1"/>
  <c r="J766" i="1"/>
  <c r="B767" i="1"/>
  <c r="J767" i="1"/>
  <c r="B768" i="1"/>
  <c r="J768" i="1"/>
  <c r="B769" i="1"/>
  <c r="J769" i="1"/>
  <c r="B770" i="1"/>
  <c r="J770" i="1"/>
  <c r="B771" i="1"/>
  <c r="J771" i="1"/>
  <c r="B772" i="1"/>
  <c r="J772" i="1"/>
  <c r="B773" i="1"/>
  <c r="J773" i="1"/>
  <c r="B774" i="1"/>
  <c r="J774" i="1"/>
  <c r="B775" i="1"/>
  <c r="J775" i="1"/>
  <c r="B776" i="1"/>
  <c r="J776" i="1"/>
  <c r="B777" i="1"/>
  <c r="J777" i="1"/>
  <c r="B778" i="1"/>
  <c r="J778" i="1"/>
  <c r="B779" i="1"/>
  <c r="J779" i="1"/>
  <c r="B780" i="1"/>
  <c r="J780" i="1"/>
  <c r="B781" i="1"/>
  <c r="J781" i="1"/>
  <c r="B782" i="1"/>
  <c r="J782" i="1"/>
  <c r="B783" i="1"/>
  <c r="J783" i="1"/>
  <c r="B784" i="1"/>
  <c r="J784" i="1"/>
  <c r="B785" i="1"/>
  <c r="J785" i="1"/>
  <c r="B786" i="1"/>
  <c r="J786" i="1"/>
  <c r="B787" i="1"/>
  <c r="J787" i="1"/>
  <c r="B788" i="1"/>
  <c r="J788" i="1"/>
  <c r="B789" i="1"/>
  <c r="J789" i="1"/>
  <c r="B790" i="1"/>
  <c r="J790" i="1"/>
  <c r="B791" i="1"/>
  <c r="J791" i="1"/>
  <c r="B792" i="1"/>
  <c r="J792" i="1"/>
  <c r="B793" i="1"/>
  <c r="J793" i="1"/>
  <c r="B794" i="1"/>
  <c r="J794" i="1"/>
  <c r="B795" i="1"/>
  <c r="J795" i="1"/>
  <c r="B796" i="1"/>
  <c r="J796" i="1"/>
  <c r="B797" i="1"/>
  <c r="J797" i="1"/>
  <c r="B798" i="1"/>
  <c r="J798" i="1"/>
  <c r="B799" i="1"/>
  <c r="J799" i="1"/>
  <c r="B800" i="1"/>
  <c r="J800" i="1"/>
  <c r="B801" i="1"/>
  <c r="J801" i="1"/>
  <c r="B802" i="1"/>
  <c r="J802" i="1"/>
  <c r="B803" i="1"/>
  <c r="J803" i="1"/>
  <c r="B804" i="1"/>
  <c r="J804" i="1"/>
  <c r="B805" i="1"/>
  <c r="J805" i="1"/>
  <c r="B806" i="1"/>
  <c r="J806" i="1"/>
  <c r="B807" i="1"/>
  <c r="J807" i="1"/>
  <c r="B808" i="1"/>
  <c r="J808" i="1"/>
  <c r="B809" i="1"/>
  <c r="J809" i="1"/>
  <c r="B810" i="1"/>
  <c r="J810" i="1"/>
  <c r="B811" i="1"/>
  <c r="J811" i="1"/>
  <c r="B812" i="1"/>
  <c r="J812" i="1"/>
  <c r="B813" i="1"/>
  <c r="J813" i="1"/>
  <c r="B814" i="1"/>
  <c r="J814" i="1"/>
  <c r="B815" i="1"/>
  <c r="J815" i="1"/>
  <c r="B816" i="1"/>
  <c r="J816" i="1"/>
  <c r="B817" i="1"/>
  <c r="J817" i="1"/>
  <c r="B818" i="1"/>
  <c r="J818" i="1"/>
  <c r="B819" i="1"/>
  <c r="J819" i="1"/>
  <c r="B820" i="1"/>
  <c r="J820" i="1"/>
  <c r="B821" i="1"/>
  <c r="J821" i="1"/>
  <c r="B822" i="1"/>
  <c r="J822" i="1"/>
  <c r="B823" i="1"/>
  <c r="J823" i="1"/>
  <c r="B824" i="1"/>
  <c r="J824" i="1"/>
  <c r="B825" i="1"/>
  <c r="J825" i="1"/>
  <c r="B826" i="1"/>
  <c r="J826" i="1"/>
  <c r="B827" i="1"/>
  <c r="J827" i="1"/>
  <c r="B828" i="1"/>
  <c r="J828" i="1"/>
  <c r="B829" i="1"/>
  <c r="J829" i="1"/>
  <c r="B830" i="1"/>
  <c r="J830" i="1"/>
  <c r="B831" i="1"/>
  <c r="J831" i="1"/>
  <c r="B832" i="1"/>
  <c r="J832" i="1"/>
  <c r="B833" i="1"/>
  <c r="J833" i="1"/>
  <c r="B834" i="1"/>
  <c r="J834" i="1"/>
  <c r="B835" i="1"/>
  <c r="J835" i="1"/>
  <c r="B836" i="1"/>
  <c r="J836" i="1"/>
  <c r="B837" i="1"/>
  <c r="J837" i="1"/>
  <c r="B838" i="1"/>
  <c r="J838" i="1"/>
  <c r="B839" i="1"/>
  <c r="J839" i="1"/>
  <c r="B840" i="1"/>
  <c r="J840" i="1"/>
  <c r="B841" i="1"/>
  <c r="J841" i="1"/>
  <c r="B842" i="1"/>
  <c r="J842" i="1"/>
  <c r="B843" i="1"/>
  <c r="J843" i="1"/>
  <c r="B844" i="1"/>
  <c r="J844" i="1"/>
  <c r="B845" i="1"/>
  <c r="J845" i="1"/>
  <c r="B846" i="1"/>
  <c r="J846" i="1"/>
  <c r="B847" i="1"/>
  <c r="J847" i="1"/>
  <c r="B848" i="1"/>
  <c r="J848" i="1"/>
  <c r="B849" i="1"/>
  <c r="J849" i="1"/>
  <c r="B850" i="1"/>
  <c r="J850" i="1"/>
  <c r="B851" i="1"/>
  <c r="J851" i="1"/>
  <c r="B852" i="1"/>
  <c r="J852" i="1"/>
  <c r="B853" i="1"/>
  <c r="J853" i="1"/>
  <c r="B854" i="1"/>
  <c r="J854" i="1"/>
  <c r="B855" i="1"/>
  <c r="J855" i="1"/>
  <c r="B856" i="1"/>
  <c r="J856" i="1"/>
  <c r="B857" i="1"/>
  <c r="J857" i="1"/>
  <c r="B858" i="1"/>
  <c r="J858" i="1"/>
  <c r="B859" i="1"/>
  <c r="J859" i="1"/>
  <c r="B860" i="1"/>
  <c r="J860" i="1"/>
  <c r="B861" i="1"/>
  <c r="J861" i="1"/>
  <c r="B862" i="1"/>
  <c r="J862" i="1"/>
  <c r="B863" i="1"/>
  <c r="J863" i="1"/>
  <c r="B864" i="1"/>
  <c r="J864" i="1"/>
  <c r="B865" i="1"/>
  <c r="J865" i="1"/>
  <c r="B866" i="1"/>
  <c r="J866" i="1"/>
  <c r="B867" i="1"/>
  <c r="J867" i="1"/>
  <c r="B868" i="1"/>
  <c r="J868" i="1"/>
  <c r="B869" i="1"/>
  <c r="J869" i="1"/>
  <c r="B870" i="1"/>
  <c r="J870" i="1"/>
  <c r="B871" i="1"/>
  <c r="J871" i="1"/>
  <c r="B872" i="1"/>
  <c r="J872" i="1"/>
  <c r="B873" i="1"/>
  <c r="J873" i="1"/>
  <c r="B874" i="1"/>
  <c r="J874" i="1"/>
  <c r="B875" i="1"/>
  <c r="J875" i="1"/>
  <c r="B876" i="1"/>
  <c r="J876" i="1"/>
  <c r="B877" i="1"/>
  <c r="J877" i="1"/>
  <c r="B878" i="1"/>
  <c r="J878" i="1"/>
  <c r="B879" i="1"/>
  <c r="J879" i="1"/>
  <c r="B880" i="1"/>
  <c r="J880" i="1"/>
  <c r="B881" i="1"/>
  <c r="J881" i="1"/>
  <c r="B882" i="1"/>
  <c r="J882" i="1"/>
  <c r="B883" i="1"/>
  <c r="J883" i="1"/>
  <c r="B884" i="1"/>
  <c r="J884" i="1"/>
  <c r="B885" i="1"/>
  <c r="J885" i="1"/>
  <c r="B886" i="1"/>
  <c r="J886" i="1"/>
  <c r="B887" i="1"/>
  <c r="J887" i="1"/>
  <c r="B888" i="1"/>
  <c r="J888" i="1"/>
  <c r="B889" i="1"/>
  <c r="J889" i="1"/>
  <c r="B890" i="1"/>
  <c r="J890" i="1"/>
  <c r="B891" i="1"/>
  <c r="J891" i="1"/>
  <c r="B892" i="1"/>
  <c r="J892" i="1"/>
  <c r="B893" i="1"/>
  <c r="J893" i="1"/>
  <c r="B894" i="1"/>
  <c r="J894" i="1"/>
  <c r="B895" i="1"/>
  <c r="J895" i="1"/>
  <c r="B896" i="1"/>
  <c r="J896" i="1"/>
  <c r="B897" i="1"/>
  <c r="J897" i="1"/>
  <c r="B898" i="1"/>
  <c r="J898" i="1"/>
  <c r="B899" i="1"/>
  <c r="J899" i="1"/>
  <c r="B900" i="1"/>
  <c r="J900" i="1"/>
  <c r="B901" i="1"/>
  <c r="J901" i="1"/>
  <c r="B902" i="1"/>
  <c r="J902" i="1"/>
  <c r="B903" i="1"/>
  <c r="J903" i="1"/>
  <c r="B904" i="1"/>
  <c r="J904" i="1"/>
  <c r="B905" i="1"/>
  <c r="J905" i="1"/>
  <c r="B906" i="1"/>
  <c r="J906" i="1"/>
  <c r="B907" i="1"/>
  <c r="J907" i="1"/>
  <c r="B908" i="1"/>
  <c r="J908" i="1"/>
  <c r="B909" i="1"/>
  <c r="J909" i="1"/>
  <c r="B910" i="1"/>
  <c r="J910" i="1"/>
  <c r="B911" i="1"/>
  <c r="J911" i="1"/>
  <c r="B912" i="1"/>
  <c r="J912" i="1"/>
  <c r="B913" i="1"/>
  <c r="J913" i="1"/>
  <c r="B914" i="1"/>
  <c r="J914" i="1"/>
  <c r="B915" i="1"/>
  <c r="J915" i="1"/>
  <c r="B916" i="1"/>
  <c r="J916" i="1"/>
  <c r="B917" i="1"/>
  <c r="J917" i="1"/>
  <c r="B918" i="1"/>
  <c r="J918" i="1"/>
  <c r="B919" i="1"/>
  <c r="J919" i="1"/>
  <c r="B920" i="1"/>
  <c r="J920" i="1"/>
  <c r="B921" i="1"/>
  <c r="J921" i="1"/>
  <c r="B922" i="1"/>
  <c r="J922" i="1"/>
  <c r="B923" i="1"/>
  <c r="J923" i="1"/>
  <c r="B924" i="1"/>
  <c r="J924" i="1"/>
  <c r="B925" i="1"/>
  <c r="J925" i="1"/>
  <c r="B926" i="1"/>
  <c r="J926" i="1"/>
  <c r="B927" i="1"/>
  <c r="J927" i="1"/>
  <c r="B928" i="1"/>
  <c r="J928" i="1"/>
  <c r="B929" i="1"/>
  <c r="J929" i="1"/>
  <c r="B930" i="1"/>
  <c r="J930" i="1"/>
  <c r="B931" i="1"/>
  <c r="J931" i="1"/>
  <c r="B932" i="1"/>
  <c r="J932" i="1"/>
  <c r="B933" i="1"/>
  <c r="J933" i="1"/>
  <c r="B934" i="1"/>
  <c r="J934" i="1"/>
  <c r="B935" i="1"/>
  <c r="J935" i="1"/>
  <c r="B936" i="1"/>
  <c r="J936" i="1"/>
  <c r="B937" i="1"/>
  <c r="J937" i="1"/>
  <c r="B938" i="1"/>
  <c r="J938" i="1"/>
  <c r="B939" i="1"/>
  <c r="J939" i="1"/>
  <c r="B940" i="1"/>
  <c r="J940" i="1"/>
  <c r="B941" i="1"/>
  <c r="J941" i="1"/>
  <c r="B942" i="1"/>
  <c r="J942" i="1"/>
  <c r="B943" i="1"/>
  <c r="J943" i="1"/>
  <c r="B944" i="1"/>
  <c r="J944" i="1"/>
  <c r="B945" i="1"/>
  <c r="J945" i="1"/>
  <c r="B946" i="1"/>
  <c r="J946" i="1"/>
  <c r="B947" i="1"/>
  <c r="J947" i="1"/>
  <c r="B948" i="1"/>
  <c r="J948" i="1"/>
  <c r="B949" i="1"/>
  <c r="J949" i="1"/>
  <c r="B950" i="1"/>
  <c r="J950" i="1"/>
  <c r="B951" i="1"/>
  <c r="J951" i="1"/>
  <c r="B952" i="1"/>
  <c r="J952" i="1"/>
  <c r="B953" i="1"/>
  <c r="J953" i="1"/>
  <c r="B954" i="1"/>
  <c r="J954" i="1"/>
  <c r="B955" i="1"/>
  <c r="J955" i="1"/>
  <c r="B956" i="1"/>
  <c r="J956" i="1"/>
  <c r="B957" i="1"/>
  <c r="J957" i="1"/>
  <c r="B958" i="1"/>
  <c r="J958" i="1"/>
  <c r="B959" i="1"/>
  <c r="J959" i="1"/>
  <c r="B960" i="1"/>
  <c r="J960" i="1"/>
  <c r="B961" i="1"/>
  <c r="J961" i="1"/>
  <c r="B962" i="1"/>
  <c r="J962" i="1"/>
  <c r="B963" i="1"/>
  <c r="J963" i="1"/>
  <c r="B964" i="1"/>
  <c r="J964" i="1"/>
  <c r="B965" i="1"/>
  <c r="J965" i="1"/>
  <c r="B966" i="1"/>
  <c r="J966" i="1"/>
  <c r="B967" i="1"/>
  <c r="J967" i="1"/>
  <c r="B968" i="1"/>
  <c r="J968" i="1"/>
  <c r="B969" i="1"/>
  <c r="J969" i="1"/>
  <c r="B970" i="1"/>
  <c r="J970" i="1"/>
  <c r="B971" i="1"/>
  <c r="J971" i="1"/>
  <c r="B972" i="1"/>
  <c r="J972" i="1"/>
  <c r="B973" i="1"/>
  <c r="J973" i="1"/>
  <c r="B974" i="1"/>
  <c r="J974" i="1"/>
  <c r="B975" i="1"/>
  <c r="J975" i="1"/>
  <c r="B976" i="1"/>
  <c r="J976" i="1"/>
  <c r="B977" i="1"/>
  <c r="J977" i="1"/>
  <c r="B978" i="1"/>
  <c r="J978" i="1"/>
  <c r="B979" i="1"/>
  <c r="J979" i="1"/>
  <c r="B980" i="1"/>
  <c r="J980" i="1"/>
  <c r="B981" i="1"/>
  <c r="J981" i="1"/>
  <c r="B982" i="1"/>
  <c r="J982" i="1"/>
  <c r="B983" i="1"/>
  <c r="J983" i="1"/>
  <c r="B984" i="1"/>
  <c r="J984" i="1"/>
  <c r="B985" i="1"/>
  <c r="J985" i="1"/>
  <c r="B986" i="1"/>
  <c r="J986" i="1"/>
  <c r="B987" i="1"/>
  <c r="J987" i="1"/>
  <c r="B988" i="1"/>
  <c r="J988" i="1"/>
  <c r="B989" i="1"/>
  <c r="J989" i="1"/>
  <c r="B990" i="1"/>
  <c r="J990" i="1"/>
  <c r="B991" i="1"/>
  <c r="J991" i="1"/>
  <c r="B992" i="1"/>
  <c r="J992" i="1"/>
  <c r="B993" i="1"/>
  <c r="J993" i="1"/>
  <c r="B994" i="1"/>
  <c r="J994" i="1"/>
  <c r="B995" i="1"/>
  <c r="J995" i="1"/>
  <c r="B996" i="1"/>
  <c r="J996" i="1"/>
  <c r="B997" i="1"/>
  <c r="J997" i="1"/>
  <c r="B998" i="1"/>
  <c r="J998" i="1"/>
  <c r="B999" i="1"/>
  <c r="J999" i="1"/>
  <c r="B1000" i="1"/>
  <c r="J1000" i="1"/>
  <c r="B1001" i="1"/>
  <c r="J1001" i="1"/>
  <c r="B1002" i="1"/>
  <c r="J1002" i="1"/>
  <c r="B1003" i="1"/>
  <c r="J1003" i="1"/>
  <c r="B1004" i="1"/>
  <c r="J1004" i="1"/>
  <c r="B1005" i="1"/>
  <c r="J1005" i="1"/>
  <c r="B1006" i="1"/>
  <c r="J1006" i="1"/>
  <c r="B1007" i="1"/>
  <c r="J1007" i="1"/>
  <c r="B1008" i="1"/>
  <c r="J1008" i="1"/>
  <c r="B1009" i="1"/>
  <c r="J1009" i="1"/>
  <c r="B1010" i="1"/>
  <c r="J1010" i="1"/>
  <c r="B1011" i="1"/>
  <c r="J1011" i="1"/>
  <c r="B1012" i="1"/>
  <c r="J1012" i="1"/>
  <c r="B1013" i="1"/>
  <c r="J1013" i="1"/>
  <c r="B1014" i="1"/>
  <c r="J1014" i="1"/>
  <c r="B1015" i="1"/>
  <c r="J1015" i="1"/>
  <c r="B1016" i="1"/>
  <c r="J1016" i="1"/>
  <c r="B1017" i="1"/>
  <c r="J1017" i="1"/>
  <c r="B1018" i="1"/>
  <c r="J1018" i="1"/>
  <c r="B1019" i="1"/>
  <c r="J1019" i="1"/>
  <c r="B1020" i="1"/>
  <c r="J1020" i="1"/>
  <c r="B1021" i="1"/>
  <c r="J1021" i="1"/>
  <c r="B1022" i="1"/>
  <c r="J1022" i="1"/>
  <c r="B1023" i="1"/>
  <c r="J1023" i="1"/>
  <c r="B1024" i="1"/>
  <c r="J1024" i="1"/>
  <c r="B1025" i="1"/>
  <c r="J1025" i="1"/>
  <c r="B1026" i="1"/>
  <c r="J1026" i="1"/>
  <c r="B1027" i="1"/>
  <c r="J1027" i="1"/>
  <c r="B1028" i="1"/>
  <c r="J1028" i="1"/>
  <c r="B1029" i="1"/>
  <c r="J1029" i="1"/>
  <c r="B1030" i="1"/>
  <c r="J1030" i="1"/>
  <c r="B1031" i="1"/>
  <c r="J1031" i="1"/>
  <c r="B1032" i="1"/>
  <c r="J1032" i="1"/>
  <c r="B1033" i="1"/>
  <c r="J1033" i="1"/>
  <c r="B1034" i="1"/>
  <c r="J1034" i="1"/>
  <c r="B1035" i="1"/>
  <c r="J1035" i="1"/>
  <c r="B1036" i="1"/>
  <c r="J1036" i="1"/>
  <c r="B1037" i="1"/>
  <c r="J1037" i="1"/>
  <c r="B1038" i="1"/>
  <c r="J1038" i="1"/>
  <c r="B1039" i="1"/>
  <c r="J1039" i="1"/>
  <c r="B1040" i="1"/>
  <c r="J1040" i="1"/>
  <c r="B1041" i="1"/>
  <c r="J1041" i="1"/>
  <c r="B1042" i="1"/>
  <c r="J1042" i="1"/>
  <c r="B1043" i="1"/>
  <c r="J1043" i="1"/>
  <c r="B1044" i="1"/>
  <c r="J1044" i="1"/>
  <c r="B1045" i="1"/>
  <c r="J1045" i="1"/>
  <c r="B1046" i="1"/>
  <c r="J1046" i="1"/>
  <c r="B1047" i="1"/>
  <c r="J1047" i="1"/>
  <c r="B1048" i="1"/>
  <c r="J1048" i="1"/>
  <c r="B1049" i="1"/>
  <c r="J1049" i="1"/>
  <c r="B1050" i="1"/>
  <c r="J1050" i="1"/>
  <c r="B1051" i="1"/>
  <c r="J1051" i="1"/>
  <c r="B1052" i="1"/>
  <c r="J1052" i="1"/>
  <c r="B1053" i="1"/>
  <c r="J1053" i="1"/>
  <c r="B1054" i="1"/>
  <c r="J1054" i="1"/>
  <c r="B1055" i="1"/>
  <c r="J1055" i="1"/>
  <c r="B1056" i="1"/>
  <c r="J1056" i="1"/>
  <c r="B1057" i="1"/>
  <c r="J1057" i="1"/>
  <c r="B1058" i="1"/>
  <c r="J1058" i="1"/>
  <c r="B1059" i="1"/>
  <c r="J1059" i="1"/>
  <c r="B1060" i="1"/>
  <c r="J1060" i="1"/>
  <c r="B1061" i="1"/>
  <c r="J1061" i="1"/>
  <c r="B1062" i="1"/>
  <c r="J1062" i="1"/>
  <c r="B1063" i="1"/>
  <c r="J1063" i="1"/>
  <c r="B1064" i="1"/>
  <c r="J1064" i="1"/>
  <c r="B1065" i="1"/>
  <c r="J1065" i="1"/>
  <c r="B1066" i="1"/>
  <c r="J1066" i="1"/>
  <c r="B1067" i="1"/>
  <c r="J1067" i="1"/>
  <c r="B1068" i="1"/>
  <c r="J1068" i="1"/>
  <c r="B1069" i="1"/>
  <c r="J1069" i="1"/>
  <c r="B1070" i="1"/>
  <c r="J1070" i="1"/>
  <c r="B1071" i="1"/>
  <c r="J1071" i="1"/>
  <c r="B1072" i="1"/>
  <c r="J1072" i="1"/>
  <c r="B1073" i="1"/>
  <c r="J1073" i="1"/>
  <c r="B1074" i="1"/>
  <c r="J1074" i="1"/>
  <c r="B1075" i="1"/>
  <c r="J1075" i="1"/>
  <c r="B1076" i="1"/>
  <c r="J1076" i="1"/>
  <c r="B1077" i="1"/>
  <c r="J1077" i="1"/>
  <c r="B1078" i="1"/>
  <c r="J1078" i="1"/>
  <c r="B1079" i="1"/>
  <c r="J1079" i="1"/>
  <c r="B1080" i="1"/>
  <c r="J1080" i="1"/>
  <c r="B1081" i="1"/>
  <c r="J1081" i="1"/>
  <c r="B1082" i="1"/>
  <c r="J1082" i="1"/>
  <c r="B1083" i="1"/>
  <c r="J1083" i="1"/>
  <c r="B1084" i="1"/>
  <c r="J1084" i="1"/>
  <c r="B1085" i="1"/>
  <c r="J1085" i="1"/>
  <c r="B1086" i="1"/>
  <c r="J1086" i="1"/>
  <c r="B1087" i="1"/>
  <c r="J1087" i="1"/>
  <c r="B1088" i="1"/>
  <c r="J1088" i="1"/>
  <c r="B1089" i="1"/>
  <c r="J1089" i="1"/>
  <c r="B1090" i="1"/>
  <c r="J1090" i="1"/>
  <c r="B1091" i="1"/>
  <c r="J1091" i="1"/>
  <c r="B1092" i="1"/>
  <c r="J1092" i="1"/>
  <c r="B1093" i="1"/>
  <c r="J1093" i="1"/>
  <c r="B1094" i="1"/>
  <c r="J1094" i="1"/>
  <c r="B1095" i="1"/>
  <c r="J1095" i="1"/>
  <c r="B1096" i="1"/>
  <c r="J1096" i="1"/>
  <c r="B1097" i="1"/>
  <c r="J1097" i="1"/>
  <c r="B1098" i="1"/>
  <c r="J1098" i="1"/>
  <c r="B1100" i="1"/>
  <c r="J1100" i="1"/>
  <c r="B1101" i="1"/>
  <c r="J1101" i="1"/>
  <c r="B1102" i="1"/>
  <c r="J1102" i="1"/>
  <c r="B1103" i="1"/>
  <c r="J1103" i="1"/>
  <c r="B1104" i="1"/>
  <c r="J1104" i="1"/>
  <c r="B1105" i="1"/>
  <c r="J1105" i="1"/>
  <c r="B1106" i="1"/>
  <c r="J1106" i="1"/>
  <c r="B1107" i="1"/>
  <c r="J1107" i="1"/>
  <c r="B1108" i="1"/>
  <c r="J1108" i="1"/>
  <c r="B1109" i="1"/>
  <c r="J1109" i="1"/>
  <c r="B1110" i="1"/>
  <c r="J1110" i="1"/>
  <c r="B1111" i="1"/>
  <c r="J1111" i="1"/>
  <c r="B1112" i="1"/>
  <c r="J1112" i="1"/>
  <c r="B1113" i="1"/>
  <c r="J1113" i="1"/>
  <c r="B1114" i="1"/>
  <c r="J1114" i="1"/>
  <c r="B1115" i="1"/>
  <c r="J1115" i="1"/>
  <c r="B1116" i="1"/>
  <c r="J1116" i="1"/>
  <c r="B1117" i="1"/>
  <c r="J1117" i="1"/>
  <c r="B1118" i="1"/>
  <c r="J1118" i="1"/>
  <c r="B1119" i="1"/>
  <c r="J1119" i="1"/>
  <c r="B1120" i="1"/>
  <c r="J1120" i="1"/>
  <c r="B1121" i="1"/>
  <c r="J1121" i="1"/>
  <c r="B1122" i="1"/>
  <c r="J1122" i="1"/>
  <c r="B1123" i="1"/>
  <c r="J1123" i="1"/>
  <c r="B1124" i="1"/>
  <c r="J1124" i="1"/>
  <c r="B1125" i="1"/>
  <c r="J1125" i="1"/>
  <c r="B1126" i="1"/>
  <c r="J1126" i="1"/>
  <c r="B1127" i="1"/>
  <c r="J1127" i="1"/>
  <c r="B1128" i="1"/>
  <c r="J1128" i="1"/>
  <c r="B1129" i="1"/>
  <c r="J1129" i="1"/>
  <c r="B1130" i="1"/>
  <c r="J1130" i="1"/>
  <c r="B1131" i="1"/>
  <c r="J1131" i="1"/>
  <c r="B1132" i="1"/>
  <c r="J1132" i="1"/>
  <c r="B1133" i="1"/>
  <c r="J1133" i="1"/>
  <c r="B1134" i="1"/>
  <c r="J1134" i="1"/>
  <c r="B1135" i="1"/>
  <c r="J1135" i="1"/>
  <c r="B1136" i="1"/>
  <c r="J1136" i="1"/>
  <c r="B1137" i="1"/>
  <c r="J1137" i="1"/>
  <c r="B1138" i="1"/>
  <c r="J1138" i="1"/>
  <c r="B1139" i="1"/>
  <c r="J1139" i="1"/>
  <c r="B1140" i="1"/>
  <c r="J1140" i="1"/>
  <c r="B1141" i="1"/>
  <c r="J1141" i="1"/>
  <c r="B1142" i="1"/>
  <c r="J1142" i="1"/>
  <c r="B1143" i="1"/>
  <c r="J1143" i="1"/>
  <c r="B1144" i="1"/>
  <c r="J1144" i="1"/>
  <c r="B1145" i="1"/>
  <c r="J1145" i="1"/>
  <c r="B1146" i="1"/>
  <c r="J1146" i="1"/>
  <c r="B1147" i="1"/>
  <c r="J1147" i="1"/>
  <c r="B1148" i="1"/>
  <c r="J1148" i="1"/>
  <c r="B1149" i="1"/>
  <c r="J1149" i="1"/>
  <c r="B1150" i="1"/>
  <c r="J1150" i="1"/>
  <c r="B1151" i="1"/>
  <c r="J1151" i="1"/>
  <c r="B1152" i="1"/>
  <c r="J1152" i="1"/>
  <c r="B1153" i="1"/>
  <c r="J1153" i="1"/>
  <c r="B1154" i="1"/>
  <c r="J1154" i="1"/>
  <c r="B1155" i="1"/>
  <c r="J1155" i="1"/>
  <c r="B1156" i="1"/>
  <c r="J1156" i="1"/>
  <c r="B1157" i="1"/>
  <c r="J1157" i="1"/>
  <c r="B1158" i="1"/>
  <c r="J1158" i="1"/>
  <c r="B1159" i="1"/>
  <c r="J1159" i="1"/>
  <c r="B1160" i="1"/>
  <c r="J1160" i="1"/>
  <c r="B1161" i="1"/>
  <c r="J1161" i="1"/>
  <c r="B1162" i="1"/>
  <c r="J1162" i="1"/>
  <c r="B1163" i="1"/>
  <c r="J1163" i="1"/>
  <c r="B1164" i="1"/>
  <c r="J1164" i="1"/>
  <c r="B1165" i="1"/>
  <c r="J1165" i="1"/>
  <c r="B1166" i="1"/>
  <c r="J1166" i="1"/>
  <c r="B1167" i="1"/>
  <c r="J1167" i="1"/>
  <c r="B1168" i="1"/>
  <c r="J1168" i="1"/>
  <c r="B1169" i="1"/>
  <c r="J1169" i="1"/>
  <c r="B1170" i="1"/>
  <c r="J1170" i="1"/>
  <c r="B1171" i="1"/>
  <c r="J1171" i="1"/>
  <c r="B1172" i="1"/>
  <c r="J1172" i="1"/>
  <c r="B1173" i="1"/>
  <c r="J1173" i="1"/>
  <c r="B1174" i="1"/>
  <c r="J1174" i="1"/>
  <c r="B1175" i="1"/>
  <c r="J1175" i="1"/>
  <c r="B1176" i="1"/>
  <c r="J1176" i="1"/>
  <c r="B1177" i="1"/>
  <c r="J1177" i="1"/>
  <c r="B1178" i="1"/>
  <c r="J1178" i="1"/>
  <c r="B1179" i="1"/>
  <c r="J1179" i="1"/>
  <c r="B1180" i="1"/>
  <c r="J1180" i="1"/>
  <c r="B1181" i="1"/>
  <c r="J1181" i="1"/>
  <c r="B1182" i="1"/>
  <c r="J1182" i="1"/>
  <c r="B1183" i="1"/>
  <c r="J1183" i="1"/>
  <c r="B1184" i="1"/>
  <c r="J1184" i="1"/>
  <c r="B1185" i="1"/>
  <c r="J1185" i="1"/>
  <c r="B1186" i="1"/>
  <c r="J1186" i="1"/>
  <c r="B1187" i="1"/>
  <c r="J1187" i="1"/>
  <c r="B1188" i="1"/>
  <c r="J1188" i="1"/>
  <c r="B1189" i="1"/>
  <c r="J1189" i="1"/>
  <c r="B1190" i="1"/>
  <c r="J1190" i="1"/>
  <c r="B1191" i="1"/>
  <c r="J1191" i="1"/>
  <c r="B1192" i="1"/>
  <c r="J1192" i="1"/>
  <c r="B1193" i="1"/>
  <c r="J1193" i="1"/>
  <c r="B1194" i="1"/>
  <c r="J1194" i="1"/>
  <c r="B1195" i="1"/>
  <c r="J1195" i="1"/>
  <c r="B1196" i="1"/>
  <c r="J1196" i="1"/>
  <c r="B1197" i="1"/>
  <c r="J1197" i="1"/>
  <c r="B1198" i="1"/>
  <c r="J1198" i="1"/>
  <c r="B1199" i="1"/>
  <c r="J1199" i="1"/>
  <c r="B1200" i="1"/>
  <c r="J1200" i="1"/>
  <c r="B1201" i="1"/>
  <c r="J1201" i="1"/>
  <c r="B1202" i="1"/>
  <c r="J1202" i="1"/>
  <c r="B1203" i="1"/>
  <c r="J1203" i="1"/>
  <c r="B1204" i="1"/>
  <c r="J1204" i="1"/>
  <c r="B1205" i="1"/>
  <c r="J1205" i="1"/>
  <c r="B1206" i="1"/>
  <c r="J1206" i="1"/>
  <c r="B1207" i="1"/>
  <c r="J1207" i="1"/>
  <c r="B1208" i="1"/>
  <c r="J1208" i="1"/>
  <c r="B1209" i="1"/>
  <c r="J1209" i="1"/>
  <c r="B1210" i="1"/>
  <c r="J1210" i="1"/>
  <c r="B1211" i="1"/>
  <c r="J1211" i="1"/>
  <c r="B1212" i="1"/>
  <c r="J1212" i="1"/>
  <c r="B1213" i="1"/>
  <c r="J1213" i="1"/>
  <c r="B1214" i="1"/>
  <c r="J1214" i="1"/>
  <c r="B1215" i="1"/>
  <c r="J1215" i="1"/>
  <c r="B1216" i="1"/>
  <c r="J1216" i="1"/>
  <c r="B1217" i="1"/>
  <c r="J1217" i="1"/>
  <c r="B1218" i="1"/>
  <c r="J1218" i="1"/>
  <c r="B1219" i="1"/>
  <c r="J1219" i="1"/>
  <c r="B1220" i="1"/>
  <c r="J1220" i="1"/>
  <c r="B1221" i="1"/>
  <c r="J1221" i="1"/>
  <c r="B1222" i="1"/>
  <c r="J1222" i="1"/>
  <c r="B1223" i="1"/>
  <c r="J1223" i="1"/>
  <c r="B1224" i="1"/>
  <c r="J1224" i="1"/>
  <c r="B1225" i="1"/>
  <c r="J1225" i="1"/>
  <c r="B1226" i="1"/>
  <c r="J1226" i="1"/>
  <c r="B1227" i="1"/>
  <c r="J1227" i="1"/>
  <c r="B1228" i="1"/>
  <c r="J1228" i="1"/>
  <c r="B1229" i="1"/>
  <c r="J1229" i="1"/>
  <c r="B1230" i="1"/>
  <c r="J1230" i="1"/>
  <c r="B1231" i="1"/>
  <c r="J1231" i="1"/>
  <c r="B1232" i="1"/>
  <c r="J1232" i="1"/>
  <c r="B1233" i="1"/>
  <c r="J1233" i="1"/>
  <c r="B1234" i="1"/>
  <c r="J1234" i="1"/>
  <c r="B1235" i="1"/>
  <c r="J1235" i="1"/>
  <c r="B1236" i="1"/>
  <c r="J1236" i="1"/>
  <c r="B1237" i="1"/>
  <c r="J1237" i="1"/>
  <c r="B1238" i="1"/>
  <c r="J1238" i="1"/>
  <c r="B1239" i="1"/>
  <c r="J1239" i="1"/>
  <c r="B1240" i="1"/>
  <c r="J1240" i="1"/>
  <c r="B1241" i="1"/>
  <c r="J1241" i="1"/>
  <c r="B1242" i="1"/>
  <c r="J1242" i="1"/>
  <c r="B1243" i="1"/>
  <c r="J1243" i="1"/>
  <c r="B1244" i="1"/>
  <c r="J1244" i="1"/>
  <c r="B1245" i="1"/>
  <c r="J1245" i="1"/>
  <c r="B1246" i="1"/>
  <c r="J1246" i="1"/>
  <c r="B1247" i="1"/>
  <c r="J1247" i="1"/>
  <c r="B1248" i="1"/>
  <c r="J1248" i="1"/>
  <c r="B1249" i="1"/>
  <c r="J1249" i="1"/>
  <c r="B1250" i="1"/>
  <c r="J1250" i="1"/>
  <c r="B1251" i="1"/>
  <c r="J1251" i="1"/>
  <c r="B1252" i="1"/>
  <c r="J1252" i="1"/>
  <c r="B1253" i="1"/>
  <c r="J1253" i="1"/>
  <c r="B1254" i="1"/>
  <c r="J1254" i="1"/>
  <c r="B1255" i="1"/>
  <c r="J1255" i="1"/>
  <c r="B1256" i="1"/>
  <c r="J1256" i="1"/>
  <c r="B1257" i="1"/>
  <c r="J1257" i="1"/>
  <c r="B1258" i="1"/>
  <c r="J1258" i="1"/>
  <c r="B1259" i="1"/>
  <c r="J1259" i="1"/>
  <c r="B1260" i="1"/>
  <c r="J1260" i="1"/>
  <c r="B1261" i="1"/>
  <c r="J1261" i="1"/>
  <c r="B1262" i="1"/>
  <c r="J1262" i="1"/>
  <c r="B1263" i="1"/>
  <c r="J1263" i="1"/>
  <c r="B1264" i="1"/>
  <c r="J1264" i="1"/>
  <c r="B1265" i="1"/>
  <c r="J1265" i="1"/>
  <c r="B1266" i="1"/>
  <c r="J1266" i="1"/>
  <c r="B1267" i="1"/>
  <c r="J1267" i="1"/>
  <c r="B1268" i="1"/>
  <c r="J1268" i="1"/>
  <c r="B1269" i="1"/>
  <c r="J1269" i="1"/>
  <c r="B1270" i="1"/>
  <c r="J1270" i="1"/>
  <c r="B1271" i="1"/>
  <c r="J1271" i="1"/>
  <c r="B1272" i="1"/>
  <c r="J1272" i="1"/>
  <c r="B1273" i="1"/>
  <c r="J1273" i="1"/>
  <c r="B1274" i="1"/>
  <c r="J1274" i="1"/>
  <c r="B1275" i="1"/>
  <c r="J1275" i="1"/>
  <c r="B1276" i="1"/>
  <c r="J1276" i="1"/>
  <c r="B1277" i="1"/>
  <c r="J1277" i="1"/>
  <c r="B1278" i="1"/>
  <c r="J1278" i="1"/>
  <c r="B1279" i="1"/>
  <c r="J1279" i="1"/>
  <c r="B1280" i="1"/>
  <c r="J1280" i="1"/>
  <c r="B1281" i="1"/>
  <c r="J1281" i="1"/>
  <c r="B1282" i="1"/>
  <c r="J1282" i="1"/>
  <c r="B1283" i="1"/>
  <c r="J1283" i="1"/>
  <c r="B1284" i="1"/>
  <c r="J1284" i="1"/>
  <c r="B1285" i="1"/>
  <c r="J1285" i="1"/>
  <c r="B1286" i="1"/>
  <c r="J1286" i="1"/>
  <c r="B1287" i="1"/>
  <c r="J1287" i="1"/>
  <c r="B1288" i="1"/>
  <c r="J1288" i="1"/>
  <c r="B1289" i="1"/>
  <c r="J1289" i="1"/>
  <c r="B1290" i="1"/>
  <c r="J1290" i="1"/>
  <c r="B1291" i="1"/>
  <c r="J1291" i="1"/>
  <c r="B1292" i="1"/>
  <c r="J1292" i="1"/>
  <c r="B1293" i="1"/>
  <c r="J1293" i="1"/>
  <c r="B1294" i="1"/>
  <c r="J1294" i="1"/>
  <c r="B1295" i="1"/>
  <c r="J1295" i="1"/>
  <c r="B1296" i="1"/>
  <c r="J1296" i="1"/>
  <c r="B1297" i="1"/>
  <c r="J1297" i="1"/>
  <c r="B1298" i="1"/>
  <c r="J1298" i="1"/>
  <c r="B1299" i="1"/>
  <c r="J1299" i="1"/>
  <c r="B1300" i="1"/>
  <c r="J1300" i="1"/>
  <c r="B1301" i="1"/>
  <c r="J1301" i="1"/>
  <c r="B1302" i="1"/>
  <c r="J1302" i="1"/>
  <c r="B1303" i="1"/>
  <c r="J1303" i="1"/>
  <c r="B1304" i="1"/>
  <c r="J1304" i="1"/>
  <c r="B1305" i="1"/>
  <c r="J1305" i="1"/>
  <c r="B1306" i="1"/>
  <c r="J1306" i="1"/>
  <c r="B1307" i="1"/>
  <c r="J1307" i="1"/>
  <c r="B1308" i="1"/>
  <c r="J1308" i="1"/>
  <c r="B1309" i="1"/>
  <c r="J1309" i="1"/>
  <c r="B1310" i="1"/>
  <c r="J1310" i="1"/>
  <c r="B1311" i="1"/>
  <c r="J1311" i="1"/>
  <c r="B1312" i="1"/>
  <c r="J1312" i="1"/>
  <c r="B1313" i="1"/>
  <c r="J1313" i="1"/>
  <c r="B1314" i="1"/>
  <c r="J1314" i="1"/>
  <c r="B1315" i="1"/>
  <c r="J1315" i="1"/>
  <c r="B1316" i="1"/>
  <c r="J1316" i="1"/>
  <c r="B1317" i="1"/>
  <c r="J1317" i="1"/>
  <c r="B1318" i="1"/>
  <c r="J1318" i="1"/>
  <c r="B1319" i="1"/>
  <c r="J1319" i="1"/>
  <c r="B1320" i="1"/>
  <c r="J1320" i="1"/>
  <c r="B1321" i="1"/>
  <c r="J1321" i="1"/>
  <c r="B1322" i="1"/>
  <c r="J1322" i="1"/>
  <c r="B1323" i="1"/>
  <c r="J1323" i="1"/>
  <c r="B1324" i="1"/>
  <c r="J1324" i="1"/>
  <c r="B1325" i="1"/>
  <c r="J1325" i="1"/>
  <c r="B1326" i="1"/>
  <c r="J1326" i="1"/>
  <c r="B1327" i="1"/>
  <c r="J1327" i="1"/>
  <c r="B1328" i="1"/>
  <c r="J1328" i="1"/>
  <c r="B1329" i="1"/>
  <c r="J1329" i="1"/>
  <c r="B1330" i="1"/>
  <c r="J1330" i="1"/>
  <c r="B1331" i="1"/>
  <c r="J1331" i="1"/>
  <c r="B1332" i="1"/>
  <c r="J1332" i="1"/>
  <c r="B1333" i="1"/>
  <c r="J1333" i="1"/>
  <c r="B1334" i="1"/>
  <c r="J1334" i="1"/>
  <c r="B1335" i="1"/>
  <c r="J1335" i="1"/>
  <c r="B1336" i="1"/>
  <c r="J1336" i="1"/>
  <c r="B1337" i="1"/>
  <c r="J1337" i="1"/>
  <c r="B1338" i="1"/>
  <c r="J1338" i="1"/>
  <c r="B1339" i="1"/>
  <c r="J1339" i="1"/>
  <c r="B1340" i="1"/>
  <c r="J1340" i="1"/>
  <c r="B1341" i="1"/>
  <c r="J1341" i="1"/>
  <c r="B1342" i="1"/>
  <c r="J1342" i="1"/>
  <c r="B1343" i="1"/>
  <c r="J1343" i="1"/>
  <c r="B1344" i="1"/>
  <c r="J1344" i="1"/>
  <c r="B1345" i="1"/>
  <c r="J1345" i="1"/>
  <c r="B1346" i="1"/>
  <c r="J1346" i="1"/>
  <c r="B1347" i="1"/>
  <c r="J1347" i="1"/>
  <c r="B1348" i="1"/>
  <c r="J1348" i="1"/>
  <c r="B1349" i="1"/>
  <c r="J1349" i="1"/>
  <c r="B1350" i="1"/>
  <c r="J1350" i="1"/>
  <c r="B1351" i="1"/>
  <c r="J1351" i="1"/>
  <c r="B1352" i="1"/>
  <c r="J1352" i="1"/>
  <c r="B1353" i="1"/>
  <c r="J1353" i="1"/>
  <c r="B1354" i="1"/>
  <c r="J1354" i="1"/>
  <c r="B1355" i="1"/>
  <c r="J1355" i="1"/>
  <c r="B1356" i="1"/>
  <c r="J1356" i="1"/>
  <c r="B1357" i="1"/>
  <c r="J1357" i="1"/>
  <c r="B1358" i="1"/>
  <c r="J1358" i="1"/>
  <c r="B1359" i="1"/>
  <c r="J1359" i="1"/>
  <c r="B1360" i="1"/>
  <c r="J1360" i="1"/>
  <c r="B1361" i="1"/>
  <c r="J1361" i="1"/>
  <c r="B1362" i="1"/>
  <c r="J1362" i="1"/>
  <c r="B1363" i="1"/>
  <c r="J1363" i="1"/>
  <c r="B1364" i="1"/>
  <c r="J1364" i="1"/>
  <c r="B1365" i="1"/>
  <c r="J1365" i="1"/>
  <c r="B1366" i="1"/>
  <c r="J1366" i="1"/>
  <c r="B1367" i="1"/>
  <c r="J1367" i="1"/>
  <c r="B1368" i="1"/>
  <c r="J1368" i="1"/>
  <c r="B1369" i="1"/>
  <c r="J1369" i="1"/>
  <c r="B1370" i="1"/>
  <c r="J1370" i="1"/>
  <c r="B1371" i="1"/>
  <c r="J1371" i="1"/>
  <c r="B1372" i="1"/>
  <c r="J1372" i="1"/>
  <c r="B1373" i="1"/>
  <c r="J1373" i="1"/>
  <c r="B1374" i="1"/>
  <c r="J1374" i="1"/>
  <c r="B1375" i="1"/>
  <c r="J1375" i="1"/>
  <c r="B1376" i="1"/>
  <c r="J1376" i="1"/>
  <c r="B1377" i="1"/>
  <c r="J1377" i="1"/>
  <c r="B1378" i="1"/>
  <c r="J1378" i="1"/>
  <c r="B1379" i="1"/>
  <c r="J1379" i="1"/>
  <c r="B1380" i="1"/>
  <c r="J1380" i="1"/>
  <c r="B1381" i="1"/>
  <c r="J1381" i="1"/>
  <c r="B1382" i="1"/>
  <c r="J1382" i="1"/>
  <c r="B1383" i="1"/>
  <c r="J1383" i="1"/>
  <c r="B1384" i="1"/>
  <c r="J1384" i="1"/>
  <c r="B1385" i="1"/>
  <c r="J1385" i="1"/>
  <c r="B1386" i="1"/>
  <c r="J1386" i="1"/>
  <c r="B1387" i="1"/>
  <c r="J1387" i="1"/>
  <c r="B1388" i="1"/>
  <c r="J1388" i="1"/>
  <c r="B1389" i="1"/>
  <c r="J1389" i="1"/>
  <c r="B1390" i="1"/>
  <c r="J1390" i="1"/>
  <c r="B1391" i="1"/>
  <c r="J1391" i="1"/>
  <c r="B1392" i="1"/>
  <c r="J1392" i="1"/>
  <c r="B1393" i="1"/>
  <c r="J1393" i="1"/>
  <c r="B1394" i="1"/>
  <c r="J1394" i="1"/>
  <c r="B1395" i="1"/>
  <c r="J1395" i="1"/>
  <c r="B1396" i="1"/>
  <c r="J1396" i="1"/>
  <c r="B1397" i="1"/>
  <c r="J1397" i="1"/>
  <c r="B1398" i="1"/>
  <c r="J1398" i="1"/>
  <c r="B1399" i="1"/>
  <c r="J1399" i="1"/>
  <c r="B1400" i="1"/>
  <c r="J1400" i="1"/>
  <c r="B1401" i="1"/>
  <c r="J1401" i="1"/>
  <c r="B1402" i="1"/>
  <c r="J1402" i="1"/>
  <c r="B1403" i="1"/>
  <c r="J1403" i="1"/>
  <c r="B1404" i="1"/>
  <c r="J1404" i="1"/>
  <c r="B1405" i="1"/>
  <c r="J1405" i="1"/>
  <c r="B1406" i="1"/>
  <c r="J1406" i="1"/>
  <c r="B1407" i="1"/>
  <c r="J1407" i="1"/>
  <c r="B1408" i="1"/>
  <c r="J1408" i="1"/>
  <c r="B1409" i="1"/>
  <c r="J1409" i="1"/>
  <c r="B1410" i="1"/>
  <c r="J1410" i="1"/>
  <c r="B1411" i="1"/>
  <c r="J1411" i="1"/>
  <c r="B1412" i="1"/>
  <c r="J1412" i="1"/>
  <c r="B1413" i="1"/>
  <c r="J1413" i="1"/>
  <c r="B1414" i="1"/>
  <c r="J1414" i="1"/>
  <c r="B1415" i="1"/>
  <c r="J1415" i="1"/>
  <c r="B1416" i="1"/>
  <c r="J1416" i="1"/>
  <c r="B1417" i="1"/>
  <c r="J1417" i="1"/>
  <c r="B1418" i="1"/>
  <c r="J1418" i="1"/>
  <c r="B1419" i="1"/>
  <c r="J1419" i="1"/>
  <c r="B1420" i="1"/>
  <c r="J1420" i="1"/>
  <c r="B1421" i="1"/>
  <c r="J1421" i="1"/>
  <c r="B1422" i="1"/>
  <c r="J1422" i="1"/>
  <c r="B1423" i="1"/>
  <c r="J1423" i="1"/>
  <c r="B1424" i="1"/>
  <c r="J1424" i="1"/>
  <c r="B1425" i="1"/>
  <c r="J1425" i="1"/>
  <c r="B1426" i="1"/>
  <c r="J1426" i="1"/>
  <c r="B1427" i="1"/>
  <c r="J1427" i="1"/>
  <c r="B1428" i="1"/>
  <c r="J1428" i="1"/>
  <c r="B1429" i="1"/>
  <c r="J1429" i="1"/>
  <c r="B1430" i="1"/>
  <c r="J1430" i="1"/>
  <c r="B1431" i="1"/>
  <c r="J1431" i="1"/>
  <c r="B1432" i="1"/>
  <c r="J1432" i="1"/>
  <c r="B1433" i="1"/>
  <c r="J1433" i="1"/>
  <c r="B1434" i="1"/>
  <c r="J1434" i="1"/>
  <c r="B1435" i="1"/>
  <c r="J1435" i="1"/>
  <c r="B1436" i="1"/>
  <c r="J1436" i="1"/>
  <c r="B1437" i="1"/>
  <c r="J1437" i="1"/>
  <c r="B1438" i="1"/>
  <c r="J1438" i="1"/>
  <c r="B1439" i="1"/>
  <c r="J1439" i="1"/>
  <c r="B1440" i="1"/>
  <c r="J1440" i="1"/>
  <c r="B1441" i="1"/>
  <c r="J1441" i="1"/>
  <c r="B1442" i="1"/>
  <c r="J1442" i="1"/>
  <c r="B1443" i="1"/>
  <c r="J1443" i="1"/>
  <c r="B1444" i="1"/>
  <c r="J1444" i="1"/>
  <c r="B1445" i="1"/>
  <c r="J1445" i="1"/>
  <c r="B1446" i="1"/>
  <c r="J1446" i="1"/>
  <c r="B1447" i="1"/>
  <c r="J1447" i="1"/>
  <c r="B1448" i="1"/>
  <c r="J1448" i="1"/>
  <c r="B1449" i="1"/>
  <c r="J1449" i="1"/>
  <c r="B1450" i="1"/>
  <c r="J1450" i="1"/>
  <c r="B1451" i="1"/>
  <c r="J1451" i="1"/>
  <c r="B1452" i="1"/>
  <c r="J1452" i="1"/>
  <c r="B1453" i="1"/>
  <c r="J1453" i="1"/>
  <c r="B1454" i="1"/>
  <c r="J1454" i="1"/>
  <c r="B1455" i="1"/>
  <c r="J1455" i="1"/>
  <c r="B1456" i="1"/>
  <c r="J1456" i="1"/>
  <c r="B1457" i="1"/>
  <c r="J1457" i="1"/>
  <c r="B1458" i="1"/>
  <c r="J1458" i="1"/>
  <c r="B1459" i="1"/>
  <c r="J1459" i="1"/>
  <c r="B1460" i="1"/>
  <c r="J1460" i="1"/>
  <c r="B1461" i="1"/>
  <c r="J1461" i="1"/>
  <c r="B1462" i="1"/>
  <c r="J1462" i="1"/>
  <c r="B1463" i="1"/>
  <c r="J1463" i="1"/>
  <c r="B1464" i="1"/>
  <c r="J1464" i="1"/>
  <c r="B1465" i="1"/>
  <c r="J1465" i="1"/>
  <c r="B1467" i="1"/>
  <c r="J1467" i="1"/>
  <c r="B1468" i="1"/>
  <c r="J1468" i="1"/>
  <c r="B1469" i="1"/>
  <c r="J1469" i="1"/>
  <c r="B1470" i="1"/>
  <c r="J1470" i="1"/>
  <c r="B1471" i="1"/>
  <c r="J1471" i="1"/>
  <c r="B1472" i="1"/>
  <c r="J1472" i="1"/>
  <c r="B1473" i="1"/>
  <c r="J1473" i="1"/>
  <c r="B1474" i="1"/>
  <c r="J1474" i="1"/>
  <c r="B1475" i="1"/>
  <c r="J1475" i="1"/>
  <c r="B1476" i="1"/>
  <c r="J1476" i="1"/>
  <c r="B1477" i="1"/>
  <c r="J1477" i="1"/>
  <c r="B1478" i="1"/>
  <c r="J1478" i="1"/>
  <c r="B1479" i="1"/>
  <c r="J1479" i="1"/>
  <c r="B1480" i="1"/>
  <c r="J1480" i="1"/>
  <c r="B1481" i="1"/>
  <c r="J1481" i="1"/>
  <c r="B1482" i="1"/>
  <c r="J1482" i="1"/>
  <c r="B1483" i="1"/>
  <c r="J1483" i="1"/>
  <c r="B1484" i="1"/>
  <c r="J1484" i="1"/>
  <c r="B1485" i="1"/>
  <c r="J1485" i="1"/>
  <c r="B1486" i="1"/>
  <c r="J1486" i="1"/>
  <c r="B1487" i="1"/>
  <c r="J1487" i="1"/>
  <c r="B1488" i="1"/>
  <c r="J1488" i="1"/>
  <c r="B1489" i="1"/>
  <c r="J1489" i="1"/>
  <c r="B1490" i="1"/>
  <c r="J1490" i="1"/>
  <c r="B1491" i="1"/>
  <c r="J1491" i="1"/>
  <c r="B1492" i="1"/>
  <c r="J1492" i="1"/>
  <c r="B1493" i="1"/>
  <c r="J1493" i="1"/>
  <c r="B1494" i="1"/>
  <c r="J1494" i="1"/>
  <c r="B1495" i="1"/>
  <c r="J1495" i="1"/>
  <c r="B1496" i="1"/>
  <c r="J1496" i="1"/>
  <c r="B1497" i="1"/>
  <c r="J1497" i="1"/>
  <c r="B1498" i="1"/>
  <c r="J1498" i="1"/>
  <c r="B1499" i="1"/>
  <c r="J1499" i="1"/>
  <c r="B1500" i="1"/>
  <c r="J1500" i="1"/>
  <c r="B1501" i="1"/>
  <c r="J1501" i="1"/>
  <c r="B1502" i="1"/>
  <c r="J1502" i="1"/>
  <c r="B1503" i="1"/>
  <c r="J1503" i="1"/>
  <c r="B1504" i="1"/>
  <c r="J1504" i="1"/>
  <c r="B1505" i="1"/>
  <c r="J1505" i="1"/>
  <c r="B1506" i="1"/>
  <c r="J1506" i="1"/>
  <c r="B1507" i="1"/>
  <c r="J1507" i="1"/>
  <c r="B1508" i="1"/>
  <c r="J1508" i="1"/>
  <c r="B1509" i="1"/>
  <c r="J1509" i="1"/>
  <c r="B1510" i="1"/>
  <c r="J1510" i="1"/>
  <c r="B1511" i="1"/>
  <c r="J1511" i="1"/>
  <c r="B1512" i="1"/>
  <c r="J1512" i="1"/>
  <c r="B1513" i="1"/>
  <c r="J1513" i="1"/>
  <c r="B1514" i="1"/>
  <c r="J1514" i="1"/>
  <c r="B1515" i="1"/>
  <c r="J1515" i="1"/>
  <c r="B1516" i="1"/>
  <c r="J1516" i="1"/>
  <c r="B1517" i="1"/>
  <c r="J1517" i="1"/>
  <c r="B1518" i="1"/>
  <c r="J1518" i="1"/>
  <c r="B1519" i="1"/>
  <c r="J1519" i="1"/>
  <c r="B1520" i="1"/>
  <c r="J1520" i="1"/>
  <c r="B1521" i="1"/>
  <c r="J1521" i="1"/>
  <c r="B1522" i="1"/>
  <c r="J1522" i="1"/>
  <c r="B1523" i="1"/>
  <c r="J1523" i="1"/>
  <c r="B1524" i="1"/>
  <c r="J1524" i="1"/>
  <c r="B1525" i="1"/>
  <c r="J1525" i="1"/>
  <c r="B1526" i="1"/>
  <c r="J1526" i="1"/>
  <c r="B1527" i="1"/>
  <c r="J1527" i="1"/>
  <c r="B1528" i="1"/>
  <c r="J1528" i="1"/>
  <c r="B1529" i="1"/>
  <c r="J1529" i="1"/>
  <c r="B1530" i="1"/>
  <c r="J1530" i="1"/>
  <c r="B1531" i="1"/>
  <c r="J1531" i="1"/>
  <c r="B1532" i="1"/>
  <c r="J1532" i="1"/>
  <c r="B1533" i="1"/>
  <c r="J1533" i="1"/>
  <c r="B1534" i="1"/>
  <c r="J1534" i="1"/>
  <c r="B1535" i="1"/>
  <c r="J1535" i="1"/>
  <c r="B1536" i="1"/>
  <c r="J1536" i="1"/>
  <c r="B1537" i="1"/>
  <c r="J1537" i="1"/>
  <c r="B1538" i="1"/>
  <c r="J1538" i="1"/>
  <c r="B1539" i="1"/>
  <c r="J1539" i="1"/>
  <c r="B1540" i="1"/>
  <c r="J1540" i="1"/>
  <c r="B1541" i="1"/>
  <c r="J1541" i="1"/>
  <c r="B1542" i="1"/>
  <c r="J1542" i="1"/>
  <c r="B1543" i="1"/>
  <c r="J1543" i="1"/>
  <c r="B1544" i="1"/>
  <c r="J1544" i="1"/>
  <c r="B1545" i="1"/>
  <c r="J1545" i="1"/>
  <c r="B1546" i="1"/>
  <c r="J1546" i="1"/>
  <c r="B1547" i="1"/>
  <c r="J1547" i="1"/>
  <c r="B1548" i="1"/>
  <c r="J1548" i="1"/>
  <c r="B1549" i="1"/>
  <c r="J1549" i="1"/>
  <c r="B1550" i="1"/>
  <c r="J1550" i="1"/>
  <c r="B1551" i="1"/>
  <c r="J1551" i="1"/>
  <c r="B1552" i="1"/>
  <c r="J1552" i="1"/>
  <c r="B1553" i="1"/>
  <c r="J1553" i="1"/>
  <c r="B1554" i="1"/>
  <c r="J1554" i="1"/>
  <c r="B1555" i="1"/>
  <c r="J1555" i="1"/>
  <c r="B1556" i="1"/>
  <c r="J1556" i="1"/>
  <c r="B1557" i="1"/>
  <c r="J1557" i="1"/>
  <c r="B1558" i="1"/>
  <c r="J1558" i="1"/>
  <c r="B1559" i="1"/>
  <c r="J1559" i="1"/>
  <c r="B1560" i="1"/>
  <c r="J1560" i="1"/>
  <c r="B1561" i="1"/>
  <c r="J1561" i="1"/>
  <c r="B1562" i="1"/>
  <c r="J1562" i="1"/>
  <c r="B1563" i="1"/>
  <c r="J1563" i="1"/>
  <c r="B1564" i="1"/>
  <c r="J1564" i="1"/>
  <c r="B1565" i="1"/>
  <c r="J1565" i="1"/>
  <c r="B1566" i="1"/>
  <c r="J1566" i="1"/>
  <c r="B1567" i="1"/>
  <c r="J1567" i="1"/>
  <c r="B1568" i="1"/>
  <c r="J1568" i="1"/>
  <c r="B1569" i="1"/>
  <c r="J1569" i="1"/>
  <c r="B1570" i="1"/>
  <c r="J1570" i="1"/>
  <c r="B1571" i="1"/>
  <c r="J1571" i="1"/>
  <c r="B1572" i="1"/>
  <c r="J1572" i="1"/>
  <c r="B1573" i="1"/>
  <c r="J1573" i="1"/>
  <c r="B1574" i="1"/>
  <c r="J1574" i="1"/>
  <c r="B1575" i="1"/>
  <c r="J1575" i="1"/>
  <c r="B1576" i="1"/>
  <c r="J1576" i="1"/>
  <c r="B1577" i="1"/>
  <c r="J1577" i="1"/>
  <c r="B1578" i="1"/>
  <c r="J1578" i="1"/>
  <c r="B1579" i="1"/>
  <c r="J1579" i="1"/>
  <c r="B1580" i="1"/>
  <c r="J1580" i="1"/>
  <c r="B1581" i="1"/>
  <c r="J1581" i="1"/>
  <c r="B1582" i="1"/>
  <c r="J1582" i="1"/>
  <c r="B1583" i="1"/>
  <c r="J1583" i="1"/>
  <c r="B1584" i="1"/>
  <c r="J1584" i="1"/>
  <c r="B1585" i="1"/>
  <c r="J1585" i="1"/>
  <c r="B1586" i="1"/>
  <c r="J1586" i="1"/>
  <c r="B1587" i="1"/>
  <c r="J1587" i="1"/>
  <c r="B1588" i="1"/>
  <c r="J1588" i="1"/>
  <c r="B1589" i="1"/>
  <c r="J1589" i="1"/>
  <c r="B1590" i="1"/>
  <c r="J1590" i="1"/>
  <c r="B1591" i="1"/>
  <c r="J1591" i="1"/>
  <c r="B1592" i="1"/>
  <c r="J1592" i="1"/>
  <c r="B1593" i="1"/>
  <c r="J1593" i="1"/>
  <c r="B1594" i="1"/>
  <c r="J1594" i="1"/>
  <c r="B1595" i="1"/>
  <c r="J1595" i="1"/>
  <c r="B1596" i="1"/>
  <c r="J1596" i="1"/>
  <c r="B1597" i="1"/>
  <c r="J1597" i="1"/>
  <c r="B1598" i="1"/>
  <c r="J1598" i="1"/>
  <c r="B1599" i="1"/>
  <c r="J1599" i="1"/>
  <c r="B1600" i="1"/>
  <c r="J1600" i="1"/>
  <c r="B1601" i="1"/>
  <c r="J1601" i="1"/>
  <c r="B1602" i="1"/>
  <c r="J1602" i="1"/>
  <c r="B1603" i="1"/>
  <c r="J1603" i="1"/>
  <c r="B1604" i="1"/>
  <c r="J1604" i="1"/>
  <c r="B1605" i="1"/>
  <c r="J1605" i="1"/>
  <c r="B1606" i="1"/>
  <c r="J1606" i="1"/>
  <c r="B1607" i="1"/>
  <c r="J1607" i="1"/>
  <c r="B1608" i="1"/>
  <c r="J1608" i="1"/>
  <c r="B1609" i="1"/>
  <c r="J1609" i="1"/>
  <c r="B1610" i="1"/>
  <c r="J1610" i="1"/>
  <c r="B1611" i="1"/>
  <c r="J1611" i="1"/>
  <c r="B1612" i="1"/>
  <c r="J1612" i="1"/>
  <c r="B1613" i="1"/>
  <c r="J1613" i="1"/>
  <c r="B1614" i="1"/>
  <c r="J1614" i="1"/>
  <c r="B1615" i="1"/>
  <c r="J1615" i="1"/>
  <c r="B1616" i="1"/>
  <c r="J1616" i="1"/>
  <c r="B1617" i="1"/>
  <c r="J1617" i="1"/>
  <c r="B1618" i="1"/>
  <c r="J1618" i="1"/>
  <c r="B1619" i="1"/>
  <c r="J1619" i="1"/>
  <c r="B1620" i="1"/>
  <c r="J1620" i="1"/>
  <c r="B1621" i="1"/>
  <c r="J1621" i="1"/>
  <c r="B1622" i="1"/>
  <c r="J1622" i="1"/>
  <c r="B1623" i="1"/>
  <c r="J1623" i="1"/>
  <c r="B1624" i="1"/>
  <c r="J1624" i="1"/>
  <c r="B1625" i="1"/>
  <c r="J1625" i="1"/>
  <c r="B1626" i="1"/>
  <c r="J1626" i="1"/>
  <c r="B1627" i="1"/>
  <c r="J1627" i="1"/>
  <c r="B1628" i="1"/>
  <c r="J1628" i="1"/>
  <c r="B1629" i="1"/>
  <c r="J1629" i="1"/>
  <c r="B1630" i="1"/>
  <c r="J1630" i="1"/>
  <c r="B1631" i="1"/>
  <c r="J1631" i="1"/>
  <c r="B1632" i="1"/>
  <c r="J1632" i="1"/>
  <c r="B1633" i="1"/>
  <c r="J1633" i="1"/>
  <c r="B1634" i="1"/>
  <c r="J1634" i="1"/>
  <c r="B1635" i="1"/>
  <c r="J1635" i="1"/>
  <c r="B1636" i="1"/>
  <c r="J1636" i="1"/>
  <c r="B1637" i="1"/>
  <c r="J1637" i="1"/>
  <c r="B1638" i="1"/>
  <c r="J1638" i="1"/>
  <c r="B1639" i="1"/>
  <c r="J1639" i="1"/>
  <c r="B1640" i="1"/>
  <c r="J1640" i="1"/>
  <c r="B1641" i="1"/>
  <c r="J1641" i="1"/>
  <c r="B1642" i="1"/>
  <c r="J1642" i="1"/>
  <c r="B1643" i="1"/>
  <c r="J1643" i="1"/>
  <c r="B1644" i="1"/>
  <c r="J1644" i="1"/>
  <c r="B1645" i="1"/>
  <c r="J1645" i="1"/>
  <c r="B1646" i="1"/>
  <c r="J1646" i="1"/>
  <c r="B1647" i="1"/>
  <c r="J1647" i="1"/>
  <c r="B1648" i="1"/>
  <c r="J1648" i="1"/>
  <c r="B1649" i="1"/>
  <c r="J1649" i="1"/>
  <c r="B1650" i="1"/>
  <c r="J1650" i="1"/>
  <c r="B1651" i="1"/>
  <c r="J1651" i="1"/>
  <c r="B1652" i="1"/>
  <c r="J1652" i="1"/>
  <c r="B1653" i="1"/>
  <c r="J1653" i="1"/>
  <c r="B1654" i="1"/>
  <c r="J1654" i="1"/>
  <c r="B1655" i="1"/>
  <c r="J1655" i="1"/>
  <c r="B1656" i="1"/>
  <c r="J1656" i="1"/>
  <c r="B1657" i="1"/>
  <c r="J1657" i="1"/>
  <c r="B1658" i="1"/>
  <c r="J1658" i="1"/>
  <c r="B1659" i="1"/>
  <c r="J1659" i="1"/>
  <c r="B1660" i="1"/>
  <c r="J1660" i="1"/>
  <c r="B1661" i="1"/>
  <c r="J1661" i="1"/>
  <c r="B1662" i="1"/>
  <c r="J1662" i="1"/>
  <c r="B1663" i="1"/>
  <c r="J1663" i="1"/>
  <c r="B1664" i="1"/>
  <c r="J1664" i="1"/>
  <c r="B1665" i="1"/>
  <c r="J1665" i="1"/>
  <c r="B1666" i="1"/>
  <c r="J1666" i="1"/>
  <c r="B1667" i="1"/>
  <c r="J1667" i="1"/>
  <c r="B1668" i="1"/>
  <c r="J1668" i="1"/>
  <c r="B1669" i="1"/>
  <c r="J1669" i="1"/>
  <c r="B1670" i="1"/>
  <c r="J1670" i="1"/>
  <c r="B1671" i="1"/>
  <c r="J1671" i="1"/>
  <c r="B1672" i="1"/>
  <c r="J1672" i="1"/>
  <c r="B1673" i="1"/>
  <c r="J1673" i="1"/>
  <c r="B1674" i="1"/>
  <c r="J1674" i="1"/>
  <c r="B1675" i="1"/>
  <c r="J1675" i="1"/>
  <c r="B1676" i="1"/>
  <c r="J1676" i="1"/>
  <c r="B1677" i="1"/>
  <c r="J1677" i="1"/>
  <c r="B1678" i="1"/>
  <c r="J1678" i="1"/>
  <c r="B1679" i="1"/>
  <c r="J1679" i="1"/>
  <c r="B1680" i="1"/>
  <c r="J1680" i="1"/>
  <c r="B1681" i="1"/>
  <c r="J1681" i="1"/>
  <c r="B1682" i="1"/>
  <c r="J1682" i="1"/>
  <c r="B1683" i="1"/>
  <c r="J1683" i="1"/>
  <c r="B1684" i="1"/>
  <c r="J1684" i="1"/>
  <c r="B1685" i="1"/>
  <c r="J1685" i="1"/>
  <c r="B1686" i="1"/>
  <c r="J1686" i="1"/>
  <c r="B1687" i="1"/>
  <c r="J1687" i="1"/>
  <c r="B1688" i="1"/>
  <c r="J1688" i="1"/>
  <c r="B1689" i="1"/>
  <c r="J1689" i="1"/>
  <c r="B1690" i="1"/>
  <c r="J1690" i="1"/>
  <c r="B1691" i="1"/>
  <c r="J1691" i="1"/>
  <c r="B1692" i="1"/>
  <c r="J1692" i="1"/>
  <c r="B1693" i="1"/>
  <c r="J1693" i="1"/>
  <c r="B1694" i="1"/>
  <c r="J1694" i="1"/>
  <c r="B1695" i="1"/>
  <c r="J1695" i="1"/>
  <c r="B1696" i="1"/>
  <c r="J1696" i="1"/>
  <c r="B1697" i="1"/>
  <c r="J1697" i="1"/>
  <c r="B1698" i="1"/>
  <c r="J1698" i="1"/>
  <c r="B1699" i="1"/>
  <c r="J1699" i="1"/>
  <c r="B1700" i="1"/>
  <c r="J1700" i="1"/>
  <c r="B1701" i="1"/>
  <c r="J1701" i="1"/>
  <c r="B1702" i="1"/>
  <c r="J1702" i="1"/>
  <c r="B1703" i="1"/>
  <c r="J1703" i="1"/>
  <c r="B1704" i="1"/>
  <c r="J1704" i="1"/>
  <c r="B1705" i="1"/>
  <c r="J1705" i="1"/>
  <c r="B1706" i="1"/>
  <c r="J1706" i="1"/>
  <c r="B1707" i="1"/>
  <c r="J1707" i="1"/>
  <c r="B1708" i="1"/>
  <c r="J1708" i="1"/>
  <c r="B1709" i="1"/>
  <c r="J1709" i="1"/>
  <c r="B1710" i="1"/>
  <c r="J1710" i="1"/>
  <c r="B1711" i="1"/>
  <c r="J1711" i="1"/>
  <c r="B1712" i="1"/>
  <c r="J1712" i="1"/>
  <c r="B1713" i="1"/>
  <c r="J1713" i="1"/>
  <c r="B1714" i="1"/>
  <c r="J1714" i="1"/>
  <c r="B1715" i="1"/>
  <c r="J1715" i="1"/>
  <c r="B1716" i="1"/>
  <c r="J1716" i="1"/>
  <c r="B1717" i="1"/>
  <c r="J1717" i="1"/>
  <c r="B1718" i="1"/>
  <c r="J1718" i="1"/>
  <c r="B1719" i="1"/>
  <c r="J1719" i="1"/>
  <c r="B1720" i="1"/>
  <c r="J1720" i="1"/>
  <c r="B1721" i="1"/>
  <c r="J1721" i="1"/>
  <c r="B1722" i="1"/>
  <c r="J1722" i="1"/>
  <c r="B1723" i="1"/>
  <c r="J1723" i="1"/>
  <c r="B1724" i="1"/>
  <c r="J1724" i="1"/>
  <c r="B1725" i="1"/>
  <c r="J1725" i="1"/>
  <c r="B1726" i="1"/>
  <c r="J1726" i="1"/>
  <c r="B1727" i="1"/>
  <c r="J1727" i="1"/>
  <c r="B1728" i="1"/>
  <c r="J1728" i="1"/>
  <c r="B1729" i="1"/>
  <c r="J1729" i="1"/>
  <c r="B1730" i="1"/>
  <c r="J1730" i="1"/>
  <c r="B1731" i="1"/>
  <c r="J1731" i="1"/>
  <c r="B1732" i="1"/>
  <c r="J1732" i="1"/>
  <c r="B1733" i="1"/>
  <c r="J1733" i="1"/>
  <c r="B1734" i="1"/>
  <c r="J1734" i="1"/>
  <c r="B1735" i="1"/>
  <c r="J1735" i="1"/>
  <c r="B1736" i="1"/>
  <c r="J1736" i="1"/>
  <c r="B1737" i="1"/>
  <c r="J1737" i="1"/>
  <c r="B1738" i="1"/>
  <c r="J1738" i="1"/>
  <c r="B1739" i="1"/>
  <c r="J1739" i="1"/>
  <c r="B1740" i="1"/>
  <c r="J1740" i="1"/>
  <c r="B1741" i="1"/>
  <c r="J1741" i="1"/>
  <c r="B1742" i="1"/>
  <c r="J1742" i="1"/>
  <c r="B1743" i="1"/>
  <c r="J1743" i="1"/>
  <c r="B1744" i="1"/>
  <c r="J1744" i="1"/>
  <c r="B1745" i="1"/>
  <c r="J1745" i="1"/>
  <c r="B1746" i="1"/>
  <c r="J1746" i="1"/>
  <c r="B1747" i="1"/>
  <c r="J1747" i="1"/>
  <c r="B1748" i="1"/>
  <c r="J1748" i="1"/>
  <c r="B1749" i="1"/>
  <c r="J1749" i="1"/>
  <c r="B1750" i="1"/>
  <c r="J1750" i="1"/>
  <c r="B1751" i="1"/>
  <c r="J1751" i="1"/>
  <c r="B1752" i="1"/>
  <c r="J1752" i="1"/>
  <c r="B1753" i="1"/>
  <c r="J1753" i="1"/>
  <c r="B1754" i="1"/>
  <c r="J1754" i="1"/>
  <c r="B1755" i="1"/>
  <c r="J1755" i="1"/>
  <c r="B1756" i="1"/>
  <c r="J1756" i="1"/>
  <c r="B1757" i="1"/>
  <c r="J1757" i="1"/>
  <c r="B1758" i="1"/>
  <c r="J1758" i="1"/>
  <c r="B1759" i="1"/>
  <c r="J1759" i="1"/>
  <c r="B1760" i="1"/>
  <c r="J1760" i="1"/>
  <c r="B1761" i="1"/>
  <c r="J1761" i="1"/>
  <c r="B1762" i="1"/>
  <c r="J1762" i="1"/>
  <c r="B1763" i="1"/>
  <c r="J1763" i="1"/>
  <c r="B1764" i="1"/>
  <c r="J1764" i="1"/>
  <c r="B1765" i="1"/>
  <c r="J1765" i="1"/>
  <c r="B1766" i="1"/>
  <c r="J1766" i="1"/>
  <c r="B1767" i="1"/>
  <c r="J1767" i="1"/>
  <c r="B1768" i="1"/>
  <c r="J1768" i="1"/>
  <c r="B1769" i="1"/>
  <c r="J1769" i="1"/>
  <c r="B1770" i="1"/>
  <c r="J1770" i="1"/>
  <c r="B1771" i="1"/>
  <c r="J1771" i="1"/>
  <c r="B1772" i="1"/>
  <c r="J1772" i="1"/>
  <c r="B1773" i="1"/>
  <c r="J1773" i="1"/>
  <c r="B1774" i="1"/>
  <c r="J1774" i="1"/>
  <c r="B1775" i="1"/>
  <c r="J1775" i="1"/>
  <c r="B1776" i="1"/>
  <c r="J1776" i="1"/>
  <c r="B1777" i="1"/>
  <c r="J1777" i="1"/>
  <c r="B1778" i="1"/>
  <c r="J1778" i="1"/>
  <c r="B1779" i="1"/>
  <c r="J1779" i="1"/>
  <c r="B1780" i="1"/>
  <c r="J1780" i="1"/>
  <c r="B1781" i="1"/>
  <c r="J1781" i="1"/>
  <c r="B1782" i="1"/>
  <c r="J1782" i="1"/>
  <c r="B1783" i="1"/>
  <c r="J1783" i="1"/>
  <c r="B1784" i="1"/>
  <c r="J1784" i="1"/>
  <c r="B1785" i="1"/>
  <c r="J1785" i="1"/>
  <c r="B1786" i="1"/>
  <c r="J1786" i="1"/>
  <c r="B1787" i="1"/>
  <c r="J1787" i="1"/>
  <c r="B1788" i="1"/>
  <c r="J1788" i="1"/>
  <c r="B1789" i="1"/>
  <c r="J1789" i="1"/>
  <c r="B1790" i="1"/>
  <c r="J1790" i="1"/>
  <c r="B1791" i="1"/>
  <c r="J1791" i="1"/>
  <c r="B1792" i="1"/>
  <c r="J1792" i="1"/>
  <c r="B1793" i="1"/>
  <c r="J1793" i="1"/>
  <c r="B1794" i="1"/>
  <c r="J1794" i="1"/>
  <c r="B1795" i="1"/>
  <c r="J1795" i="1"/>
  <c r="B1796" i="1"/>
  <c r="J1796" i="1"/>
  <c r="B1797" i="1"/>
  <c r="J1797" i="1"/>
  <c r="B1798" i="1"/>
  <c r="J1798" i="1"/>
  <c r="B1799" i="1"/>
  <c r="J1799" i="1"/>
  <c r="B1800" i="1"/>
  <c r="J1800" i="1"/>
  <c r="B1801" i="1"/>
  <c r="J1801" i="1"/>
  <c r="B1802" i="1"/>
  <c r="J1802" i="1"/>
  <c r="B1803" i="1"/>
  <c r="J1803" i="1"/>
  <c r="B1804" i="1"/>
  <c r="J1804" i="1"/>
  <c r="B1805" i="1"/>
  <c r="J1805" i="1"/>
  <c r="B1806" i="1"/>
  <c r="J1806" i="1"/>
  <c r="B1807" i="1"/>
  <c r="J1807" i="1"/>
  <c r="B1808" i="1"/>
  <c r="J1808" i="1"/>
  <c r="B1809" i="1"/>
  <c r="J1809" i="1"/>
  <c r="B1810" i="1"/>
  <c r="J1810" i="1"/>
  <c r="B1811" i="1"/>
  <c r="J1811" i="1"/>
  <c r="B1812" i="1"/>
  <c r="J1812" i="1"/>
  <c r="B1813" i="1"/>
  <c r="J1813" i="1"/>
  <c r="B1814" i="1"/>
  <c r="J1814" i="1"/>
  <c r="B1815" i="1"/>
  <c r="J1815" i="1"/>
  <c r="B1816" i="1"/>
  <c r="J1816" i="1"/>
  <c r="B1817" i="1"/>
  <c r="J1817" i="1"/>
  <c r="B1818" i="1"/>
  <c r="J1818" i="1"/>
  <c r="B1819" i="1"/>
  <c r="J1819" i="1"/>
  <c r="B1820" i="1"/>
  <c r="J1820" i="1"/>
  <c r="B1821" i="1"/>
  <c r="J1821" i="1"/>
  <c r="B1822" i="1"/>
  <c r="J1822" i="1"/>
  <c r="B1823" i="1"/>
  <c r="J1823" i="1"/>
  <c r="B1824" i="1"/>
  <c r="J1824" i="1"/>
  <c r="B1825" i="1"/>
  <c r="J1825" i="1"/>
  <c r="B1826" i="1"/>
  <c r="J1826" i="1"/>
  <c r="B1827" i="1"/>
  <c r="J1827" i="1"/>
  <c r="B1828" i="1"/>
  <c r="J1828" i="1"/>
  <c r="B1829" i="1"/>
  <c r="J1829" i="1"/>
  <c r="B1830" i="1"/>
  <c r="J1830" i="1"/>
  <c r="B1831" i="1"/>
  <c r="J1831" i="1"/>
  <c r="B1833" i="1"/>
  <c r="J1833" i="1"/>
  <c r="B1834" i="1"/>
  <c r="J1834" i="1"/>
  <c r="B1835" i="1"/>
  <c r="J1835" i="1"/>
  <c r="B1836" i="1"/>
  <c r="J1836" i="1"/>
  <c r="B1837" i="1"/>
  <c r="J1837" i="1"/>
  <c r="B1838" i="1"/>
  <c r="J1838" i="1"/>
  <c r="B1839" i="1"/>
  <c r="J1839" i="1"/>
  <c r="B1840" i="1"/>
  <c r="J1840" i="1"/>
  <c r="B1841" i="1"/>
  <c r="J1841" i="1"/>
  <c r="B1842" i="1"/>
  <c r="J1842" i="1"/>
  <c r="B1843" i="1"/>
  <c r="J1843" i="1"/>
  <c r="B1844" i="1"/>
  <c r="J1844" i="1"/>
  <c r="B1845" i="1"/>
  <c r="J1845" i="1"/>
  <c r="B1846" i="1"/>
  <c r="J1846" i="1"/>
  <c r="B1847" i="1"/>
  <c r="J1847" i="1"/>
  <c r="B1848" i="1"/>
  <c r="J1848" i="1"/>
  <c r="B1849" i="1"/>
  <c r="J1849" i="1"/>
  <c r="B1850" i="1"/>
  <c r="J1850" i="1"/>
  <c r="B1851" i="1"/>
  <c r="J1851" i="1"/>
  <c r="B1852" i="1"/>
  <c r="J1852" i="1"/>
  <c r="B1853" i="1"/>
  <c r="J1853" i="1"/>
  <c r="B1854" i="1"/>
  <c r="J1854" i="1"/>
  <c r="B1855" i="1"/>
  <c r="J1855" i="1"/>
  <c r="B1856" i="1"/>
  <c r="J1856" i="1"/>
  <c r="B1857" i="1"/>
  <c r="J1857" i="1"/>
  <c r="B1858" i="1"/>
  <c r="J1858" i="1"/>
  <c r="B1859" i="1"/>
  <c r="J1859" i="1"/>
  <c r="B1860" i="1"/>
  <c r="J1860" i="1"/>
  <c r="B1861" i="1"/>
  <c r="J1861" i="1"/>
  <c r="B1862" i="1"/>
  <c r="J1862" i="1"/>
  <c r="B1863" i="1"/>
  <c r="J1863" i="1"/>
  <c r="B1864" i="1"/>
  <c r="J1864" i="1"/>
  <c r="B1865" i="1"/>
  <c r="J1865" i="1"/>
  <c r="B1866" i="1"/>
  <c r="J1866" i="1"/>
  <c r="B1867" i="1"/>
  <c r="J1867" i="1"/>
  <c r="B1868" i="1"/>
  <c r="J1868" i="1"/>
  <c r="B1869" i="1"/>
  <c r="J1869" i="1"/>
  <c r="B1870" i="1"/>
  <c r="J1870" i="1"/>
  <c r="B1871" i="1"/>
  <c r="J1871" i="1"/>
  <c r="B1872" i="1"/>
  <c r="J1872" i="1"/>
  <c r="B1873" i="1"/>
  <c r="J1873" i="1"/>
  <c r="B1874" i="1"/>
  <c r="J1874" i="1"/>
  <c r="B1875" i="1"/>
  <c r="J1875" i="1"/>
  <c r="B1876" i="1"/>
  <c r="J1876" i="1"/>
  <c r="B1877" i="1"/>
  <c r="J1877" i="1"/>
  <c r="B1878" i="1"/>
  <c r="J1878" i="1"/>
  <c r="B1879" i="1"/>
  <c r="J1879" i="1"/>
  <c r="B1880" i="1"/>
  <c r="J1880" i="1"/>
  <c r="B1881" i="1"/>
  <c r="J1881" i="1"/>
  <c r="B1882" i="1"/>
  <c r="J1882" i="1"/>
  <c r="B1883" i="1"/>
  <c r="J1883" i="1"/>
  <c r="B1884" i="1"/>
  <c r="J1884" i="1"/>
  <c r="B1885" i="1"/>
  <c r="J1885" i="1"/>
  <c r="B1886" i="1"/>
  <c r="J1886" i="1"/>
  <c r="B1887" i="1"/>
  <c r="J1887" i="1"/>
  <c r="B1888" i="1"/>
  <c r="J1888" i="1"/>
  <c r="B1889" i="1"/>
  <c r="J1889" i="1"/>
  <c r="B1890" i="1"/>
  <c r="J1890" i="1"/>
  <c r="B1891" i="1"/>
  <c r="J1891" i="1"/>
  <c r="B1892" i="1"/>
  <c r="J1892" i="1"/>
  <c r="B1893" i="1"/>
  <c r="J1893" i="1"/>
  <c r="B1894" i="1"/>
  <c r="J1894" i="1"/>
  <c r="B1895" i="1"/>
  <c r="J1895" i="1"/>
  <c r="B1896" i="1"/>
  <c r="J1896" i="1"/>
  <c r="B1897" i="1"/>
  <c r="J1897" i="1"/>
  <c r="B1898" i="1"/>
  <c r="J1898" i="1"/>
  <c r="B1899" i="1"/>
  <c r="J1899" i="1"/>
  <c r="B1900" i="1"/>
  <c r="J1900" i="1"/>
  <c r="B1901" i="1"/>
  <c r="J1901" i="1"/>
  <c r="B1902" i="1"/>
  <c r="J1902" i="1"/>
  <c r="B1903" i="1"/>
  <c r="J1903" i="1"/>
  <c r="B1904" i="1"/>
  <c r="J1904" i="1"/>
  <c r="B1905" i="1"/>
  <c r="J1905" i="1"/>
  <c r="B1906" i="1"/>
  <c r="J1906" i="1"/>
  <c r="B1907" i="1"/>
  <c r="J1907" i="1"/>
  <c r="B1908" i="1"/>
  <c r="J1908" i="1"/>
  <c r="B1909" i="1"/>
  <c r="J1909" i="1"/>
  <c r="B1910" i="1"/>
  <c r="J1910" i="1"/>
  <c r="B1911" i="1"/>
  <c r="J1911" i="1"/>
  <c r="B1912" i="1"/>
  <c r="J1912" i="1"/>
  <c r="B1913" i="1"/>
  <c r="J1913" i="1"/>
  <c r="B1914" i="1"/>
  <c r="J1914" i="1"/>
  <c r="B1915" i="1"/>
  <c r="J1915" i="1"/>
  <c r="B1916" i="1"/>
  <c r="J1916" i="1"/>
  <c r="B1917" i="1"/>
  <c r="J1917" i="1"/>
  <c r="B1918" i="1"/>
  <c r="J1918" i="1"/>
  <c r="B1919" i="1"/>
  <c r="J1919" i="1"/>
  <c r="B1920" i="1"/>
  <c r="J1920" i="1"/>
  <c r="B1921" i="1"/>
  <c r="J1921" i="1"/>
  <c r="B1922" i="1"/>
  <c r="J1922" i="1"/>
  <c r="B1923" i="1"/>
  <c r="J1923" i="1"/>
  <c r="B1924" i="1"/>
  <c r="J1924" i="1"/>
  <c r="B1925" i="1"/>
  <c r="J1925" i="1"/>
  <c r="B1926" i="1"/>
  <c r="J1926" i="1"/>
  <c r="B1927" i="1"/>
  <c r="J1927" i="1"/>
  <c r="B1928" i="1"/>
  <c r="J1928" i="1"/>
  <c r="B1929" i="1"/>
  <c r="J1929" i="1"/>
  <c r="B1930" i="1"/>
  <c r="J1930" i="1"/>
  <c r="B1931" i="1"/>
  <c r="J1931" i="1"/>
  <c r="B1932" i="1"/>
  <c r="J1932" i="1"/>
  <c r="B1933" i="1"/>
  <c r="J1933" i="1"/>
  <c r="B1934" i="1"/>
  <c r="J1934" i="1"/>
  <c r="B1935" i="1"/>
  <c r="J1935" i="1"/>
  <c r="B1936" i="1"/>
  <c r="J1936" i="1"/>
  <c r="B1937" i="1"/>
  <c r="J1937" i="1"/>
  <c r="B1938" i="1"/>
  <c r="J1938" i="1"/>
  <c r="B1939" i="1"/>
  <c r="J1939" i="1"/>
  <c r="B1940" i="1"/>
  <c r="J1940" i="1"/>
  <c r="B1941" i="1"/>
  <c r="J1941" i="1"/>
  <c r="B1942" i="1"/>
  <c r="J1942" i="1"/>
  <c r="B1943" i="1"/>
  <c r="J1943" i="1"/>
  <c r="B1944" i="1"/>
  <c r="J1944" i="1"/>
  <c r="B1945" i="1"/>
  <c r="J1945" i="1"/>
  <c r="B1946" i="1"/>
  <c r="J1946" i="1"/>
  <c r="B1947" i="1"/>
  <c r="J1947" i="1"/>
  <c r="B1948" i="1"/>
  <c r="J1948" i="1"/>
  <c r="B1949" i="1"/>
  <c r="J1949" i="1"/>
  <c r="B1950" i="1"/>
  <c r="J1950" i="1"/>
  <c r="B1951" i="1"/>
  <c r="J1951" i="1"/>
  <c r="B1952" i="1"/>
  <c r="J1952" i="1"/>
  <c r="B1953" i="1"/>
  <c r="J1953" i="1"/>
  <c r="B1954" i="1"/>
  <c r="J1954" i="1"/>
  <c r="B1955" i="1"/>
  <c r="J1955" i="1"/>
  <c r="B1956" i="1"/>
  <c r="J1956" i="1"/>
  <c r="B1957" i="1"/>
  <c r="J1957" i="1"/>
  <c r="B1958" i="1"/>
  <c r="J1958" i="1"/>
  <c r="B1959" i="1"/>
  <c r="J1959" i="1"/>
  <c r="B1960" i="1"/>
  <c r="J1960" i="1"/>
  <c r="B1961" i="1"/>
  <c r="J1961" i="1"/>
  <c r="B1962" i="1"/>
  <c r="J1962" i="1"/>
  <c r="B1963" i="1"/>
  <c r="J1963" i="1"/>
  <c r="B1964" i="1"/>
  <c r="J1964" i="1"/>
  <c r="B1965" i="1"/>
  <c r="J1965" i="1"/>
  <c r="B1966" i="1"/>
  <c r="J1966" i="1"/>
  <c r="B1967" i="1"/>
  <c r="J1967" i="1"/>
  <c r="B1968" i="1"/>
  <c r="J1968" i="1"/>
  <c r="B1969" i="1"/>
  <c r="J1969" i="1"/>
  <c r="B1970" i="1"/>
  <c r="J1970" i="1"/>
  <c r="B1971" i="1"/>
  <c r="J1971" i="1"/>
  <c r="B1972" i="1"/>
  <c r="J1972" i="1"/>
  <c r="B1973" i="1"/>
  <c r="J1973" i="1"/>
  <c r="B1974" i="1"/>
  <c r="J1974" i="1"/>
  <c r="B1975" i="1"/>
  <c r="J1975" i="1"/>
  <c r="B1976" i="1"/>
  <c r="J1976" i="1"/>
  <c r="B1977" i="1"/>
  <c r="J1977" i="1"/>
  <c r="B1978" i="1"/>
  <c r="J1978" i="1"/>
  <c r="B1979" i="1"/>
  <c r="J1979" i="1"/>
  <c r="B1980" i="1"/>
  <c r="J1980" i="1"/>
  <c r="B1981" i="1"/>
  <c r="J1981" i="1"/>
  <c r="B1982" i="1"/>
  <c r="J1982" i="1"/>
  <c r="B1983" i="1"/>
  <c r="J1983" i="1"/>
  <c r="B1984" i="1"/>
  <c r="J1984" i="1"/>
  <c r="B1985" i="1"/>
  <c r="J1985" i="1"/>
  <c r="B1986" i="1"/>
  <c r="J1986" i="1"/>
  <c r="B1987" i="1"/>
  <c r="J1987" i="1"/>
  <c r="B1988" i="1"/>
  <c r="J1988" i="1"/>
  <c r="B1989" i="1"/>
  <c r="J1989" i="1"/>
  <c r="B1990" i="1"/>
  <c r="J1990" i="1"/>
  <c r="B1991" i="1"/>
  <c r="J1991" i="1"/>
  <c r="B1992" i="1"/>
  <c r="J1992" i="1"/>
  <c r="B1993" i="1"/>
  <c r="J1993" i="1"/>
  <c r="B1994" i="1"/>
  <c r="J1994" i="1"/>
  <c r="B1995" i="1"/>
  <c r="J1995" i="1"/>
  <c r="B1996" i="1"/>
  <c r="J1996" i="1"/>
  <c r="B1997" i="1"/>
  <c r="J1997" i="1"/>
  <c r="B1998" i="1"/>
  <c r="J1998" i="1"/>
  <c r="B1999" i="1"/>
  <c r="J1999" i="1"/>
  <c r="B2000" i="1"/>
  <c r="J2000" i="1"/>
  <c r="B2001" i="1"/>
  <c r="J2001" i="1"/>
  <c r="B2002" i="1"/>
  <c r="J2002" i="1"/>
  <c r="B2003" i="1"/>
  <c r="J2003" i="1"/>
  <c r="B2004" i="1"/>
  <c r="J2004" i="1"/>
  <c r="B2005" i="1"/>
  <c r="J2005" i="1"/>
  <c r="B2006" i="1"/>
  <c r="J2006" i="1"/>
  <c r="B2007" i="1"/>
  <c r="J2007" i="1"/>
  <c r="B2008" i="1"/>
  <c r="J2008" i="1"/>
  <c r="B2009" i="1"/>
  <c r="J2009" i="1"/>
  <c r="B2010" i="1"/>
  <c r="J2010" i="1"/>
  <c r="B2011" i="1"/>
  <c r="J2011" i="1"/>
  <c r="B2012" i="1"/>
  <c r="J2012" i="1"/>
  <c r="B2013" i="1"/>
  <c r="J2013" i="1"/>
  <c r="B2014" i="1"/>
  <c r="J2014" i="1"/>
  <c r="B2015" i="1"/>
  <c r="J2015" i="1"/>
  <c r="B2016" i="1"/>
  <c r="J2016" i="1"/>
  <c r="B2017" i="1"/>
  <c r="J2017" i="1"/>
  <c r="B2018" i="1"/>
  <c r="J2018" i="1"/>
  <c r="B2019" i="1"/>
  <c r="J2019" i="1"/>
  <c r="B2020" i="1"/>
  <c r="J2020" i="1"/>
  <c r="B2021" i="1"/>
  <c r="J2021" i="1"/>
  <c r="B2022" i="1"/>
  <c r="J2022" i="1"/>
  <c r="B2023" i="1"/>
  <c r="J2023" i="1"/>
  <c r="B2024" i="1"/>
  <c r="J2024" i="1"/>
  <c r="B2025" i="1"/>
  <c r="J2025" i="1"/>
  <c r="B2026" i="1"/>
  <c r="J2026" i="1"/>
  <c r="B2027" i="1"/>
  <c r="J2027" i="1"/>
  <c r="B2028" i="1"/>
  <c r="J2028" i="1"/>
  <c r="B2029" i="1"/>
  <c r="J2029" i="1"/>
  <c r="B2030" i="1"/>
  <c r="J2030" i="1"/>
  <c r="B2031" i="1"/>
  <c r="J2031" i="1"/>
  <c r="B2032" i="1"/>
  <c r="J2032" i="1"/>
  <c r="B2033" i="1"/>
  <c r="J2033" i="1"/>
  <c r="B2034" i="1"/>
  <c r="J2034" i="1"/>
  <c r="B2035" i="1"/>
  <c r="J2035" i="1"/>
  <c r="B2036" i="1"/>
  <c r="J2036" i="1"/>
  <c r="B2037" i="1"/>
  <c r="J2037" i="1"/>
  <c r="B2038" i="1"/>
  <c r="J2038" i="1"/>
  <c r="B2039" i="1"/>
  <c r="J2039" i="1"/>
  <c r="B2040" i="1"/>
  <c r="J2040" i="1"/>
  <c r="B2041" i="1"/>
  <c r="J2041" i="1"/>
  <c r="B2042" i="1"/>
  <c r="J2042" i="1"/>
  <c r="B2043" i="1"/>
  <c r="J2043" i="1"/>
  <c r="B2044" i="1"/>
  <c r="J2044" i="1"/>
  <c r="B2045" i="1"/>
  <c r="J2045" i="1"/>
  <c r="B2046" i="1"/>
  <c r="J2046" i="1"/>
  <c r="B2047" i="1"/>
  <c r="J2047" i="1"/>
  <c r="B2048" i="1"/>
  <c r="J2048" i="1"/>
  <c r="B2049" i="1"/>
  <c r="J2049" i="1"/>
  <c r="B2050" i="1"/>
  <c r="J2050" i="1"/>
  <c r="B2051" i="1"/>
  <c r="J2051" i="1"/>
  <c r="B2052" i="1"/>
  <c r="J2052" i="1"/>
  <c r="B2053" i="1"/>
  <c r="J2053" i="1"/>
  <c r="B2054" i="1"/>
  <c r="J2054" i="1"/>
  <c r="B2055" i="1"/>
  <c r="J2055" i="1"/>
  <c r="B2056" i="1"/>
  <c r="J2056" i="1"/>
  <c r="B2057" i="1"/>
  <c r="J2057" i="1"/>
  <c r="B2058" i="1"/>
  <c r="J2058" i="1"/>
  <c r="B2059" i="1"/>
  <c r="J2059" i="1"/>
  <c r="B2060" i="1"/>
  <c r="J2060" i="1"/>
  <c r="B2061" i="1"/>
  <c r="J2061" i="1"/>
  <c r="B2062" i="1"/>
  <c r="J2062" i="1"/>
  <c r="B2063" i="1"/>
  <c r="J2063" i="1"/>
  <c r="B2064" i="1"/>
  <c r="J2064" i="1"/>
  <c r="B2065" i="1"/>
  <c r="J2065" i="1"/>
  <c r="B2066" i="1"/>
  <c r="J2066" i="1"/>
  <c r="B2067" i="1"/>
  <c r="J2067" i="1"/>
  <c r="B2068" i="1"/>
  <c r="J2068" i="1"/>
  <c r="B2069" i="1"/>
  <c r="J2069" i="1"/>
  <c r="B2070" i="1"/>
  <c r="J2070" i="1"/>
  <c r="B2071" i="1"/>
  <c r="J2071" i="1"/>
  <c r="B2072" i="1"/>
  <c r="J2072" i="1"/>
  <c r="B2073" i="1"/>
  <c r="J2073" i="1"/>
  <c r="B2074" i="1"/>
  <c r="J2074" i="1"/>
  <c r="B2075" i="1"/>
  <c r="J2075" i="1"/>
  <c r="B2076" i="1"/>
  <c r="J2076" i="1"/>
  <c r="B2077" i="1"/>
  <c r="J2077" i="1"/>
  <c r="B2078" i="1"/>
  <c r="J2078" i="1"/>
  <c r="B2079" i="1"/>
  <c r="J2079" i="1"/>
  <c r="B2080" i="1"/>
  <c r="J2080" i="1"/>
  <c r="B2081" i="1"/>
  <c r="J2081" i="1"/>
  <c r="B2082" i="1"/>
  <c r="J2082" i="1"/>
  <c r="B2083" i="1"/>
  <c r="J2083" i="1"/>
  <c r="B2084" i="1"/>
  <c r="J2084" i="1"/>
  <c r="B2085" i="1"/>
  <c r="J2085" i="1"/>
  <c r="B2086" i="1"/>
  <c r="J2086" i="1"/>
  <c r="B2087" i="1"/>
  <c r="J2087" i="1"/>
  <c r="B2088" i="1"/>
  <c r="J2088" i="1"/>
  <c r="B2089" i="1"/>
  <c r="J2089" i="1"/>
  <c r="B2090" i="1"/>
  <c r="J2090" i="1"/>
  <c r="B2091" i="1"/>
  <c r="J2091" i="1"/>
  <c r="B2092" i="1"/>
  <c r="J2092" i="1"/>
  <c r="B2093" i="1"/>
  <c r="J2093" i="1"/>
  <c r="B2094" i="1"/>
  <c r="J2094" i="1"/>
  <c r="B2095" i="1"/>
  <c r="J2095" i="1"/>
  <c r="B2096" i="1"/>
  <c r="J2096" i="1"/>
  <c r="B2097" i="1"/>
  <c r="J2097" i="1"/>
  <c r="B2098" i="1"/>
  <c r="J2098" i="1"/>
  <c r="B2099" i="1"/>
  <c r="J2099" i="1"/>
  <c r="B2100" i="1"/>
  <c r="J2100" i="1"/>
  <c r="B2101" i="1"/>
  <c r="J2101" i="1"/>
  <c r="B2102" i="1"/>
  <c r="J2102" i="1"/>
  <c r="B2103" i="1"/>
  <c r="J2103" i="1"/>
  <c r="B2104" i="1"/>
  <c r="J2104" i="1"/>
  <c r="B2105" i="1"/>
  <c r="J2105" i="1"/>
  <c r="B2106" i="1"/>
  <c r="J2106" i="1"/>
  <c r="B2107" i="1"/>
  <c r="J2107" i="1"/>
  <c r="B2108" i="1"/>
  <c r="J2108" i="1"/>
  <c r="B2109" i="1"/>
  <c r="J2109" i="1"/>
  <c r="B2110" i="1"/>
  <c r="J2110" i="1"/>
  <c r="B2111" i="1"/>
  <c r="J2111" i="1"/>
  <c r="B2112" i="1"/>
  <c r="J2112" i="1"/>
  <c r="B2113" i="1"/>
  <c r="J2113" i="1"/>
  <c r="B2114" i="1"/>
  <c r="J2114" i="1"/>
  <c r="B2115" i="1"/>
  <c r="J2115" i="1"/>
  <c r="B2116" i="1"/>
  <c r="J2116" i="1"/>
  <c r="B2117" i="1"/>
  <c r="J2117" i="1"/>
  <c r="B2118" i="1"/>
  <c r="J2118" i="1"/>
  <c r="B2119" i="1"/>
  <c r="J2119" i="1"/>
  <c r="B2120" i="1"/>
  <c r="J2120" i="1"/>
  <c r="B2121" i="1"/>
  <c r="J2121" i="1"/>
  <c r="B2122" i="1"/>
  <c r="J2122" i="1"/>
  <c r="B2123" i="1"/>
  <c r="J2123" i="1"/>
  <c r="B2124" i="1"/>
  <c r="J2124" i="1"/>
  <c r="B2125" i="1"/>
  <c r="J2125" i="1"/>
  <c r="B2126" i="1"/>
  <c r="J2126" i="1"/>
  <c r="B2127" i="1"/>
  <c r="J2127" i="1"/>
  <c r="B2128" i="1"/>
  <c r="J2128" i="1"/>
  <c r="B2129" i="1"/>
  <c r="J2129" i="1"/>
  <c r="B2130" i="1"/>
  <c r="J2130" i="1"/>
  <c r="B2131" i="1"/>
  <c r="J2131" i="1"/>
  <c r="B2132" i="1"/>
  <c r="J2132" i="1"/>
  <c r="B2133" i="1"/>
  <c r="J2133" i="1"/>
  <c r="B2134" i="1"/>
  <c r="J2134" i="1"/>
  <c r="B2135" i="1"/>
  <c r="J2135" i="1"/>
  <c r="B2136" i="1"/>
  <c r="J2136" i="1"/>
  <c r="B2137" i="1"/>
  <c r="J2137" i="1"/>
  <c r="B2138" i="1"/>
  <c r="J2138" i="1"/>
  <c r="B2139" i="1"/>
  <c r="J2139" i="1"/>
  <c r="B2140" i="1"/>
  <c r="J2140" i="1"/>
  <c r="B2141" i="1"/>
  <c r="J2141" i="1"/>
  <c r="B2142" i="1"/>
  <c r="J2142" i="1"/>
  <c r="B2143" i="1"/>
  <c r="J2143" i="1"/>
  <c r="B2144" i="1"/>
  <c r="J2144" i="1"/>
  <c r="B2145" i="1"/>
  <c r="J2145" i="1"/>
  <c r="B2146" i="1"/>
  <c r="J2146" i="1"/>
  <c r="B2147" i="1"/>
  <c r="J2147" i="1"/>
  <c r="B2148" i="1"/>
  <c r="J2148" i="1"/>
  <c r="B2149" i="1"/>
  <c r="J2149" i="1"/>
  <c r="B2150" i="1"/>
  <c r="J2150" i="1"/>
  <c r="B2151" i="1"/>
  <c r="J2151" i="1"/>
  <c r="B2152" i="1"/>
  <c r="J2152" i="1"/>
  <c r="B2153" i="1"/>
  <c r="J2153" i="1"/>
  <c r="B2154" i="1"/>
  <c r="J2154" i="1"/>
  <c r="B2155" i="1"/>
  <c r="J2155" i="1"/>
  <c r="B2156" i="1"/>
  <c r="J2156" i="1"/>
  <c r="B2157" i="1"/>
  <c r="J2157" i="1"/>
  <c r="B2158" i="1"/>
  <c r="J2158" i="1"/>
  <c r="B2159" i="1"/>
  <c r="J2159" i="1"/>
  <c r="B2160" i="1"/>
  <c r="J2160" i="1"/>
  <c r="B2161" i="1"/>
  <c r="J2161" i="1"/>
  <c r="B2162" i="1"/>
  <c r="J2162" i="1"/>
  <c r="B2163" i="1"/>
  <c r="J2163" i="1"/>
  <c r="B2164" i="1"/>
  <c r="J2164" i="1"/>
  <c r="B2165" i="1"/>
  <c r="J2165" i="1"/>
  <c r="B2166" i="1"/>
  <c r="J2166" i="1"/>
  <c r="B2167" i="1"/>
  <c r="J2167" i="1"/>
  <c r="B2168" i="1"/>
  <c r="J2168" i="1"/>
  <c r="B2169" i="1"/>
  <c r="J2169" i="1"/>
  <c r="B2170" i="1"/>
  <c r="J2170" i="1"/>
  <c r="B2171" i="1"/>
  <c r="J2171" i="1"/>
  <c r="B2172" i="1"/>
  <c r="J2172" i="1"/>
  <c r="B2173" i="1"/>
  <c r="J2173" i="1"/>
  <c r="B2174" i="1"/>
  <c r="J2174" i="1"/>
  <c r="B2175" i="1"/>
  <c r="J2175" i="1"/>
  <c r="B2176" i="1"/>
  <c r="J2176" i="1"/>
  <c r="B2177" i="1"/>
  <c r="J2177" i="1"/>
  <c r="B2178" i="1"/>
  <c r="J2178" i="1"/>
  <c r="B2179" i="1"/>
  <c r="J2179" i="1"/>
  <c r="B2180" i="1"/>
  <c r="J2180" i="1"/>
  <c r="B2181" i="1"/>
  <c r="J2181" i="1"/>
  <c r="B2182" i="1"/>
  <c r="J2182" i="1"/>
  <c r="B2183" i="1"/>
  <c r="J2183" i="1"/>
  <c r="B2184" i="1"/>
  <c r="J2184" i="1"/>
  <c r="B2185" i="1"/>
  <c r="J2185" i="1"/>
  <c r="B2186" i="1"/>
  <c r="J2186" i="1"/>
  <c r="B2187" i="1"/>
  <c r="J2187" i="1"/>
  <c r="B2188" i="1"/>
  <c r="J2188" i="1"/>
  <c r="B2189" i="1"/>
  <c r="J2189" i="1"/>
  <c r="B2190" i="1"/>
  <c r="J2190" i="1"/>
  <c r="B2191" i="1"/>
  <c r="J2191" i="1"/>
  <c r="B2192" i="1"/>
  <c r="J2192" i="1"/>
  <c r="B2193" i="1"/>
  <c r="J2193" i="1"/>
  <c r="B2194" i="1"/>
  <c r="J2194" i="1"/>
  <c r="B2195" i="1"/>
  <c r="J2195" i="1"/>
  <c r="B2196" i="1"/>
  <c r="J2196" i="1"/>
  <c r="B2197" i="1"/>
  <c r="J2197" i="1"/>
  <c r="B2199" i="1"/>
  <c r="J2199" i="1"/>
  <c r="B2200" i="1"/>
  <c r="J2200" i="1"/>
  <c r="B2201" i="1"/>
  <c r="J2201" i="1"/>
  <c r="B2202" i="1"/>
  <c r="J2202" i="1"/>
  <c r="B2203" i="1"/>
  <c r="J2203" i="1"/>
  <c r="B2204" i="1"/>
  <c r="J2204" i="1"/>
  <c r="B2205" i="1"/>
  <c r="J2205" i="1"/>
  <c r="B2206" i="1"/>
  <c r="J2206" i="1"/>
  <c r="B2207" i="1"/>
  <c r="J2207" i="1"/>
  <c r="B2208" i="1"/>
  <c r="J2208" i="1"/>
  <c r="B2209" i="1"/>
  <c r="J2209" i="1"/>
  <c r="B2210" i="1"/>
  <c r="J2210" i="1"/>
  <c r="B2211" i="1"/>
  <c r="J2211" i="1"/>
  <c r="B2212" i="1"/>
  <c r="J2212" i="1"/>
  <c r="B2213" i="1"/>
  <c r="J2213" i="1"/>
  <c r="B2214" i="1"/>
  <c r="J2214" i="1"/>
  <c r="B2215" i="1"/>
  <c r="J2215" i="1"/>
  <c r="B2216" i="1"/>
  <c r="J2216" i="1"/>
  <c r="B2217" i="1"/>
  <c r="J2217" i="1"/>
  <c r="B2218" i="1"/>
  <c r="J2218" i="1"/>
  <c r="B2219" i="1"/>
  <c r="J2219" i="1"/>
  <c r="B2220" i="1"/>
  <c r="J2220" i="1"/>
  <c r="B2221" i="1"/>
  <c r="J2221" i="1"/>
  <c r="B2222" i="1"/>
  <c r="J2222" i="1"/>
  <c r="B2223" i="1"/>
  <c r="J2223" i="1"/>
  <c r="B2224" i="1"/>
  <c r="J2224" i="1"/>
  <c r="B2225" i="1"/>
  <c r="J2225" i="1"/>
  <c r="B2226" i="1"/>
  <c r="J2226" i="1"/>
  <c r="B2227" i="1"/>
  <c r="J2227" i="1"/>
  <c r="B2228" i="1"/>
  <c r="J2228" i="1"/>
  <c r="B2229" i="1"/>
  <c r="J2229" i="1"/>
  <c r="B2230" i="1"/>
  <c r="J2230" i="1"/>
  <c r="B2231" i="1"/>
  <c r="J2231" i="1"/>
  <c r="B2232" i="1"/>
  <c r="J2232" i="1"/>
  <c r="B2233" i="1"/>
  <c r="J2233" i="1"/>
  <c r="B2234" i="1"/>
  <c r="J2234" i="1"/>
  <c r="B2235" i="1"/>
  <c r="J2235" i="1"/>
  <c r="B2236" i="1"/>
  <c r="J2236" i="1"/>
  <c r="B2237" i="1"/>
  <c r="J2237" i="1"/>
  <c r="B2238" i="1"/>
  <c r="J2238" i="1"/>
  <c r="B2239" i="1"/>
  <c r="J2239" i="1"/>
  <c r="B2240" i="1"/>
  <c r="J2240" i="1"/>
  <c r="B2241" i="1"/>
  <c r="J2241" i="1"/>
  <c r="B2242" i="1"/>
  <c r="J2242" i="1"/>
  <c r="B2243" i="1"/>
  <c r="J2243" i="1"/>
  <c r="B2244" i="1"/>
  <c r="J2244" i="1"/>
  <c r="B2245" i="1"/>
  <c r="J2245" i="1"/>
  <c r="B2246" i="1"/>
  <c r="J2246" i="1"/>
  <c r="B2247" i="1"/>
  <c r="J2247" i="1"/>
  <c r="B2248" i="1"/>
  <c r="J2248" i="1"/>
  <c r="B2249" i="1"/>
  <c r="J2249" i="1"/>
  <c r="B2250" i="1"/>
  <c r="J2250" i="1"/>
  <c r="B2251" i="1"/>
  <c r="J2251" i="1"/>
  <c r="B2252" i="1"/>
  <c r="J2252" i="1"/>
  <c r="B2253" i="1"/>
  <c r="J2253" i="1"/>
  <c r="B2254" i="1"/>
  <c r="J2254" i="1"/>
  <c r="B2255" i="1"/>
  <c r="J2255" i="1"/>
  <c r="B2256" i="1"/>
  <c r="J2256" i="1"/>
  <c r="B2257" i="1"/>
  <c r="J2257" i="1"/>
  <c r="B2258" i="1"/>
  <c r="J2258" i="1"/>
  <c r="B2259" i="1"/>
  <c r="J2259" i="1"/>
  <c r="B2260" i="1"/>
  <c r="J2260" i="1"/>
  <c r="B2261" i="1"/>
  <c r="J2261" i="1"/>
  <c r="B2262" i="1"/>
  <c r="J2262" i="1"/>
  <c r="B2263" i="1"/>
  <c r="J2263" i="1"/>
  <c r="B2264" i="1"/>
  <c r="J2264" i="1"/>
  <c r="B2265" i="1"/>
  <c r="J2265" i="1"/>
  <c r="B2266" i="1"/>
  <c r="J2266" i="1"/>
  <c r="B2267" i="1"/>
  <c r="J2267" i="1"/>
  <c r="B2268" i="1"/>
  <c r="J2268" i="1"/>
  <c r="B2269" i="1"/>
  <c r="J2269" i="1"/>
  <c r="B2270" i="1"/>
  <c r="J2270" i="1"/>
  <c r="B2271" i="1"/>
  <c r="J2271" i="1"/>
  <c r="B2272" i="1"/>
  <c r="J2272" i="1"/>
  <c r="B2273" i="1"/>
  <c r="J2273" i="1"/>
  <c r="B2274" i="1"/>
  <c r="J2274" i="1"/>
  <c r="B2275" i="1"/>
  <c r="J2275" i="1"/>
  <c r="B2276" i="1"/>
  <c r="J2276" i="1"/>
  <c r="B2277" i="1"/>
  <c r="J2277" i="1"/>
  <c r="B2278" i="1"/>
  <c r="J2278" i="1"/>
  <c r="B2279" i="1"/>
  <c r="J2279" i="1"/>
  <c r="B2280" i="1"/>
  <c r="J2280" i="1"/>
  <c r="B2281" i="1"/>
  <c r="J2281" i="1"/>
  <c r="B2282" i="1"/>
  <c r="J2282" i="1"/>
  <c r="B2283" i="1"/>
  <c r="J2283" i="1"/>
  <c r="B2284" i="1"/>
  <c r="J2284" i="1"/>
  <c r="B2285" i="1"/>
  <c r="J2285" i="1"/>
  <c r="B2286" i="1"/>
  <c r="J2286" i="1"/>
  <c r="B2287" i="1"/>
  <c r="J2287" i="1"/>
  <c r="B2288" i="1"/>
  <c r="J2288" i="1"/>
  <c r="B2289" i="1"/>
  <c r="J2289" i="1"/>
  <c r="B2290" i="1"/>
  <c r="J2290" i="1"/>
  <c r="B2291" i="1"/>
  <c r="J2291" i="1"/>
  <c r="B2292" i="1"/>
  <c r="J2292" i="1"/>
  <c r="B2293" i="1"/>
  <c r="J2293" i="1"/>
  <c r="B2294" i="1"/>
  <c r="J2294" i="1"/>
  <c r="B2295" i="1"/>
  <c r="J2295" i="1"/>
  <c r="B2296" i="1"/>
  <c r="J2296" i="1"/>
  <c r="B2297" i="1"/>
  <c r="J2297" i="1"/>
  <c r="B2298" i="1"/>
  <c r="J2298" i="1"/>
  <c r="B2299" i="1"/>
  <c r="J2299" i="1"/>
  <c r="B2300" i="1"/>
  <c r="J2300" i="1"/>
  <c r="B2301" i="1"/>
  <c r="J2301" i="1"/>
  <c r="B2302" i="1"/>
  <c r="J2302" i="1"/>
  <c r="B2303" i="1"/>
  <c r="J2303" i="1"/>
  <c r="B2304" i="1"/>
  <c r="J2304" i="1"/>
  <c r="B2305" i="1"/>
  <c r="J2305" i="1"/>
  <c r="B2306" i="1"/>
  <c r="J2306" i="1"/>
  <c r="B2307" i="1"/>
  <c r="J2307" i="1"/>
  <c r="B2308" i="1"/>
  <c r="J2308" i="1"/>
  <c r="B2309" i="1"/>
  <c r="J2309" i="1"/>
  <c r="B2310" i="1"/>
  <c r="J2310" i="1"/>
  <c r="B2311" i="1"/>
  <c r="J2311" i="1"/>
  <c r="B2312" i="1"/>
  <c r="J2312" i="1"/>
  <c r="B2313" i="1"/>
  <c r="J2313" i="1"/>
  <c r="B2314" i="1"/>
  <c r="J2314" i="1"/>
  <c r="B2315" i="1"/>
  <c r="J2315" i="1"/>
  <c r="B2316" i="1"/>
  <c r="J2316" i="1"/>
  <c r="B2317" i="1"/>
  <c r="J2317" i="1"/>
  <c r="B2318" i="1"/>
  <c r="J2318" i="1"/>
  <c r="B2319" i="1"/>
  <c r="J2319" i="1"/>
  <c r="B2320" i="1"/>
  <c r="J2320" i="1"/>
  <c r="B2321" i="1"/>
  <c r="J2321" i="1"/>
  <c r="B2322" i="1"/>
  <c r="J2322" i="1"/>
  <c r="B2323" i="1"/>
  <c r="J2323" i="1"/>
  <c r="B2324" i="1"/>
  <c r="J2324" i="1"/>
  <c r="B2325" i="1"/>
  <c r="J2325" i="1"/>
  <c r="B2326" i="1"/>
  <c r="J2326" i="1"/>
  <c r="B2327" i="1"/>
  <c r="J2327" i="1"/>
  <c r="B2328" i="1"/>
  <c r="J2328" i="1"/>
  <c r="B2329" i="1"/>
  <c r="J2329" i="1"/>
  <c r="B2330" i="1"/>
  <c r="J2330" i="1"/>
  <c r="B2331" i="1"/>
  <c r="J2331" i="1"/>
  <c r="B2332" i="1"/>
  <c r="J2332" i="1"/>
  <c r="B2333" i="1"/>
  <c r="J2333" i="1"/>
  <c r="B2334" i="1"/>
  <c r="J2334" i="1"/>
  <c r="B2335" i="1"/>
  <c r="J2335" i="1"/>
  <c r="B2336" i="1"/>
  <c r="J2336" i="1"/>
  <c r="B2337" i="1"/>
  <c r="J2337" i="1"/>
  <c r="B2338" i="1"/>
  <c r="J2338" i="1"/>
  <c r="B2339" i="1"/>
  <c r="J2339" i="1"/>
  <c r="B2340" i="1"/>
  <c r="J2340" i="1"/>
  <c r="B2341" i="1"/>
  <c r="J2341" i="1"/>
  <c r="B2342" i="1"/>
  <c r="J2342" i="1"/>
  <c r="B2343" i="1"/>
  <c r="J2343" i="1"/>
  <c r="B2344" i="1"/>
  <c r="J2344" i="1"/>
  <c r="B2345" i="1"/>
  <c r="J2345" i="1"/>
  <c r="B2346" i="1"/>
  <c r="J2346" i="1"/>
  <c r="B2347" i="1"/>
  <c r="J2347" i="1"/>
  <c r="B2348" i="1"/>
  <c r="J2348" i="1"/>
  <c r="B2349" i="1"/>
  <c r="J2349" i="1"/>
  <c r="B2350" i="1"/>
  <c r="J2350" i="1"/>
  <c r="B2351" i="1"/>
  <c r="J2351" i="1"/>
  <c r="B2352" i="1"/>
  <c r="J2352" i="1"/>
  <c r="B2353" i="1"/>
  <c r="J2353" i="1"/>
  <c r="B2354" i="1"/>
  <c r="J2354" i="1"/>
  <c r="B2355" i="1"/>
  <c r="J2355" i="1"/>
  <c r="B2356" i="1"/>
  <c r="J2356" i="1"/>
  <c r="B2357" i="1"/>
  <c r="J2357" i="1"/>
  <c r="B2358" i="1"/>
  <c r="J2358" i="1"/>
  <c r="B2359" i="1"/>
  <c r="J2359" i="1"/>
  <c r="B2360" i="1"/>
  <c r="J2360" i="1"/>
  <c r="B2361" i="1"/>
  <c r="J2361" i="1"/>
  <c r="B2362" i="1"/>
  <c r="J2362" i="1"/>
  <c r="B2363" i="1"/>
  <c r="J2363" i="1"/>
  <c r="B2364" i="1"/>
  <c r="J2364" i="1"/>
  <c r="B2365" i="1"/>
  <c r="J2365" i="1"/>
  <c r="B2366" i="1"/>
  <c r="J2366" i="1"/>
  <c r="B2367" i="1"/>
  <c r="J2367" i="1"/>
  <c r="B2368" i="1"/>
  <c r="J2368" i="1"/>
  <c r="B2369" i="1"/>
  <c r="J2369" i="1"/>
  <c r="B2370" i="1"/>
  <c r="J2370" i="1"/>
  <c r="B2371" i="1"/>
  <c r="J2371" i="1"/>
  <c r="B2372" i="1"/>
  <c r="J2372" i="1"/>
  <c r="B2373" i="1"/>
  <c r="J2373" i="1"/>
  <c r="B2374" i="1"/>
  <c r="J2374" i="1"/>
  <c r="B2375" i="1"/>
  <c r="J2375" i="1"/>
  <c r="B2376" i="1"/>
  <c r="J2376" i="1"/>
  <c r="B2377" i="1"/>
  <c r="J2377" i="1"/>
  <c r="B2378" i="1"/>
  <c r="J2378" i="1"/>
  <c r="B2379" i="1"/>
  <c r="J2379" i="1"/>
  <c r="B2380" i="1"/>
  <c r="J2380" i="1"/>
  <c r="B2381" i="1"/>
  <c r="J2381" i="1"/>
  <c r="B2382" i="1"/>
  <c r="J2382" i="1"/>
  <c r="B2383" i="1"/>
  <c r="J2383" i="1"/>
  <c r="B2384" i="1"/>
  <c r="J2384" i="1"/>
  <c r="B2385" i="1"/>
  <c r="J2385" i="1"/>
  <c r="B2386" i="1"/>
  <c r="J2386" i="1"/>
  <c r="B2387" i="1"/>
  <c r="J2387" i="1"/>
  <c r="B2388" i="1"/>
  <c r="J2388" i="1"/>
  <c r="B2389" i="1"/>
  <c r="J2389" i="1"/>
  <c r="B2390" i="1"/>
  <c r="J2390" i="1"/>
  <c r="B2391" i="1"/>
  <c r="J2391" i="1"/>
  <c r="B2392" i="1"/>
  <c r="J2392" i="1"/>
  <c r="B2393" i="1"/>
  <c r="J2393" i="1"/>
  <c r="B2394" i="1"/>
  <c r="J2394" i="1"/>
  <c r="B2395" i="1"/>
  <c r="J2395" i="1"/>
  <c r="B2396" i="1"/>
  <c r="J2396" i="1"/>
  <c r="B2397" i="1"/>
  <c r="J2397" i="1"/>
  <c r="B2398" i="1"/>
  <c r="J2398" i="1"/>
  <c r="B2399" i="1"/>
  <c r="J2399" i="1"/>
  <c r="B2400" i="1"/>
  <c r="J2400" i="1"/>
  <c r="B2401" i="1"/>
  <c r="J2401" i="1"/>
  <c r="B2402" i="1"/>
  <c r="J2402" i="1"/>
  <c r="B2403" i="1"/>
  <c r="J2403" i="1"/>
  <c r="B2404" i="1"/>
  <c r="J2404" i="1"/>
  <c r="B2405" i="1"/>
  <c r="J2405" i="1"/>
  <c r="B2406" i="1"/>
  <c r="J2406" i="1"/>
  <c r="B2407" i="1"/>
  <c r="J2407" i="1"/>
  <c r="B2408" i="1"/>
  <c r="J2408" i="1"/>
  <c r="B2409" i="1"/>
  <c r="J2409" i="1"/>
  <c r="B2410" i="1"/>
  <c r="J2410" i="1"/>
  <c r="B2411" i="1"/>
  <c r="J2411" i="1"/>
  <c r="B2412" i="1"/>
  <c r="J2412" i="1"/>
  <c r="B2413" i="1"/>
  <c r="J2413" i="1"/>
  <c r="B2414" i="1"/>
  <c r="J2414" i="1"/>
  <c r="B2415" i="1"/>
  <c r="J2415" i="1"/>
  <c r="B2416" i="1"/>
  <c r="J2416" i="1"/>
  <c r="B2417" i="1"/>
  <c r="J2417" i="1"/>
  <c r="B2418" i="1"/>
  <c r="J2418" i="1"/>
  <c r="B2419" i="1"/>
  <c r="J2419" i="1"/>
  <c r="B2420" i="1"/>
  <c r="J2420" i="1"/>
  <c r="B2421" i="1"/>
  <c r="J2421" i="1"/>
  <c r="B2422" i="1"/>
  <c r="J2422" i="1"/>
  <c r="B2423" i="1"/>
  <c r="J2423" i="1"/>
  <c r="B2424" i="1"/>
  <c r="J2424" i="1"/>
  <c r="B2425" i="1"/>
  <c r="J2425" i="1"/>
  <c r="B2426" i="1"/>
  <c r="J2426" i="1"/>
  <c r="B2427" i="1"/>
  <c r="J2427" i="1"/>
  <c r="B2428" i="1"/>
  <c r="J2428" i="1"/>
  <c r="B2429" i="1"/>
  <c r="J2429" i="1"/>
  <c r="B2430" i="1"/>
  <c r="J2430" i="1"/>
  <c r="B2431" i="1"/>
  <c r="J2431" i="1"/>
  <c r="B2432" i="1"/>
  <c r="J2432" i="1"/>
  <c r="B2433" i="1"/>
  <c r="J2433" i="1"/>
  <c r="B2434" i="1"/>
  <c r="J2434" i="1"/>
  <c r="B2435" i="1"/>
  <c r="J2435" i="1"/>
  <c r="B2436" i="1"/>
  <c r="J2436" i="1"/>
  <c r="B2437" i="1"/>
  <c r="J2437" i="1"/>
  <c r="B2438" i="1"/>
  <c r="J2438" i="1"/>
  <c r="B2439" i="1"/>
  <c r="J2439" i="1"/>
  <c r="B2440" i="1"/>
  <c r="J2440" i="1"/>
  <c r="B2441" i="1"/>
  <c r="J2441" i="1"/>
  <c r="B2442" i="1"/>
  <c r="J2442" i="1"/>
  <c r="B2443" i="1"/>
  <c r="J2443" i="1"/>
  <c r="B2444" i="1"/>
  <c r="J2444" i="1"/>
  <c r="B2445" i="1"/>
  <c r="J2445" i="1"/>
  <c r="B2446" i="1"/>
  <c r="J2446" i="1"/>
  <c r="B2447" i="1"/>
  <c r="J2447" i="1"/>
  <c r="B2448" i="1"/>
  <c r="J2448" i="1"/>
  <c r="B2449" i="1"/>
  <c r="J2449" i="1"/>
  <c r="B2450" i="1"/>
  <c r="J2450" i="1"/>
  <c r="B2451" i="1"/>
  <c r="J2451" i="1"/>
  <c r="B2452" i="1"/>
  <c r="J2452" i="1"/>
  <c r="B2453" i="1"/>
  <c r="J2453" i="1"/>
  <c r="B2454" i="1"/>
  <c r="J2454" i="1"/>
  <c r="B2455" i="1"/>
  <c r="J2455" i="1"/>
  <c r="B2456" i="1"/>
  <c r="J2456" i="1"/>
  <c r="B2457" i="1"/>
  <c r="J2457" i="1"/>
  <c r="B2458" i="1"/>
  <c r="J2458" i="1"/>
  <c r="B2459" i="1"/>
  <c r="J2459" i="1"/>
  <c r="B2460" i="1"/>
  <c r="J2460" i="1"/>
  <c r="B2461" i="1"/>
  <c r="J2461" i="1"/>
  <c r="B2462" i="1"/>
  <c r="J2462" i="1"/>
  <c r="B2463" i="1"/>
  <c r="J2463" i="1"/>
  <c r="B2464" i="1"/>
  <c r="J2464" i="1"/>
  <c r="B2465" i="1"/>
  <c r="J2465" i="1"/>
  <c r="B2466" i="1"/>
  <c r="J2466" i="1"/>
  <c r="B2467" i="1"/>
  <c r="J2467" i="1"/>
  <c r="B2468" i="1"/>
  <c r="J2468" i="1"/>
  <c r="B2469" i="1"/>
  <c r="J2469" i="1"/>
  <c r="B2470" i="1"/>
  <c r="J2470" i="1"/>
  <c r="B2471" i="1"/>
  <c r="J2471" i="1"/>
  <c r="B2472" i="1"/>
  <c r="J2472" i="1"/>
  <c r="B2473" i="1"/>
  <c r="J2473" i="1"/>
  <c r="B2474" i="1"/>
  <c r="J2474" i="1"/>
  <c r="B2475" i="1"/>
  <c r="J2475" i="1"/>
  <c r="B2476" i="1"/>
  <c r="J2476" i="1"/>
  <c r="B2477" i="1"/>
  <c r="J2477" i="1"/>
  <c r="B2478" i="1"/>
  <c r="J2478" i="1"/>
  <c r="B2479" i="1"/>
  <c r="J2479" i="1"/>
  <c r="B2480" i="1"/>
  <c r="J2480" i="1"/>
  <c r="B2481" i="1"/>
  <c r="J2481" i="1"/>
  <c r="B2482" i="1"/>
  <c r="J2482" i="1"/>
  <c r="B2483" i="1"/>
  <c r="J2483" i="1"/>
  <c r="B2484" i="1"/>
  <c r="J2484" i="1"/>
  <c r="B2485" i="1"/>
  <c r="J2485" i="1"/>
  <c r="B2486" i="1"/>
  <c r="J2486" i="1"/>
  <c r="B2487" i="1"/>
  <c r="J2487" i="1"/>
  <c r="B2488" i="1"/>
  <c r="J2488" i="1"/>
  <c r="B2489" i="1"/>
  <c r="J2489" i="1"/>
  <c r="B2490" i="1"/>
  <c r="J2490" i="1"/>
  <c r="B2491" i="1"/>
  <c r="J2491" i="1"/>
  <c r="B2492" i="1"/>
  <c r="J2492" i="1"/>
  <c r="B2493" i="1"/>
  <c r="J2493" i="1"/>
  <c r="B2494" i="1"/>
  <c r="J2494" i="1"/>
  <c r="B2495" i="1"/>
  <c r="J2495" i="1"/>
  <c r="B2496" i="1"/>
  <c r="J2496" i="1"/>
  <c r="B2497" i="1"/>
  <c r="J2497" i="1"/>
  <c r="B2498" i="1"/>
  <c r="J2498" i="1"/>
  <c r="B2499" i="1"/>
  <c r="J2499" i="1"/>
  <c r="B2500" i="1"/>
  <c r="J2500" i="1"/>
  <c r="B2501" i="1"/>
  <c r="J2501" i="1"/>
  <c r="B2502" i="1"/>
  <c r="J2502" i="1"/>
  <c r="B2503" i="1"/>
  <c r="J2503" i="1"/>
  <c r="B2504" i="1"/>
  <c r="J2504" i="1"/>
  <c r="B2505" i="1"/>
  <c r="J2505" i="1"/>
  <c r="B2506" i="1"/>
  <c r="J2506" i="1"/>
  <c r="B2507" i="1"/>
  <c r="J2507" i="1"/>
  <c r="B2508" i="1"/>
  <c r="J2508" i="1"/>
  <c r="B2509" i="1"/>
  <c r="J2509" i="1"/>
  <c r="B2510" i="1"/>
  <c r="J2510" i="1"/>
  <c r="B2511" i="1"/>
  <c r="J2511" i="1"/>
  <c r="B2512" i="1"/>
  <c r="J2512" i="1"/>
  <c r="B2513" i="1"/>
  <c r="J2513" i="1"/>
  <c r="B2514" i="1"/>
  <c r="J2514" i="1"/>
  <c r="B2515" i="1"/>
  <c r="J2515" i="1"/>
  <c r="B2516" i="1"/>
  <c r="J2516" i="1"/>
  <c r="B2517" i="1"/>
  <c r="J2517" i="1"/>
  <c r="B2518" i="1"/>
  <c r="J2518" i="1"/>
  <c r="B2519" i="1"/>
  <c r="J2519" i="1"/>
  <c r="B2520" i="1"/>
  <c r="J2520" i="1"/>
  <c r="B2521" i="1"/>
  <c r="J2521" i="1"/>
  <c r="B2522" i="1"/>
  <c r="J2522" i="1"/>
  <c r="B2523" i="1"/>
  <c r="J2523" i="1"/>
  <c r="B2524" i="1"/>
  <c r="J2524" i="1"/>
  <c r="B2525" i="1"/>
  <c r="J2525" i="1"/>
  <c r="B2526" i="1"/>
  <c r="J2526" i="1"/>
  <c r="B2527" i="1"/>
  <c r="J2527" i="1"/>
  <c r="B2528" i="1"/>
  <c r="J2528" i="1"/>
  <c r="B2529" i="1"/>
  <c r="J2529" i="1"/>
  <c r="B2530" i="1"/>
  <c r="J2530" i="1"/>
  <c r="B2531" i="1"/>
  <c r="J2531" i="1"/>
  <c r="B2532" i="1"/>
  <c r="J2532" i="1"/>
  <c r="B2533" i="1"/>
  <c r="J2533" i="1"/>
  <c r="B2534" i="1"/>
  <c r="J2534" i="1"/>
  <c r="B2535" i="1"/>
  <c r="J2535" i="1"/>
  <c r="B2536" i="1"/>
  <c r="J2536" i="1"/>
  <c r="B2537" i="1"/>
  <c r="J2537" i="1"/>
  <c r="B2538" i="1"/>
  <c r="J2538" i="1"/>
  <c r="B2539" i="1"/>
  <c r="J2539" i="1"/>
  <c r="B2540" i="1"/>
  <c r="J2540" i="1"/>
  <c r="B2541" i="1"/>
  <c r="J2541" i="1"/>
  <c r="B2542" i="1"/>
  <c r="J2542" i="1"/>
  <c r="B2543" i="1"/>
  <c r="J2543" i="1"/>
  <c r="B2544" i="1"/>
  <c r="J2544" i="1"/>
  <c r="B2545" i="1"/>
  <c r="J2545" i="1"/>
  <c r="B2546" i="1"/>
  <c r="J2546" i="1"/>
  <c r="B2547" i="1"/>
  <c r="J2547" i="1"/>
  <c r="B2548" i="1"/>
  <c r="J2548" i="1"/>
  <c r="B2549" i="1"/>
  <c r="J2549" i="1"/>
  <c r="B2550" i="1"/>
  <c r="J2550" i="1"/>
  <c r="B2551" i="1"/>
  <c r="J2551" i="1"/>
  <c r="B2552" i="1"/>
  <c r="J2552" i="1"/>
  <c r="B2553" i="1"/>
  <c r="J2553" i="1"/>
  <c r="B2554" i="1"/>
  <c r="J2554" i="1"/>
  <c r="B2555" i="1"/>
  <c r="J2555" i="1"/>
  <c r="B2556" i="1"/>
  <c r="J2556" i="1"/>
  <c r="B2557" i="1"/>
  <c r="J2557" i="1"/>
  <c r="B2558" i="1"/>
  <c r="J2558" i="1"/>
  <c r="B2559" i="1"/>
  <c r="J2559" i="1"/>
  <c r="B2560" i="1"/>
  <c r="J2560" i="1"/>
  <c r="B2561" i="1"/>
  <c r="J2561" i="1"/>
  <c r="B2562" i="1"/>
  <c r="J2562" i="1"/>
  <c r="B2563" i="1"/>
  <c r="J2563" i="1"/>
  <c r="B2565" i="1"/>
  <c r="J2565" i="1"/>
  <c r="B2566" i="1"/>
  <c r="J2566" i="1"/>
  <c r="B2567" i="1"/>
  <c r="J2567" i="1"/>
  <c r="B2568" i="1"/>
  <c r="J2568" i="1"/>
  <c r="B2569" i="1"/>
  <c r="J2569" i="1"/>
  <c r="B2570" i="1"/>
  <c r="J2570" i="1"/>
  <c r="B2571" i="1"/>
  <c r="J2571" i="1"/>
  <c r="B2572" i="1"/>
  <c r="J2572" i="1"/>
  <c r="B2573" i="1"/>
  <c r="J2573" i="1"/>
  <c r="B2574" i="1"/>
  <c r="J2574" i="1"/>
  <c r="B2575" i="1"/>
  <c r="J2575" i="1"/>
  <c r="B2576" i="1"/>
  <c r="J2576" i="1"/>
  <c r="B2577" i="1"/>
  <c r="J2577" i="1"/>
  <c r="B2578" i="1"/>
  <c r="J2578" i="1"/>
  <c r="B2579" i="1"/>
  <c r="J2579" i="1"/>
  <c r="B2580" i="1"/>
  <c r="J2580" i="1"/>
  <c r="B2581" i="1"/>
  <c r="J2581" i="1"/>
  <c r="B2582" i="1"/>
  <c r="J2582" i="1"/>
  <c r="B2583" i="1"/>
  <c r="J2583" i="1"/>
  <c r="B2584" i="1"/>
  <c r="J2584" i="1"/>
  <c r="B2585" i="1"/>
  <c r="J2585" i="1"/>
  <c r="B2586" i="1"/>
  <c r="J2586" i="1"/>
  <c r="B2587" i="1"/>
  <c r="J2587" i="1"/>
  <c r="B2588" i="1"/>
  <c r="J2588" i="1"/>
  <c r="B2589" i="1"/>
  <c r="J2589" i="1"/>
  <c r="B2590" i="1"/>
  <c r="J2590" i="1"/>
  <c r="B2591" i="1"/>
  <c r="J2591" i="1"/>
  <c r="B2592" i="1"/>
  <c r="J2592" i="1"/>
  <c r="B2593" i="1"/>
  <c r="J2593" i="1"/>
  <c r="B2594" i="1"/>
  <c r="J2594" i="1"/>
  <c r="B2595" i="1"/>
  <c r="J2595" i="1"/>
  <c r="B2596" i="1"/>
  <c r="J2596" i="1"/>
  <c r="B2597" i="1"/>
  <c r="J2597" i="1"/>
  <c r="B2598" i="1"/>
  <c r="J2598" i="1"/>
  <c r="B2599" i="1"/>
  <c r="J2599" i="1"/>
  <c r="B2600" i="1"/>
  <c r="J2600" i="1"/>
  <c r="B2601" i="1"/>
  <c r="J2601" i="1"/>
  <c r="B2602" i="1"/>
  <c r="J2602" i="1"/>
  <c r="B2603" i="1"/>
  <c r="J2603" i="1"/>
  <c r="B2604" i="1"/>
  <c r="J2604" i="1"/>
  <c r="B2605" i="1"/>
  <c r="J2605" i="1"/>
  <c r="B2606" i="1"/>
  <c r="J2606" i="1"/>
  <c r="B2607" i="1"/>
  <c r="J2607" i="1"/>
  <c r="B2608" i="1"/>
  <c r="J2608" i="1"/>
  <c r="B2609" i="1"/>
  <c r="J2609" i="1"/>
  <c r="B2610" i="1"/>
  <c r="J2610" i="1"/>
  <c r="B2611" i="1"/>
  <c r="J2611" i="1"/>
  <c r="B2612" i="1"/>
  <c r="J2612" i="1"/>
  <c r="B2613" i="1"/>
  <c r="J2613" i="1"/>
  <c r="B2614" i="1"/>
  <c r="J2614" i="1"/>
  <c r="B2615" i="1"/>
  <c r="J2615" i="1"/>
  <c r="B2616" i="1"/>
  <c r="J2616" i="1"/>
  <c r="B2617" i="1"/>
  <c r="J2617" i="1"/>
  <c r="B2618" i="1"/>
  <c r="J2618" i="1"/>
  <c r="B2619" i="1"/>
  <c r="J2619" i="1"/>
  <c r="B2620" i="1"/>
  <c r="J2620" i="1"/>
  <c r="B2621" i="1"/>
  <c r="J2621" i="1"/>
  <c r="B2622" i="1"/>
  <c r="J2622" i="1"/>
  <c r="B2623" i="1"/>
  <c r="J2623" i="1"/>
  <c r="B2624" i="1"/>
  <c r="J2624" i="1"/>
  <c r="B2625" i="1"/>
  <c r="J2625" i="1"/>
  <c r="B2626" i="1"/>
  <c r="J2626" i="1"/>
  <c r="B2627" i="1"/>
  <c r="J2627" i="1"/>
  <c r="B2628" i="1"/>
  <c r="J2628" i="1"/>
  <c r="B2629" i="1"/>
  <c r="J2629" i="1"/>
  <c r="B2630" i="1"/>
  <c r="J2630" i="1"/>
  <c r="B2631" i="1"/>
  <c r="J2631" i="1"/>
  <c r="B2632" i="1"/>
  <c r="J2632" i="1"/>
  <c r="B2633" i="1"/>
  <c r="J2633" i="1"/>
  <c r="B2634" i="1"/>
  <c r="J2634" i="1"/>
  <c r="B2635" i="1"/>
  <c r="J2635" i="1"/>
  <c r="B2636" i="1"/>
  <c r="J2636" i="1"/>
  <c r="B2637" i="1"/>
  <c r="J2637" i="1"/>
  <c r="B2638" i="1"/>
  <c r="J2638" i="1"/>
  <c r="B2639" i="1"/>
  <c r="J2639" i="1"/>
  <c r="B2640" i="1"/>
  <c r="J2640" i="1"/>
  <c r="B2641" i="1"/>
  <c r="J2641" i="1"/>
  <c r="B2642" i="1"/>
  <c r="J2642" i="1"/>
  <c r="B2643" i="1"/>
  <c r="J2643" i="1"/>
  <c r="B2644" i="1"/>
  <c r="J2644" i="1"/>
  <c r="B2645" i="1"/>
  <c r="J2645" i="1"/>
  <c r="B2646" i="1"/>
  <c r="J2646" i="1"/>
  <c r="B2647" i="1"/>
  <c r="J2647" i="1"/>
  <c r="B2648" i="1"/>
  <c r="J2648" i="1"/>
  <c r="B2649" i="1"/>
  <c r="J2649" i="1"/>
  <c r="B2650" i="1"/>
  <c r="J2650" i="1"/>
  <c r="B2651" i="1"/>
  <c r="J2651" i="1"/>
  <c r="B2652" i="1"/>
  <c r="J2652" i="1"/>
  <c r="B2653" i="1"/>
  <c r="J2653" i="1"/>
  <c r="B2654" i="1"/>
  <c r="J2654" i="1"/>
  <c r="B2655" i="1"/>
  <c r="J2655" i="1"/>
  <c r="B2656" i="1"/>
  <c r="J2656" i="1"/>
  <c r="B2657" i="1"/>
  <c r="J2657" i="1"/>
  <c r="B2658" i="1"/>
  <c r="J2658" i="1"/>
  <c r="B2659" i="1"/>
  <c r="J2659" i="1"/>
  <c r="B2660" i="1"/>
  <c r="J2660" i="1"/>
  <c r="B2661" i="1"/>
  <c r="J2661" i="1"/>
  <c r="B2662" i="1"/>
  <c r="J2662" i="1"/>
  <c r="B2663" i="1"/>
  <c r="J2663" i="1"/>
  <c r="B2664" i="1"/>
  <c r="J2664" i="1"/>
  <c r="B2665" i="1"/>
  <c r="J2665" i="1"/>
  <c r="B2666" i="1"/>
  <c r="J2666" i="1"/>
  <c r="B2667" i="1"/>
  <c r="J2667" i="1"/>
  <c r="B2668" i="1"/>
  <c r="J2668" i="1"/>
  <c r="B2669" i="1"/>
  <c r="J2669" i="1"/>
  <c r="B2670" i="1"/>
  <c r="J2670" i="1"/>
  <c r="B2671" i="1"/>
  <c r="J2671" i="1"/>
  <c r="B2672" i="1"/>
  <c r="J2672" i="1"/>
  <c r="B2673" i="1"/>
  <c r="J2673" i="1"/>
  <c r="B2674" i="1"/>
  <c r="J2674" i="1"/>
  <c r="B2675" i="1"/>
  <c r="J2675" i="1"/>
  <c r="B2676" i="1"/>
  <c r="J2676" i="1"/>
  <c r="B2677" i="1"/>
  <c r="J2677" i="1"/>
  <c r="B2678" i="1"/>
  <c r="J2678" i="1"/>
  <c r="B2679" i="1"/>
  <c r="J2679" i="1"/>
  <c r="B2680" i="1"/>
  <c r="J2680" i="1"/>
  <c r="B2681" i="1"/>
  <c r="J2681" i="1"/>
  <c r="B2682" i="1"/>
  <c r="J2682" i="1"/>
  <c r="B2683" i="1"/>
  <c r="J2683" i="1"/>
  <c r="B2684" i="1"/>
  <c r="J2684" i="1"/>
  <c r="B2685" i="1"/>
  <c r="J2685" i="1"/>
  <c r="B2686" i="1"/>
  <c r="J2686" i="1"/>
  <c r="B2687" i="1"/>
  <c r="J2687" i="1"/>
  <c r="B2688" i="1"/>
  <c r="J2688" i="1"/>
  <c r="B2689" i="1"/>
  <c r="J2689" i="1"/>
  <c r="B2690" i="1"/>
  <c r="J2690" i="1"/>
  <c r="B2691" i="1"/>
  <c r="J2691" i="1"/>
  <c r="B2692" i="1"/>
  <c r="J2692" i="1"/>
  <c r="B2693" i="1"/>
  <c r="J2693" i="1"/>
  <c r="B2694" i="1"/>
  <c r="J2694" i="1"/>
  <c r="B2695" i="1"/>
  <c r="J2695" i="1"/>
  <c r="B2696" i="1"/>
  <c r="J2696" i="1"/>
  <c r="B2697" i="1"/>
  <c r="J2697" i="1"/>
  <c r="B2698" i="1"/>
  <c r="J2698" i="1"/>
  <c r="B2699" i="1"/>
  <c r="J2699" i="1"/>
  <c r="B2700" i="1"/>
  <c r="J2700" i="1"/>
  <c r="B2701" i="1"/>
  <c r="J2701" i="1"/>
  <c r="B2702" i="1"/>
  <c r="J2702" i="1"/>
  <c r="B2703" i="1"/>
  <c r="J2703" i="1"/>
  <c r="B2704" i="1"/>
  <c r="J2704" i="1"/>
  <c r="B2705" i="1"/>
  <c r="J2705" i="1"/>
  <c r="B2706" i="1"/>
  <c r="J2706" i="1"/>
  <c r="B2707" i="1"/>
  <c r="J2707" i="1"/>
  <c r="B2708" i="1"/>
  <c r="J2708" i="1"/>
  <c r="B2709" i="1"/>
  <c r="J2709" i="1"/>
  <c r="B2710" i="1"/>
  <c r="J2710" i="1"/>
  <c r="B2711" i="1"/>
  <c r="J2711" i="1"/>
  <c r="B2712" i="1"/>
  <c r="J2712" i="1"/>
  <c r="B2713" i="1"/>
  <c r="J2713" i="1"/>
  <c r="B2714" i="1"/>
  <c r="J2714" i="1"/>
  <c r="B2715" i="1"/>
  <c r="J2715" i="1"/>
  <c r="B2716" i="1"/>
  <c r="J2716" i="1"/>
  <c r="B2717" i="1"/>
  <c r="J2717" i="1"/>
  <c r="B2718" i="1"/>
  <c r="J2718" i="1"/>
  <c r="B2719" i="1"/>
  <c r="J2719" i="1"/>
  <c r="B2720" i="1"/>
  <c r="J2720" i="1"/>
  <c r="B2721" i="1"/>
  <c r="J2721" i="1"/>
  <c r="B2722" i="1"/>
  <c r="J2722" i="1"/>
  <c r="B2723" i="1"/>
  <c r="J2723" i="1"/>
  <c r="B2724" i="1"/>
  <c r="J2724" i="1"/>
  <c r="B2725" i="1"/>
  <c r="J2725" i="1"/>
  <c r="B2726" i="1"/>
  <c r="J2726" i="1"/>
  <c r="B2727" i="1"/>
  <c r="J2727" i="1"/>
  <c r="B2728" i="1"/>
  <c r="J2728" i="1"/>
  <c r="B2729" i="1"/>
  <c r="J2729" i="1"/>
  <c r="B2730" i="1"/>
  <c r="J2730" i="1"/>
  <c r="B2731" i="1"/>
  <c r="J2731" i="1"/>
  <c r="B2732" i="1"/>
  <c r="J2732" i="1"/>
  <c r="B2733" i="1"/>
  <c r="J2733" i="1"/>
  <c r="B2734" i="1"/>
  <c r="J2734" i="1"/>
  <c r="B2735" i="1"/>
  <c r="J2735" i="1"/>
  <c r="B2736" i="1"/>
  <c r="J2736" i="1"/>
  <c r="B2737" i="1"/>
  <c r="J2737" i="1"/>
  <c r="B2738" i="1"/>
  <c r="J2738" i="1"/>
  <c r="B2739" i="1"/>
  <c r="J2739" i="1"/>
  <c r="B2740" i="1"/>
  <c r="J2740" i="1"/>
  <c r="B2741" i="1"/>
  <c r="J2741" i="1"/>
  <c r="B2742" i="1"/>
  <c r="J2742" i="1"/>
  <c r="B2743" i="1"/>
  <c r="J2743" i="1"/>
  <c r="B2744" i="1"/>
  <c r="J2744" i="1"/>
  <c r="B2745" i="1"/>
  <c r="J2745" i="1"/>
  <c r="B2746" i="1"/>
  <c r="J2746" i="1"/>
  <c r="B2747" i="1"/>
  <c r="J2747" i="1"/>
  <c r="B2748" i="1"/>
  <c r="J2748" i="1"/>
  <c r="B2749" i="1"/>
  <c r="J2749" i="1"/>
  <c r="B2750" i="1"/>
  <c r="J2750" i="1"/>
  <c r="B2751" i="1"/>
  <c r="J2751" i="1"/>
  <c r="B2752" i="1"/>
  <c r="J2752" i="1"/>
  <c r="B2753" i="1"/>
  <c r="J2753" i="1"/>
  <c r="B2754" i="1"/>
  <c r="J2754" i="1"/>
  <c r="B2755" i="1"/>
  <c r="J2755" i="1"/>
  <c r="B2756" i="1"/>
  <c r="J2756" i="1"/>
  <c r="B2757" i="1"/>
  <c r="J2757" i="1"/>
  <c r="B2758" i="1"/>
  <c r="J2758" i="1"/>
  <c r="B2759" i="1"/>
  <c r="J2759" i="1"/>
  <c r="B2760" i="1"/>
  <c r="J2760" i="1"/>
  <c r="B2761" i="1"/>
  <c r="J2761" i="1"/>
  <c r="B2762" i="1"/>
  <c r="J2762" i="1"/>
  <c r="B2763" i="1"/>
  <c r="J2763" i="1"/>
  <c r="B2764" i="1"/>
  <c r="J2764" i="1"/>
  <c r="B2765" i="1"/>
  <c r="J2765" i="1"/>
  <c r="B2766" i="1"/>
  <c r="J2766" i="1"/>
  <c r="B2767" i="1"/>
  <c r="J2767" i="1"/>
  <c r="B2768" i="1"/>
  <c r="J2768" i="1"/>
  <c r="B2769" i="1"/>
  <c r="J2769" i="1"/>
  <c r="B2770" i="1"/>
  <c r="J2770" i="1"/>
  <c r="B2771" i="1"/>
  <c r="J2771" i="1"/>
  <c r="B2772" i="1"/>
  <c r="J2772" i="1"/>
  <c r="B2773" i="1"/>
  <c r="J2773" i="1"/>
  <c r="B2774" i="1"/>
  <c r="J2774" i="1"/>
  <c r="B2775" i="1"/>
  <c r="J2775" i="1"/>
  <c r="B2776" i="1"/>
  <c r="J2776" i="1"/>
  <c r="B2777" i="1"/>
  <c r="J2777" i="1"/>
  <c r="B2778" i="1"/>
  <c r="J2778" i="1"/>
  <c r="B2779" i="1"/>
  <c r="J2779" i="1"/>
  <c r="B2780" i="1"/>
  <c r="J2780" i="1"/>
  <c r="B2781" i="1"/>
  <c r="J2781" i="1"/>
  <c r="B2782" i="1"/>
  <c r="J2782" i="1"/>
  <c r="B2783" i="1"/>
  <c r="J2783" i="1"/>
  <c r="B2784" i="1"/>
  <c r="J2784" i="1"/>
  <c r="B2785" i="1"/>
  <c r="J2785" i="1"/>
  <c r="B2786" i="1"/>
  <c r="J2786" i="1"/>
  <c r="B2787" i="1"/>
  <c r="J2787" i="1"/>
  <c r="B2788" i="1"/>
  <c r="J2788" i="1"/>
  <c r="B2789" i="1"/>
  <c r="J2789" i="1"/>
  <c r="B2790" i="1"/>
  <c r="J2790" i="1"/>
  <c r="B2791" i="1"/>
  <c r="J2791" i="1"/>
  <c r="B2792" i="1"/>
  <c r="J2792" i="1"/>
  <c r="B2793" i="1"/>
  <c r="J2793" i="1"/>
  <c r="B2794" i="1"/>
  <c r="J2794" i="1"/>
  <c r="B2795" i="1"/>
  <c r="J2795" i="1"/>
  <c r="B2796" i="1"/>
  <c r="J2796" i="1"/>
  <c r="B2797" i="1"/>
  <c r="J2797" i="1"/>
  <c r="B2798" i="1"/>
  <c r="J2798" i="1"/>
  <c r="B2799" i="1"/>
  <c r="J2799" i="1"/>
  <c r="B2800" i="1"/>
  <c r="J2800" i="1"/>
  <c r="B2801" i="1"/>
  <c r="J2801" i="1"/>
  <c r="B2802" i="1"/>
  <c r="J2802" i="1"/>
  <c r="B2803" i="1"/>
  <c r="J2803" i="1"/>
  <c r="B2804" i="1"/>
  <c r="J2804" i="1"/>
  <c r="B2805" i="1"/>
  <c r="J2805" i="1"/>
  <c r="B2806" i="1"/>
  <c r="J2806" i="1"/>
  <c r="B2807" i="1"/>
  <c r="J2807" i="1"/>
  <c r="B2808" i="1"/>
  <c r="J2808" i="1"/>
  <c r="B2809" i="1"/>
  <c r="J2809" i="1"/>
  <c r="B2810" i="1"/>
  <c r="J2810" i="1"/>
  <c r="B2811" i="1"/>
  <c r="J2811" i="1"/>
  <c r="B2812" i="1"/>
  <c r="J2812" i="1"/>
  <c r="B2813" i="1"/>
  <c r="J2813" i="1"/>
  <c r="B2814" i="1"/>
  <c r="J2814" i="1"/>
  <c r="B2815" i="1"/>
  <c r="J2815" i="1"/>
  <c r="B2816" i="1"/>
  <c r="J2816" i="1"/>
  <c r="B2817" i="1"/>
  <c r="J2817" i="1"/>
  <c r="B2818" i="1"/>
  <c r="J2818" i="1"/>
  <c r="B2819" i="1"/>
  <c r="J2819" i="1"/>
  <c r="B2820" i="1"/>
  <c r="J2820" i="1"/>
  <c r="B2821" i="1"/>
  <c r="J2821" i="1"/>
  <c r="B2822" i="1"/>
  <c r="J2822" i="1"/>
  <c r="B2823" i="1"/>
  <c r="J2823" i="1"/>
  <c r="B2824" i="1"/>
  <c r="J2824" i="1"/>
  <c r="B2825" i="1"/>
  <c r="J2825" i="1"/>
  <c r="B2826" i="1"/>
  <c r="J2826" i="1"/>
  <c r="B2827" i="1"/>
  <c r="J2827" i="1"/>
  <c r="B2828" i="1"/>
  <c r="J2828" i="1"/>
  <c r="B2829" i="1"/>
  <c r="J2829" i="1"/>
  <c r="B2830" i="1"/>
  <c r="J2830" i="1"/>
  <c r="B2831" i="1"/>
  <c r="J2831" i="1"/>
  <c r="B2832" i="1"/>
  <c r="J2832" i="1"/>
  <c r="B2833" i="1"/>
  <c r="J2833" i="1"/>
  <c r="B2834" i="1"/>
  <c r="J2834" i="1"/>
  <c r="B2835" i="1"/>
  <c r="J2835" i="1"/>
  <c r="B2836" i="1"/>
  <c r="J2836" i="1"/>
  <c r="B2837" i="1"/>
  <c r="J2837" i="1"/>
  <c r="B2838" i="1"/>
  <c r="J2838" i="1"/>
  <c r="B2839" i="1"/>
  <c r="J2839" i="1"/>
  <c r="B2840" i="1"/>
  <c r="J2840" i="1"/>
  <c r="B2841" i="1"/>
  <c r="J2841" i="1"/>
  <c r="B2842" i="1"/>
  <c r="J2842" i="1"/>
  <c r="B2843" i="1"/>
  <c r="J2843" i="1"/>
  <c r="B2844" i="1"/>
  <c r="J2844" i="1"/>
  <c r="B2845" i="1"/>
  <c r="J2845" i="1"/>
  <c r="B2846" i="1"/>
  <c r="J2846" i="1"/>
  <c r="B2847" i="1"/>
  <c r="J2847" i="1"/>
  <c r="B2848" i="1"/>
  <c r="J2848" i="1"/>
  <c r="B2849" i="1"/>
  <c r="J2849" i="1"/>
  <c r="B2850" i="1"/>
  <c r="J2850" i="1"/>
  <c r="B2851" i="1"/>
  <c r="J2851" i="1"/>
  <c r="B2852" i="1"/>
  <c r="J2852" i="1"/>
  <c r="B2853" i="1"/>
  <c r="J2853" i="1"/>
  <c r="B2854" i="1"/>
  <c r="J2854" i="1"/>
  <c r="B2855" i="1"/>
  <c r="J2855" i="1"/>
  <c r="B2856" i="1"/>
  <c r="J2856" i="1"/>
  <c r="B2857" i="1"/>
  <c r="J2857" i="1"/>
  <c r="B2858" i="1"/>
  <c r="J2858" i="1"/>
  <c r="B2859" i="1"/>
  <c r="J2859" i="1"/>
  <c r="B2860" i="1"/>
  <c r="J2860" i="1"/>
  <c r="B2861" i="1"/>
  <c r="J2861" i="1"/>
  <c r="B2862" i="1"/>
  <c r="J2862" i="1"/>
  <c r="B2863" i="1"/>
  <c r="J2863" i="1"/>
  <c r="B2864" i="1"/>
  <c r="J2864" i="1"/>
  <c r="B2865" i="1"/>
  <c r="J2865" i="1"/>
  <c r="B2866" i="1"/>
  <c r="J2866" i="1"/>
  <c r="B2867" i="1"/>
  <c r="J2867" i="1"/>
  <c r="B2868" i="1"/>
  <c r="J2868" i="1"/>
  <c r="B2869" i="1"/>
  <c r="J2869" i="1"/>
  <c r="B2870" i="1"/>
  <c r="J2870" i="1"/>
  <c r="B2871" i="1"/>
  <c r="J2871" i="1"/>
  <c r="B2872" i="1"/>
  <c r="J2872" i="1"/>
  <c r="B2873" i="1"/>
  <c r="J2873" i="1"/>
  <c r="B2874" i="1"/>
  <c r="J2874" i="1"/>
  <c r="B2875" i="1"/>
  <c r="J2875" i="1"/>
  <c r="B2876" i="1"/>
  <c r="J2876" i="1"/>
  <c r="B2877" i="1"/>
  <c r="J2877" i="1"/>
  <c r="B2878" i="1"/>
  <c r="J2878" i="1"/>
  <c r="B2879" i="1"/>
  <c r="J2879" i="1"/>
  <c r="B2880" i="1"/>
  <c r="J2880" i="1"/>
  <c r="B2881" i="1"/>
  <c r="J2881" i="1"/>
  <c r="B2882" i="1"/>
  <c r="J2882" i="1"/>
  <c r="B2883" i="1"/>
  <c r="J2883" i="1"/>
  <c r="B2884" i="1"/>
  <c r="J2884" i="1"/>
  <c r="B2885" i="1"/>
  <c r="J2885" i="1"/>
  <c r="B2886" i="1"/>
  <c r="J2886" i="1"/>
  <c r="B2887" i="1"/>
  <c r="J2887" i="1"/>
  <c r="B2888" i="1"/>
  <c r="J2888" i="1"/>
  <c r="B2889" i="1"/>
  <c r="J2889" i="1"/>
  <c r="B2890" i="1"/>
  <c r="J2890" i="1"/>
  <c r="B2891" i="1"/>
  <c r="J2891" i="1"/>
  <c r="B2892" i="1"/>
  <c r="J2892" i="1"/>
  <c r="B2893" i="1"/>
  <c r="J2893" i="1"/>
  <c r="B2894" i="1"/>
  <c r="J2894" i="1"/>
  <c r="B2895" i="1"/>
  <c r="J2895" i="1"/>
  <c r="B2896" i="1"/>
  <c r="J2896" i="1"/>
  <c r="B2897" i="1"/>
  <c r="J2897" i="1"/>
  <c r="B2898" i="1"/>
  <c r="J2898" i="1"/>
  <c r="B2899" i="1"/>
  <c r="J2899" i="1"/>
  <c r="B2900" i="1"/>
  <c r="J2900" i="1"/>
  <c r="B2901" i="1"/>
  <c r="J2901" i="1"/>
  <c r="B2902" i="1"/>
  <c r="J2902" i="1"/>
  <c r="B2903" i="1"/>
  <c r="J2903" i="1"/>
  <c r="B2904" i="1"/>
  <c r="J2904" i="1"/>
  <c r="B2905" i="1"/>
  <c r="J2905" i="1"/>
  <c r="B2906" i="1"/>
  <c r="J2906" i="1"/>
  <c r="B2907" i="1"/>
  <c r="J2907" i="1"/>
  <c r="B2908" i="1"/>
  <c r="J2908" i="1"/>
  <c r="B2909" i="1"/>
  <c r="J2909" i="1"/>
  <c r="B2910" i="1"/>
  <c r="J2910" i="1"/>
  <c r="B2911" i="1"/>
  <c r="J2911" i="1"/>
  <c r="B2912" i="1"/>
  <c r="J2912" i="1"/>
  <c r="B2913" i="1"/>
  <c r="J2913" i="1"/>
  <c r="B2914" i="1"/>
  <c r="J2914" i="1"/>
  <c r="B2915" i="1"/>
  <c r="J2915" i="1"/>
  <c r="B2916" i="1"/>
  <c r="J2916" i="1"/>
  <c r="B2917" i="1"/>
  <c r="J2917" i="1"/>
  <c r="B2918" i="1"/>
  <c r="J2918" i="1"/>
  <c r="B2919" i="1"/>
  <c r="J2919" i="1"/>
  <c r="B2920" i="1"/>
  <c r="J2920" i="1"/>
  <c r="B2921" i="1"/>
  <c r="J2921" i="1"/>
  <c r="B2922" i="1"/>
  <c r="J2922" i="1"/>
  <c r="B2923" i="1"/>
  <c r="J2923" i="1"/>
  <c r="B2924" i="1"/>
  <c r="J2924" i="1"/>
  <c r="B2925" i="1"/>
  <c r="J2925" i="1"/>
  <c r="B2926" i="1"/>
  <c r="J2926" i="1"/>
  <c r="B2927" i="1"/>
  <c r="J2927" i="1"/>
  <c r="B2928" i="1"/>
  <c r="J2928" i="1"/>
  <c r="B2929" i="1"/>
  <c r="J2929" i="1"/>
  <c r="B2930" i="1"/>
  <c r="J2930" i="1"/>
  <c r="B2932" i="1"/>
  <c r="J2932" i="1"/>
  <c r="B2933" i="1"/>
  <c r="J2933" i="1"/>
  <c r="B2934" i="1"/>
  <c r="J2934" i="1"/>
  <c r="B2935" i="1"/>
  <c r="J2935" i="1"/>
  <c r="B2936" i="1"/>
  <c r="J2936" i="1"/>
  <c r="B2937" i="1"/>
  <c r="J2937" i="1"/>
  <c r="B2938" i="1"/>
  <c r="J2938" i="1"/>
  <c r="B2939" i="1"/>
  <c r="J2939" i="1"/>
  <c r="B2940" i="1"/>
  <c r="J2940" i="1"/>
  <c r="B2941" i="1"/>
  <c r="J2941" i="1"/>
  <c r="B2942" i="1"/>
  <c r="J2942" i="1"/>
  <c r="B2943" i="1"/>
  <c r="J2943" i="1"/>
  <c r="B2944" i="1"/>
  <c r="J2944" i="1"/>
  <c r="B2945" i="1"/>
  <c r="J2945" i="1"/>
  <c r="B2946" i="1"/>
  <c r="J2946" i="1"/>
  <c r="B2947" i="1"/>
  <c r="J2947" i="1"/>
  <c r="B2948" i="1"/>
  <c r="J2948" i="1"/>
  <c r="B2949" i="1"/>
  <c r="J2949" i="1"/>
  <c r="B2950" i="1"/>
  <c r="J2950" i="1"/>
  <c r="B2951" i="1"/>
  <c r="J2951" i="1"/>
  <c r="B2952" i="1"/>
  <c r="J2952" i="1"/>
  <c r="B2953" i="1"/>
  <c r="J2953" i="1"/>
  <c r="B2954" i="1"/>
  <c r="J2954" i="1"/>
  <c r="B2955" i="1"/>
  <c r="J2955" i="1"/>
  <c r="B2956" i="1"/>
  <c r="J2956" i="1"/>
  <c r="B2957" i="1"/>
  <c r="J2957" i="1"/>
  <c r="B2958" i="1"/>
  <c r="J2958" i="1"/>
  <c r="B2959" i="1"/>
  <c r="J2959" i="1"/>
  <c r="B2960" i="1"/>
  <c r="J2960" i="1"/>
  <c r="B2961" i="1"/>
  <c r="J2961" i="1"/>
  <c r="B2962" i="1"/>
  <c r="J2962" i="1"/>
  <c r="B2963" i="1"/>
  <c r="J2963" i="1"/>
  <c r="B2964" i="1"/>
  <c r="J2964" i="1"/>
  <c r="B2965" i="1"/>
  <c r="J2965" i="1"/>
  <c r="B2966" i="1"/>
  <c r="J2966" i="1"/>
  <c r="B2967" i="1"/>
  <c r="J2967" i="1"/>
  <c r="B2968" i="1"/>
  <c r="J2968" i="1"/>
  <c r="B2969" i="1"/>
  <c r="J2969" i="1"/>
  <c r="B2970" i="1"/>
  <c r="J2970" i="1"/>
  <c r="B2971" i="1"/>
  <c r="J2971" i="1"/>
  <c r="B2972" i="1"/>
  <c r="J2972" i="1"/>
  <c r="B2973" i="1"/>
  <c r="J2973" i="1"/>
  <c r="B2974" i="1"/>
  <c r="J2974" i="1"/>
  <c r="B2975" i="1"/>
  <c r="J2975" i="1"/>
  <c r="B2976" i="1"/>
  <c r="J2976" i="1"/>
  <c r="B2977" i="1"/>
  <c r="J2977" i="1"/>
  <c r="B2978" i="1"/>
  <c r="J2978" i="1"/>
  <c r="B2979" i="1"/>
  <c r="J2979" i="1"/>
  <c r="B2980" i="1"/>
  <c r="J2980" i="1"/>
  <c r="B2981" i="1"/>
  <c r="J2981" i="1"/>
  <c r="B2982" i="1"/>
  <c r="J2982" i="1"/>
  <c r="B2983" i="1"/>
  <c r="J2983" i="1"/>
  <c r="B2984" i="1"/>
  <c r="J2984" i="1"/>
  <c r="B2985" i="1"/>
  <c r="J2985" i="1"/>
  <c r="B2986" i="1"/>
  <c r="J2986" i="1"/>
  <c r="B2987" i="1"/>
  <c r="J2987" i="1"/>
  <c r="B2988" i="1"/>
  <c r="J2988" i="1"/>
  <c r="B2989" i="1"/>
  <c r="J2989" i="1"/>
  <c r="B2990" i="1"/>
  <c r="J2990" i="1"/>
  <c r="B2991" i="1"/>
  <c r="J2991" i="1"/>
  <c r="B2992" i="1"/>
  <c r="J2992" i="1"/>
  <c r="B2993" i="1"/>
  <c r="J2993" i="1"/>
  <c r="B2994" i="1"/>
  <c r="J2994" i="1"/>
  <c r="B2995" i="1"/>
  <c r="J2995" i="1"/>
  <c r="B2996" i="1"/>
  <c r="J2996" i="1"/>
  <c r="B2997" i="1"/>
  <c r="J2997" i="1"/>
  <c r="B2998" i="1"/>
  <c r="J2998" i="1"/>
  <c r="B2999" i="1"/>
  <c r="J2999" i="1"/>
  <c r="B3000" i="1"/>
  <c r="J3000" i="1"/>
  <c r="B3001" i="1"/>
  <c r="J3001" i="1"/>
  <c r="B3002" i="1"/>
  <c r="J3002" i="1"/>
  <c r="B3003" i="1"/>
  <c r="J3003" i="1"/>
  <c r="B3004" i="1"/>
  <c r="J3004" i="1"/>
  <c r="B3005" i="1"/>
  <c r="J3005" i="1"/>
  <c r="B3006" i="1"/>
  <c r="J3006" i="1"/>
  <c r="B3007" i="1"/>
  <c r="J3007" i="1"/>
  <c r="B3008" i="1"/>
  <c r="J3008" i="1"/>
  <c r="B3009" i="1"/>
  <c r="J3009" i="1"/>
  <c r="B3010" i="1"/>
  <c r="J3010" i="1"/>
  <c r="B3011" i="1"/>
  <c r="J3011" i="1"/>
  <c r="B3012" i="1"/>
  <c r="J3012" i="1"/>
  <c r="B3013" i="1"/>
  <c r="J3013" i="1"/>
  <c r="B3014" i="1"/>
  <c r="J3014" i="1"/>
  <c r="B3015" i="1"/>
  <c r="J3015" i="1"/>
  <c r="B3016" i="1"/>
  <c r="J3016" i="1"/>
  <c r="B3017" i="1"/>
  <c r="J3017" i="1"/>
  <c r="B3018" i="1"/>
  <c r="J3018" i="1"/>
  <c r="B3019" i="1"/>
  <c r="J3019" i="1"/>
  <c r="B3020" i="1"/>
  <c r="J3020" i="1"/>
  <c r="B3021" i="1"/>
  <c r="J3021" i="1"/>
  <c r="B3022" i="1"/>
  <c r="J3022" i="1"/>
  <c r="B3023" i="1"/>
  <c r="J3023" i="1"/>
  <c r="B3024" i="1"/>
  <c r="J3024" i="1"/>
  <c r="B3025" i="1"/>
  <c r="J3025" i="1"/>
  <c r="B3026" i="1"/>
  <c r="J3026" i="1"/>
  <c r="B3027" i="1"/>
  <c r="J3027" i="1"/>
  <c r="B3028" i="1"/>
  <c r="J3028" i="1"/>
  <c r="B3029" i="1"/>
  <c r="J3029" i="1"/>
  <c r="B3030" i="1"/>
  <c r="J3030" i="1"/>
  <c r="B3031" i="1"/>
  <c r="J3031" i="1"/>
  <c r="B3032" i="1"/>
  <c r="J3032" i="1"/>
  <c r="B3033" i="1"/>
  <c r="J3033" i="1"/>
  <c r="B3034" i="1"/>
  <c r="J3034" i="1"/>
  <c r="B3035" i="1"/>
  <c r="J3035" i="1"/>
  <c r="B3036" i="1"/>
  <c r="J3036" i="1"/>
  <c r="B3037" i="1"/>
  <c r="J3037" i="1"/>
  <c r="B3038" i="1"/>
  <c r="J3038" i="1"/>
  <c r="B3039" i="1"/>
  <c r="J3039" i="1"/>
  <c r="B3040" i="1"/>
  <c r="J3040" i="1"/>
  <c r="B3041" i="1"/>
  <c r="J3041" i="1"/>
  <c r="B3042" i="1"/>
  <c r="J3042" i="1"/>
  <c r="B3043" i="1"/>
  <c r="J3043" i="1"/>
  <c r="B3044" i="1"/>
  <c r="J3044" i="1"/>
  <c r="B3045" i="1"/>
  <c r="J3045" i="1"/>
  <c r="B3046" i="1"/>
  <c r="J3046" i="1"/>
  <c r="B3047" i="1"/>
  <c r="J3047" i="1"/>
  <c r="B3048" i="1"/>
  <c r="J3048" i="1"/>
  <c r="B3049" i="1"/>
  <c r="J3049" i="1"/>
  <c r="B3050" i="1"/>
  <c r="J3050" i="1"/>
  <c r="B3051" i="1"/>
  <c r="J3051" i="1"/>
  <c r="B3052" i="1"/>
  <c r="J3052" i="1"/>
  <c r="B3053" i="1"/>
  <c r="J3053" i="1"/>
  <c r="B3054" i="1"/>
  <c r="J3054" i="1"/>
  <c r="B3055" i="1"/>
  <c r="J3055" i="1"/>
  <c r="B3056" i="1"/>
  <c r="J3056" i="1"/>
  <c r="B3057" i="1"/>
  <c r="J3057" i="1"/>
  <c r="B3058" i="1"/>
  <c r="J3058" i="1"/>
  <c r="B3059" i="1"/>
  <c r="J3059" i="1"/>
  <c r="B3060" i="1"/>
  <c r="J3060" i="1"/>
  <c r="B3061" i="1"/>
  <c r="J3061" i="1"/>
  <c r="B3062" i="1"/>
  <c r="J3062" i="1"/>
  <c r="B3063" i="1"/>
  <c r="J3063" i="1"/>
  <c r="B3064" i="1"/>
  <c r="J3064" i="1"/>
  <c r="B3065" i="1"/>
  <c r="J3065" i="1"/>
  <c r="B3066" i="1"/>
  <c r="J3066" i="1"/>
  <c r="B3067" i="1"/>
  <c r="J3067" i="1"/>
  <c r="B3068" i="1"/>
  <c r="J3068" i="1"/>
  <c r="B3069" i="1"/>
  <c r="J3069" i="1"/>
  <c r="B3070" i="1"/>
  <c r="J3070" i="1"/>
  <c r="B3071" i="1"/>
  <c r="J3071" i="1"/>
  <c r="B3072" i="1"/>
  <c r="J3072" i="1"/>
  <c r="B3073" i="1"/>
  <c r="J3073" i="1"/>
  <c r="B3074" i="1"/>
  <c r="J3074" i="1"/>
  <c r="B3075" i="1"/>
  <c r="J3075" i="1"/>
  <c r="B3076" i="1"/>
  <c r="J3076" i="1"/>
  <c r="B3077" i="1"/>
  <c r="J3077" i="1"/>
  <c r="B3078" i="1"/>
  <c r="J3078" i="1"/>
  <c r="B3079" i="1"/>
  <c r="J3079" i="1"/>
  <c r="B3080" i="1"/>
  <c r="J3080" i="1"/>
  <c r="B3081" i="1"/>
  <c r="J3081" i="1"/>
  <c r="B3082" i="1"/>
  <c r="J3082" i="1"/>
  <c r="B3083" i="1"/>
  <c r="J3083" i="1"/>
  <c r="B3084" i="1"/>
  <c r="J3084" i="1"/>
  <c r="B3085" i="1"/>
  <c r="J3085" i="1"/>
  <c r="B3086" i="1"/>
  <c r="J3086" i="1"/>
  <c r="B3087" i="1"/>
  <c r="J3087" i="1"/>
  <c r="B3088" i="1"/>
  <c r="J3088" i="1"/>
  <c r="B3089" i="1"/>
  <c r="J3089" i="1"/>
  <c r="B3090" i="1"/>
  <c r="J3090" i="1"/>
  <c r="B3091" i="1"/>
  <c r="J3091" i="1"/>
  <c r="B3092" i="1"/>
  <c r="J3092" i="1"/>
  <c r="B3093" i="1"/>
  <c r="J3093" i="1"/>
  <c r="B3094" i="1"/>
  <c r="J3094" i="1"/>
  <c r="B3095" i="1"/>
  <c r="J3095" i="1"/>
  <c r="B3096" i="1"/>
  <c r="J3096" i="1"/>
  <c r="B3097" i="1"/>
  <c r="J3097" i="1"/>
  <c r="B3098" i="1"/>
  <c r="J3098" i="1"/>
  <c r="B3099" i="1"/>
  <c r="J3099" i="1"/>
  <c r="B3100" i="1"/>
  <c r="J3100" i="1"/>
  <c r="B3101" i="1"/>
  <c r="J3101" i="1"/>
  <c r="B3102" i="1"/>
  <c r="J3102" i="1"/>
  <c r="B3103" i="1"/>
  <c r="J3103" i="1"/>
  <c r="B3104" i="1"/>
  <c r="J3104" i="1"/>
  <c r="B3105" i="1"/>
  <c r="J3105" i="1"/>
  <c r="B3106" i="1"/>
  <c r="J3106" i="1"/>
  <c r="B3107" i="1"/>
  <c r="J3107" i="1"/>
  <c r="B3108" i="1"/>
  <c r="J3108" i="1"/>
  <c r="B3109" i="1"/>
  <c r="J3109" i="1"/>
  <c r="B3110" i="1"/>
  <c r="J3110" i="1"/>
  <c r="B3111" i="1"/>
  <c r="J3111" i="1"/>
  <c r="B3112" i="1"/>
  <c r="J3112" i="1"/>
  <c r="B3113" i="1"/>
  <c r="J3113" i="1"/>
  <c r="B3114" i="1"/>
  <c r="J3114" i="1"/>
  <c r="B3115" i="1"/>
  <c r="J3115" i="1"/>
  <c r="B3116" i="1"/>
  <c r="J3116" i="1"/>
  <c r="B3117" i="1"/>
  <c r="J3117" i="1"/>
  <c r="B3118" i="1"/>
  <c r="J3118" i="1"/>
  <c r="B3119" i="1"/>
  <c r="J3119" i="1"/>
  <c r="B3120" i="1"/>
  <c r="J3120" i="1"/>
  <c r="B3121" i="1"/>
  <c r="J3121" i="1"/>
  <c r="B3122" i="1"/>
  <c r="J3122" i="1"/>
  <c r="B3123" i="1"/>
  <c r="J3123" i="1"/>
  <c r="B3124" i="1"/>
  <c r="J3124" i="1"/>
  <c r="B3125" i="1"/>
  <c r="J3125" i="1"/>
  <c r="B3126" i="1"/>
  <c r="J3126" i="1"/>
  <c r="B3127" i="1"/>
  <c r="J3127" i="1"/>
  <c r="B3128" i="1"/>
  <c r="J3128" i="1"/>
  <c r="B3129" i="1"/>
  <c r="J3129" i="1"/>
  <c r="B3130" i="1"/>
  <c r="J3130" i="1"/>
  <c r="B3131" i="1"/>
  <c r="J3131" i="1"/>
  <c r="B3132" i="1"/>
  <c r="J3132" i="1"/>
  <c r="B3133" i="1"/>
  <c r="J3133" i="1"/>
  <c r="B3134" i="1"/>
  <c r="J3134" i="1"/>
  <c r="B3135" i="1"/>
  <c r="J3135" i="1"/>
  <c r="B3136" i="1"/>
  <c r="J3136" i="1"/>
  <c r="B3137" i="1"/>
  <c r="J3137" i="1"/>
  <c r="B3138" i="1"/>
  <c r="J3138" i="1"/>
  <c r="B3139" i="1"/>
  <c r="J3139" i="1"/>
  <c r="B3140" i="1"/>
  <c r="J3140" i="1"/>
  <c r="B3141" i="1"/>
  <c r="J3141" i="1"/>
  <c r="B3142" i="1"/>
  <c r="J3142" i="1"/>
  <c r="B3143" i="1"/>
  <c r="J3143" i="1"/>
  <c r="B3144" i="1"/>
  <c r="J3144" i="1"/>
  <c r="B3145" i="1"/>
  <c r="J3145" i="1"/>
  <c r="B3146" i="1"/>
  <c r="J3146" i="1"/>
  <c r="B3147" i="1"/>
  <c r="J3147" i="1"/>
  <c r="B3148" i="1"/>
  <c r="J3148" i="1"/>
  <c r="B3149" i="1"/>
  <c r="J3149" i="1"/>
  <c r="B3150" i="1"/>
  <c r="J3150" i="1"/>
  <c r="B3151" i="1"/>
  <c r="J3151" i="1"/>
  <c r="B3152" i="1"/>
  <c r="J3152" i="1"/>
  <c r="B3153" i="1"/>
  <c r="J3153" i="1"/>
  <c r="B3154" i="1"/>
  <c r="J3154" i="1"/>
  <c r="B3155" i="1"/>
  <c r="J3155" i="1"/>
  <c r="B3156" i="1"/>
  <c r="J3156" i="1"/>
  <c r="B3157" i="1"/>
  <c r="J3157" i="1"/>
  <c r="B3158" i="1"/>
  <c r="J3158" i="1"/>
  <c r="B3159" i="1"/>
  <c r="J3159" i="1"/>
  <c r="B3160" i="1"/>
  <c r="J3160" i="1"/>
  <c r="B3161" i="1"/>
  <c r="J3161" i="1"/>
  <c r="B3162" i="1"/>
  <c r="J3162" i="1"/>
  <c r="B3163" i="1"/>
  <c r="J3163" i="1"/>
  <c r="B3164" i="1"/>
  <c r="J3164" i="1"/>
  <c r="B3165" i="1"/>
  <c r="J3165" i="1"/>
  <c r="B3166" i="1"/>
  <c r="J3166" i="1"/>
  <c r="B3167" i="1"/>
  <c r="J3167" i="1"/>
  <c r="B3168" i="1"/>
  <c r="J3168" i="1"/>
  <c r="B3169" i="1"/>
  <c r="J3169" i="1"/>
  <c r="B3170" i="1"/>
  <c r="J3170" i="1"/>
  <c r="B3171" i="1"/>
  <c r="J3171" i="1"/>
  <c r="B3172" i="1"/>
  <c r="J3172" i="1"/>
  <c r="B3173" i="1"/>
  <c r="J3173" i="1"/>
  <c r="B3174" i="1"/>
  <c r="J3174" i="1"/>
  <c r="B3175" i="1"/>
  <c r="J3175" i="1"/>
  <c r="B3176" i="1"/>
  <c r="J3176" i="1"/>
  <c r="B3177" i="1"/>
  <c r="J3177" i="1"/>
  <c r="B3178" i="1"/>
  <c r="J3178" i="1"/>
  <c r="B3179" i="1"/>
  <c r="J3179" i="1"/>
  <c r="B3180" i="1"/>
  <c r="J3180" i="1"/>
  <c r="B3181" i="1"/>
  <c r="J3181" i="1"/>
  <c r="B3182" i="1"/>
  <c r="J3182" i="1"/>
  <c r="B3183" i="1"/>
  <c r="J3183" i="1"/>
  <c r="B3184" i="1"/>
  <c r="J3184" i="1"/>
  <c r="B3185" i="1"/>
  <c r="J3185" i="1"/>
  <c r="B3186" i="1"/>
  <c r="J3186" i="1"/>
  <c r="B3187" i="1"/>
  <c r="J3187" i="1"/>
  <c r="B3188" i="1"/>
  <c r="J3188" i="1"/>
  <c r="B3189" i="1"/>
  <c r="J3189" i="1"/>
  <c r="B3190" i="1"/>
  <c r="J3190" i="1"/>
  <c r="B3191" i="1"/>
  <c r="J3191" i="1"/>
  <c r="B3192" i="1"/>
  <c r="J3192" i="1"/>
  <c r="B3193" i="1"/>
  <c r="J3193" i="1"/>
  <c r="B3194" i="1"/>
  <c r="J3194" i="1"/>
  <c r="B3195" i="1"/>
  <c r="J3195" i="1"/>
  <c r="B3196" i="1"/>
  <c r="J3196" i="1"/>
  <c r="B3197" i="1"/>
  <c r="J3197" i="1"/>
  <c r="B3198" i="1"/>
  <c r="J3198" i="1"/>
  <c r="B3199" i="1"/>
  <c r="J3199" i="1"/>
  <c r="B3200" i="1"/>
  <c r="J3200" i="1"/>
  <c r="B3201" i="1"/>
  <c r="J3201" i="1"/>
  <c r="B3202" i="1"/>
  <c r="J3202" i="1"/>
  <c r="B3203" i="1"/>
  <c r="J3203" i="1"/>
  <c r="B3204" i="1"/>
  <c r="J3204" i="1"/>
  <c r="B3205" i="1"/>
  <c r="J3205" i="1"/>
  <c r="B3206" i="1"/>
  <c r="J3206" i="1"/>
  <c r="B3207" i="1"/>
  <c r="J3207" i="1"/>
  <c r="B3208" i="1"/>
  <c r="J3208" i="1"/>
  <c r="B3209" i="1"/>
  <c r="J3209" i="1"/>
  <c r="B3210" i="1"/>
  <c r="J3210" i="1"/>
  <c r="B3211" i="1"/>
  <c r="J3211" i="1"/>
  <c r="B3212" i="1"/>
  <c r="J3212" i="1"/>
  <c r="B3213" i="1"/>
  <c r="J3213" i="1"/>
  <c r="B3214" i="1"/>
  <c r="J3214" i="1"/>
  <c r="B3215" i="1"/>
  <c r="J3215" i="1"/>
  <c r="B3216" i="1"/>
  <c r="J3216" i="1"/>
  <c r="B3217" i="1"/>
  <c r="J3217" i="1"/>
  <c r="B3218" i="1"/>
  <c r="J3218" i="1"/>
  <c r="B3219" i="1"/>
  <c r="J3219" i="1"/>
  <c r="B3220" i="1"/>
  <c r="J3220" i="1"/>
  <c r="B3221" i="1"/>
  <c r="J3221" i="1"/>
  <c r="B3222" i="1"/>
  <c r="J3222" i="1"/>
  <c r="B3223" i="1"/>
  <c r="J3223" i="1"/>
  <c r="B3224" i="1"/>
  <c r="J3224" i="1"/>
  <c r="B3225" i="1"/>
  <c r="J3225" i="1"/>
  <c r="B3226" i="1"/>
  <c r="J3226" i="1"/>
  <c r="B3227" i="1"/>
  <c r="J3227" i="1"/>
  <c r="B3228" i="1"/>
  <c r="J3228" i="1"/>
  <c r="B3229" i="1"/>
  <c r="J3229" i="1"/>
  <c r="B3230" i="1"/>
  <c r="J3230" i="1"/>
  <c r="B3231" i="1"/>
  <c r="J3231" i="1"/>
  <c r="B3232" i="1"/>
  <c r="J3232" i="1"/>
  <c r="B3233" i="1"/>
  <c r="J3233" i="1"/>
  <c r="B3234" i="1"/>
  <c r="J3234" i="1"/>
  <c r="B3235" i="1"/>
  <c r="J3235" i="1"/>
  <c r="B3236" i="1"/>
  <c r="J3236" i="1"/>
  <c r="B3237" i="1"/>
  <c r="J3237" i="1"/>
  <c r="B3238" i="1"/>
  <c r="J3238" i="1"/>
  <c r="B3239" i="1"/>
  <c r="J3239" i="1"/>
  <c r="B3240" i="1"/>
  <c r="J3240" i="1"/>
  <c r="B3241" i="1"/>
  <c r="J3241" i="1"/>
  <c r="B3242" i="1"/>
  <c r="J3242" i="1"/>
  <c r="B3243" i="1"/>
  <c r="J3243" i="1"/>
  <c r="B3244" i="1"/>
  <c r="J3244" i="1"/>
  <c r="B3245" i="1"/>
  <c r="J3245" i="1"/>
  <c r="B3246" i="1"/>
  <c r="J3246" i="1"/>
  <c r="B3247" i="1"/>
  <c r="J3247" i="1"/>
  <c r="B3248" i="1"/>
  <c r="J3248" i="1"/>
  <c r="B3249" i="1"/>
  <c r="J3249" i="1"/>
  <c r="B3250" i="1"/>
  <c r="J3250" i="1"/>
  <c r="B3251" i="1"/>
  <c r="J3251" i="1"/>
  <c r="B3252" i="1"/>
  <c r="J3252" i="1"/>
  <c r="B3253" i="1"/>
  <c r="J3253" i="1"/>
  <c r="B3254" i="1"/>
  <c r="J3254" i="1"/>
  <c r="B3255" i="1"/>
  <c r="J3255" i="1"/>
  <c r="B3256" i="1"/>
  <c r="J3256" i="1"/>
  <c r="B3257" i="1"/>
  <c r="J3257" i="1"/>
  <c r="B3258" i="1"/>
  <c r="J3258" i="1"/>
  <c r="B3259" i="1"/>
  <c r="J3259" i="1"/>
  <c r="B3260" i="1"/>
  <c r="J3260" i="1"/>
  <c r="B3261" i="1"/>
  <c r="J3261" i="1"/>
  <c r="B3262" i="1"/>
  <c r="J3262" i="1"/>
  <c r="B3263" i="1"/>
  <c r="J3263" i="1"/>
  <c r="B3264" i="1"/>
  <c r="J3264" i="1"/>
  <c r="B3265" i="1"/>
  <c r="J3265" i="1"/>
  <c r="B3266" i="1"/>
  <c r="J3266" i="1"/>
  <c r="B3267" i="1"/>
  <c r="J3267" i="1"/>
  <c r="B3268" i="1"/>
  <c r="J3268" i="1"/>
  <c r="B3269" i="1"/>
  <c r="J3269" i="1"/>
  <c r="B3270" i="1"/>
  <c r="J3270" i="1"/>
  <c r="B3271" i="1"/>
  <c r="J3271" i="1"/>
  <c r="B3272" i="1"/>
  <c r="J3272" i="1"/>
  <c r="B3273" i="1"/>
  <c r="J3273" i="1"/>
  <c r="B3274" i="1"/>
  <c r="J3274" i="1"/>
  <c r="B3275" i="1"/>
  <c r="J3275" i="1"/>
  <c r="B3276" i="1"/>
  <c r="J3276" i="1"/>
  <c r="B3277" i="1"/>
  <c r="J3277" i="1"/>
  <c r="B3278" i="1"/>
  <c r="J3278" i="1"/>
  <c r="B3279" i="1"/>
  <c r="J3279" i="1"/>
  <c r="B3280" i="1"/>
  <c r="J3280" i="1"/>
  <c r="B3281" i="1"/>
  <c r="J3281" i="1"/>
  <c r="B3282" i="1"/>
  <c r="J3282" i="1"/>
  <c r="B3283" i="1"/>
  <c r="J3283" i="1"/>
  <c r="B3284" i="1"/>
  <c r="J3284" i="1"/>
  <c r="B3285" i="1"/>
  <c r="J3285" i="1"/>
  <c r="B3286" i="1"/>
  <c r="J3286" i="1"/>
  <c r="B3287" i="1"/>
  <c r="J3287" i="1"/>
  <c r="B3288" i="1"/>
  <c r="J3288" i="1"/>
  <c r="B3289" i="1"/>
  <c r="J3289" i="1"/>
  <c r="B3290" i="1"/>
  <c r="J3290" i="1"/>
  <c r="B3291" i="1"/>
  <c r="J3291" i="1"/>
  <c r="B3292" i="1"/>
  <c r="J3292" i="1"/>
  <c r="B3293" i="1"/>
  <c r="J3293" i="1"/>
  <c r="B3294" i="1"/>
  <c r="J3294" i="1"/>
  <c r="B3295" i="1"/>
  <c r="J3295" i="1"/>
  <c r="B3296" i="1"/>
  <c r="J3296" i="1"/>
  <c r="B3298" i="1"/>
  <c r="J3298" i="1"/>
  <c r="B3299" i="1"/>
  <c r="J3299" i="1"/>
  <c r="B3300" i="1"/>
  <c r="J3300" i="1"/>
  <c r="B3301" i="1"/>
  <c r="J3301" i="1"/>
  <c r="B3302" i="1"/>
  <c r="J3302" i="1"/>
  <c r="B3303" i="1"/>
  <c r="J3303" i="1"/>
  <c r="B3304" i="1"/>
  <c r="J3304" i="1"/>
  <c r="B3305" i="1"/>
  <c r="J3305" i="1"/>
  <c r="B3306" i="1"/>
  <c r="J3306" i="1"/>
  <c r="B3307" i="1"/>
  <c r="J3307" i="1"/>
  <c r="B3308" i="1"/>
  <c r="J3308" i="1"/>
  <c r="B3309" i="1"/>
  <c r="J3309" i="1"/>
  <c r="B3310" i="1"/>
  <c r="J3310" i="1"/>
  <c r="B3311" i="1"/>
  <c r="J3311" i="1"/>
  <c r="B3312" i="1"/>
  <c r="J3312" i="1"/>
  <c r="B3313" i="1"/>
  <c r="J3313" i="1"/>
  <c r="B3314" i="1"/>
  <c r="J3314" i="1"/>
  <c r="B3315" i="1"/>
  <c r="J3315" i="1"/>
  <c r="B3316" i="1"/>
  <c r="J3316" i="1"/>
  <c r="B3317" i="1"/>
  <c r="J3317" i="1"/>
  <c r="B3318" i="1"/>
  <c r="J3318" i="1"/>
  <c r="B3319" i="1"/>
  <c r="J3319" i="1"/>
  <c r="B3320" i="1"/>
  <c r="J3320" i="1"/>
  <c r="B3321" i="1"/>
  <c r="J3321" i="1"/>
  <c r="B3322" i="1"/>
  <c r="J3322" i="1"/>
  <c r="B3323" i="1"/>
  <c r="J3323" i="1"/>
  <c r="B3324" i="1"/>
  <c r="J3324" i="1"/>
  <c r="B3325" i="1"/>
  <c r="J3325" i="1"/>
  <c r="B3326" i="1"/>
  <c r="J3326" i="1"/>
  <c r="B3327" i="1"/>
  <c r="J3327" i="1"/>
  <c r="B3328" i="1"/>
  <c r="J3328" i="1"/>
  <c r="B3329" i="1"/>
  <c r="J3329" i="1"/>
  <c r="B3330" i="1"/>
  <c r="J3330" i="1"/>
  <c r="B3331" i="1"/>
  <c r="J3331" i="1"/>
  <c r="B3332" i="1"/>
  <c r="J3332" i="1"/>
  <c r="B3333" i="1"/>
  <c r="J3333" i="1"/>
  <c r="B3334" i="1"/>
  <c r="J3334" i="1"/>
  <c r="B3335" i="1"/>
  <c r="J3335" i="1"/>
  <c r="B3336" i="1"/>
  <c r="J3336" i="1"/>
  <c r="B3337" i="1"/>
  <c r="J3337" i="1"/>
  <c r="B3338" i="1"/>
  <c r="J3338" i="1"/>
  <c r="B3339" i="1"/>
  <c r="J3339" i="1"/>
  <c r="B3340" i="1"/>
  <c r="J3340" i="1"/>
  <c r="B3341" i="1"/>
  <c r="J3341" i="1"/>
  <c r="B3342" i="1"/>
  <c r="J3342" i="1"/>
  <c r="B3343" i="1"/>
  <c r="J3343" i="1"/>
  <c r="B3344" i="1"/>
  <c r="J3344" i="1"/>
  <c r="B3345" i="1"/>
  <c r="J3345" i="1"/>
  <c r="B3346" i="1"/>
  <c r="J3346" i="1"/>
  <c r="B3347" i="1"/>
  <c r="J3347" i="1"/>
  <c r="B3348" i="1"/>
  <c r="J3348" i="1"/>
  <c r="B3349" i="1"/>
  <c r="J3349" i="1"/>
  <c r="B3350" i="1"/>
  <c r="J3350" i="1"/>
  <c r="B3351" i="1"/>
  <c r="J3351" i="1"/>
  <c r="B3352" i="1"/>
  <c r="J3352" i="1"/>
  <c r="B3353" i="1"/>
  <c r="J3353" i="1"/>
  <c r="B3354" i="1"/>
  <c r="J3354" i="1"/>
  <c r="B3355" i="1"/>
  <c r="J3355" i="1"/>
  <c r="B3356" i="1"/>
  <c r="J3356" i="1"/>
  <c r="B3357" i="1"/>
  <c r="J3357" i="1"/>
  <c r="B3358" i="1"/>
  <c r="J3358" i="1"/>
  <c r="B3359" i="1"/>
  <c r="J3359" i="1"/>
  <c r="B3360" i="1"/>
  <c r="J3360" i="1"/>
  <c r="B3361" i="1"/>
  <c r="J3361" i="1"/>
  <c r="B3362" i="1"/>
  <c r="J3362" i="1"/>
  <c r="B3363" i="1"/>
  <c r="J3363" i="1"/>
  <c r="B3364" i="1"/>
  <c r="J3364" i="1"/>
  <c r="B3365" i="1"/>
  <c r="J3365" i="1"/>
  <c r="B3366" i="1"/>
  <c r="J3366" i="1"/>
  <c r="B3367" i="1"/>
  <c r="J3367" i="1"/>
  <c r="B3368" i="1"/>
  <c r="J3368" i="1"/>
  <c r="B3369" i="1"/>
  <c r="J3369" i="1"/>
  <c r="B3370" i="1"/>
  <c r="J3370" i="1"/>
  <c r="B3371" i="1"/>
  <c r="J3371" i="1"/>
  <c r="B3372" i="1"/>
  <c r="J3372" i="1"/>
  <c r="B3373" i="1"/>
  <c r="J3373" i="1"/>
  <c r="B3374" i="1"/>
  <c r="J3374" i="1"/>
  <c r="B3375" i="1"/>
  <c r="J3375" i="1"/>
  <c r="B3376" i="1"/>
  <c r="J3376" i="1"/>
  <c r="B3377" i="1"/>
  <c r="J3377" i="1"/>
  <c r="B3378" i="1"/>
  <c r="J3378" i="1"/>
  <c r="B3379" i="1"/>
  <c r="J3379" i="1"/>
  <c r="B3380" i="1"/>
  <c r="J3380" i="1"/>
  <c r="B3381" i="1"/>
  <c r="J3381" i="1"/>
  <c r="B3382" i="1"/>
  <c r="J3382" i="1"/>
  <c r="B3383" i="1"/>
  <c r="J3383" i="1"/>
  <c r="B3384" i="1"/>
  <c r="J3384" i="1"/>
  <c r="B3385" i="1"/>
  <c r="J3385" i="1"/>
  <c r="B3386" i="1"/>
  <c r="J3386" i="1"/>
  <c r="B3387" i="1"/>
  <c r="J3387" i="1"/>
  <c r="B3388" i="1"/>
  <c r="J3388" i="1"/>
  <c r="B3389" i="1"/>
  <c r="J3389" i="1"/>
  <c r="B3390" i="1"/>
  <c r="J3390" i="1"/>
  <c r="B3391" i="1"/>
  <c r="J3391" i="1"/>
  <c r="B3392" i="1"/>
  <c r="J3392" i="1"/>
  <c r="B3393" i="1"/>
  <c r="J3393" i="1"/>
  <c r="B3394" i="1"/>
  <c r="J3394" i="1"/>
  <c r="B3395" i="1"/>
  <c r="J3395" i="1"/>
  <c r="B3396" i="1"/>
  <c r="J3396" i="1"/>
  <c r="B3397" i="1"/>
  <c r="J3397" i="1"/>
  <c r="B3398" i="1"/>
  <c r="J3398" i="1"/>
  <c r="B3399" i="1"/>
  <c r="J3399" i="1"/>
  <c r="B3400" i="1"/>
  <c r="J3400" i="1"/>
  <c r="B3401" i="1"/>
  <c r="J3401" i="1"/>
  <c r="B3402" i="1"/>
  <c r="J3402" i="1"/>
  <c r="B3403" i="1"/>
  <c r="J3403" i="1"/>
  <c r="B3404" i="1"/>
  <c r="J3404" i="1"/>
  <c r="B3405" i="1"/>
  <c r="J3405" i="1"/>
  <c r="B3406" i="1"/>
  <c r="J3406" i="1"/>
  <c r="B3407" i="1"/>
  <c r="J3407" i="1"/>
  <c r="B3408" i="1"/>
  <c r="J3408" i="1"/>
  <c r="B3409" i="1"/>
  <c r="J3409" i="1"/>
  <c r="B3410" i="1"/>
  <c r="J3410" i="1"/>
  <c r="B3411" i="1"/>
  <c r="J3411" i="1"/>
  <c r="B3412" i="1"/>
  <c r="J3412" i="1"/>
  <c r="B3413" i="1"/>
  <c r="J3413" i="1"/>
  <c r="B3414" i="1"/>
  <c r="J3414" i="1"/>
  <c r="B3415" i="1"/>
  <c r="J3415" i="1"/>
  <c r="B3416" i="1"/>
  <c r="J3416" i="1"/>
  <c r="B3417" i="1"/>
  <c r="J3417" i="1"/>
  <c r="B3418" i="1"/>
  <c r="J3418" i="1"/>
  <c r="B3419" i="1"/>
  <c r="J3419" i="1"/>
  <c r="B3420" i="1"/>
  <c r="J3420" i="1"/>
  <c r="B3421" i="1"/>
  <c r="J3421" i="1"/>
  <c r="B3422" i="1"/>
  <c r="J3422" i="1"/>
  <c r="B3423" i="1"/>
  <c r="J3423" i="1"/>
  <c r="B3424" i="1"/>
  <c r="J3424" i="1"/>
  <c r="B3425" i="1"/>
  <c r="J3425" i="1"/>
  <c r="B3426" i="1"/>
  <c r="J3426" i="1"/>
  <c r="B3427" i="1"/>
  <c r="J3427" i="1"/>
  <c r="B3428" i="1"/>
  <c r="J3428" i="1"/>
  <c r="B3429" i="1"/>
  <c r="J3429" i="1"/>
  <c r="B3430" i="1"/>
  <c r="J3430" i="1"/>
  <c r="B3431" i="1"/>
  <c r="J3431" i="1"/>
  <c r="B3432" i="1"/>
  <c r="J3432" i="1"/>
  <c r="B3433" i="1"/>
  <c r="J3433" i="1"/>
  <c r="B3434" i="1"/>
  <c r="J3434" i="1"/>
  <c r="B3435" i="1"/>
  <c r="J3435" i="1"/>
  <c r="B3436" i="1"/>
  <c r="J3436" i="1"/>
  <c r="B3437" i="1"/>
  <c r="J3437" i="1"/>
  <c r="B3438" i="1"/>
  <c r="J3438" i="1"/>
  <c r="B3439" i="1"/>
  <c r="J3439" i="1"/>
  <c r="B3440" i="1"/>
  <c r="J3440" i="1"/>
  <c r="B3441" i="1"/>
  <c r="J3441" i="1"/>
  <c r="B3442" i="1"/>
  <c r="J3442" i="1"/>
  <c r="B3443" i="1"/>
  <c r="J3443" i="1"/>
  <c r="B3444" i="1"/>
  <c r="J3444" i="1"/>
  <c r="B3445" i="1"/>
  <c r="J3445" i="1"/>
  <c r="B3446" i="1"/>
  <c r="J3446" i="1"/>
  <c r="B3447" i="1"/>
  <c r="J3447" i="1"/>
  <c r="B3448" i="1"/>
  <c r="J3448" i="1"/>
  <c r="B3449" i="1"/>
  <c r="J3449" i="1"/>
  <c r="B3450" i="1"/>
  <c r="J3450" i="1"/>
  <c r="B3451" i="1"/>
  <c r="J3451" i="1"/>
  <c r="B3452" i="1"/>
  <c r="J3452" i="1"/>
  <c r="B3453" i="1"/>
  <c r="J3453" i="1"/>
  <c r="B3454" i="1"/>
  <c r="J3454" i="1"/>
  <c r="B3455" i="1"/>
  <c r="J3455" i="1"/>
  <c r="B3456" i="1"/>
  <c r="J3456" i="1"/>
  <c r="B3457" i="1"/>
  <c r="J3457" i="1"/>
  <c r="B3458" i="1"/>
  <c r="J3458" i="1"/>
  <c r="B3459" i="1"/>
  <c r="J3459" i="1"/>
  <c r="B3460" i="1"/>
  <c r="J3460" i="1"/>
  <c r="B3461" i="1"/>
  <c r="J3461" i="1"/>
  <c r="B3462" i="1"/>
  <c r="J3462" i="1"/>
  <c r="B3463" i="1"/>
  <c r="J3463" i="1"/>
  <c r="B3464" i="1"/>
  <c r="J3464" i="1"/>
  <c r="B3465" i="1"/>
  <c r="J3465" i="1"/>
  <c r="B3466" i="1"/>
  <c r="J3466" i="1"/>
  <c r="B3467" i="1"/>
  <c r="J3467" i="1"/>
  <c r="B3468" i="1"/>
  <c r="J3468" i="1"/>
  <c r="B3469" i="1"/>
  <c r="J3469" i="1"/>
  <c r="B3470" i="1"/>
  <c r="J3470" i="1"/>
  <c r="B3471" i="1"/>
  <c r="J3471" i="1"/>
  <c r="B3472" i="1"/>
  <c r="J3472" i="1"/>
  <c r="B3473" i="1"/>
  <c r="J3473" i="1"/>
  <c r="B3474" i="1"/>
  <c r="J3474" i="1"/>
  <c r="B3475" i="1"/>
  <c r="J3475" i="1"/>
  <c r="B3476" i="1"/>
  <c r="J3476" i="1"/>
  <c r="B3477" i="1"/>
  <c r="J3477" i="1"/>
  <c r="B3478" i="1"/>
  <c r="J3478" i="1"/>
  <c r="B3479" i="1"/>
  <c r="J3479" i="1"/>
  <c r="B3480" i="1"/>
  <c r="J3480" i="1"/>
  <c r="B3481" i="1"/>
  <c r="J3481" i="1"/>
  <c r="B3482" i="1"/>
  <c r="J3482" i="1"/>
  <c r="B3483" i="1"/>
  <c r="J3483" i="1"/>
  <c r="B3484" i="1"/>
  <c r="J3484" i="1"/>
  <c r="B3485" i="1"/>
  <c r="J3485" i="1"/>
  <c r="B3486" i="1"/>
  <c r="J3486" i="1"/>
  <c r="B3487" i="1"/>
  <c r="J3487" i="1"/>
  <c r="B3488" i="1"/>
  <c r="J3488" i="1"/>
  <c r="B3489" i="1"/>
  <c r="J3489" i="1"/>
  <c r="B3490" i="1"/>
  <c r="J3490" i="1"/>
  <c r="B3491" i="1"/>
  <c r="J3491" i="1"/>
  <c r="B3492" i="1"/>
  <c r="J3492" i="1"/>
  <c r="B3493" i="1"/>
  <c r="J3493" i="1"/>
  <c r="B3494" i="1"/>
  <c r="J3494" i="1"/>
  <c r="B3495" i="1"/>
  <c r="J3495" i="1"/>
  <c r="B3496" i="1"/>
  <c r="J3496" i="1"/>
  <c r="B3497" i="1"/>
  <c r="J3497" i="1"/>
  <c r="B3498" i="1"/>
  <c r="J3498" i="1"/>
  <c r="B3499" i="1"/>
  <c r="J3499" i="1"/>
  <c r="B3500" i="1"/>
  <c r="J3500" i="1"/>
  <c r="B3501" i="1"/>
  <c r="J3501" i="1"/>
  <c r="B3502" i="1"/>
  <c r="J3502" i="1"/>
  <c r="B3503" i="1"/>
  <c r="J3503" i="1"/>
  <c r="B3504" i="1"/>
  <c r="J3504" i="1"/>
  <c r="B3505" i="1"/>
  <c r="J3505" i="1"/>
  <c r="B3506" i="1"/>
  <c r="J3506" i="1"/>
  <c r="B3507" i="1"/>
  <c r="J3507" i="1"/>
  <c r="B3508" i="1"/>
  <c r="J3508" i="1"/>
  <c r="B3509" i="1"/>
  <c r="J3509" i="1"/>
  <c r="B3510" i="1"/>
  <c r="J3510" i="1"/>
  <c r="B3511" i="1"/>
  <c r="J3511" i="1"/>
  <c r="B3512" i="1"/>
  <c r="J3512" i="1"/>
  <c r="B3513" i="1"/>
  <c r="J3513" i="1"/>
  <c r="B3514" i="1"/>
  <c r="J3514" i="1"/>
  <c r="B3515" i="1"/>
  <c r="J3515" i="1"/>
  <c r="B3516" i="1"/>
  <c r="J3516" i="1"/>
  <c r="B3517" i="1"/>
  <c r="J3517" i="1"/>
  <c r="B3518" i="1"/>
  <c r="J3518" i="1"/>
  <c r="B3519" i="1"/>
  <c r="J3519" i="1"/>
  <c r="B3520" i="1"/>
  <c r="J3520" i="1"/>
  <c r="B3521" i="1"/>
  <c r="J3521" i="1"/>
  <c r="B3522" i="1"/>
  <c r="J3522" i="1"/>
  <c r="B3523" i="1"/>
  <c r="J3523" i="1"/>
  <c r="B3524" i="1"/>
  <c r="J3524" i="1"/>
  <c r="B3525" i="1"/>
  <c r="J3525" i="1"/>
  <c r="B3526" i="1"/>
  <c r="J3526" i="1"/>
  <c r="B3527" i="1"/>
  <c r="J3527" i="1"/>
  <c r="B3528" i="1"/>
  <c r="J3528" i="1"/>
  <c r="B3529" i="1"/>
  <c r="J3529" i="1"/>
  <c r="B3530" i="1"/>
  <c r="J3530" i="1"/>
  <c r="B3531" i="1"/>
  <c r="J3531" i="1"/>
  <c r="B3532" i="1"/>
  <c r="J3532" i="1"/>
  <c r="B3533" i="1"/>
  <c r="J3533" i="1"/>
  <c r="B3534" i="1"/>
  <c r="J3534" i="1"/>
  <c r="B3535" i="1"/>
  <c r="J3535" i="1"/>
  <c r="B3536" i="1"/>
  <c r="J3536" i="1"/>
  <c r="B3537" i="1"/>
  <c r="J3537" i="1"/>
  <c r="B3538" i="1"/>
  <c r="J3538" i="1"/>
  <c r="B3539" i="1"/>
  <c r="J3539" i="1"/>
  <c r="B3540" i="1"/>
  <c r="J3540" i="1"/>
  <c r="B3541" i="1"/>
  <c r="J3541" i="1"/>
  <c r="B3542" i="1"/>
  <c r="J3542" i="1"/>
  <c r="B3543" i="1"/>
  <c r="J3543" i="1"/>
  <c r="B3544" i="1"/>
  <c r="J3544" i="1"/>
  <c r="B3545" i="1"/>
  <c r="J3545" i="1"/>
  <c r="B3546" i="1"/>
  <c r="J3546" i="1"/>
  <c r="B3547" i="1"/>
  <c r="J3547" i="1"/>
  <c r="B3548" i="1"/>
  <c r="J3548" i="1"/>
  <c r="B3549" i="1"/>
  <c r="J3549" i="1"/>
  <c r="B3550" i="1"/>
  <c r="J3550" i="1"/>
  <c r="B3551" i="1"/>
  <c r="J3551" i="1"/>
  <c r="B3552" i="1"/>
  <c r="J3552" i="1"/>
  <c r="B3553" i="1"/>
  <c r="J3553" i="1"/>
  <c r="B3554" i="1"/>
  <c r="J3554" i="1"/>
  <c r="B3555" i="1"/>
  <c r="J3555" i="1"/>
  <c r="B3556" i="1"/>
  <c r="J3556" i="1"/>
  <c r="B3557" i="1"/>
  <c r="J3557" i="1"/>
  <c r="B3558" i="1"/>
  <c r="J3558" i="1"/>
  <c r="B3559" i="1"/>
  <c r="J3559" i="1"/>
  <c r="B3560" i="1"/>
  <c r="J3560" i="1"/>
  <c r="B3561" i="1"/>
  <c r="J3561" i="1"/>
  <c r="B3562" i="1"/>
  <c r="J3562" i="1"/>
  <c r="B3563" i="1"/>
  <c r="J3563" i="1"/>
  <c r="B3564" i="1"/>
  <c r="J3564" i="1"/>
  <c r="B3565" i="1"/>
  <c r="J3565" i="1"/>
  <c r="B3566" i="1"/>
  <c r="J3566" i="1"/>
  <c r="B3567" i="1"/>
  <c r="J3567" i="1"/>
  <c r="B3568" i="1"/>
  <c r="J3568" i="1"/>
  <c r="B3569" i="1"/>
  <c r="J3569" i="1"/>
  <c r="B3570" i="1"/>
  <c r="J3570" i="1"/>
  <c r="B3571" i="1"/>
  <c r="J3571" i="1"/>
  <c r="B3572" i="1"/>
  <c r="J3572" i="1"/>
  <c r="B3573" i="1"/>
  <c r="J3573" i="1"/>
  <c r="B3574" i="1"/>
  <c r="J3574" i="1"/>
  <c r="B3575" i="1"/>
  <c r="J3575" i="1"/>
  <c r="B3576" i="1"/>
  <c r="J3576" i="1"/>
  <c r="B3577" i="1"/>
  <c r="J3577" i="1"/>
  <c r="B3578" i="1"/>
  <c r="J3578" i="1"/>
  <c r="B3579" i="1"/>
  <c r="J3579" i="1"/>
  <c r="B3580" i="1"/>
  <c r="J3580" i="1"/>
  <c r="B3581" i="1"/>
  <c r="J3581" i="1"/>
  <c r="B3582" i="1"/>
  <c r="J3582" i="1"/>
  <c r="B3583" i="1"/>
  <c r="J3583" i="1"/>
  <c r="B3584" i="1"/>
  <c r="J3584" i="1"/>
  <c r="B3585" i="1"/>
  <c r="J3585" i="1"/>
  <c r="B3586" i="1"/>
  <c r="J3586" i="1"/>
  <c r="B3587" i="1"/>
  <c r="J3587" i="1"/>
  <c r="B3588" i="1"/>
  <c r="J3588" i="1"/>
  <c r="B3589" i="1"/>
  <c r="J3589" i="1"/>
  <c r="B3590" i="1"/>
  <c r="J3590" i="1"/>
  <c r="B3591" i="1"/>
  <c r="J3591" i="1"/>
  <c r="B3592" i="1"/>
  <c r="J3592" i="1"/>
  <c r="B3593" i="1"/>
  <c r="J3593" i="1"/>
  <c r="B3594" i="1"/>
  <c r="J3594" i="1"/>
  <c r="B3595" i="1"/>
  <c r="J3595" i="1"/>
  <c r="B3596" i="1"/>
  <c r="J3596" i="1"/>
  <c r="B3597" i="1"/>
  <c r="J3597" i="1"/>
  <c r="B3598" i="1"/>
  <c r="J3598" i="1"/>
  <c r="B3599" i="1"/>
  <c r="J3599" i="1"/>
  <c r="B3600" i="1"/>
  <c r="J3600" i="1"/>
  <c r="B3601" i="1"/>
  <c r="J3601" i="1"/>
  <c r="B3602" i="1"/>
  <c r="J3602" i="1"/>
  <c r="B3603" i="1"/>
  <c r="J3603" i="1"/>
  <c r="B3604" i="1"/>
  <c r="J3604" i="1"/>
  <c r="B3605" i="1"/>
  <c r="J3605" i="1"/>
  <c r="B3606" i="1"/>
  <c r="J3606" i="1"/>
  <c r="B3607" i="1"/>
  <c r="J3607" i="1"/>
  <c r="B3608" i="1"/>
  <c r="J3608" i="1"/>
  <c r="B3609" i="1"/>
  <c r="J3609" i="1"/>
  <c r="B3610" i="1"/>
  <c r="J3610" i="1"/>
  <c r="B3611" i="1"/>
  <c r="J3611" i="1"/>
  <c r="B3612" i="1"/>
  <c r="J3612" i="1"/>
  <c r="B3613" i="1"/>
  <c r="J3613" i="1"/>
  <c r="B3614" i="1"/>
  <c r="J3614" i="1"/>
  <c r="B3615" i="1"/>
  <c r="J3615" i="1"/>
  <c r="B3616" i="1"/>
  <c r="J3616" i="1"/>
  <c r="B3617" i="1"/>
  <c r="J3617" i="1"/>
  <c r="B3618" i="1"/>
  <c r="J3618" i="1"/>
  <c r="B3619" i="1"/>
  <c r="J3619" i="1"/>
  <c r="B3620" i="1"/>
  <c r="J3620" i="1"/>
  <c r="B3621" i="1"/>
  <c r="J3621" i="1"/>
  <c r="B3622" i="1"/>
  <c r="J3622" i="1"/>
  <c r="B3623" i="1"/>
  <c r="J3623" i="1"/>
  <c r="B3624" i="1"/>
  <c r="J3624" i="1"/>
  <c r="B3625" i="1"/>
  <c r="J3625" i="1"/>
  <c r="B3626" i="1"/>
  <c r="J3626" i="1"/>
  <c r="B3627" i="1"/>
  <c r="J3627" i="1"/>
  <c r="B3628" i="1"/>
  <c r="J3628" i="1"/>
  <c r="B3629" i="1"/>
  <c r="J3629" i="1"/>
  <c r="B3630" i="1"/>
  <c r="J3630" i="1"/>
  <c r="B3631" i="1"/>
  <c r="J3631" i="1"/>
  <c r="B3632" i="1"/>
  <c r="J3632" i="1"/>
  <c r="B3633" i="1"/>
  <c r="J3633" i="1"/>
  <c r="B3634" i="1"/>
  <c r="J3634" i="1"/>
  <c r="B3635" i="1"/>
  <c r="J3635" i="1"/>
  <c r="B3636" i="1"/>
  <c r="J3636" i="1"/>
  <c r="B3637" i="1"/>
  <c r="J3637" i="1"/>
  <c r="B3638" i="1"/>
  <c r="J3638" i="1"/>
  <c r="B3639" i="1"/>
  <c r="J3639" i="1"/>
  <c r="B3640" i="1"/>
  <c r="J3640" i="1"/>
  <c r="B3641" i="1"/>
  <c r="J3641" i="1"/>
  <c r="B3642" i="1"/>
  <c r="J3642" i="1"/>
  <c r="B3643" i="1"/>
  <c r="J3643" i="1"/>
  <c r="B3644" i="1"/>
  <c r="J3644" i="1"/>
  <c r="B3645" i="1"/>
  <c r="J3645" i="1"/>
  <c r="B3646" i="1"/>
  <c r="J3646" i="1"/>
  <c r="B3647" i="1"/>
  <c r="J3647" i="1"/>
  <c r="B3648" i="1"/>
  <c r="J3648" i="1"/>
  <c r="B3649" i="1"/>
  <c r="J3649" i="1"/>
  <c r="B3650" i="1"/>
  <c r="J3650" i="1"/>
  <c r="B3651" i="1"/>
  <c r="J3651" i="1"/>
  <c r="B3652" i="1"/>
  <c r="J3652" i="1"/>
  <c r="B3653" i="1"/>
  <c r="J3653" i="1"/>
  <c r="B3654" i="1"/>
  <c r="J3654" i="1"/>
  <c r="B3655" i="1"/>
  <c r="J3655" i="1"/>
  <c r="B3656" i="1"/>
  <c r="J3656" i="1"/>
  <c r="B3657" i="1"/>
  <c r="J3657" i="1"/>
  <c r="B3658" i="1"/>
  <c r="J3658" i="1"/>
  <c r="B3659" i="1"/>
  <c r="J3659" i="1"/>
  <c r="B3660" i="1"/>
  <c r="J3660" i="1"/>
  <c r="B3661" i="1"/>
  <c r="J3661" i="1"/>
  <c r="B3662" i="1"/>
  <c r="J3662" i="1"/>
  <c r="F3663" i="1" l="1"/>
  <c r="B11" i="2" s="1"/>
  <c r="B13" i="2" s="1"/>
  <c r="B14" i="2" l="1"/>
</calcChain>
</file>

<file path=xl/sharedStrings.xml><?xml version="1.0" encoding="utf-8"?>
<sst xmlns="http://schemas.openxmlformats.org/spreadsheetml/2006/main" count="72923" uniqueCount="50">
  <si>
    <t>abbrev</t>
  </si>
  <si>
    <t>Date Time</t>
  </si>
  <si>
    <t>DISCHRG Units</t>
  </si>
  <si>
    <t>DISCHRG Review Status</t>
  </si>
  <si>
    <t>DISCHRG Observation Flag</t>
  </si>
  <si>
    <t>DISCHRG Modified</t>
  </si>
  <si>
    <t>ROBTUNCO</t>
  </si>
  <si>
    <t>cfs</t>
  </si>
  <si>
    <t>Obs*</t>
  </si>
  <si>
    <t>Rev*</t>
  </si>
  <si>
    <t>O</t>
  </si>
  <si>
    <t>Conversion</t>
  </si>
  <si>
    <t>1 cfs = 1.983 acre-feet per day </t>
  </si>
  <si>
    <t>DISCHRG Value (24 hr average 12am start time)</t>
  </si>
  <si>
    <t>Discharge</t>
  </si>
  <si>
    <t>Discharge units</t>
  </si>
  <si>
    <t>acre feet</t>
  </si>
  <si>
    <t>Water year 2022</t>
  </si>
  <si>
    <t>Water Year 2021</t>
  </si>
  <si>
    <t>acre feet/year</t>
  </si>
  <si>
    <t>Water Year 2020</t>
  </si>
  <si>
    <t>Water Year 2019</t>
  </si>
  <si>
    <t>Water Year 2018</t>
  </si>
  <si>
    <t>Water Year 2017</t>
  </si>
  <si>
    <t>Water Year 2016</t>
  </si>
  <si>
    <t>Water Year 2015</t>
  </si>
  <si>
    <t>Water Year 2014</t>
  </si>
  <si>
    <t>Water Year 2013</t>
  </si>
  <si>
    <t>Discharge through Robert's Tunnel from Dillon Reservoir</t>
  </si>
  <si>
    <t>Unit</t>
  </si>
  <si>
    <t>Timeframe</t>
  </si>
  <si>
    <t>source:</t>
  </si>
  <si>
    <t>https://dwr.state.co.us/tools/stations/ROBTUNCO?params=DISCHRG</t>
  </si>
  <si>
    <t xml:space="preserve"> </t>
  </si>
  <si>
    <t>-</t>
  </si>
  <si>
    <t>~</t>
  </si>
  <si>
    <t>m</t>
  </si>
  <si>
    <t>p</t>
  </si>
  <si>
    <t>+</t>
  </si>
  <si>
    <t>DISCHRG Value</t>
  </si>
  <si>
    <t>total discharge</t>
  </si>
  <si>
    <t>average over 16 years</t>
  </si>
  <si>
    <t>10.1.1985 to 9.30.2001</t>
  </si>
  <si>
    <t xml:space="preserve">16 year timeframe </t>
  </si>
  <si>
    <t>10.1.2001 to 9.30.2022</t>
  </si>
  <si>
    <t>21 year timeframe</t>
  </si>
  <si>
    <t>Average annual discharge through Robert's Tunnel from Dillon Reservoir</t>
  </si>
  <si>
    <t>average over 21 years</t>
  </si>
  <si>
    <t>2013-2022 average</t>
  </si>
  <si>
    <t>2020-2022 year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</si>
</sst>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646464"/>
      <name val="PT Sans"/>
      <family val="2"/>
    </font>
    <font>
      <sz val="8"/>
      <name val="Calibri"/>
      <family val="2"/>
      <scheme val="minor"/>
    </font>
    <font>
      <sz val="10"/>
      <name val="PT Sans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/>
    <xf numFmtId="0" fontId="16" fillId="0" borderId="0" xfId="0" applyFont="1" applyAlignment="1">
      <alignment wrapText="1"/>
    </xf>
    <xf numFmtId="0" fontId="18" fillId="0" borderId="0" xfId="0" applyFont="1"/>
    <xf numFmtId="0" fontId="16" fillId="33" borderId="0" xfId="0" applyFont="1" applyFill="1" applyAlignment="1">
      <alignment wrapText="1"/>
    </xf>
    <xf numFmtId="0" fontId="0" fillId="35" borderId="0" xfId="0" applyFill="1"/>
    <xf numFmtId="1" fontId="0" fillId="35" borderId="0" xfId="0" applyNumberFormat="1" applyFill="1"/>
    <xf numFmtId="0" fontId="16" fillId="0" borderId="0" xfId="0" applyFont="1" applyAlignment="1">
      <alignment horizontal="center" wrapText="1"/>
    </xf>
    <xf numFmtId="0" fontId="0" fillId="0" borderId="10" xfId="0" applyBorder="1"/>
    <xf numFmtId="1" fontId="0" fillId="0" borderId="10" xfId="0" applyNumberFormat="1" applyBorder="1"/>
    <xf numFmtId="0" fontId="0" fillId="35" borderId="10" xfId="0" applyFill="1" applyBorder="1"/>
    <xf numFmtId="1" fontId="0" fillId="35" borderId="10" xfId="0" applyNumberFormat="1" applyFill="1" applyBorder="1"/>
    <xf numFmtId="0" fontId="0" fillId="34" borderId="10" xfId="0" applyFill="1" applyBorder="1"/>
    <xf numFmtId="1" fontId="0" fillId="34" borderId="10" xfId="0" applyNumberFormat="1" applyFill="1" applyBorder="1"/>
    <xf numFmtId="0" fontId="16" fillId="36" borderId="10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/>
    </xf>
    <xf numFmtId="1" fontId="0" fillId="37" borderId="0" xfId="0" applyNumberFormat="1" applyFill="1"/>
    <xf numFmtId="0" fontId="0" fillId="37" borderId="0" xfId="0" applyFill="1"/>
    <xf numFmtId="0" fontId="20" fillId="37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Retrospect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Retrospect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Retro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hade val="92000"/>
                <a:satMod val="130000"/>
              </a:schemeClr>
            </a:gs>
            <a:gs pos="45000">
              <a:schemeClr val="phClr">
                <a:tint val="60000"/>
                <a:shade val="99000"/>
                <a:satMod val="120000"/>
              </a:schemeClr>
            </a:gs>
            <a:gs pos="100000">
              <a:schemeClr val="phClr">
                <a:tint val="55000"/>
                <a:satMod val="14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85000"/>
                <a:satMod val="130000"/>
              </a:schemeClr>
            </a:gs>
            <a:gs pos="34000">
              <a:schemeClr val="phClr">
                <a:shade val="87000"/>
                <a:satMod val="125000"/>
              </a:schemeClr>
            </a:gs>
            <a:gs pos="70000">
              <a:schemeClr val="phClr">
                <a:tint val="100000"/>
                <a:shade val="90000"/>
                <a:satMod val="130000"/>
              </a:schemeClr>
            </a:gs>
            <a:gs pos="100000">
              <a:schemeClr val="phClr">
                <a:tint val="100000"/>
                <a:shade val="100000"/>
                <a:satMod val="11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4445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flat">
            <a:bevelT w="25400" h="31750"/>
          </a:sp3d>
        </a:effectStyle>
      </a:effectStyleLst>
      <a:bgFillStyleLst>
        <a:solidFill>
          <a:schemeClr val="phClr"/>
        </a:solidFill>
        <a:solidFill>
          <a:schemeClr val="phClr">
            <a:tint val="90000"/>
            <a:shade val="97000"/>
            <a:satMod val="130000"/>
          </a:schemeClr>
        </a:solidFill>
        <a:gradFill rotWithShape="1">
          <a:gsLst>
            <a:gs pos="0">
              <a:schemeClr val="phClr">
                <a:tint val="96000"/>
                <a:shade val="99000"/>
                <a:satMod val="140000"/>
              </a:schemeClr>
            </a:gs>
            <a:gs pos="65000">
              <a:schemeClr val="phClr">
                <a:tint val="100000"/>
                <a:shade val="80000"/>
                <a:satMod val="130000"/>
              </a:schemeClr>
            </a:gs>
            <a:gs pos="100000">
              <a:schemeClr val="phClr">
                <a:tint val="100000"/>
                <a:shade val="48000"/>
                <a:satMod val="120000"/>
              </a:schemeClr>
            </a:gs>
          </a:gsLst>
          <a:lin ang="162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Retrospect" id="{5F128B03-DCCA-4EEB-AB3B-CF2899314A46}" vid="{3F1AAB62-24C6-49D2-8E01-B56FAC9A3DCD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workbookViewId="0">
      <selection activeCell="A6" sqref="A6"/>
    </sheetView>
  </sheetViews>
  <sheetFormatPr defaultRowHeight="14.4" x14ac:dyDescent="0.3"/>
  <cols>
    <col min="1" max="1" width="23" customWidth="1"/>
    <col min="2" max="2" width="16.109375" customWidth="1"/>
    <col min="3" max="3" width="12.6640625" bestFit="1" customWidth="1"/>
  </cols>
  <sheetData>
    <row r="1" spans="1:6" s="6" customFormat="1" ht="57.6" x14ac:dyDescent="0.3">
      <c r="A1" s="13" t="s">
        <v>30</v>
      </c>
      <c r="B1" s="13" t="s">
        <v>28</v>
      </c>
      <c r="C1" s="13" t="s">
        <v>29</v>
      </c>
      <c r="E1" s="14" t="s">
        <v>31</v>
      </c>
      <c r="F1" s="15" t="s">
        <v>32</v>
      </c>
    </row>
    <row r="2" spans="1:6" x14ac:dyDescent="0.3">
      <c r="A2" s="7" t="str">
        <f>'station data 10.1.12 to 9.30.22'!B367</f>
        <v>Water Year 2013</v>
      </c>
      <c r="B2" s="8">
        <f>'station data 10.1.12 to 9.30.22'!F367</f>
        <v>84820.802340000038</v>
      </c>
      <c r="C2" s="7" t="str">
        <f>'station data 10.1.12 to 9.30.22'!G367</f>
        <v>acre feet/year</v>
      </c>
    </row>
    <row r="3" spans="1:6" x14ac:dyDescent="0.3">
      <c r="A3" s="7" t="str">
        <f>'station data 10.1.12 to 9.30.22'!B733</f>
        <v>Water Year 2014</v>
      </c>
      <c r="B3" s="8">
        <f>'station data 10.1.12 to 9.30.22'!F733</f>
        <v>14640.568320000006</v>
      </c>
      <c r="C3" s="7" t="str">
        <f>'station data 10.1.12 to 9.30.22'!G733</f>
        <v>acre feet/year</v>
      </c>
    </row>
    <row r="4" spans="1:6" x14ac:dyDescent="0.3">
      <c r="A4" s="7" t="str">
        <f>'station data 10.1.12 to 9.30.22'!B1099</f>
        <v>Water Year 2015</v>
      </c>
      <c r="B4" s="8">
        <f>'station data 10.1.12 to 9.30.22'!F1099</f>
        <v>9887.156697000004</v>
      </c>
      <c r="C4" s="8" t="str">
        <f>'station data 10.1.12 to 9.30.22'!G1099</f>
        <v>acre feet/year</v>
      </c>
    </row>
    <row r="5" spans="1:6" x14ac:dyDescent="0.3">
      <c r="A5" s="7" t="str">
        <f>'station data 10.1.12 to 9.30.22'!B1466</f>
        <v>Water Year 2016</v>
      </c>
      <c r="B5" s="8">
        <f>'station data 10.1.12 to 9.30.22'!F1466</f>
        <v>37237.621534199941</v>
      </c>
      <c r="C5" s="7" t="str">
        <f>'station data 10.1.12 to 9.30.22'!G1466</f>
        <v>acre feet/year</v>
      </c>
    </row>
    <row r="6" spans="1:6" x14ac:dyDescent="0.3">
      <c r="A6" s="7" t="str">
        <f>'station data 10.1.12 to 9.30.22'!B1832</f>
        <v>Water Year 2017</v>
      </c>
      <c r="B6" s="8">
        <f>'station data 10.1.12 to 9.30.22'!F1832</f>
        <v>91850.805243300085</v>
      </c>
      <c r="C6" s="7" t="str">
        <f>'station data 10.1.12 to 9.30.22'!G1832</f>
        <v>acre feet/year</v>
      </c>
    </row>
    <row r="7" spans="1:6" x14ac:dyDescent="0.3">
      <c r="A7" s="7" t="str">
        <f>'station data 10.1.12 to 9.30.22'!B2198</f>
        <v>Water Year 2018</v>
      </c>
      <c r="B7" s="8">
        <f>'station data 10.1.12 to 9.30.22'!F2198</f>
        <v>92917.137912599908</v>
      </c>
      <c r="C7" s="7" t="str">
        <f>'station data 10.1.12 to 9.30.22'!G2198</f>
        <v>acre feet/year</v>
      </c>
    </row>
    <row r="8" spans="1:6" x14ac:dyDescent="0.3">
      <c r="A8" s="7" t="str">
        <f>'station data 10.1.12 to 9.30.22'!B2564</f>
        <v>Water Year 2019</v>
      </c>
      <c r="B8" s="8">
        <f>'station data 10.1.12 to 9.30.22'!F2564</f>
        <v>48089.360989199864</v>
      </c>
      <c r="C8" s="7" t="str">
        <f>'station data 10.1.12 to 9.30.22'!G2564</f>
        <v>acre feet/year</v>
      </c>
    </row>
    <row r="9" spans="1:6" x14ac:dyDescent="0.3">
      <c r="A9" s="7" t="str">
        <f>'station data 10.1.12 to 9.30.22'!B2931</f>
        <v>Water Year 2020</v>
      </c>
      <c r="B9" s="8">
        <f>'station data 10.1.12 to 9.30.22'!F2931</f>
        <v>65838.734528099871</v>
      </c>
      <c r="C9" s="7" t="str">
        <f>'station data 10.1.12 to 9.30.22'!G2931</f>
        <v>acre feet/year</v>
      </c>
    </row>
    <row r="10" spans="1:6" x14ac:dyDescent="0.3">
      <c r="A10" s="7" t="str">
        <f>'station data 10.1.12 to 9.30.22'!B3297</f>
        <v>Water Year 2021</v>
      </c>
      <c r="B10" s="8">
        <f>'station data 10.1.12 to 9.30.22'!F3297</f>
        <v>101116.58016510007</v>
      </c>
      <c r="C10" s="7" t="str">
        <f>'station data 10.1.12 to 9.30.22'!G3297</f>
        <v>acre feet/year</v>
      </c>
    </row>
    <row r="11" spans="1:6" x14ac:dyDescent="0.3">
      <c r="A11" s="7" t="str">
        <f>'station data 10.1.12 to 9.30.22'!B3663</f>
        <v>Water year 2022</v>
      </c>
      <c r="B11" s="8">
        <f>'station data 10.1.12 to 9.30.22'!F3663</f>
        <v>104970.98156532001</v>
      </c>
      <c r="C11" s="7" t="str">
        <f>'station data 10.1.12 to 9.30.22'!G3663</f>
        <v>acre feet/year</v>
      </c>
    </row>
    <row r="13" spans="1:6" x14ac:dyDescent="0.3">
      <c r="A13" s="9" t="s">
        <v>48</v>
      </c>
      <c r="B13" s="10">
        <f>AVERAGE(B2:B11)</f>
        <v>65136.974929481978</v>
      </c>
      <c r="C13" s="9" t="s">
        <v>19</v>
      </c>
    </row>
    <row r="14" spans="1:6" x14ac:dyDescent="0.3">
      <c r="A14" s="11" t="s">
        <v>49</v>
      </c>
      <c r="B14" s="12">
        <f>AVERAGE(B9:B11)</f>
        <v>90642.098752839971</v>
      </c>
      <c r="C14" s="11" t="s">
        <v>19</v>
      </c>
    </row>
    <row r="17" spans="1:5" ht="72" x14ac:dyDescent="0.3">
      <c r="A17" s="13" t="s">
        <v>30</v>
      </c>
      <c r="B17" s="13" t="s">
        <v>46</v>
      </c>
      <c r="C17" s="13" t="s">
        <v>29</v>
      </c>
    </row>
    <row r="18" spans="1:5" x14ac:dyDescent="0.3">
      <c r="A18" s="7" t="s">
        <v>42</v>
      </c>
      <c r="B18" s="8">
        <f>'station data 10.1.85-9.30.01'!F5847</f>
        <v>55581.998610487426</v>
      </c>
      <c r="C18" s="7" t="s">
        <v>19</v>
      </c>
      <c r="E18" t="s">
        <v>43</v>
      </c>
    </row>
    <row r="19" spans="1:5" x14ac:dyDescent="0.3">
      <c r="A19" s="7" t="s">
        <v>44</v>
      </c>
      <c r="B19" s="8">
        <f>'station data 10.1.01-9.30.22'!F7673</f>
        <v>73572.957092036988</v>
      </c>
      <c r="C19" s="7" t="s">
        <v>19</v>
      </c>
      <c r="E19" t="s">
        <v>45</v>
      </c>
    </row>
  </sheetData>
  <phoneticPr fontId="1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663"/>
  <sheetViews>
    <sheetView workbookViewId="0">
      <pane ySplit="1" topLeftCell="A2" activePane="bottomLeft" state="frozen"/>
      <selection pane="bottomLeft" activeCell="G2" sqref="G2"/>
    </sheetView>
  </sheetViews>
  <sheetFormatPr defaultRowHeight="14.4" x14ac:dyDescent="0.3"/>
  <cols>
    <col min="1" max="1" width="10.6640625" bestFit="1" customWidth="1"/>
    <col min="2" max="2" width="15.6640625" bestFit="1" customWidth="1"/>
    <col min="6" max="6" width="10.5546875" bestFit="1" customWidth="1"/>
  </cols>
  <sheetData>
    <row r="1" spans="1:10" s="1" customFormat="1" ht="100.8" x14ac:dyDescent="0.3">
      <c r="A1" s="1" t="s">
        <v>0</v>
      </c>
      <c r="B1" s="1" t="s">
        <v>1</v>
      </c>
      <c r="C1" s="1" t="s">
        <v>13</v>
      </c>
      <c r="D1" s="1" t="s">
        <v>2</v>
      </c>
      <c r="E1" s="3" t="s">
        <v>11</v>
      </c>
      <c r="F1" s="3" t="s">
        <v>14</v>
      </c>
      <c r="G1" s="3" t="s">
        <v>15</v>
      </c>
      <c r="H1" s="1" t="s">
        <v>3</v>
      </c>
      <c r="I1" s="1" t="s">
        <v>4</v>
      </c>
      <c r="J1" s="1" t="s">
        <v>5</v>
      </c>
    </row>
    <row r="2" spans="1:10" x14ac:dyDescent="0.3">
      <c r="A2" t="s">
        <v>6</v>
      </c>
      <c r="B2" t="str">
        <f>"10/01/2012 00:00"</f>
        <v>10/01/2012 00:00</v>
      </c>
      <c r="C2">
        <v>180</v>
      </c>
      <c r="D2" t="s">
        <v>7</v>
      </c>
      <c r="E2" s="2" t="s">
        <v>12</v>
      </c>
      <c r="F2">
        <f>C2*1.983</f>
        <v>356.94</v>
      </c>
      <c r="G2" t="s">
        <v>16</v>
      </c>
      <c r="J2" t="str">
        <f>"10/01/2012 23:45"</f>
        <v>10/01/2012 23:45</v>
      </c>
    </row>
    <row r="3" spans="1:10" x14ac:dyDescent="0.3">
      <c r="A3" t="s">
        <v>6</v>
      </c>
      <c r="B3" t="str">
        <f>"10/02/2012 00:00"</f>
        <v>10/02/2012 00:00</v>
      </c>
      <c r="C3">
        <v>200</v>
      </c>
      <c r="D3" t="s">
        <v>7</v>
      </c>
      <c r="E3" s="2" t="s">
        <v>12</v>
      </c>
      <c r="F3">
        <f t="shared" ref="F3:F66" si="0">C3*1.983</f>
        <v>396.6</v>
      </c>
      <c r="G3" t="s">
        <v>16</v>
      </c>
      <c r="J3" t="str">
        <f>"10/02/2012 23:45"</f>
        <v>10/02/2012 23:45</v>
      </c>
    </row>
    <row r="4" spans="1:10" x14ac:dyDescent="0.3">
      <c r="A4" t="s">
        <v>6</v>
      </c>
      <c r="B4" t="str">
        <f>"10/03/2012 00:00"</f>
        <v>10/03/2012 00:00</v>
      </c>
      <c r="C4">
        <v>171</v>
      </c>
      <c r="D4" t="s">
        <v>7</v>
      </c>
      <c r="E4" s="2" t="s">
        <v>12</v>
      </c>
      <c r="F4">
        <f t="shared" si="0"/>
        <v>339.09300000000002</v>
      </c>
      <c r="G4" t="s">
        <v>16</v>
      </c>
      <c r="J4" t="str">
        <f>"10/03/2012 23:45"</f>
        <v>10/03/2012 23:45</v>
      </c>
    </row>
    <row r="5" spans="1:10" x14ac:dyDescent="0.3">
      <c r="A5" t="s">
        <v>6</v>
      </c>
      <c r="B5" t="str">
        <f>"10/04/2012 00:00"</f>
        <v>10/04/2012 00:00</v>
      </c>
      <c r="C5">
        <v>184</v>
      </c>
      <c r="D5" t="s">
        <v>7</v>
      </c>
      <c r="E5" s="2" t="s">
        <v>12</v>
      </c>
      <c r="F5">
        <f t="shared" si="0"/>
        <v>364.87200000000001</v>
      </c>
      <c r="G5" t="s">
        <v>16</v>
      </c>
      <c r="J5" t="str">
        <f>"10/04/2012 23:45"</f>
        <v>10/04/2012 23:45</v>
      </c>
    </row>
    <row r="6" spans="1:10" x14ac:dyDescent="0.3">
      <c r="A6" t="s">
        <v>6</v>
      </c>
      <c r="B6" t="str">
        <f>"10/05/2012 00:00"</f>
        <v>10/05/2012 00:00</v>
      </c>
      <c r="C6">
        <v>231</v>
      </c>
      <c r="D6" t="s">
        <v>7</v>
      </c>
      <c r="E6" s="2" t="s">
        <v>12</v>
      </c>
      <c r="F6">
        <f t="shared" si="0"/>
        <v>458.07300000000004</v>
      </c>
      <c r="G6" t="s">
        <v>16</v>
      </c>
      <c r="J6" t="str">
        <f>"10/05/2012 23:45"</f>
        <v>10/05/2012 23:45</v>
      </c>
    </row>
    <row r="7" spans="1:10" x14ac:dyDescent="0.3">
      <c r="A7" t="s">
        <v>6</v>
      </c>
      <c r="B7" t="str">
        <f>"10/06/2012 00:00"</f>
        <v>10/06/2012 00:00</v>
      </c>
      <c r="C7">
        <v>231</v>
      </c>
      <c r="D7" t="s">
        <v>7</v>
      </c>
      <c r="E7" s="2" t="s">
        <v>12</v>
      </c>
      <c r="F7">
        <f t="shared" si="0"/>
        <v>458.07300000000004</v>
      </c>
      <c r="G7" t="s">
        <v>16</v>
      </c>
      <c r="J7" t="str">
        <f>"10/06/2012 23:45"</f>
        <v>10/06/2012 23:45</v>
      </c>
    </row>
    <row r="8" spans="1:10" x14ac:dyDescent="0.3">
      <c r="A8" t="s">
        <v>6</v>
      </c>
      <c r="B8" t="str">
        <f>"10/07/2012 00:00"</f>
        <v>10/07/2012 00:00</v>
      </c>
      <c r="C8">
        <v>231</v>
      </c>
      <c r="D8" t="s">
        <v>7</v>
      </c>
      <c r="E8" s="2" t="s">
        <v>12</v>
      </c>
      <c r="F8">
        <f t="shared" si="0"/>
        <v>458.07300000000004</v>
      </c>
      <c r="G8" t="s">
        <v>16</v>
      </c>
      <c r="J8" t="str">
        <f>"10/07/2012 23:45"</f>
        <v>10/07/2012 23:45</v>
      </c>
    </row>
    <row r="9" spans="1:10" x14ac:dyDescent="0.3">
      <c r="A9" t="s">
        <v>6</v>
      </c>
      <c r="B9" t="str">
        <f>"10/08/2012 00:00"</f>
        <v>10/08/2012 00:00</v>
      </c>
      <c r="C9">
        <v>196</v>
      </c>
      <c r="D9" t="s">
        <v>7</v>
      </c>
      <c r="E9" s="2" t="s">
        <v>12</v>
      </c>
      <c r="F9">
        <f t="shared" si="0"/>
        <v>388.66800000000001</v>
      </c>
      <c r="G9" t="s">
        <v>16</v>
      </c>
      <c r="J9" t="str">
        <f>"10/08/2012 23:45"</f>
        <v>10/08/2012 23:45</v>
      </c>
    </row>
    <row r="10" spans="1:10" x14ac:dyDescent="0.3">
      <c r="A10" t="s">
        <v>6</v>
      </c>
      <c r="B10" t="str">
        <f>"10/09/2012 00:00"</f>
        <v>10/09/2012 00:00</v>
      </c>
      <c r="C10">
        <v>172</v>
      </c>
      <c r="D10" t="s">
        <v>7</v>
      </c>
      <c r="E10" s="2" t="s">
        <v>12</v>
      </c>
      <c r="F10">
        <f t="shared" si="0"/>
        <v>341.07600000000002</v>
      </c>
      <c r="G10" t="s">
        <v>16</v>
      </c>
      <c r="J10" t="str">
        <f>"10/09/2012 23:45"</f>
        <v>10/09/2012 23:45</v>
      </c>
    </row>
    <row r="11" spans="1:10" x14ac:dyDescent="0.3">
      <c r="A11" t="s">
        <v>6</v>
      </c>
      <c r="B11" t="str">
        <f>"10/10/2012 00:00"</f>
        <v>10/10/2012 00:00</v>
      </c>
      <c r="C11">
        <v>160</v>
      </c>
      <c r="D11" t="s">
        <v>7</v>
      </c>
      <c r="E11" s="2" t="s">
        <v>12</v>
      </c>
      <c r="F11">
        <f t="shared" si="0"/>
        <v>317.28000000000003</v>
      </c>
      <c r="G11" t="s">
        <v>16</v>
      </c>
      <c r="J11" t="str">
        <f>"10/10/2012 23:45"</f>
        <v>10/10/2012 23:45</v>
      </c>
    </row>
    <row r="12" spans="1:10" x14ac:dyDescent="0.3">
      <c r="A12" t="s">
        <v>6</v>
      </c>
      <c r="B12" t="str">
        <f>"10/11/2012 00:00"</f>
        <v>10/11/2012 00:00</v>
      </c>
      <c r="C12">
        <v>153</v>
      </c>
      <c r="D12" t="s">
        <v>7</v>
      </c>
      <c r="E12" s="2" t="s">
        <v>12</v>
      </c>
      <c r="F12">
        <f t="shared" si="0"/>
        <v>303.399</v>
      </c>
      <c r="G12" t="s">
        <v>16</v>
      </c>
      <c r="J12" t="str">
        <f>"10/11/2012 23:45"</f>
        <v>10/11/2012 23:45</v>
      </c>
    </row>
    <row r="13" spans="1:10" x14ac:dyDescent="0.3">
      <c r="A13" t="s">
        <v>6</v>
      </c>
      <c r="B13" t="str">
        <f>"10/12/2012 00:00"</f>
        <v>10/12/2012 00:00</v>
      </c>
      <c r="C13">
        <v>152</v>
      </c>
      <c r="D13" t="s">
        <v>7</v>
      </c>
      <c r="E13" s="2" t="s">
        <v>12</v>
      </c>
      <c r="F13">
        <f t="shared" si="0"/>
        <v>301.416</v>
      </c>
      <c r="G13" t="s">
        <v>16</v>
      </c>
      <c r="J13" t="str">
        <f>"10/12/2012 23:45"</f>
        <v>10/12/2012 23:45</v>
      </c>
    </row>
    <row r="14" spans="1:10" x14ac:dyDescent="0.3">
      <c r="A14" t="s">
        <v>6</v>
      </c>
      <c r="B14" t="str">
        <f>"10/13/2012 00:00"</f>
        <v>10/13/2012 00:00</v>
      </c>
      <c r="C14">
        <v>152</v>
      </c>
      <c r="D14" t="s">
        <v>7</v>
      </c>
      <c r="E14" s="2" t="s">
        <v>12</v>
      </c>
      <c r="F14">
        <f t="shared" si="0"/>
        <v>301.416</v>
      </c>
      <c r="G14" t="s">
        <v>16</v>
      </c>
      <c r="J14" t="str">
        <f>"10/13/2012 23:45"</f>
        <v>10/13/2012 23:45</v>
      </c>
    </row>
    <row r="15" spans="1:10" x14ac:dyDescent="0.3">
      <c r="A15" t="s">
        <v>6</v>
      </c>
      <c r="B15" t="str">
        <f>"10/14/2012 00:00"</f>
        <v>10/14/2012 00:00</v>
      </c>
      <c r="C15">
        <v>152</v>
      </c>
      <c r="D15" t="s">
        <v>7</v>
      </c>
      <c r="E15" s="2" t="s">
        <v>12</v>
      </c>
      <c r="F15">
        <f t="shared" si="0"/>
        <v>301.416</v>
      </c>
      <c r="G15" t="s">
        <v>16</v>
      </c>
      <c r="J15" t="str">
        <f>"10/14/2012 23:45"</f>
        <v>10/14/2012 23:45</v>
      </c>
    </row>
    <row r="16" spans="1:10" x14ac:dyDescent="0.3">
      <c r="A16" t="s">
        <v>6</v>
      </c>
      <c r="B16" t="str">
        <f>"10/15/2012 00:00"</f>
        <v>10/15/2012 00:00</v>
      </c>
      <c r="C16">
        <v>180</v>
      </c>
      <c r="D16" t="s">
        <v>7</v>
      </c>
      <c r="E16" s="2" t="s">
        <v>12</v>
      </c>
      <c r="F16">
        <f t="shared" si="0"/>
        <v>356.94</v>
      </c>
      <c r="G16" t="s">
        <v>16</v>
      </c>
      <c r="J16" t="str">
        <f>"10/15/2012 23:45"</f>
        <v>10/15/2012 23:45</v>
      </c>
    </row>
    <row r="17" spans="1:10" x14ac:dyDescent="0.3">
      <c r="A17" t="s">
        <v>6</v>
      </c>
      <c r="B17" t="str">
        <f>"10/16/2012 00:00"</f>
        <v>10/16/2012 00:00</v>
      </c>
      <c r="C17">
        <v>199</v>
      </c>
      <c r="D17" t="s">
        <v>7</v>
      </c>
      <c r="E17" s="2" t="s">
        <v>12</v>
      </c>
      <c r="F17">
        <f t="shared" si="0"/>
        <v>394.61700000000002</v>
      </c>
      <c r="G17" t="s">
        <v>16</v>
      </c>
      <c r="J17" t="str">
        <f>"10/16/2012 23:45"</f>
        <v>10/16/2012 23:45</v>
      </c>
    </row>
    <row r="18" spans="1:10" x14ac:dyDescent="0.3">
      <c r="A18" t="s">
        <v>6</v>
      </c>
      <c r="B18" t="str">
        <f>"10/17/2012 00:00"</f>
        <v>10/17/2012 00:00</v>
      </c>
      <c r="C18">
        <v>200</v>
      </c>
      <c r="D18" t="s">
        <v>7</v>
      </c>
      <c r="E18" s="2" t="s">
        <v>12</v>
      </c>
      <c r="F18">
        <f t="shared" si="0"/>
        <v>396.6</v>
      </c>
      <c r="G18" t="s">
        <v>16</v>
      </c>
      <c r="J18" t="str">
        <f>"10/17/2012 23:45"</f>
        <v>10/17/2012 23:45</v>
      </c>
    </row>
    <row r="19" spans="1:10" x14ac:dyDescent="0.3">
      <c r="A19" t="s">
        <v>6</v>
      </c>
      <c r="B19" t="str">
        <f>"10/18/2012 00:00"</f>
        <v>10/18/2012 00:00</v>
      </c>
      <c r="C19">
        <v>200</v>
      </c>
      <c r="D19" t="s">
        <v>7</v>
      </c>
      <c r="E19" s="2" t="s">
        <v>12</v>
      </c>
      <c r="F19">
        <f t="shared" si="0"/>
        <v>396.6</v>
      </c>
      <c r="G19" t="s">
        <v>16</v>
      </c>
      <c r="J19" t="str">
        <f>"10/18/2012 23:45"</f>
        <v>10/18/2012 23:45</v>
      </c>
    </row>
    <row r="20" spans="1:10" x14ac:dyDescent="0.3">
      <c r="A20" t="s">
        <v>6</v>
      </c>
      <c r="B20" t="str">
        <f>"10/19/2012 00:00"</f>
        <v>10/19/2012 00:00</v>
      </c>
      <c r="C20">
        <v>200</v>
      </c>
      <c r="D20" t="s">
        <v>7</v>
      </c>
      <c r="E20" s="2" t="s">
        <v>12</v>
      </c>
      <c r="F20">
        <f t="shared" si="0"/>
        <v>396.6</v>
      </c>
      <c r="G20" t="s">
        <v>16</v>
      </c>
      <c r="J20" t="str">
        <f>"10/19/2012 23:45"</f>
        <v>10/19/2012 23:45</v>
      </c>
    </row>
    <row r="21" spans="1:10" x14ac:dyDescent="0.3">
      <c r="A21" t="s">
        <v>6</v>
      </c>
      <c r="B21" t="str">
        <f>"10/20/2012 00:00"</f>
        <v>10/20/2012 00:00</v>
      </c>
      <c r="C21">
        <v>200</v>
      </c>
      <c r="D21" t="s">
        <v>7</v>
      </c>
      <c r="E21" s="2" t="s">
        <v>12</v>
      </c>
      <c r="F21">
        <f t="shared" si="0"/>
        <v>396.6</v>
      </c>
      <c r="G21" t="s">
        <v>16</v>
      </c>
      <c r="J21" t="str">
        <f>"10/20/2012 23:45"</f>
        <v>10/20/2012 23:45</v>
      </c>
    </row>
    <row r="22" spans="1:10" x14ac:dyDescent="0.3">
      <c r="A22" t="s">
        <v>6</v>
      </c>
      <c r="B22" t="str">
        <f>"10/21/2012 00:00"</f>
        <v>10/21/2012 00:00</v>
      </c>
      <c r="C22">
        <v>201</v>
      </c>
      <c r="D22" t="s">
        <v>7</v>
      </c>
      <c r="E22" s="2" t="s">
        <v>12</v>
      </c>
      <c r="F22">
        <f t="shared" si="0"/>
        <v>398.58300000000003</v>
      </c>
      <c r="G22" t="s">
        <v>16</v>
      </c>
      <c r="J22" t="str">
        <f>"10/21/2012 23:45"</f>
        <v>10/21/2012 23:45</v>
      </c>
    </row>
    <row r="23" spans="1:10" x14ac:dyDescent="0.3">
      <c r="A23" t="s">
        <v>6</v>
      </c>
      <c r="B23" t="str">
        <f>"10/22/2012 00:00"</f>
        <v>10/22/2012 00:00</v>
      </c>
      <c r="C23">
        <v>201</v>
      </c>
      <c r="D23" t="s">
        <v>7</v>
      </c>
      <c r="E23" s="2" t="s">
        <v>12</v>
      </c>
      <c r="F23">
        <f t="shared" si="0"/>
        <v>398.58300000000003</v>
      </c>
      <c r="G23" t="s">
        <v>16</v>
      </c>
      <c r="J23" t="str">
        <f>"10/22/2012 23:45"</f>
        <v>10/22/2012 23:45</v>
      </c>
    </row>
    <row r="24" spans="1:10" x14ac:dyDescent="0.3">
      <c r="A24" t="s">
        <v>6</v>
      </c>
      <c r="B24" t="str">
        <f>"10/23/2012 00:00"</f>
        <v>10/23/2012 00:00</v>
      </c>
      <c r="C24">
        <v>200</v>
      </c>
      <c r="D24" t="s">
        <v>7</v>
      </c>
      <c r="E24" s="2" t="s">
        <v>12</v>
      </c>
      <c r="F24">
        <f t="shared" si="0"/>
        <v>396.6</v>
      </c>
      <c r="G24" t="s">
        <v>16</v>
      </c>
      <c r="J24" t="str">
        <f>"10/23/2012 23:45"</f>
        <v>10/23/2012 23:45</v>
      </c>
    </row>
    <row r="25" spans="1:10" x14ac:dyDescent="0.3">
      <c r="A25" t="s">
        <v>6</v>
      </c>
      <c r="B25" t="str">
        <f>"10/24/2012 00:00"</f>
        <v>10/24/2012 00:00</v>
      </c>
      <c r="C25">
        <v>201</v>
      </c>
      <c r="D25" t="s">
        <v>7</v>
      </c>
      <c r="E25" s="2" t="s">
        <v>12</v>
      </c>
      <c r="F25">
        <f t="shared" si="0"/>
        <v>398.58300000000003</v>
      </c>
      <c r="G25" t="s">
        <v>16</v>
      </c>
      <c r="J25" t="str">
        <f>"10/24/2012 23:45"</f>
        <v>10/24/2012 23:45</v>
      </c>
    </row>
    <row r="26" spans="1:10" x14ac:dyDescent="0.3">
      <c r="A26" t="s">
        <v>6</v>
      </c>
      <c r="B26" t="str">
        <f>"10/25/2012 00:00"</f>
        <v>10/25/2012 00:00</v>
      </c>
      <c r="C26">
        <v>172</v>
      </c>
      <c r="D26" t="s">
        <v>7</v>
      </c>
      <c r="E26" s="2" t="s">
        <v>12</v>
      </c>
      <c r="F26">
        <f t="shared" si="0"/>
        <v>341.07600000000002</v>
      </c>
      <c r="G26" t="s">
        <v>16</v>
      </c>
      <c r="J26" t="str">
        <f>"10/25/2012 23:45"</f>
        <v>10/25/2012 23:45</v>
      </c>
    </row>
    <row r="27" spans="1:10" x14ac:dyDescent="0.3">
      <c r="A27" t="s">
        <v>6</v>
      </c>
      <c r="B27" t="str">
        <f>"10/26/2012 00:00"</f>
        <v>10/26/2012 00:00</v>
      </c>
      <c r="C27">
        <v>148</v>
      </c>
      <c r="D27" t="s">
        <v>7</v>
      </c>
      <c r="E27" s="2" t="s">
        <v>12</v>
      </c>
      <c r="F27">
        <f t="shared" si="0"/>
        <v>293.48400000000004</v>
      </c>
      <c r="G27" t="s">
        <v>16</v>
      </c>
      <c r="J27" t="str">
        <f>"10/26/2012 23:45"</f>
        <v>10/26/2012 23:45</v>
      </c>
    </row>
    <row r="28" spans="1:10" x14ac:dyDescent="0.3">
      <c r="A28" t="s">
        <v>6</v>
      </c>
      <c r="B28" t="str">
        <f>"10/27/2012 00:00"</f>
        <v>10/27/2012 00:00</v>
      </c>
      <c r="C28">
        <v>148</v>
      </c>
      <c r="D28" t="s">
        <v>7</v>
      </c>
      <c r="E28" s="2" t="s">
        <v>12</v>
      </c>
      <c r="F28">
        <f t="shared" si="0"/>
        <v>293.48400000000004</v>
      </c>
      <c r="G28" t="s">
        <v>16</v>
      </c>
      <c r="J28" t="str">
        <f>"10/27/2012 23:45"</f>
        <v>10/27/2012 23:45</v>
      </c>
    </row>
    <row r="29" spans="1:10" x14ac:dyDescent="0.3">
      <c r="A29" t="s">
        <v>6</v>
      </c>
      <c r="B29" t="str">
        <f>"10/28/2012 00:00"</f>
        <v>10/28/2012 00:00</v>
      </c>
      <c r="C29">
        <v>148</v>
      </c>
      <c r="D29" t="s">
        <v>7</v>
      </c>
      <c r="E29" s="2" t="s">
        <v>12</v>
      </c>
      <c r="F29">
        <f t="shared" si="0"/>
        <v>293.48400000000004</v>
      </c>
      <c r="G29" t="s">
        <v>16</v>
      </c>
      <c r="J29" t="str">
        <f>"10/28/2012 23:45"</f>
        <v>10/28/2012 23:45</v>
      </c>
    </row>
    <row r="30" spans="1:10" x14ac:dyDescent="0.3">
      <c r="A30" t="s">
        <v>6</v>
      </c>
      <c r="B30" t="str">
        <f>"10/29/2012 00:00"</f>
        <v>10/29/2012 00:00</v>
      </c>
      <c r="C30">
        <v>118</v>
      </c>
      <c r="D30" t="s">
        <v>7</v>
      </c>
      <c r="E30" s="2" t="s">
        <v>12</v>
      </c>
      <c r="F30">
        <f t="shared" si="0"/>
        <v>233.994</v>
      </c>
      <c r="G30" t="s">
        <v>16</v>
      </c>
      <c r="J30" t="str">
        <f>"10/29/2012 23:45"</f>
        <v>10/29/2012 23:45</v>
      </c>
    </row>
    <row r="31" spans="1:10" x14ac:dyDescent="0.3">
      <c r="A31" t="s">
        <v>6</v>
      </c>
      <c r="B31" t="str">
        <f>"10/30/2012 00:00"</f>
        <v>10/30/2012 00:00</v>
      </c>
      <c r="C31">
        <v>94.4</v>
      </c>
      <c r="D31" t="s">
        <v>7</v>
      </c>
      <c r="E31" s="2" t="s">
        <v>12</v>
      </c>
      <c r="F31">
        <f t="shared" si="0"/>
        <v>187.19520000000003</v>
      </c>
      <c r="G31" t="s">
        <v>16</v>
      </c>
      <c r="J31" t="str">
        <f>"10/30/2012 23:45"</f>
        <v>10/30/2012 23:45</v>
      </c>
    </row>
    <row r="32" spans="1:10" x14ac:dyDescent="0.3">
      <c r="A32" t="s">
        <v>6</v>
      </c>
      <c r="B32" t="str">
        <f>"10/31/2012 00:00"</f>
        <v>10/31/2012 00:00</v>
      </c>
      <c r="C32">
        <v>97.6</v>
      </c>
      <c r="D32" t="s">
        <v>7</v>
      </c>
      <c r="E32" s="2" t="s">
        <v>12</v>
      </c>
      <c r="F32">
        <f t="shared" si="0"/>
        <v>193.54079999999999</v>
      </c>
      <c r="G32" t="s">
        <v>16</v>
      </c>
      <c r="J32" t="str">
        <f>"10/31/2012 23:45"</f>
        <v>10/31/2012 23:45</v>
      </c>
    </row>
    <row r="33" spans="1:10" x14ac:dyDescent="0.3">
      <c r="A33" t="s">
        <v>6</v>
      </c>
      <c r="B33" t="str">
        <f>"11/01/2012 00:00"</f>
        <v>11/01/2012 00:00</v>
      </c>
      <c r="C33">
        <v>114</v>
      </c>
      <c r="D33" t="s">
        <v>7</v>
      </c>
      <c r="E33" s="2" t="s">
        <v>12</v>
      </c>
      <c r="F33">
        <f t="shared" si="0"/>
        <v>226.06200000000001</v>
      </c>
      <c r="G33" t="s">
        <v>16</v>
      </c>
      <c r="J33" t="str">
        <f>"11/01/2012 23:45"</f>
        <v>11/01/2012 23:45</v>
      </c>
    </row>
    <row r="34" spans="1:10" x14ac:dyDescent="0.3">
      <c r="A34" t="s">
        <v>6</v>
      </c>
      <c r="B34" t="str">
        <f>"11/02/2012 00:00"</f>
        <v>11/02/2012 00:00</v>
      </c>
      <c r="C34">
        <v>143</v>
      </c>
      <c r="D34" t="s">
        <v>7</v>
      </c>
      <c r="E34" s="2" t="s">
        <v>12</v>
      </c>
      <c r="F34">
        <f t="shared" si="0"/>
        <v>283.56900000000002</v>
      </c>
      <c r="G34" t="s">
        <v>16</v>
      </c>
      <c r="J34" t="str">
        <f>"11/02/2012 23:45"</f>
        <v>11/02/2012 23:45</v>
      </c>
    </row>
    <row r="35" spans="1:10" x14ac:dyDescent="0.3">
      <c r="A35" t="s">
        <v>6</v>
      </c>
      <c r="B35" t="str">
        <f>"11/03/2012 00:00"</f>
        <v>11/03/2012 00:00</v>
      </c>
      <c r="C35">
        <v>144</v>
      </c>
      <c r="D35" t="s">
        <v>7</v>
      </c>
      <c r="E35" s="2" t="s">
        <v>12</v>
      </c>
      <c r="F35">
        <f t="shared" si="0"/>
        <v>285.55200000000002</v>
      </c>
      <c r="G35" t="s">
        <v>16</v>
      </c>
      <c r="J35" t="str">
        <f>"11/03/2012 23:45"</f>
        <v>11/03/2012 23:45</v>
      </c>
    </row>
    <row r="36" spans="1:10" x14ac:dyDescent="0.3">
      <c r="A36" t="s">
        <v>6</v>
      </c>
      <c r="B36" t="str">
        <f>"11/04/2012 00:00"</f>
        <v>11/04/2012 00:00</v>
      </c>
      <c r="C36">
        <v>144</v>
      </c>
      <c r="D36" t="s">
        <v>7</v>
      </c>
      <c r="E36" s="2" t="s">
        <v>12</v>
      </c>
      <c r="F36">
        <f t="shared" si="0"/>
        <v>285.55200000000002</v>
      </c>
      <c r="G36" t="s">
        <v>16</v>
      </c>
      <c r="J36" t="str">
        <f>"11/04/2012 23:45"</f>
        <v>11/04/2012 23:45</v>
      </c>
    </row>
    <row r="37" spans="1:10" x14ac:dyDescent="0.3">
      <c r="A37" t="s">
        <v>6</v>
      </c>
      <c r="B37" t="str">
        <f>"11/05/2012 00:00"</f>
        <v>11/05/2012 00:00</v>
      </c>
      <c r="C37">
        <v>144</v>
      </c>
      <c r="D37" t="s">
        <v>7</v>
      </c>
      <c r="E37" s="2" t="s">
        <v>12</v>
      </c>
      <c r="F37">
        <f t="shared" si="0"/>
        <v>285.55200000000002</v>
      </c>
      <c r="G37" t="s">
        <v>16</v>
      </c>
      <c r="J37" t="str">
        <f>"11/05/2012 23:45"</f>
        <v>11/05/2012 23:45</v>
      </c>
    </row>
    <row r="38" spans="1:10" x14ac:dyDescent="0.3">
      <c r="A38" t="s">
        <v>6</v>
      </c>
      <c r="B38" t="str">
        <f>"11/06/2012 00:00"</f>
        <v>11/06/2012 00:00</v>
      </c>
      <c r="C38">
        <v>144</v>
      </c>
      <c r="D38" t="s">
        <v>7</v>
      </c>
      <c r="E38" s="2" t="s">
        <v>12</v>
      </c>
      <c r="F38">
        <f t="shared" si="0"/>
        <v>285.55200000000002</v>
      </c>
      <c r="G38" t="s">
        <v>16</v>
      </c>
      <c r="J38" t="str">
        <f>"11/06/2012 23:45"</f>
        <v>11/06/2012 23:45</v>
      </c>
    </row>
    <row r="39" spans="1:10" x14ac:dyDescent="0.3">
      <c r="A39" t="s">
        <v>6</v>
      </c>
      <c r="B39" t="str">
        <f>"11/07/2012 00:00"</f>
        <v>11/07/2012 00:00</v>
      </c>
      <c r="C39">
        <v>175</v>
      </c>
      <c r="D39" t="s">
        <v>7</v>
      </c>
      <c r="E39" s="2" t="s">
        <v>12</v>
      </c>
      <c r="F39">
        <f t="shared" si="0"/>
        <v>347.02500000000003</v>
      </c>
      <c r="G39" t="s">
        <v>16</v>
      </c>
      <c r="J39" t="str">
        <f>"11/07/2012 23:45"</f>
        <v>11/07/2012 23:45</v>
      </c>
    </row>
    <row r="40" spans="1:10" x14ac:dyDescent="0.3">
      <c r="A40" t="s">
        <v>6</v>
      </c>
      <c r="B40" t="str">
        <f>"11/08/2012 00:00"</f>
        <v>11/08/2012 00:00</v>
      </c>
      <c r="C40">
        <v>194</v>
      </c>
      <c r="D40" t="s">
        <v>7</v>
      </c>
      <c r="E40" s="2" t="s">
        <v>12</v>
      </c>
      <c r="F40">
        <f t="shared" si="0"/>
        <v>384.702</v>
      </c>
      <c r="G40" t="s">
        <v>16</v>
      </c>
      <c r="J40" t="str">
        <f>"11/08/2012 23:45"</f>
        <v>11/08/2012 23:45</v>
      </c>
    </row>
    <row r="41" spans="1:10" x14ac:dyDescent="0.3">
      <c r="A41" t="s">
        <v>6</v>
      </c>
      <c r="B41" t="str">
        <f>"11/09/2012 00:00"</f>
        <v>11/09/2012 00:00</v>
      </c>
      <c r="C41">
        <v>210</v>
      </c>
      <c r="D41" t="s">
        <v>7</v>
      </c>
      <c r="E41" s="2" t="s">
        <v>12</v>
      </c>
      <c r="F41">
        <f t="shared" si="0"/>
        <v>416.43</v>
      </c>
      <c r="G41" t="s">
        <v>16</v>
      </c>
      <c r="J41" t="str">
        <f>"11/09/2012 23:45"</f>
        <v>11/09/2012 23:45</v>
      </c>
    </row>
    <row r="42" spans="1:10" x14ac:dyDescent="0.3">
      <c r="A42" t="s">
        <v>6</v>
      </c>
      <c r="B42" t="str">
        <f>"11/10/2012 00:00"</f>
        <v>11/10/2012 00:00</v>
      </c>
      <c r="C42">
        <v>224</v>
      </c>
      <c r="D42" t="s">
        <v>7</v>
      </c>
      <c r="E42" s="2" t="s">
        <v>12</v>
      </c>
      <c r="F42">
        <f t="shared" si="0"/>
        <v>444.19200000000001</v>
      </c>
      <c r="G42" t="s">
        <v>16</v>
      </c>
      <c r="J42" t="str">
        <f>"11/10/2012 23:45"</f>
        <v>11/10/2012 23:45</v>
      </c>
    </row>
    <row r="43" spans="1:10" x14ac:dyDescent="0.3">
      <c r="A43" t="s">
        <v>6</v>
      </c>
      <c r="B43" t="str">
        <f>"11/11/2012 00:00"</f>
        <v>11/11/2012 00:00</v>
      </c>
      <c r="C43">
        <v>225</v>
      </c>
      <c r="D43" t="s">
        <v>7</v>
      </c>
      <c r="E43" s="2" t="s">
        <v>12</v>
      </c>
      <c r="F43">
        <f t="shared" si="0"/>
        <v>446.17500000000001</v>
      </c>
      <c r="G43" t="s">
        <v>16</v>
      </c>
      <c r="J43" t="str">
        <f>"11/11/2012 23:45"</f>
        <v>11/11/2012 23:45</v>
      </c>
    </row>
    <row r="44" spans="1:10" x14ac:dyDescent="0.3">
      <c r="A44" t="s">
        <v>6</v>
      </c>
      <c r="B44" t="str">
        <f>"11/12/2012 00:00"</f>
        <v>11/12/2012 00:00</v>
      </c>
      <c r="C44">
        <v>225</v>
      </c>
      <c r="D44" t="s">
        <v>7</v>
      </c>
      <c r="E44" s="2" t="s">
        <v>12</v>
      </c>
      <c r="F44">
        <f t="shared" si="0"/>
        <v>446.17500000000001</v>
      </c>
      <c r="G44" t="s">
        <v>16</v>
      </c>
      <c r="J44" t="str">
        <f>"11/12/2012 23:45"</f>
        <v>11/12/2012 23:45</v>
      </c>
    </row>
    <row r="45" spans="1:10" x14ac:dyDescent="0.3">
      <c r="A45" t="s">
        <v>6</v>
      </c>
      <c r="B45" t="str">
        <f>"11/13/2012 00:00"</f>
        <v>11/13/2012 00:00</v>
      </c>
      <c r="C45">
        <v>197</v>
      </c>
      <c r="D45" t="s">
        <v>7</v>
      </c>
      <c r="E45" s="2" t="s">
        <v>12</v>
      </c>
      <c r="F45">
        <f t="shared" si="0"/>
        <v>390.65100000000001</v>
      </c>
      <c r="G45" t="s">
        <v>16</v>
      </c>
      <c r="J45" t="str">
        <f>"11/13/2012 23:45"</f>
        <v>11/13/2012 23:45</v>
      </c>
    </row>
    <row r="46" spans="1:10" x14ac:dyDescent="0.3">
      <c r="A46" t="s">
        <v>6</v>
      </c>
      <c r="B46" t="str">
        <f>"11/14/2012 00:00"</f>
        <v>11/14/2012 00:00</v>
      </c>
      <c r="C46">
        <v>174</v>
      </c>
      <c r="D46" t="s">
        <v>7</v>
      </c>
      <c r="E46" s="2" t="s">
        <v>12</v>
      </c>
      <c r="F46">
        <f t="shared" si="0"/>
        <v>345.04200000000003</v>
      </c>
      <c r="G46" t="s">
        <v>16</v>
      </c>
      <c r="J46" t="str">
        <f>"11/14/2012 23:45"</f>
        <v>11/14/2012 23:45</v>
      </c>
    </row>
    <row r="47" spans="1:10" x14ac:dyDescent="0.3">
      <c r="A47" t="s">
        <v>6</v>
      </c>
      <c r="B47" t="str">
        <f>"11/15/2012 00:00"</f>
        <v>11/15/2012 00:00</v>
      </c>
      <c r="C47">
        <v>172</v>
      </c>
      <c r="D47" t="s">
        <v>7</v>
      </c>
      <c r="E47" s="2" t="s">
        <v>12</v>
      </c>
      <c r="F47">
        <f t="shared" si="0"/>
        <v>341.07600000000002</v>
      </c>
      <c r="G47" t="s">
        <v>16</v>
      </c>
      <c r="J47" t="str">
        <f>"11/15/2012 23:45"</f>
        <v>11/15/2012 23:45</v>
      </c>
    </row>
    <row r="48" spans="1:10" x14ac:dyDescent="0.3">
      <c r="A48" t="s">
        <v>6</v>
      </c>
      <c r="B48" t="str">
        <f>"11/16/2012 00:00"</f>
        <v>11/16/2012 00:00</v>
      </c>
      <c r="C48">
        <v>143</v>
      </c>
      <c r="D48" t="s">
        <v>7</v>
      </c>
      <c r="E48" s="2" t="s">
        <v>12</v>
      </c>
      <c r="F48">
        <f t="shared" si="0"/>
        <v>283.56900000000002</v>
      </c>
      <c r="G48" t="s">
        <v>16</v>
      </c>
      <c r="J48" t="str">
        <f>"11/16/2012 23:45"</f>
        <v>11/16/2012 23:45</v>
      </c>
    </row>
    <row r="49" spans="1:10" x14ac:dyDescent="0.3">
      <c r="A49" t="s">
        <v>6</v>
      </c>
      <c r="B49" t="str">
        <f>"11/17/2012 00:00"</f>
        <v>11/17/2012 00:00</v>
      </c>
      <c r="C49">
        <v>150</v>
      </c>
      <c r="D49" t="s">
        <v>7</v>
      </c>
      <c r="E49" s="2" t="s">
        <v>12</v>
      </c>
      <c r="F49">
        <f t="shared" si="0"/>
        <v>297.45</v>
      </c>
      <c r="G49" t="s">
        <v>16</v>
      </c>
      <c r="J49" t="str">
        <f>"11/17/2012 23:45"</f>
        <v>11/17/2012 23:45</v>
      </c>
    </row>
    <row r="50" spans="1:10" x14ac:dyDescent="0.3">
      <c r="A50" t="s">
        <v>6</v>
      </c>
      <c r="B50" t="str">
        <f>"11/18/2012 00:00"</f>
        <v>11/18/2012 00:00</v>
      </c>
      <c r="C50">
        <v>150</v>
      </c>
      <c r="D50" t="s">
        <v>7</v>
      </c>
      <c r="E50" s="2" t="s">
        <v>12</v>
      </c>
      <c r="F50">
        <f t="shared" si="0"/>
        <v>297.45</v>
      </c>
      <c r="G50" t="s">
        <v>16</v>
      </c>
      <c r="J50" t="str">
        <f>"11/18/2012 23:45"</f>
        <v>11/18/2012 23:45</v>
      </c>
    </row>
    <row r="51" spans="1:10" x14ac:dyDescent="0.3">
      <c r="A51" t="s">
        <v>6</v>
      </c>
      <c r="B51" t="str">
        <f>"11/19/2012 00:00"</f>
        <v>11/19/2012 00:00</v>
      </c>
      <c r="C51">
        <v>150</v>
      </c>
      <c r="D51" t="s">
        <v>7</v>
      </c>
      <c r="E51" s="2" t="s">
        <v>12</v>
      </c>
      <c r="F51">
        <f t="shared" si="0"/>
        <v>297.45</v>
      </c>
      <c r="G51" t="s">
        <v>16</v>
      </c>
      <c r="J51" t="str">
        <f>"11/19/2012 23:45"</f>
        <v>11/19/2012 23:45</v>
      </c>
    </row>
    <row r="52" spans="1:10" x14ac:dyDescent="0.3">
      <c r="A52" t="s">
        <v>6</v>
      </c>
      <c r="B52" t="str">
        <f>"11/20/2012 00:00"</f>
        <v>11/20/2012 00:00</v>
      </c>
      <c r="C52">
        <v>149</v>
      </c>
      <c r="D52" t="s">
        <v>7</v>
      </c>
      <c r="E52" s="2" t="s">
        <v>12</v>
      </c>
      <c r="F52">
        <f t="shared" si="0"/>
        <v>295.46700000000004</v>
      </c>
      <c r="G52" t="s">
        <v>16</v>
      </c>
      <c r="J52" t="str">
        <f>"11/20/2012 23:45"</f>
        <v>11/20/2012 23:45</v>
      </c>
    </row>
    <row r="53" spans="1:10" x14ac:dyDescent="0.3">
      <c r="A53" t="s">
        <v>6</v>
      </c>
      <c r="B53" t="str">
        <f>"11/21/2012 00:00"</f>
        <v>11/21/2012 00:00</v>
      </c>
      <c r="C53">
        <v>149</v>
      </c>
      <c r="D53" t="s">
        <v>7</v>
      </c>
      <c r="E53" s="2" t="s">
        <v>12</v>
      </c>
      <c r="F53">
        <f t="shared" si="0"/>
        <v>295.46700000000004</v>
      </c>
      <c r="G53" t="s">
        <v>16</v>
      </c>
      <c r="J53" t="str">
        <f>"11/21/2012 23:45"</f>
        <v>11/21/2012 23:45</v>
      </c>
    </row>
    <row r="54" spans="1:10" x14ac:dyDescent="0.3">
      <c r="A54" t="s">
        <v>6</v>
      </c>
      <c r="B54" t="str">
        <f>"11/22/2012 00:00"</f>
        <v>11/22/2012 00:00</v>
      </c>
      <c r="C54">
        <v>150</v>
      </c>
      <c r="D54" t="s">
        <v>7</v>
      </c>
      <c r="E54" s="2" t="s">
        <v>12</v>
      </c>
      <c r="F54">
        <f t="shared" si="0"/>
        <v>297.45</v>
      </c>
      <c r="G54" t="s">
        <v>16</v>
      </c>
      <c r="J54" t="str">
        <f>"11/22/2012 23:45"</f>
        <v>11/22/2012 23:45</v>
      </c>
    </row>
    <row r="55" spans="1:10" x14ac:dyDescent="0.3">
      <c r="A55" t="s">
        <v>6</v>
      </c>
      <c r="B55" t="str">
        <f>"11/23/2012 00:00"</f>
        <v>11/23/2012 00:00</v>
      </c>
      <c r="C55">
        <v>149</v>
      </c>
      <c r="D55" t="s">
        <v>7</v>
      </c>
      <c r="E55" s="2" t="s">
        <v>12</v>
      </c>
      <c r="F55">
        <f t="shared" si="0"/>
        <v>295.46700000000004</v>
      </c>
      <c r="G55" t="s">
        <v>16</v>
      </c>
      <c r="J55" t="str">
        <f>"11/23/2012 23:45"</f>
        <v>11/23/2012 23:45</v>
      </c>
    </row>
    <row r="56" spans="1:10" x14ac:dyDescent="0.3">
      <c r="A56" t="s">
        <v>6</v>
      </c>
      <c r="B56" t="str">
        <f>"11/24/2012 00:00"</f>
        <v>11/24/2012 00:00</v>
      </c>
      <c r="C56">
        <v>150</v>
      </c>
      <c r="D56" t="s">
        <v>7</v>
      </c>
      <c r="E56" s="2" t="s">
        <v>12</v>
      </c>
      <c r="F56">
        <f t="shared" si="0"/>
        <v>297.45</v>
      </c>
      <c r="G56" t="s">
        <v>16</v>
      </c>
      <c r="J56" t="str">
        <f>"11/24/2012 23:45"</f>
        <v>11/24/2012 23:45</v>
      </c>
    </row>
    <row r="57" spans="1:10" x14ac:dyDescent="0.3">
      <c r="A57" t="s">
        <v>6</v>
      </c>
      <c r="B57" t="str">
        <f>"11/25/2012 00:00"</f>
        <v>11/25/2012 00:00</v>
      </c>
      <c r="C57">
        <v>149</v>
      </c>
      <c r="D57" t="s">
        <v>7</v>
      </c>
      <c r="E57" s="2" t="s">
        <v>12</v>
      </c>
      <c r="F57">
        <f t="shared" si="0"/>
        <v>295.46700000000004</v>
      </c>
      <c r="G57" t="s">
        <v>16</v>
      </c>
      <c r="J57" t="str">
        <f>"11/25/2012 23:45"</f>
        <v>11/25/2012 23:45</v>
      </c>
    </row>
    <row r="58" spans="1:10" x14ac:dyDescent="0.3">
      <c r="A58" t="s">
        <v>6</v>
      </c>
      <c r="B58" t="str">
        <f>"11/26/2012 00:00"</f>
        <v>11/26/2012 00:00</v>
      </c>
      <c r="C58">
        <v>150</v>
      </c>
      <c r="D58" t="s">
        <v>7</v>
      </c>
      <c r="E58" s="2" t="s">
        <v>12</v>
      </c>
      <c r="F58">
        <f t="shared" si="0"/>
        <v>297.45</v>
      </c>
      <c r="G58" t="s">
        <v>16</v>
      </c>
      <c r="J58" t="str">
        <f>"11/26/2012 23:45"</f>
        <v>11/26/2012 23:45</v>
      </c>
    </row>
    <row r="59" spans="1:10" x14ac:dyDescent="0.3">
      <c r="A59" t="s">
        <v>6</v>
      </c>
      <c r="B59" t="str">
        <f>"11/27/2012 00:00"</f>
        <v>11/27/2012 00:00</v>
      </c>
      <c r="C59">
        <v>147</v>
      </c>
      <c r="D59" t="s">
        <v>7</v>
      </c>
      <c r="E59" s="2" t="s">
        <v>12</v>
      </c>
      <c r="F59">
        <f t="shared" si="0"/>
        <v>291.50100000000003</v>
      </c>
      <c r="G59" t="s">
        <v>16</v>
      </c>
      <c r="J59" t="str">
        <f>"11/27/2012 23:45"</f>
        <v>11/27/2012 23:45</v>
      </c>
    </row>
    <row r="60" spans="1:10" x14ac:dyDescent="0.3">
      <c r="A60" t="s">
        <v>6</v>
      </c>
      <c r="B60" t="str">
        <f>"11/28/2012 00:00"</f>
        <v>11/28/2012 00:00</v>
      </c>
      <c r="C60">
        <v>147</v>
      </c>
      <c r="D60" t="s">
        <v>7</v>
      </c>
      <c r="E60" s="2" t="s">
        <v>12</v>
      </c>
      <c r="F60">
        <f t="shared" si="0"/>
        <v>291.50100000000003</v>
      </c>
      <c r="G60" t="s">
        <v>16</v>
      </c>
      <c r="J60" t="str">
        <f>"11/28/2012 23:45"</f>
        <v>11/28/2012 23:45</v>
      </c>
    </row>
    <row r="61" spans="1:10" x14ac:dyDescent="0.3">
      <c r="A61" t="s">
        <v>6</v>
      </c>
      <c r="B61" t="str">
        <f>"11/29/2012 00:00"</f>
        <v>11/29/2012 00:00</v>
      </c>
      <c r="C61">
        <v>108</v>
      </c>
      <c r="D61" t="s">
        <v>7</v>
      </c>
      <c r="E61" s="2" t="s">
        <v>12</v>
      </c>
      <c r="F61">
        <f t="shared" si="0"/>
        <v>214.16400000000002</v>
      </c>
      <c r="G61" t="s">
        <v>16</v>
      </c>
      <c r="J61" t="str">
        <f>"11/29/2012 23:45"</f>
        <v>11/29/2012 23:45</v>
      </c>
    </row>
    <row r="62" spans="1:10" x14ac:dyDescent="0.3">
      <c r="A62" t="s">
        <v>6</v>
      </c>
      <c r="B62" t="str">
        <f>"11/30/2012 00:00"</f>
        <v>11/30/2012 00:00</v>
      </c>
      <c r="C62">
        <v>87.2</v>
      </c>
      <c r="D62" t="s">
        <v>7</v>
      </c>
      <c r="E62" s="2" t="s">
        <v>12</v>
      </c>
      <c r="F62">
        <f t="shared" si="0"/>
        <v>172.91760000000002</v>
      </c>
      <c r="G62" t="s">
        <v>16</v>
      </c>
      <c r="J62" t="str">
        <f>"11/30/2012 23:45"</f>
        <v>11/30/2012 23:45</v>
      </c>
    </row>
    <row r="63" spans="1:10" x14ac:dyDescent="0.3">
      <c r="A63" t="s">
        <v>6</v>
      </c>
      <c r="B63" t="str">
        <f>"12/01/2012 00:00"</f>
        <v>12/01/2012 00:00</v>
      </c>
      <c r="C63">
        <v>91.5</v>
      </c>
      <c r="D63" t="s">
        <v>7</v>
      </c>
      <c r="E63" s="2" t="s">
        <v>12</v>
      </c>
      <c r="F63">
        <f t="shared" si="0"/>
        <v>181.44450000000001</v>
      </c>
      <c r="G63" t="s">
        <v>16</v>
      </c>
      <c r="J63" t="str">
        <f>"12/01/2012 23:45"</f>
        <v>12/01/2012 23:45</v>
      </c>
    </row>
    <row r="64" spans="1:10" x14ac:dyDescent="0.3">
      <c r="A64" t="s">
        <v>6</v>
      </c>
      <c r="B64" t="str">
        <f>"12/02/2012 00:00"</f>
        <v>12/02/2012 00:00</v>
      </c>
      <c r="C64">
        <v>91</v>
      </c>
      <c r="D64" t="s">
        <v>7</v>
      </c>
      <c r="E64" s="2" t="s">
        <v>12</v>
      </c>
      <c r="F64">
        <f t="shared" si="0"/>
        <v>180.453</v>
      </c>
      <c r="G64" t="s">
        <v>16</v>
      </c>
      <c r="J64" t="str">
        <f>"12/02/2012 23:45"</f>
        <v>12/02/2012 23:45</v>
      </c>
    </row>
    <row r="65" spans="1:10" x14ac:dyDescent="0.3">
      <c r="A65" t="s">
        <v>6</v>
      </c>
      <c r="B65" t="str">
        <f>"12/03/2012 00:00"</f>
        <v>12/03/2012 00:00</v>
      </c>
      <c r="C65">
        <v>90</v>
      </c>
      <c r="D65" t="s">
        <v>7</v>
      </c>
      <c r="E65" s="2" t="s">
        <v>12</v>
      </c>
      <c r="F65">
        <f t="shared" si="0"/>
        <v>178.47</v>
      </c>
      <c r="G65" t="s">
        <v>16</v>
      </c>
      <c r="J65" t="str">
        <f>"12/03/2012 23:45"</f>
        <v>12/03/2012 23:45</v>
      </c>
    </row>
    <row r="66" spans="1:10" x14ac:dyDescent="0.3">
      <c r="A66" t="s">
        <v>6</v>
      </c>
      <c r="B66" t="str">
        <f>"12/04/2012 00:00"</f>
        <v>12/04/2012 00:00</v>
      </c>
      <c r="C66">
        <v>90.2</v>
      </c>
      <c r="D66" t="s">
        <v>7</v>
      </c>
      <c r="E66" s="2" t="s">
        <v>12</v>
      </c>
      <c r="F66">
        <f t="shared" si="0"/>
        <v>178.86660000000001</v>
      </c>
      <c r="G66" t="s">
        <v>16</v>
      </c>
      <c r="J66" t="str">
        <f>"12/04/2012 23:45"</f>
        <v>12/04/2012 23:45</v>
      </c>
    </row>
    <row r="67" spans="1:10" x14ac:dyDescent="0.3">
      <c r="A67" t="s">
        <v>6</v>
      </c>
      <c r="B67" t="str">
        <f>"12/05/2012 00:00"</f>
        <v>12/05/2012 00:00</v>
      </c>
      <c r="C67">
        <v>89.4</v>
      </c>
      <c r="D67" t="s">
        <v>7</v>
      </c>
      <c r="E67" s="2" t="s">
        <v>12</v>
      </c>
      <c r="F67">
        <f t="shared" ref="F67:F130" si="1">C67*1.983</f>
        <v>177.28020000000001</v>
      </c>
      <c r="G67" t="s">
        <v>16</v>
      </c>
      <c r="J67" t="str">
        <f>"12/05/2012 23:45"</f>
        <v>12/05/2012 23:45</v>
      </c>
    </row>
    <row r="68" spans="1:10" x14ac:dyDescent="0.3">
      <c r="A68" t="s">
        <v>6</v>
      </c>
      <c r="B68" t="str">
        <f>"12/06/2012 00:00"</f>
        <v>12/06/2012 00:00</v>
      </c>
      <c r="C68">
        <v>88.3</v>
      </c>
      <c r="D68" t="s">
        <v>7</v>
      </c>
      <c r="E68" s="2" t="s">
        <v>12</v>
      </c>
      <c r="F68">
        <f t="shared" si="1"/>
        <v>175.09890000000001</v>
      </c>
      <c r="G68" t="s">
        <v>16</v>
      </c>
      <c r="J68" t="str">
        <f>"12/06/2012 23:45"</f>
        <v>12/06/2012 23:45</v>
      </c>
    </row>
    <row r="69" spans="1:10" x14ac:dyDescent="0.3">
      <c r="A69" t="s">
        <v>6</v>
      </c>
      <c r="B69" t="str">
        <f>"12/07/2012 00:00"</f>
        <v>12/07/2012 00:00</v>
      </c>
      <c r="C69">
        <v>89.4</v>
      </c>
      <c r="D69" t="s">
        <v>7</v>
      </c>
      <c r="E69" s="2" t="s">
        <v>12</v>
      </c>
      <c r="F69">
        <f t="shared" si="1"/>
        <v>177.28020000000001</v>
      </c>
      <c r="G69" t="s">
        <v>16</v>
      </c>
      <c r="J69" t="str">
        <f>"12/07/2012 23:45"</f>
        <v>12/07/2012 23:45</v>
      </c>
    </row>
    <row r="70" spans="1:10" x14ac:dyDescent="0.3">
      <c r="A70" t="s">
        <v>6</v>
      </c>
      <c r="B70" t="str">
        <f>"12/08/2012 00:00"</f>
        <v>12/08/2012 00:00</v>
      </c>
      <c r="C70">
        <v>90.3</v>
      </c>
      <c r="D70" t="s">
        <v>7</v>
      </c>
      <c r="E70" s="2" t="s">
        <v>12</v>
      </c>
      <c r="F70">
        <f t="shared" si="1"/>
        <v>179.06489999999999</v>
      </c>
      <c r="G70" t="s">
        <v>16</v>
      </c>
      <c r="J70" t="str">
        <f>"12/08/2012 23:45"</f>
        <v>12/08/2012 23:45</v>
      </c>
    </row>
    <row r="71" spans="1:10" x14ac:dyDescent="0.3">
      <c r="A71" t="s">
        <v>6</v>
      </c>
      <c r="B71" t="str">
        <f>"12/09/2012 00:00"</f>
        <v>12/09/2012 00:00</v>
      </c>
      <c r="C71">
        <v>90</v>
      </c>
      <c r="D71" t="s">
        <v>7</v>
      </c>
      <c r="E71" s="2" t="s">
        <v>12</v>
      </c>
      <c r="F71">
        <f t="shared" si="1"/>
        <v>178.47</v>
      </c>
      <c r="G71" t="s">
        <v>16</v>
      </c>
      <c r="J71" t="str">
        <f>"12/09/2012 23:45"</f>
        <v>12/09/2012 23:45</v>
      </c>
    </row>
    <row r="72" spans="1:10" x14ac:dyDescent="0.3">
      <c r="A72" t="s">
        <v>6</v>
      </c>
      <c r="B72" t="str">
        <f>"12/10/2012 00:00"</f>
        <v>12/10/2012 00:00</v>
      </c>
      <c r="C72">
        <v>89.3</v>
      </c>
      <c r="D72" t="s">
        <v>7</v>
      </c>
      <c r="E72" s="2" t="s">
        <v>12</v>
      </c>
      <c r="F72">
        <f t="shared" si="1"/>
        <v>177.08189999999999</v>
      </c>
      <c r="G72" t="s">
        <v>16</v>
      </c>
      <c r="J72" t="str">
        <f>"12/10/2012 23:45"</f>
        <v>12/10/2012 23:45</v>
      </c>
    </row>
    <row r="73" spans="1:10" x14ac:dyDescent="0.3">
      <c r="A73" t="s">
        <v>6</v>
      </c>
      <c r="B73" t="str">
        <f>"12/11/2012 00:00"</f>
        <v>12/11/2012 00:00</v>
      </c>
      <c r="C73">
        <v>90.4</v>
      </c>
      <c r="D73" t="s">
        <v>7</v>
      </c>
      <c r="E73" s="2" t="s">
        <v>12</v>
      </c>
      <c r="F73">
        <f t="shared" si="1"/>
        <v>179.26320000000001</v>
      </c>
      <c r="G73" t="s">
        <v>16</v>
      </c>
      <c r="J73" t="str">
        <f>"12/11/2012 23:45"</f>
        <v>12/11/2012 23:45</v>
      </c>
    </row>
    <row r="74" spans="1:10" x14ac:dyDescent="0.3">
      <c r="A74" t="s">
        <v>6</v>
      </c>
      <c r="B74" t="str">
        <f>"12/12/2012 00:00"</f>
        <v>12/12/2012 00:00</v>
      </c>
      <c r="C74">
        <v>91.2</v>
      </c>
      <c r="D74" t="s">
        <v>7</v>
      </c>
      <c r="E74" s="2" t="s">
        <v>12</v>
      </c>
      <c r="F74">
        <f t="shared" si="1"/>
        <v>180.84960000000001</v>
      </c>
      <c r="G74" t="s">
        <v>16</v>
      </c>
      <c r="J74" t="str">
        <f>"12/12/2012 23:45"</f>
        <v>12/12/2012 23:45</v>
      </c>
    </row>
    <row r="75" spans="1:10" x14ac:dyDescent="0.3">
      <c r="A75" t="s">
        <v>6</v>
      </c>
      <c r="B75" t="str">
        <f>"12/13/2012 00:00"</f>
        <v>12/13/2012 00:00</v>
      </c>
      <c r="C75">
        <v>90.9</v>
      </c>
      <c r="D75" t="s">
        <v>7</v>
      </c>
      <c r="E75" s="2" t="s">
        <v>12</v>
      </c>
      <c r="F75">
        <f t="shared" si="1"/>
        <v>180.25470000000001</v>
      </c>
      <c r="G75" t="s">
        <v>16</v>
      </c>
      <c r="J75" t="str">
        <f>"12/13/2012 23:45"</f>
        <v>12/13/2012 23:45</v>
      </c>
    </row>
    <row r="76" spans="1:10" x14ac:dyDescent="0.3">
      <c r="A76" t="s">
        <v>6</v>
      </c>
      <c r="B76" t="str">
        <f>"12/14/2012 00:00"</f>
        <v>12/14/2012 00:00</v>
      </c>
      <c r="C76">
        <v>91</v>
      </c>
      <c r="D76" t="s">
        <v>7</v>
      </c>
      <c r="E76" s="2" t="s">
        <v>12</v>
      </c>
      <c r="F76">
        <f t="shared" si="1"/>
        <v>180.453</v>
      </c>
      <c r="G76" t="s">
        <v>16</v>
      </c>
      <c r="J76" t="str">
        <f>"12/14/2012 23:45"</f>
        <v>12/14/2012 23:45</v>
      </c>
    </row>
    <row r="77" spans="1:10" x14ac:dyDescent="0.3">
      <c r="A77" t="s">
        <v>6</v>
      </c>
      <c r="B77" t="str">
        <f>"12/15/2012 00:00"</f>
        <v>12/15/2012 00:00</v>
      </c>
      <c r="C77">
        <v>92.3</v>
      </c>
      <c r="D77" t="s">
        <v>7</v>
      </c>
      <c r="E77" s="2" t="s">
        <v>12</v>
      </c>
      <c r="F77">
        <f t="shared" si="1"/>
        <v>183.0309</v>
      </c>
      <c r="G77" t="s">
        <v>16</v>
      </c>
      <c r="J77" t="str">
        <f>"12/15/2012 23:45"</f>
        <v>12/15/2012 23:45</v>
      </c>
    </row>
    <row r="78" spans="1:10" x14ac:dyDescent="0.3">
      <c r="A78" t="s">
        <v>6</v>
      </c>
      <c r="B78" t="str">
        <f>"12/16/2012 00:00"</f>
        <v>12/16/2012 00:00</v>
      </c>
      <c r="C78">
        <v>92.3</v>
      </c>
      <c r="D78" t="s">
        <v>7</v>
      </c>
      <c r="E78" s="2" t="s">
        <v>12</v>
      </c>
      <c r="F78">
        <f t="shared" si="1"/>
        <v>183.0309</v>
      </c>
      <c r="G78" t="s">
        <v>16</v>
      </c>
      <c r="J78" t="str">
        <f>"12/16/2012 23:45"</f>
        <v>12/16/2012 23:45</v>
      </c>
    </row>
    <row r="79" spans="1:10" x14ac:dyDescent="0.3">
      <c r="A79" t="s">
        <v>6</v>
      </c>
      <c r="B79" t="str">
        <f>"12/17/2012 00:00"</f>
        <v>12/17/2012 00:00</v>
      </c>
      <c r="C79">
        <v>92.5</v>
      </c>
      <c r="D79" t="s">
        <v>7</v>
      </c>
      <c r="E79" s="2" t="s">
        <v>12</v>
      </c>
      <c r="F79">
        <f t="shared" si="1"/>
        <v>183.42750000000001</v>
      </c>
      <c r="G79" t="s">
        <v>16</v>
      </c>
      <c r="J79" t="str">
        <f>"12/17/2012 23:45"</f>
        <v>12/17/2012 23:45</v>
      </c>
    </row>
    <row r="80" spans="1:10" x14ac:dyDescent="0.3">
      <c r="A80" t="s">
        <v>6</v>
      </c>
      <c r="B80" t="str">
        <f>"12/18/2012 00:00"</f>
        <v>12/18/2012 00:00</v>
      </c>
      <c r="C80">
        <v>92.6</v>
      </c>
      <c r="D80" t="s">
        <v>7</v>
      </c>
      <c r="E80" s="2" t="s">
        <v>12</v>
      </c>
      <c r="F80">
        <f t="shared" si="1"/>
        <v>183.6258</v>
      </c>
      <c r="G80" t="s">
        <v>16</v>
      </c>
      <c r="J80" t="str">
        <f>"12/18/2012 23:45"</f>
        <v>12/18/2012 23:45</v>
      </c>
    </row>
    <row r="81" spans="1:10" x14ac:dyDescent="0.3">
      <c r="A81" t="s">
        <v>6</v>
      </c>
      <c r="B81" t="str">
        <f>"12/19/2012 00:00"</f>
        <v>12/19/2012 00:00</v>
      </c>
      <c r="C81">
        <v>92.6</v>
      </c>
      <c r="D81" t="s">
        <v>7</v>
      </c>
      <c r="E81" s="2" t="s">
        <v>12</v>
      </c>
      <c r="F81">
        <f t="shared" si="1"/>
        <v>183.6258</v>
      </c>
      <c r="G81" t="s">
        <v>16</v>
      </c>
      <c r="J81" t="str">
        <f>"12/19/2012 23:45"</f>
        <v>12/19/2012 23:45</v>
      </c>
    </row>
    <row r="82" spans="1:10" x14ac:dyDescent="0.3">
      <c r="A82" t="s">
        <v>6</v>
      </c>
      <c r="B82" t="str">
        <f>"12/20/2012 00:00"</f>
        <v>12/20/2012 00:00</v>
      </c>
      <c r="C82">
        <v>92.7</v>
      </c>
      <c r="D82" t="s">
        <v>7</v>
      </c>
      <c r="E82" s="2" t="s">
        <v>12</v>
      </c>
      <c r="F82">
        <f t="shared" si="1"/>
        <v>183.82410000000002</v>
      </c>
      <c r="G82" t="s">
        <v>16</v>
      </c>
      <c r="J82" t="str">
        <f>"12/20/2012 23:45"</f>
        <v>12/20/2012 23:45</v>
      </c>
    </row>
    <row r="83" spans="1:10" x14ac:dyDescent="0.3">
      <c r="A83" t="s">
        <v>6</v>
      </c>
      <c r="B83" t="str">
        <f>"12/21/2012 00:00"</f>
        <v>12/21/2012 00:00</v>
      </c>
      <c r="C83">
        <v>92.4</v>
      </c>
      <c r="D83" t="s">
        <v>7</v>
      </c>
      <c r="E83" s="2" t="s">
        <v>12</v>
      </c>
      <c r="F83">
        <f t="shared" si="1"/>
        <v>183.22920000000002</v>
      </c>
      <c r="G83" t="s">
        <v>16</v>
      </c>
      <c r="J83" t="str">
        <f>"12/21/2012 23:45"</f>
        <v>12/21/2012 23:45</v>
      </c>
    </row>
    <row r="84" spans="1:10" x14ac:dyDescent="0.3">
      <c r="A84" t="s">
        <v>6</v>
      </c>
      <c r="B84" t="str">
        <f>"12/22/2012 00:00"</f>
        <v>12/22/2012 00:00</v>
      </c>
      <c r="C84">
        <v>92.7</v>
      </c>
      <c r="D84" t="s">
        <v>7</v>
      </c>
      <c r="E84" s="2" t="s">
        <v>12</v>
      </c>
      <c r="F84">
        <f t="shared" si="1"/>
        <v>183.82410000000002</v>
      </c>
      <c r="G84" t="s">
        <v>16</v>
      </c>
      <c r="J84" t="str">
        <f>"12/22/2012 23:45"</f>
        <v>12/22/2012 23:45</v>
      </c>
    </row>
    <row r="85" spans="1:10" x14ac:dyDescent="0.3">
      <c r="A85" t="s">
        <v>6</v>
      </c>
      <c r="B85" t="str">
        <f>"12/23/2012 00:00"</f>
        <v>12/23/2012 00:00</v>
      </c>
      <c r="C85">
        <v>92.5</v>
      </c>
      <c r="D85" t="s">
        <v>7</v>
      </c>
      <c r="E85" s="2" t="s">
        <v>12</v>
      </c>
      <c r="F85">
        <f t="shared" si="1"/>
        <v>183.42750000000001</v>
      </c>
      <c r="G85" t="s">
        <v>16</v>
      </c>
      <c r="J85" t="str">
        <f>"12/23/2012 23:45"</f>
        <v>12/23/2012 23:45</v>
      </c>
    </row>
    <row r="86" spans="1:10" x14ac:dyDescent="0.3">
      <c r="A86" t="s">
        <v>6</v>
      </c>
      <c r="B86" t="str">
        <f>"12/24/2012 00:00"</f>
        <v>12/24/2012 00:00</v>
      </c>
      <c r="C86">
        <v>92.8</v>
      </c>
      <c r="D86" t="s">
        <v>7</v>
      </c>
      <c r="E86" s="2" t="s">
        <v>12</v>
      </c>
      <c r="F86">
        <f t="shared" si="1"/>
        <v>184.0224</v>
      </c>
      <c r="G86" t="s">
        <v>16</v>
      </c>
      <c r="J86" t="str">
        <f>"12/24/2012 23:45"</f>
        <v>12/24/2012 23:45</v>
      </c>
    </row>
    <row r="87" spans="1:10" x14ac:dyDescent="0.3">
      <c r="A87" t="s">
        <v>6</v>
      </c>
      <c r="B87" t="str">
        <f>"12/25/2012 00:00"</f>
        <v>12/25/2012 00:00</v>
      </c>
      <c r="C87">
        <v>92.7</v>
      </c>
      <c r="D87" t="s">
        <v>7</v>
      </c>
      <c r="E87" s="2" t="s">
        <v>12</v>
      </c>
      <c r="F87">
        <f t="shared" si="1"/>
        <v>183.82410000000002</v>
      </c>
      <c r="G87" t="s">
        <v>16</v>
      </c>
      <c r="J87" t="str">
        <f>"12/25/2012 23:45"</f>
        <v>12/25/2012 23:45</v>
      </c>
    </row>
    <row r="88" spans="1:10" x14ac:dyDescent="0.3">
      <c r="A88" t="s">
        <v>6</v>
      </c>
      <c r="B88" t="str">
        <f>"12/26/2012 00:00"</f>
        <v>12/26/2012 00:00</v>
      </c>
      <c r="C88">
        <v>92.5</v>
      </c>
      <c r="D88" t="s">
        <v>7</v>
      </c>
      <c r="E88" s="2" t="s">
        <v>12</v>
      </c>
      <c r="F88">
        <f t="shared" si="1"/>
        <v>183.42750000000001</v>
      </c>
      <c r="G88" t="s">
        <v>16</v>
      </c>
      <c r="J88" t="str">
        <f>"12/26/2012 23:45"</f>
        <v>12/26/2012 23:45</v>
      </c>
    </row>
    <row r="89" spans="1:10" x14ac:dyDescent="0.3">
      <c r="A89" t="s">
        <v>6</v>
      </c>
      <c r="B89" t="str">
        <f>"12/27/2012 00:00"</f>
        <v>12/27/2012 00:00</v>
      </c>
      <c r="C89">
        <v>92.3</v>
      </c>
      <c r="D89" t="s">
        <v>7</v>
      </c>
      <c r="E89" s="2" t="s">
        <v>12</v>
      </c>
      <c r="F89">
        <f t="shared" si="1"/>
        <v>183.0309</v>
      </c>
      <c r="G89" t="s">
        <v>16</v>
      </c>
      <c r="J89" t="str">
        <f>"12/27/2012 23:45"</f>
        <v>12/27/2012 23:45</v>
      </c>
    </row>
    <row r="90" spans="1:10" x14ac:dyDescent="0.3">
      <c r="A90" t="s">
        <v>6</v>
      </c>
      <c r="B90" t="str">
        <f>"12/28/2012 00:00"</f>
        <v>12/28/2012 00:00</v>
      </c>
      <c r="C90">
        <v>92.5</v>
      </c>
      <c r="D90" t="s">
        <v>7</v>
      </c>
      <c r="E90" s="2" t="s">
        <v>12</v>
      </c>
      <c r="F90">
        <f t="shared" si="1"/>
        <v>183.42750000000001</v>
      </c>
      <c r="G90" t="s">
        <v>16</v>
      </c>
      <c r="J90" t="str">
        <f>"12/28/2012 23:45"</f>
        <v>12/28/2012 23:45</v>
      </c>
    </row>
    <row r="91" spans="1:10" x14ac:dyDescent="0.3">
      <c r="A91" t="s">
        <v>6</v>
      </c>
      <c r="B91" t="str">
        <f>"12/29/2012 00:00"</f>
        <v>12/29/2012 00:00</v>
      </c>
      <c r="C91">
        <v>92.4</v>
      </c>
      <c r="D91" t="s">
        <v>7</v>
      </c>
      <c r="E91" s="2" t="s">
        <v>12</v>
      </c>
      <c r="F91">
        <f t="shared" si="1"/>
        <v>183.22920000000002</v>
      </c>
      <c r="G91" t="s">
        <v>16</v>
      </c>
      <c r="J91" t="str">
        <f>"12/29/2012 23:45"</f>
        <v>12/29/2012 23:45</v>
      </c>
    </row>
    <row r="92" spans="1:10" x14ac:dyDescent="0.3">
      <c r="A92" t="s">
        <v>6</v>
      </c>
      <c r="B92" t="str">
        <f>"12/30/2012 00:00"</f>
        <v>12/30/2012 00:00</v>
      </c>
      <c r="C92">
        <v>92.6</v>
      </c>
      <c r="D92" t="s">
        <v>7</v>
      </c>
      <c r="E92" s="2" t="s">
        <v>12</v>
      </c>
      <c r="F92">
        <f t="shared" si="1"/>
        <v>183.6258</v>
      </c>
      <c r="G92" t="s">
        <v>16</v>
      </c>
      <c r="J92" t="str">
        <f>"12/30/2012 23:45"</f>
        <v>12/30/2012 23:45</v>
      </c>
    </row>
    <row r="93" spans="1:10" x14ac:dyDescent="0.3">
      <c r="A93" t="s">
        <v>6</v>
      </c>
      <c r="B93" t="str">
        <f>"12/31/2012 00:00"</f>
        <v>12/31/2012 00:00</v>
      </c>
      <c r="C93">
        <v>92.3</v>
      </c>
      <c r="D93" t="s">
        <v>7</v>
      </c>
      <c r="E93" s="2" t="s">
        <v>12</v>
      </c>
      <c r="F93">
        <f t="shared" si="1"/>
        <v>183.0309</v>
      </c>
      <c r="G93" t="s">
        <v>16</v>
      </c>
      <c r="J93" t="str">
        <f>"12/31/2012 23:45"</f>
        <v>12/31/2012 23:45</v>
      </c>
    </row>
    <row r="94" spans="1:10" x14ac:dyDescent="0.3">
      <c r="A94" t="s">
        <v>6</v>
      </c>
      <c r="B94" t="str">
        <f>"01/01/2013 00:00"</f>
        <v>01/01/2013 00:00</v>
      </c>
      <c r="C94">
        <v>92.7</v>
      </c>
      <c r="D94" t="s">
        <v>7</v>
      </c>
      <c r="E94" s="2" t="s">
        <v>12</v>
      </c>
      <c r="F94">
        <f t="shared" si="1"/>
        <v>183.82410000000002</v>
      </c>
      <c r="G94" t="s">
        <v>16</v>
      </c>
      <c r="J94" t="str">
        <f>"01/01/2013 23:45"</f>
        <v>01/01/2013 23:45</v>
      </c>
    </row>
    <row r="95" spans="1:10" x14ac:dyDescent="0.3">
      <c r="A95" t="s">
        <v>6</v>
      </c>
      <c r="B95" t="str">
        <f>"01/02/2013 00:00"</f>
        <v>01/02/2013 00:00</v>
      </c>
      <c r="C95">
        <v>92.5</v>
      </c>
      <c r="D95" t="s">
        <v>7</v>
      </c>
      <c r="E95" s="2" t="s">
        <v>12</v>
      </c>
      <c r="F95">
        <f t="shared" si="1"/>
        <v>183.42750000000001</v>
      </c>
      <c r="G95" t="s">
        <v>16</v>
      </c>
      <c r="J95" t="str">
        <f>"01/02/2013 23:45"</f>
        <v>01/02/2013 23:45</v>
      </c>
    </row>
    <row r="96" spans="1:10" x14ac:dyDescent="0.3">
      <c r="A96" t="s">
        <v>6</v>
      </c>
      <c r="B96" t="str">
        <f>"01/03/2013 00:00"</f>
        <v>01/03/2013 00:00</v>
      </c>
      <c r="C96">
        <v>92.7</v>
      </c>
      <c r="D96" t="s">
        <v>7</v>
      </c>
      <c r="E96" s="2" t="s">
        <v>12</v>
      </c>
      <c r="F96">
        <f t="shared" si="1"/>
        <v>183.82410000000002</v>
      </c>
      <c r="G96" t="s">
        <v>16</v>
      </c>
      <c r="J96" t="str">
        <f>"01/03/2013 23:45"</f>
        <v>01/03/2013 23:45</v>
      </c>
    </row>
    <row r="97" spans="1:10" x14ac:dyDescent="0.3">
      <c r="A97" t="s">
        <v>6</v>
      </c>
      <c r="B97" t="str">
        <f>"01/04/2013 00:00"</f>
        <v>01/04/2013 00:00</v>
      </c>
      <c r="C97">
        <v>92.7</v>
      </c>
      <c r="D97" t="s">
        <v>7</v>
      </c>
      <c r="E97" s="2" t="s">
        <v>12</v>
      </c>
      <c r="F97">
        <f t="shared" si="1"/>
        <v>183.82410000000002</v>
      </c>
      <c r="G97" t="s">
        <v>16</v>
      </c>
      <c r="J97" t="str">
        <f>"01/04/2013 23:45"</f>
        <v>01/04/2013 23:45</v>
      </c>
    </row>
    <row r="98" spans="1:10" x14ac:dyDescent="0.3">
      <c r="A98" t="s">
        <v>6</v>
      </c>
      <c r="B98" t="str">
        <f>"01/05/2013 00:00"</f>
        <v>01/05/2013 00:00</v>
      </c>
      <c r="C98">
        <v>92.6</v>
      </c>
      <c r="D98" t="s">
        <v>7</v>
      </c>
      <c r="E98" s="2" t="s">
        <v>12</v>
      </c>
      <c r="F98">
        <f t="shared" si="1"/>
        <v>183.6258</v>
      </c>
      <c r="G98" t="s">
        <v>16</v>
      </c>
      <c r="J98" t="str">
        <f>"01/05/2013 23:45"</f>
        <v>01/05/2013 23:45</v>
      </c>
    </row>
    <row r="99" spans="1:10" x14ac:dyDescent="0.3">
      <c r="A99" t="s">
        <v>6</v>
      </c>
      <c r="B99" t="str">
        <f>"01/06/2013 00:00"</f>
        <v>01/06/2013 00:00</v>
      </c>
      <c r="C99">
        <v>92.4</v>
      </c>
      <c r="D99" t="s">
        <v>7</v>
      </c>
      <c r="E99" s="2" t="s">
        <v>12</v>
      </c>
      <c r="F99">
        <f t="shared" si="1"/>
        <v>183.22920000000002</v>
      </c>
      <c r="G99" t="s">
        <v>16</v>
      </c>
      <c r="J99" t="str">
        <f>"01/06/2013 23:45"</f>
        <v>01/06/2013 23:45</v>
      </c>
    </row>
    <row r="100" spans="1:10" x14ac:dyDescent="0.3">
      <c r="A100" t="s">
        <v>6</v>
      </c>
      <c r="B100" t="str">
        <f>"01/07/2013 00:00"</f>
        <v>01/07/2013 00:00</v>
      </c>
      <c r="C100">
        <v>91.9</v>
      </c>
      <c r="D100" t="s">
        <v>7</v>
      </c>
      <c r="E100" s="2" t="s">
        <v>12</v>
      </c>
      <c r="F100">
        <f t="shared" si="1"/>
        <v>182.23770000000002</v>
      </c>
      <c r="G100" t="s">
        <v>16</v>
      </c>
      <c r="J100" t="str">
        <f>"01/07/2013 23:45"</f>
        <v>01/07/2013 23:45</v>
      </c>
    </row>
    <row r="101" spans="1:10" x14ac:dyDescent="0.3">
      <c r="A101" t="s">
        <v>6</v>
      </c>
      <c r="B101" t="str">
        <f>"01/08/2013 00:00"</f>
        <v>01/08/2013 00:00</v>
      </c>
      <c r="C101">
        <v>92.4</v>
      </c>
      <c r="D101" t="s">
        <v>7</v>
      </c>
      <c r="E101" s="2" t="s">
        <v>12</v>
      </c>
      <c r="F101">
        <f t="shared" si="1"/>
        <v>183.22920000000002</v>
      </c>
      <c r="G101" t="s">
        <v>16</v>
      </c>
      <c r="J101" t="str">
        <f>"01/08/2013 23:45"</f>
        <v>01/08/2013 23:45</v>
      </c>
    </row>
    <row r="102" spans="1:10" x14ac:dyDescent="0.3">
      <c r="A102" t="s">
        <v>6</v>
      </c>
      <c r="B102" t="str">
        <f>"01/09/2013 00:00"</f>
        <v>01/09/2013 00:00</v>
      </c>
      <c r="C102">
        <v>92.5</v>
      </c>
      <c r="D102" t="s">
        <v>7</v>
      </c>
      <c r="E102" s="2" t="s">
        <v>12</v>
      </c>
      <c r="F102">
        <f t="shared" si="1"/>
        <v>183.42750000000001</v>
      </c>
      <c r="G102" t="s">
        <v>16</v>
      </c>
      <c r="J102" t="str">
        <f>"01/09/2013 23:45"</f>
        <v>01/09/2013 23:45</v>
      </c>
    </row>
    <row r="103" spans="1:10" x14ac:dyDescent="0.3">
      <c r="A103" t="s">
        <v>6</v>
      </c>
      <c r="B103" t="str">
        <f>"01/10/2013 00:00"</f>
        <v>01/10/2013 00:00</v>
      </c>
      <c r="C103">
        <v>92.6</v>
      </c>
      <c r="D103" t="s">
        <v>7</v>
      </c>
      <c r="E103" s="2" t="s">
        <v>12</v>
      </c>
      <c r="F103">
        <f t="shared" si="1"/>
        <v>183.6258</v>
      </c>
      <c r="G103" t="s">
        <v>16</v>
      </c>
      <c r="J103" t="str">
        <f>"01/10/2013 23:45"</f>
        <v>01/10/2013 23:45</v>
      </c>
    </row>
    <row r="104" spans="1:10" x14ac:dyDescent="0.3">
      <c r="A104" t="s">
        <v>6</v>
      </c>
      <c r="B104" t="str">
        <f>"01/11/2013 00:00"</f>
        <v>01/11/2013 00:00</v>
      </c>
      <c r="C104">
        <v>91.6</v>
      </c>
      <c r="D104" t="s">
        <v>7</v>
      </c>
      <c r="E104" s="2" t="s">
        <v>12</v>
      </c>
      <c r="F104">
        <f t="shared" si="1"/>
        <v>181.64279999999999</v>
      </c>
      <c r="G104" t="s">
        <v>16</v>
      </c>
      <c r="J104" t="str">
        <f>"01/11/2013 23:45"</f>
        <v>01/11/2013 23:45</v>
      </c>
    </row>
    <row r="105" spans="1:10" x14ac:dyDescent="0.3">
      <c r="A105" t="s">
        <v>6</v>
      </c>
      <c r="B105" t="str">
        <f>"01/12/2013 00:00"</f>
        <v>01/12/2013 00:00</v>
      </c>
      <c r="C105">
        <v>91.4</v>
      </c>
      <c r="D105" t="s">
        <v>7</v>
      </c>
      <c r="E105" s="2" t="s">
        <v>12</v>
      </c>
      <c r="F105">
        <f t="shared" si="1"/>
        <v>181.24620000000002</v>
      </c>
      <c r="G105" t="s">
        <v>16</v>
      </c>
      <c r="J105" t="str">
        <f>"01/12/2013 23:45"</f>
        <v>01/12/2013 23:45</v>
      </c>
    </row>
    <row r="106" spans="1:10" x14ac:dyDescent="0.3">
      <c r="A106" t="s">
        <v>6</v>
      </c>
      <c r="B106" t="str">
        <f>"01/13/2013 00:00"</f>
        <v>01/13/2013 00:00</v>
      </c>
      <c r="C106">
        <v>91.5</v>
      </c>
      <c r="D106" t="s">
        <v>7</v>
      </c>
      <c r="E106" s="2" t="s">
        <v>12</v>
      </c>
      <c r="F106">
        <f t="shared" si="1"/>
        <v>181.44450000000001</v>
      </c>
      <c r="G106" t="s">
        <v>16</v>
      </c>
      <c r="J106" t="str">
        <f>"01/13/2013 23:45"</f>
        <v>01/13/2013 23:45</v>
      </c>
    </row>
    <row r="107" spans="1:10" x14ac:dyDescent="0.3">
      <c r="A107" t="s">
        <v>6</v>
      </c>
      <c r="B107" t="str">
        <f>"01/14/2013 00:00"</f>
        <v>01/14/2013 00:00</v>
      </c>
      <c r="C107">
        <v>91.7</v>
      </c>
      <c r="D107" t="s">
        <v>7</v>
      </c>
      <c r="E107" s="2" t="s">
        <v>12</v>
      </c>
      <c r="F107">
        <f t="shared" si="1"/>
        <v>181.84110000000001</v>
      </c>
      <c r="G107" t="s">
        <v>16</v>
      </c>
      <c r="J107" t="str">
        <f>"01/14/2013 23:45"</f>
        <v>01/14/2013 23:45</v>
      </c>
    </row>
    <row r="108" spans="1:10" x14ac:dyDescent="0.3">
      <c r="A108" t="s">
        <v>6</v>
      </c>
      <c r="B108" t="str">
        <f>"01/15/2013 00:00"</f>
        <v>01/15/2013 00:00</v>
      </c>
      <c r="C108">
        <v>91.7</v>
      </c>
      <c r="D108" t="s">
        <v>7</v>
      </c>
      <c r="E108" s="2" t="s">
        <v>12</v>
      </c>
      <c r="F108">
        <f t="shared" si="1"/>
        <v>181.84110000000001</v>
      </c>
      <c r="G108" t="s">
        <v>16</v>
      </c>
      <c r="J108" t="str">
        <f>"01/15/2013 23:45"</f>
        <v>01/15/2013 23:45</v>
      </c>
    </row>
    <row r="109" spans="1:10" x14ac:dyDescent="0.3">
      <c r="A109" t="s">
        <v>6</v>
      </c>
      <c r="B109" t="str">
        <f>"01/16/2013 00:00"</f>
        <v>01/16/2013 00:00</v>
      </c>
      <c r="C109">
        <v>91.6</v>
      </c>
      <c r="D109" t="s">
        <v>7</v>
      </c>
      <c r="E109" s="2" t="s">
        <v>12</v>
      </c>
      <c r="F109">
        <f t="shared" si="1"/>
        <v>181.64279999999999</v>
      </c>
      <c r="G109" t="s">
        <v>16</v>
      </c>
      <c r="J109" t="str">
        <f>"01/16/2013 23:45"</f>
        <v>01/16/2013 23:45</v>
      </c>
    </row>
    <row r="110" spans="1:10" x14ac:dyDescent="0.3">
      <c r="A110" t="s">
        <v>6</v>
      </c>
      <c r="B110" t="str">
        <f>"01/17/2013 00:00"</f>
        <v>01/17/2013 00:00</v>
      </c>
      <c r="C110">
        <v>90.9</v>
      </c>
      <c r="D110" t="s">
        <v>7</v>
      </c>
      <c r="E110" s="2" t="s">
        <v>12</v>
      </c>
      <c r="F110">
        <f t="shared" si="1"/>
        <v>180.25470000000001</v>
      </c>
      <c r="G110" t="s">
        <v>16</v>
      </c>
      <c r="J110" t="str">
        <f>"01/17/2013 23:45"</f>
        <v>01/17/2013 23:45</v>
      </c>
    </row>
    <row r="111" spans="1:10" x14ac:dyDescent="0.3">
      <c r="A111" t="s">
        <v>6</v>
      </c>
      <c r="B111" t="str">
        <f>"01/18/2013 00:00"</f>
        <v>01/18/2013 00:00</v>
      </c>
      <c r="C111">
        <v>90.3</v>
      </c>
      <c r="D111" t="s">
        <v>7</v>
      </c>
      <c r="E111" s="2" t="s">
        <v>12</v>
      </c>
      <c r="F111">
        <f t="shared" si="1"/>
        <v>179.06489999999999</v>
      </c>
      <c r="G111" t="s">
        <v>16</v>
      </c>
      <c r="J111" t="str">
        <f>"01/18/2013 23:45"</f>
        <v>01/18/2013 23:45</v>
      </c>
    </row>
    <row r="112" spans="1:10" x14ac:dyDescent="0.3">
      <c r="A112" t="s">
        <v>6</v>
      </c>
      <c r="B112" t="str">
        <f>"01/19/2013 00:00"</f>
        <v>01/19/2013 00:00</v>
      </c>
      <c r="C112">
        <v>90.4</v>
      </c>
      <c r="D112" t="s">
        <v>7</v>
      </c>
      <c r="E112" s="2" t="s">
        <v>12</v>
      </c>
      <c r="F112">
        <f t="shared" si="1"/>
        <v>179.26320000000001</v>
      </c>
      <c r="G112" t="s">
        <v>16</v>
      </c>
      <c r="J112" t="str">
        <f>"01/19/2013 23:45"</f>
        <v>01/19/2013 23:45</v>
      </c>
    </row>
    <row r="113" spans="1:10" x14ac:dyDescent="0.3">
      <c r="A113" t="s">
        <v>6</v>
      </c>
      <c r="B113" t="str">
        <f>"01/20/2013 00:00"</f>
        <v>01/20/2013 00:00</v>
      </c>
      <c r="C113">
        <v>89.8</v>
      </c>
      <c r="D113" t="s">
        <v>7</v>
      </c>
      <c r="E113" s="2" t="s">
        <v>12</v>
      </c>
      <c r="F113">
        <f t="shared" si="1"/>
        <v>178.07339999999999</v>
      </c>
      <c r="G113" t="s">
        <v>16</v>
      </c>
      <c r="J113" t="str">
        <f>"01/20/2013 23:45"</f>
        <v>01/20/2013 23:45</v>
      </c>
    </row>
    <row r="114" spans="1:10" x14ac:dyDescent="0.3">
      <c r="A114" t="s">
        <v>6</v>
      </c>
      <c r="B114" t="str">
        <f>"01/21/2013 00:00"</f>
        <v>01/21/2013 00:00</v>
      </c>
      <c r="C114">
        <v>90.3</v>
      </c>
      <c r="D114" t="s">
        <v>7</v>
      </c>
      <c r="E114" s="2" t="s">
        <v>12</v>
      </c>
      <c r="F114">
        <f t="shared" si="1"/>
        <v>179.06489999999999</v>
      </c>
      <c r="G114" t="s">
        <v>16</v>
      </c>
      <c r="J114" t="str">
        <f>"01/21/2013 23:45"</f>
        <v>01/21/2013 23:45</v>
      </c>
    </row>
    <row r="115" spans="1:10" x14ac:dyDescent="0.3">
      <c r="A115" t="s">
        <v>6</v>
      </c>
      <c r="B115" t="str">
        <f>"01/22/2013 00:00"</f>
        <v>01/22/2013 00:00</v>
      </c>
      <c r="C115">
        <v>90.1</v>
      </c>
      <c r="D115" t="s">
        <v>7</v>
      </c>
      <c r="E115" s="2" t="s">
        <v>12</v>
      </c>
      <c r="F115">
        <f t="shared" si="1"/>
        <v>178.66829999999999</v>
      </c>
      <c r="G115" t="s">
        <v>16</v>
      </c>
      <c r="J115" t="str">
        <f>"01/22/2013 23:45"</f>
        <v>01/22/2013 23:45</v>
      </c>
    </row>
    <row r="116" spans="1:10" x14ac:dyDescent="0.3">
      <c r="A116" t="s">
        <v>6</v>
      </c>
      <c r="B116" t="str">
        <f>"01/23/2013 00:00"</f>
        <v>01/23/2013 00:00</v>
      </c>
      <c r="C116">
        <v>90.2</v>
      </c>
      <c r="D116" t="s">
        <v>7</v>
      </c>
      <c r="E116" s="2" t="s">
        <v>12</v>
      </c>
      <c r="F116">
        <f t="shared" si="1"/>
        <v>178.86660000000001</v>
      </c>
      <c r="G116" t="s">
        <v>16</v>
      </c>
      <c r="J116" t="str">
        <f>"01/23/2013 23:45"</f>
        <v>01/23/2013 23:45</v>
      </c>
    </row>
    <row r="117" spans="1:10" x14ac:dyDescent="0.3">
      <c r="A117" t="s">
        <v>6</v>
      </c>
      <c r="B117" t="str">
        <f>"01/24/2013 00:00"</f>
        <v>01/24/2013 00:00</v>
      </c>
      <c r="C117">
        <v>88.1</v>
      </c>
      <c r="D117" t="s">
        <v>7</v>
      </c>
      <c r="E117" s="2" t="s">
        <v>12</v>
      </c>
      <c r="F117">
        <f t="shared" si="1"/>
        <v>174.70230000000001</v>
      </c>
      <c r="G117" t="s">
        <v>16</v>
      </c>
      <c r="J117" t="str">
        <f>"01/24/2013 23:45"</f>
        <v>01/24/2013 23:45</v>
      </c>
    </row>
    <row r="118" spans="1:10" x14ac:dyDescent="0.3">
      <c r="A118" t="s">
        <v>6</v>
      </c>
      <c r="B118" t="str">
        <f>"01/25/2013 00:00"</f>
        <v>01/25/2013 00:00</v>
      </c>
      <c r="C118">
        <v>92.2</v>
      </c>
      <c r="D118" t="s">
        <v>7</v>
      </c>
      <c r="E118" s="2" t="s">
        <v>12</v>
      </c>
      <c r="F118">
        <f t="shared" si="1"/>
        <v>182.83260000000001</v>
      </c>
      <c r="G118" t="s">
        <v>16</v>
      </c>
      <c r="J118" t="str">
        <f>"01/25/2013 23:45"</f>
        <v>01/25/2013 23:45</v>
      </c>
    </row>
    <row r="119" spans="1:10" x14ac:dyDescent="0.3">
      <c r="A119" t="s">
        <v>6</v>
      </c>
      <c r="B119" t="str">
        <f>"01/26/2013 00:00"</f>
        <v>01/26/2013 00:00</v>
      </c>
      <c r="C119">
        <v>90.7</v>
      </c>
      <c r="D119" t="s">
        <v>7</v>
      </c>
      <c r="E119" s="2" t="s">
        <v>12</v>
      </c>
      <c r="F119">
        <f t="shared" si="1"/>
        <v>179.85810000000001</v>
      </c>
      <c r="G119" t="s">
        <v>16</v>
      </c>
      <c r="J119" t="str">
        <f>"01/26/2013 23:45"</f>
        <v>01/26/2013 23:45</v>
      </c>
    </row>
    <row r="120" spans="1:10" x14ac:dyDescent="0.3">
      <c r="A120" t="s">
        <v>6</v>
      </c>
      <c r="B120" t="str">
        <f>"01/27/2013 00:00"</f>
        <v>01/27/2013 00:00</v>
      </c>
      <c r="C120">
        <v>92.2</v>
      </c>
      <c r="D120" t="s">
        <v>7</v>
      </c>
      <c r="E120" s="2" t="s">
        <v>12</v>
      </c>
      <c r="F120">
        <f t="shared" si="1"/>
        <v>182.83260000000001</v>
      </c>
      <c r="G120" t="s">
        <v>16</v>
      </c>
      <c r="J120" t="str">
        <f>"01/27/2013 23:45"</f>
        <v>01/27/2013 23:45</v>
      </c>
    </row>
    <row r="121" spans="1:10" x14ac:dyDescent="0.3">
      <c r="A121" t="s">
        <v>6</v>
      </c>
      <c r="B121" t="str">
        <f>"01/28/2013 00:00"</f>
        <v>01/28/2013 00:00</v>
      </c>
      <c r="C121">
        <v>91.4</v>
      </c>
      <c r="D121" t="s">
        <v>7</v>
      </c>
      <c r="E121" s="2" t="s">
        <v>12</v>
      </c>
      <c r="F121">
        <f t="shared" si="1"/>
        <v>181.24620000000002</v>
      </c>
      <c r="G121" t="s">
        <v>16</v>
      </c>
      <c r="J121" t="str">
        <f>"01/28/2013 23:45"</f>
        <v>01/28/2013 23:45</v>
      </c>
    </row>
    <row r="122" spans="1:10" x14ac:dyDescent="0.3">
      <c r="A122" t="s">
        <v>6</v>
      </c>
      <c r="B122" t="str">
        <f>"01/29/2013 00:00"</f>
        <v>01/29/2013 00:00</v>
      </c>
      <c r="C122">
        <v>91.6</v>
      </c>
      <c r="D122" t="s">
        <v>7</v>
      </c>
      <c r="E122" s="2" t="s">
        <v>12</v>
      </c>
      <c r="F122">
        <f t="shared" si="1"/>
        <v>181.64279999999999</v>
      </c>
      <c r="G122" t="s">
        <v>16</v>
      </c>
      <c r="J122" t="str">
        <f>"01/29/2013 23:45"</f>
        <v>01/29/2013 23:45</v>
      </c>
    </row>
    <row r="123" spans="1:10" x14ac:dyDescent="0.3">
      <c r="A123" t="s">
        <v>6</v>
      </c>
      <c r="B123" t="str">
        <f>"01/30/2013 00:00"</f>
        <v>01/30/2013 00:00</v>
      </c>
      <c r="C123">
        <v>91</v>
      </c>
      <c r="D123" t="s">
        <v>7</v>
      </c>
      <c r="E123" s="2" t="s">
        <v>12</v>
      </c>
      <c r="F123">
        <f t="shared" si="1"/>
        <v>180.453</v>
      </c>
      <c r="G123" t="s">
        <v>16</v>
      </c>
      <c r="J123" t="str">
        <f>"01/30/2013 23:45"</f>
        <v>01/30/2013 23:45</v>
      </c>
    </row>
    <row r="124" spans="1:10" x14ac:dyDescent="0.3">
      <c r="A124" t="s">
        <v>6</v>
      </c>
      <c r="B124" t="str">
        <f>"01/31/2013 00:00"</f>
        <v>01/31/2013 00:00</v>
      </c>
      <c r="C124">
        <v>91.2</v>
      </c>
      <c r="D124" t="s">
        <v>7</v>
      </c>
      <c r="E124" s="2" t="s">
        <v>12</v>
      </c>
      <c r="F124">
        <f t="shared" si="1"/>
        <v>180.84960000000001</v>
      </c>
      <c r="G124" t="s">
        <v>16</v>
      </c>
      <c r="J124" t="str">
        <f>"01/31/2013 23:45"</f>
        <v>01/31/2013 23:45</v>
      </c>
    </row>
    <row r="125" spans="1:10" x14ac:dyDescent="0.3">
      <c r="A125" t="s">
        <v>6</v>
      </c>
      <c r="B125" t="str">
        <f>"02/01/2013 00:00"</f>
        <v>02/01/2013 00:00</v>
      </c>
      <c r="C125">
        <v>91.2</v>
      </c>
      <c r="D125" t="s">
        <v>7</v>
      </c>
      <c r="E125" s="2" t="s">
        <v>12</v>
      </c>
      <c r="F125">
        <f t="shared" si="1"/>
        <v>180.84960000000001</v>
      </c>
      <c r="G125" t="s">
        <v>16</v>
      </c>
      <c r="J125" t="str">
        <f>"02/01/2013 23:45"</f>
        <v>02/01/2013 23:45</v>
      </c>
    </row>
    <row r="126" spans="1:10" x14ac:dyDescent="0.3">
      <c r="A126" t="s">
        <v>6</v>
      </c>
      <c r="B126" t="str">
        <f>"02/02/2013 00:00"</f>
        <v>02/02/2013 00:00</v>
      </c>
      <c r="C126">
        <v>91.2</v>
      </c>
      <c r="D126" t="s">
        <v>7</v>
      </c>
      <c r="E126" s="2" t="s">
        <v>12</v>
      </c>
      <c r="F126">
        <f t="shared" si="1"/>
        <v>180.84960000000001</v>
      </c>
      <c r="G126" t="s">
        <v>16</v>
      </c>
      <c r="J126" t="str">
        <f>"02/02/2013 23:45"</f>
        <v>02/02/2013 23:45</v>
      </c>
    </row>
    <row r="127" spans="1:10" x14ac:dyDescent="0.3">
      <c r="A127" t="s">
        <v>6</v>
      </c>
      <c r="B127" t="str">
        <f>"02/03/2013 00:00"</f>
        <v>02/03/2013 00:00</v>
      </c>
      <c r="C127">
        <v>91.1</v>
      </c>
      <c r="D127" t="s">
        <v>7</v>
      </c>
      <c r="E127" s="2" t="s">
        <v>12</v>
      </c>
      <c r="F127">
        <f t="shared" si="1"/>
        <v>180.65129999999999</v>
      </c>
      <c r="G127" t="s">
        <v>16</v>
      </c>
      <c r="J127" t="str">
        <f>"02/03/2013 23:45"</f>
        <v>02/03/2013 23:45</v>
      </c>
    </row>
    <row r="128" spans="1:10" x14ac:dyDescent="0.3">
      <c r="A128" t="s">
        <v>6</v>
      </c>
      <c r="B128" t="str">
        <f>"02/04/2013 00:00"</f>
        <v>02/04/2013 00:00</v>
      </c>
      <c r="C128">
        <v>90.5</v>
      </c>
      <c r="D128" t="s">
        <v>7</v>
      </c>
      <c r="E128" s="2" t="s">
        <v>12</v>
      </c>
      <c r="F128">
        <f t="shared" si="1"/>
        <v>179.4615</v>
      </c>
      <c r="G128" t="s">
        <v>16</v>
      </c>
      <c r="J128" t="str">
        <f>"02/04/2013 23:45"</f>
        <v>02/04/2013 23:45</v>
      </c>
    </row>
    <row r="129" spans="1:10" x14ac:dyDescent="0.3">
      <c r="A129" t="s">
        <v>6</v>
      </c>
      <c r="B129" t="str">
        <f>"02/05/2013 00:00"</f>
        <v>02/05/2013 00:00</v>
      </c>
      <c r="C129">
        <v>90.6</v>
      </c>
      <c r="D129" t="s">
        <v>7</v>
      </c>
      <c r="E129" s="2" t="s">
        <v>12</v>
      </c>
      <c r="F129">
        <f t="shared" si="1"/>
        <v>179.65979999999999</v>
      </c>
      <c r="G129" t="s">
        <v>16</v>
      </c>
      <c r="J129" t="str">
        <f>"02/05/2013 23:45"</f>
        <v>02/05/2013 23:45</v>
      </c>
    </row>
    <row r="130" spans="1:10" x14ac:dyDescent="0.3">
      <c r="A130" t="s">
        <v>6</v>
      </c>
      <c r="B130" t="str">
        <f>"02/06/2013 00:00"</f>
        <v>02/06/2013 00:00</v>
      </c>
      <c r="C130">
        <v>85.6</v>
      </c>
      <c r="D130" t="s">
        <v>7</v>
      </c>
      <c r="E130" s="2" t="s">
        <v>12</v>
      </c>
      <c r="F130">
        <f t="shared" si="1"/>
        <v>169.7448</v>
      </c>
      <c r="G130" t="s">
        <v>16</v>
      </c>
      <c r="J130" t="str">
        <f>"02/06/2013 23:45"</f>
        <v>02/06/2013 23:45</v>
      </c>
    </row>
    <row r="131" spans="1:10" x14ac:dyDescent="0.3">
      <c r="A131" t="s">
        <v>6</v>
      </c>
      <c r="B131" t="str">
        <f>"02/07/2013 00:00"</f>
        <v>02/07/2013 00:00</v>
      </c>
      <c r="C131">
        <v>81.5</v>
      </c>
      <c r="D131" t="s">
        <v>7</v>
      </c>
      <c r="E131" s="2" t="s">
        <v>12</v>
      </c>
      <c r="F131">
        <f t="shared" ref="F131:F194" si="2">C131*1.983</f>
        <v>161.61450000000002</v>
      </c>
      <c r="G131" t="s">
        <v>16</v>
      </c>
      <c r="J131" t="str">
        <f>"02/07/2013 23:45"</f>
        <v>02/07/2013 23:45</v>
      </c>
    </row>
    <row r="132" spans="1:10" x14ac:dyDescent="0.3">
      <c r="A132" t="s">
        <v>6</v>
      </c>
      <c r="B132" t="str">
        <f>"02/08/2013 00:00"</f>
        <v>02/08/2013 00:00</v>
      </c>
      <c r="C132">
        <v>77.900000000000006</v>
      </c>
      <c r="D132" t="s">
        <v>7</v>
      </c>
      <c r="E132" s="2" t="s">
        <v>12</v>
      </c>
      <c r="F132">
        <f t="shared" si="2"/>
        <v>154.47570000000002</v>
      </c>
      <c r="G132" t="s">
        <v>16</v>
      </c>
      <c r="J132" t="str">
        <f>"02/08/2013 23:45"</f>
        <v>02/08/2013 23:45</v>
      </c>
    </row>
    <row r="133" spans="1:10" x14ac:dyDescent="0.3">
      <c r="A133" t="s">
        <v>6</v>
      </c>
      <c r="B133" t="str">
        <f>"02/09/2013 00:00"</f>
        <v>02/09/2013 00:00</v>
      </c>
      <c r="C133">
        <v>77.599999999999994</v>
      </c>
      <c r="D133" t="s">
        <v>7</v>
      </c>
      <c r="E133" s="2" t="s">
        <v>12</v>
      </c>
      <c r="F133">
        <f t="shared" si="2"/>
        <v>153.88079999999999</v>
      </c>
      <c r="G133" t="s">
        <v>16</v>
      </c>
      <c r="J133" t="str">
        <f>"02/09/2013 23:45"</f>
        <v>02/09/2013 23:45</v>
      </c>
    </row>
    <row r="134" spans="1:10" x14ac:dyDescent="0.3">
      <c r="A134" t="s">
        <v>6</v>
      </c>
      <c r="B134" t="str">
        <f>"02/10/2013 00:00"</f>
        <v>02/10/2013 00:00</v>
      </c>
      <c r="C134">
        <v>77.8</v>
      </c>
      <c r="D134" t="s">
        <v>7</v>
      </c>
      <c r="E134" s="2" t="s">
        <v>12</v>
      </c>
      <c r="F134">
        <f t="shared" si="2"/>
        <v>154.2774</v>
      </c>
      <c r="G134" t="s">
        <v>16</v>
      </c>
      <c r="J134" t="str">
        <f>"02/10/2013 23:45"</f>
        <v>02/10/2013 23:45</v>
      </c>
    </row>
    <row r="135" spans="1:10" x14ac:dyDescent="0.3">
      <c r="A135" t="s">
        <v>6</v>
      </c>
      <c r="B135" t="str">
        <f>"02/11/2013 00:00"</f>
        <v>02/11/2013 00:00</v>
      </c>
      <c r="C135">
        <v>76.599999999999994</v>
      </c>
      <c r="D135" t="s">
        <v>7</v>
      </c>
      <c r="E135" s="2" t="s">
        <v>12</v>
      </c>
      <c r="F135">
        <f t="shared" si="2"/>
        <v>151.89779999999999</v>
      </c>
      <c r="G135" t="s">
        <v>16</v>
      </c>
      <c r="J135" t="str">
        <f>"02/11/2013 23:45"</f>
        <v>02/11/2013 23:45</v>
      </c>
    </row>
    <row r="136" spans="1:10" x14ac:dyDescent="0.3">
      <c r="A136" t="s">
        <v>6</v>
      </c>
      <c r="B136" t="str">
        <f>"02/12/2013 00:00"</f>
        <v>02/12/2013 00:00</v>
      </c>
      <c r="C136">
        <v>72</v>
      </c>
      <c r="D136" t="s">
        <v>7</v>
      </c>
      <c r="E136" s="2" t="s">
        <v>12</v>
      </c>
      <c r="F136">
        <f t="shared" si="2"/>
        <v>142.77600000000001</v>
      </c>
      <c r="G136" t="s">
        <v>16</v>
      </c>
      <c r="J136" t="str">
        <f>"02/12/2013 23:45"</f>
        <v>02/12/2013 23:45</v>
      </c>
    </row>
    <row r="137" spans="1:10" x14ac:dyDescent="0.3">
      <c r="A137" t="s">
        <v>6</v>
      </c>
      <c r="B137" t="str">
        <f>"02/13/2013 00:00"</f>
        <v>02/13/2013 00:00</v>
      </c>
      <c r="C137">
        <v>71.3</v>
      </c>
      <c r="D137" t="s">
        <v>7</v>
      </c>
      <c r="E137" s="2" t="s">
        <v>12</v>
      </c>
      <c r="F137">
        <f t="shared" si="2"/>
        <v>141.3879</v>
      </c>
      <c r="G137" t="s">
        <v>16</v>
      </c>
      <c r="J137" t="str">
        <f>"02/13/2013 23:45"</f>
        <v>02/13/2013 23:45</v>
      </c>
    </row>
    <row r="138" spans="1:10" x14ac:dyDescent="0.3">
      <c r="A138" t="s">
        <v>6</v>
      </c>
      <c r="B138" t="str">
        <f>"02/14/2013 00:00"</f>
        <v>02/14/2013 00:00</v>
      </c>
      <c r="C138">
        <v>73.400000000000006</v>
      </c>
      <c r="D138" t="s">
        <v>7</v>
      </c>
      <c r="E138" s="2" t="s">
        <v>12</v>
      </c>
      <c r="F138">
        <f t="shared" si="2"/>
        <v>145.55220000000003</v>
      </c>
      <c r="G138" t="s">
        <v>16</v>
      </c>
      <c r="J138" t="str">
        <f>"02/14/2013 23:45"</f>
        <v>02/14/2013 23:45</v>
      </c>
    </row>
    <row r="139" spans="1:10" x14ac:dyDescent="0.3">
      <c r="A139" t="s">
        <v>6</v>
      </c>
      <c r="B139" t="str">
        <f>"02/15/2013 00:00"</f>
        <v>02/15/2013 00:00</v>
      </c>
      <c r="C139">
        <v>73.900000000000006</v>
      </c>
      <c r="D139" t="s">
        <v>7</v>
      </c>
      <c r="E139" s="2" t="s">
        <v>12</v>
      </c>
      <c r="F139">
        <f t="shared" si="2"/>
        <v>146.54370000000003</v>
      </c>
      <c r="G139" t="s">
        <v>16</v>
      </c>
      <c r="J139" t="str">
        <f>"02/15/2013 23:45"</f>
        <v>02/15/2013 23:45</v>
      </c>
    </row>
    <row r="140" spans="1:10" x14ac:dyDescent="0.3">
      <c r="A140" t="s">
        <v>6</v>
      </c>
      <c r="B140" t="str">
        <f>"02/16/2013 00:00"</f>
        <v>02/16/2013 00:00</v>
      </c>
      <c r="C140">
        <v>73.400000000000006</v>
      </c>
      <c r="D140" t="s">
        <v>7</v>
      </c>
      <c r="E140" s="2" t="s">
        <v>12</v>
      </c>
      <c r="F140">
        <f t="shared" si="2"/>
        <v>145.55220000000003</v>
      </c>
      <c r="G140" t="s">
        <v>16</v>
      </c>
      <c r="J140" t="str">
        <f>"02/16/2013 23:45"</f>
        <v>02/16/2013 23:45</v>
      </c>
    </row>
    <row r="141" spans="1:10" x14ac:dyDescent="0.3">
      <c r="A141" t="s">
        <v>6</v>
      </c>
      <c r="B141" t="str">
        <f>"02/17/2013 00:00"</f>
        <v>02/17/2013 00:00</v>
      </c>
      <c r="C141">
        <v>73.099999999999994</v>
      </c>
      <c r="D141" t="s">
        <v>7</v>
      </c>
      <c r="E141" s="2" t="s">
        <v>12</v>
      </c>
      <c r="F141">
        <f t="shared" si="2"/>
        <v>144.9573</v>
      </c>
      <c r="G141" t="s">
        <v>16</v>
      </c>
      <c r="J141" t="str">
        <f>"02/17/2013 23:45"</f>
        <v>02/17/2013 23:45</v>
      </c>
    </row>
    <row r="142" spans="1:10" x14ac:dyDescent="0.3">
      <c r="A142" t="s">
        <v>6</v>
      </c>
      <c r="B142" t="str">
        <f>"02/18/2013 00:00"</f>
        <v>02/18/2013 00:00</v>
      </c>
      <c r="C142">
        <v>73.3</v>
      </c>
      <c r="D142" t="s">
        <v>7</v>
      </c>
      <c r="E142" s="2" t="s">
        <v>12</v>
      </c>
      <c r="F142">
        <f t="shared" si="2"/>
        <v>145.35390000000001</v>
      </c>
      <c r="G142" t="s">
        <v>16</v>
      </c>
      <c r="J142" t="str">
        <f>"02/18/2013 23:45"</f>
        <v>02/18/2013 23:45</v>
      </c>
    </row>
    <row r="143" spans="1:10" x14ac:dyDescent="0.3">
      <c r="A143" t="s">
        <v>6</v>
      </c>
      <c r="B143" t="str">
        <f>"02/19/2013 00:00"</f>
        <v>02/19/2013 00:00</v>
      </c>
      <c r="C143">
        <v>73.099999999999994</v>
      </c>
      <c r="D143" t="s">
        <v>7</v>
      </c>
      <c r="E143" s="2" t="s">
        <v>12</v>
      </c>
      <c r="F143">
        <f t="shared" si="2"/>
        <v>144.9573</v>
      </c>
      <c r="G143" t="s">
        <v>16</v>
      </c>
      <c r="J143" t="str">
        <f>"02/19/2013 23:45"</f>
        <v>02/19/2013 23:45</v>
      </c>
    </row>
    <row r="144" spans="1:10" x14ac:dyDescent="0.3">
      <c r="A144" t="s">
        <v>6</v>
      </c>
      <c r="B144" t="str">
        <f>"02/20/2013 00:00"</f>
        <v>02/20/2013 00:00</v>
      </c>
      <c r="C144">
        <v>71.3</v>
      </c>
      <c r="D144" t="s">
        <v>7</v>
      </c>
      <c r="E144" s="2" t="s">
        <v>12</v>
      </c>
      <c r="F144">
        <f t="shared" si="2"/>
        <v>141.3879</v>
      </c>
      <c r="G144" t="s">
        <v>16</v>
      </c>
      <c r="J144" t="str">
        <f>"02/20/2013 23:45"</f>
        <v>02/20/2013 23:45</v>
      </c>
    </row>
    <row r="145" spans="1:10" x14ac:dyDescent="0.3">
      <c r="A145" t="s">
        <v>6</v>
      </c>
      <c r="B145" t="str">
        <f>"02/21/2013 00:00"</f>
        <v>02/21/2013 00:00</v>
      </c>
      <c r="C145">
        <v>68.8</v>
      </c>
      <c r="D145" t="s">
        <v>7</v>
      </c>
      <c r="E145" s="2" t="s">
        <v>12</v>
      </c>
      <c r="F145">
        <f t="shared" si="2"/>
        <v>136.43039999999999</v>
      </c>
      <c r="G145" t="s">
        <v>16</v>
      </c>
      <c r="J145" t="str">
        <f>"02/21/2013 23:45"</f>
        <v>02/21/2013 23:45</v>
      </c>
    </row>
    <row r="146" spans="1:10" x14ac:dyDescent="0.3">
      <c r="A146" t="s">
        <v>6</v>
      </c>
      <c r="B146" t="str">
        <f>"02/22/2013 00:00"</f>
        <v>02/22/2013 00:00</v>
      </c>
      <c r="C146">
        <v>68.900000000000006</v>
      </c>
      <c r="D146" t="s">
        <v>7</v>
      </c>
      <c r="E146" s="2" t="s">
        <v>12</v>
      </c>
      <c r="F146">
        <f t="shared" si="2"/>
        <v>136.62870000000001</v>
      </c>
      <c r="G146" t="s">
        <v>16</v>
      </c>
      <c r="J146" t="str">
        <f>"02/22/2013 23:45"</f>
        <v>02/22/2013 23:45</v>
      </c>
    </row>
    <row r="147" spans="1:10" x14ac:dyDescent="0.3">
      <c r="A147" t="s">
        <v>6</v>
      </c>
      <c r="B147" t="str">
        <f>"02/23/2013 00:00"</f>
        <v>02/23/2013 00:00</v>
      </c>
      <c r="C147">
        <v>68.5</v>
      </c>
      <c r="D147" t="s">
        <v>7</v>
      </c>
      <c r="E147" s="2" t="s">
        <v>12</v>
      </c>
      <c r="F147">
        <f t="shared" si="2"/>
        <v>135.8355</v>
      </c>
      <c r="G147" t="s">
        <v>16</v>
      </c>
      <c r="J147" t="str">
        <f>"02/23/2013 23:45"</f>
        <v>02/23/2013 23:45</v>
      </c>
    </row>
    <row r="148" spans="1:10" x14ac:dyDescent="0.3">
      <c r="A148" t="s">
        <v>6</v>
      </c>
      <c r="B148" t="str">
        <f>"02/24/2013 00:00"</f>
        <v>02/24/2013 00:00</v>
      </c>
      <c r="C148">
        <v>68.599999999999994</v>
      </c>
      <c r="D148" t="s">
        <v>7</v>
      </c>
      <c r="E148" s="2" t="s">
        <v>12</v>
      </c>
      <c r="F148">
        <f t="shared" si="2"/>
        <v>136.03379999999999</v>
      </c>
      <c r="G148" t="s">
        <v>16</v>
      </c>
      <c r="J148" t="str">
        <f>"02/24/2013 23:45"</f>
        <v>02/24/2013 23:45</v>
      </c>
    </row>
    <row r="149" spans="1:10" x14ac:dyDescent="0.3">
      <c r="A149" t="s">
        <v>6</v>
      </c>
      <c r="B149" t="str">
        <f>"02/25/2013 00:00"</f>
        <v>02/25/2013 00:00</v>
      </c>
      <c r="C149">
        <v>69</v>
      </c>
      <c r="D149" t="s">
        <v>7</v>
      </c>
      <c r="E149" s="2" t="s">
        <v>12</v>
      </c>
      <c r="F149">
        <f t="shared" si="2"/>
        <v>136.827</v>
      </c>
      <c r="G149" t="s">
        <v>16</v>
      </c>
      <c r="J149" t="str">
        <f>"02/25/2013 23:45"</f>
        <v>02/25/2013 23:45</v>
      </c>
    </row>
    <row r="150" spans="1:10" x14ac:dyDescent="0.3">
      <c r="A150" t="s">
        <v>6</v>
      </c>
      <c r="B150" t="str">
        <f>"02/26/2013 00:00"</f>
        <v>02/26/2013 00:00</v>
      </c>
      <c r="C150">
        <v>65.900000000000006</v>
      </c>
      <c r="D150" t="s">
        <v>7</v>
      </c>
      <c r="E150" s="2" t="s">
        <v>12</v>
      </c>
      <c r="F150">
        <f t="shared" si="2"/>
        <v>130.67970000000003</v>
      </c>
      <c r="G150" t="s">
        <v>16</v>
      </c>
      <c r="J150" t="str">
        <f>"02/26/2013 23:45"</f>
        <v>02/26/2013 23:45</v>
      </c>
    </row>
    <row r="151" spans="1:10" x14ac:dyDescent="0.3">
      <c r="A151" t="s">
        <v>6</v>
      </c>
      <c r="B151" t="str">
        <f>"02/27/2013 00:00"</f>
        <v>02/27/2013 00:00</v>
      </c>
      <c r="C151">
        <v>64.400000000000006</v>
      </c>
      <c r="D151" t="s">
        <v>7</v>
      </c>
      <c r="E151" s="2" t="s">
        <v>12</v>
      </c>
      <c r="F151">
        <f t="shared" si="2"/>
        <v>127.70520000000002</v>
      </c>
      <c r="G151" t="s">
        <v>16</v>
      </c>
      <c r="J151" t="str">
        <f>"02/27/2013 23:45"</f>
        <v>02/27/2013 23:45</v>
      </c>
    </row>
    <row r="152" spans="1:10" x14ac:dyDescent="0.3">
      <c r="A152" t="s">
        <v>6</v>
      </c>
      <c r="B152" t="str">
        <f>"02/28/2013 00:00"</f>
        <v>02/28/2013 00:00</v>
      </c>
      <c r="C152">
        <v>63.9</v>
      </c>
      <c r="D152" t="s">
        <v>7</v>
      </c>
      <c r="E152" s="2" t="s">
        <v>12</v>
      </c>
      <c r="F152">
        <f t="shared" si="2"/>
        <v>126.7137</v>
      </c>
      <c r="G152" t="s">
        <v>16</v>
      </c>
      <c r="J152" t="str">
        <f>"02/28/2013 23:45"</f>
        <v>02/28/2013 23:45</v>
      </c>
    </row>
    <row r="153" spans="1:10" x14ac:dyDescent="0.3">
      <c r="A153" t="s">
        <v>6</v>
      </c>
      <c r="B153" t="str">
        <f>"03/01/2013 00:00"</f>
        <v>03/01/2013 00:00</v>
      </c>
      <c r="C153">
        <v>64</v>
      </c>
      <c r="D153" t="s">
        <v>7</v>
      </c>
      <c r="E153" s="2" t="s">
        <v>12</v>
      </c>
      <c r="F153">
        <f t="shared" si="2"/>
        <v>126.91200000000001</v>
      </c>
      <c r="G153" t="s">
        <v>16</v>
      </c>
      <c r="J153" t="str">
        <f>"03/01/2013 23:45"</f>
        <v>03/01/2013 23:45</v>
      </c>
    </row>
    <row r="154" spans="1:10" x14ac:dyDescent="0.3">
      <c r="A154" t="s">
        <v>6</v>
      </c>
      <c r="B154" t="str">
        <f>"03/02/2013 00:00"</f>
        <v>03/02/2013 00:00</v>
      </c>
      <c r="C154">
        <v>63.9</v>
      </c>
      <c r="D154" t="s">
        <v>7</v>
      </c>
      <c r="E154" s="2" t="s">
        <v>12</v>
      </c>
      <c r="F154">
        <f t="shared" si="2"/>
        <v>126.7137</v>
      </c>
      <c r="G154" t="s">
        <v>16</v>
      </c>
      <c r="J154" t="str">
        <f>"03/02/2013 23:45"</f>
        <v>03/02/2013 23:45</v>
      </c>
    </row>
    <row r="155" spans="1:10" x14ac:dyDescent="0.3">
      <c r="A155" t="s">
        <v>6</v>
      </c>
      <c r="B155" t="str">
        <f>"03/03/2013 00:00"</f>
        <v>03/03/2013 00:00</v>
      </c>
      <c r="C155">
        <v>63.9</v>
      </c>
      <c r="D155" t="s">
        <v>7</v>
      </c>
      <c r="E155" s="2" t="s">
        <v>12</v>
      </c>
      <c r="F155">
        <f t="shared" si="2"/>
        <v>126.7137</v>
      </c>
      <c r="G155" t="s">
        <v>16</v>
      </c>
      <c r="J155" t="str">
        <f>"03/03/2013 23:45"</f>
        <v>03/03/2013 23:45</v>
      </c>
    </row>
    <row r="156" spans="1:10" x14ac:dyDescent="0.3">
      <c r="A156" t="s">
        <v>6</v>
      </c>
      <c r="B156" t="str">
        <f>"03/04/2013 00:00"</f>
        <v>03/04/2013 00:00</v>
      </c>
      <c r="C156">
        <v>64.099999999999994</v>
      </c>
      <c r="D156" t="s">
        <v>7</v>
      </c>
      <c r="E156" s="2" t="s">
        <v>12</v>
      </c>
      <c r="F156">
        <f t="shared" si="2"/>
        <v>127.1103</v>
      </c>
      <c r="G156" t="s">
        <v>16</v>
      </c>
      <c r="J156" t="str">
        <f>"03/04/2013 23:45"</f>
        <v>03/04/2013 23:45</v>
      </c>
    </row>
    <row r="157" spans="1:10" x14ac:dyDescent="0.3">
      <c r="A157" t="s">
        <v>6</v>
      </c>
      <c r="B157" t="str">
        <f>"03/05/2013 00:00"</f>
        <v>03/05/2013 00:00</v>
      </c>
      <c r="C157">
        <v>64.2</v>
      </c>
      <c r="D157" t="s">
        <v>7</v>
      </c>
      <c r="E157" s="2" t="s">
        <v>12</v>
      </c>
      <c r="F157">
        <f t="shared" si="2"/>
        <v>127.30860000000001</v>
      </c>
      <c r="G157" t="s">
        <v>16</v>
      </c>
      <c r="J157" t="str">
        <f>"03/05/2013 23:45"</f>
        <v>03/05/2013 23:45</v>
      </c>
    </row>
    <row r="158" spans="1:10" x14ac:dyDescent="0.3">
      <c r="A158" t="s">
        <v>6</v>
      </c>
      <c r="B158" t="str">
        <f>"03/06/2013 00:00"</f>
        <v>03/06/2013 00:00</v>
      </c>
      <c r="C158">
        <v>64</v>
      </c>
      <c r="D158" t="s">
        <v>7</v>
      </c>
      <c r="E158" s="2" t="s">
        <v>12</v>
      </c>
      <c r="F158">
        <f t="shared" si="2"/>
        <v>126.91200000000001</v>
      </c>
      <c r="G158" t="s">
        <v>16</v>
      </c>
      <c r="J158" t="str">
        <f>"03/06/2013 23:45"</f>
        <v>03/06/2013 23:45</v>
      </c>
    </row>
    <row r="159" spans="1:10" x14ac:dyDescent="0.3">
      <c r="A159" t="s">
        <v>6</v>
      </c>
      <c r="B159" t="str">
        <f>"03/07/2013 00:00"</f>
        <v>03/07/2013 00:00</v>
      </c>
      <c r="C159">
        <v>64.099999999999994</v>
      </c>
      <c r="D159" t="s">
        <v>7</v>
      </c>
      <c r="E159" s="2" t="s">
        <v>12</v>
      </c>
      <c r="F159">
        <f t="shared" si="2"/>
        <v>127.1103</v>
      </c>
      <c r="G159" t="s">
        <v>16</v>
      </c>
      <c r="J159" t="str">
        <f>"03/07/2013 23:45"</f>
        <v>03/07/2013 23:45</v>
      </c>
    </row>
    <row r="160" spans="1:10" x14ac:dyDescent="0.3">
      <c r="A160" t="s">
        <v>6</v>
      </c>
      <c r="B160" t="str">
        <f>"03/08/2013 00:00"</f>
        <v>03/08/2013 00:00</v>
      </c>
      <c r="C160">
        <v>64.099999999999994</v>
      </c>
      <c r="D160" t="s">
        <v>7</v>
      </c>
      <c r="E160" s="2" t="s">
        <v>12</v>
      </c>
      <c r="F160">
        <f t="shared" si="2"/>
        <v>127.1103</v>
      </c>
      <c r="G160" t="s">
        <v>16</v>
      </c>
      <c r="J160" t="str">
        <f>"03/08/2013 23:45"</f>
        <v>03/08/2013 23:45</v>
      </c>
    </row>
    <row r="161" spans="1:10" x14ac:dyDescent="0.3">
      <c r="A161" t="s">
        <v>6</v>
      </c>
      <c r="B161" t="str">
        <f>"03/09/2013 00:00"</f>
        <v>03/09/2013 00:00</v>
      </c>
      <c r="C161">
        <v>62.8</v>
      </c>
      <c r="D161" t="s">
        <v>7</v>
      </c>
      <c r="E161" s="2" t="s">
        <v>12</v>
      </c>
      <c r="F161">
        <f t="shared" si="2"/>
        <v>124.5324</v>
      </c>
      <c r="G161" t="s">
        <v>16</v>
      </c>
      <c r="J161" t="str">
        <f>"03/09/2013 23:45"</f>
        <v>03/09/2013 23:45</v>
      </c>
    </row>
    <row r="162" spans="1:10" x14ac:dyDescent="0.3">
      <c r="A162" t="s">
        <v>6</v>
      </c>
      <c r="B162" t="str">
        <f>"03/10/2013 00:00"</f>
        <v>03/10/2013 00:00</v>
      </c>
      <c r="C162">
        <v>60.9</v>
      </c>
      <c r="D162" t="s">
        <v>7</v>
      </c>
      <c r="E162" s="2" t="s">
        <v>12</v>
      </c>
      <c r="F162">
        <f t="shared" si="2"/>
        <v>120.7647</v>
      </c>
      <c r="G162" t="s">
        <v>16</v>
      </c>
      <c r="J162" t="str">
        <f>"03/10/2013 23:45"</f>
        <v>03/10/2013 23:45</v>
      </c>
    </row>
    <row r="163" spans="1:10" x14ac:dyDescent="0.3">
      <c r="A163" t="s">
        <v>6</v>
      </c>
      <c r="B163" t="str">
        <f>"03/11/2013 00:00"</f>
        <v>03/11/2013 00:00</v>
      </c>
      <c r="C163">
        <v>60.7</v>
      </c>
      <c r="D163" t="s">
        <v>7</v>
      </c>
      <c r="E163" s="2" t="s">
        <v>12</v>
      </c>
      <c r="F163">
        <f t="shared" si="2"/>
        <v>120.36810000000001</v>
      </c>
      <c r="G163" t="s">
        <v>16</v>
      </c>
      <c r="J163" t="str">
        <f>"03/11/2013 23:45"</f>
        <v>03/11/2013 23:45</v>
      </c>
    </row>
    <row r="164" spans="1:10" x14ac:dyDescent="0.3">
      <c r="A164" t="s">
        <v>6</v>
      </c>
      <c r="B164" t="str">
        <f>"03/12/2013 00:00"</f>
        <v>03/12/2013 00:00</v>
      </c>
      <c r="C164">
        <v>60.5</v>
      </c>
      <c r="D164" t="s">
        <v>7</v>
      </c>
      <c r="E164" s="2" t="s">
        <v>12</v>
      </c>
      <c r="F164">
        <f t="shared" si="2"/>
        <v>119.97150000000001</v>
      </c>
      <c r="G164" t="s">
        <v>16</v>
      </c>
      <c r="J164" t="str">
        <f>"03/12/2013 23:45"</f>
        <v>03/12/2013 23:45</v>
      </c>
    </row>
    <row r="165" spans="1:10" x14ac:dyDescent="0.3">
      <c r="A165" t="s">
        <v>6</v>
      </c>
      <c r="B165" t="str">
        <f>"03/13/2013 00:00"</f>
        <v>03/13/2013 00:00</v>
      </c>
      <c r="C165">
        <v>60.7</v>
      </c>
      <c r="D165" t="s">
        <v>7</v>
      </c>
      <c r="E165" s="2" t="s">
        <v>12</v>
      </c>
      <c r="F165">
        <f t="shared" si="2"/>
        <v>120.36810000000001</v>
      </c>
      <c r="G165" t="s">
        <v>16</v>
      </c>
      <c r="J165" t="str">
        <f>"03/13/2013 23:45"</f>
        <v>03/13/2013 23:45</v>
      </c>
    </row>
    <row r="166" spans="1:10" x14ac:dyDescent="0.3">
      <c r="A166" t="s">
        <v>6</v>
      </c>
      <c r="B166" t="str">
        <f>"03/14/2013 00:00"</f>
        <v>03/14/2013 00:00</v>
      </c>
      <c r="C166">
        <v>60.9</v>
      </c>
      <c r="D166" t="s">
        <v>7</v>
      </c>
      <c r="E166" s="2" t="s">
        <v>12</v>
      </c>
      <c r="F166">
        <f t="shared" si="2"/>
        <v>120.7647</v>
      </c>
      <c r="G166" t="s">
        <v>16</v>
      </c>
      <c r="J166" t="str">
        <f>"03/14/2013 23:45"</f>
        <v>03/14/2013 23:45</v>
      </c>
    </row>
    <row r="167" spans="1:10" x14ac:dyDescent="0.3">
      <c r="A167" t="s">
        <v>6</v>
      </c>
      <c r="B167" t="str">
        <f>"03/15/2013 00:00"</f>
        <v>03/15/2013 00:00</v>
      </c>
      <c r="C167">
        <v>60.7</v>
      </c>
      <c r="D167" t="s">
        <v>7</v>
      </c>
      <c r="E167" s="2" t="s">
        <v>12</v>
      </c>
      <c r="F167">
        <f t="shared" si="2"/>
        <v>120.36810000000001</v>
      </c>
      <c r="G167" t="s">
        <v>16</v>
      </c>
      <c r="J167" t="str">
        <f>"03/15/2013 23:45"</f>
        <v>03/15/2013 23:45</v>
      </c>
    </row>
    <row r="168" spans="1:10" x14ac:dyDescent="0.3">
      <c r="A168" t="s">
        <v>6</v>
      </c>
      <c r="B168" t="str">
        <f>"03/16/2013 00:00"</f>
        <v>03/16/2013 00:00</v>
      </c>
      <c r="C168">
        <v>60.7</v>
      </c>
      <c r="D168" t="s">
        <v>7</v>
      </c>
      <c r="E168" s="2" t="s">
        <v>12</v>
      </c>
      <c r="F168">
        <f t="shared" si="2"/>
        <v>120.36810000000001</v>
      </c>
      <c r="G168" t="s">
        <v>16</v>
      </c>
      <c r="J168" t="str">
        <f>"03/16/2013 23:45"</f>
        <v>03/16/2013 23:45</v>
      </c>
    </row>
    <row r="169" spans="1:10" x14ac:dyDescent="0.3">
      <c r="A169" t="s">
        <v>6</v>
      </c>
      <c r="B169" t="str">
        <f>"03/17/2013 00:00"</f>
        <v>03/17/2013 00:00</v>
      </c>
      <c r="C169">
        <v>60.7</v>
      </c>
      <c r="D169" t="s">
        <v>7</v>
      </c>
      <c r="E169" s="2" t="s">
        <v>12</v>
      </c>
      <c r="F169">
        <f t="shared" si="2"/>
        <v>120.36810000000001</v>
      </c>
      <c r="G169" t="s">
        <v>16</v>
      </c>
      <c r="J169" t="str">
        <f>"03/17/2013 23:45"</f>
        <v>03/17/2013 23:45</v>
      </c>
    </row>
    <row r="170" spans="1:10" x14ac:dyDescent="0.3">
      <c r="A170" t="s">
        <v>6</v>
      </c>
      <c r="B170" t="str">
        <f>"03/18/2013 00:00"</f>
        <v>03/18/2013 00:00</v>
      </c>
      <c r="C170">
        <v>60.8</v>
      </c>
      <c r="D170" t="s">
        <v>7</v>
      </c>
      <c r="E170" s="2" t="s">
        <v>12</v>
      </c>
      <c r="F170">
        <f t="shared" si="2"/>
        <v>120.5664</v>
      </c>
      <c r="G170" t="s">
        <v>16</v>
      </c>
      <c r="J170" t="str">
        <f>"03/18/2013 23:45"</f>
        <v>03/18/2013 23:45</v>
      </c>
    </row>
    <row r="171" spans="1:10" x14ac:dyDescent="0.3">
      <c r="A171" t="s">
        <v>6</v>
      </c>
      <c r="B171" t="str">
        <f>"03/19/2013 00:00"</f>
        <v>03/19/2013 00:00</v>
      </c>
      <c r="C171">
        <v>60.7</v>
      </c>
      <c r="D171" t="s">
        <v>7</v>
      </c>
      <c r="E171" s="2" t="s">
        <v>12</v>
      </c>
      <c r="F171">
        <f t="shared" si="2"/>
        <v>120.36810000000001</v>
      </c>
      <c r="G171" t="s">
        <v>16</v>
      </c>
      <c r="J171" t="str">
        <f>"03/19/2013 23:45"</f>
        <v>03/19/2013 23:45</v>
      </c>
    </row>
    <row r="172" spans="1:10" x14ac:dyDescent="0.3">
      <c r="A172" t="s">
        <v>6</v>
      </c>
      <c r="B172" t="str">
        <f>"03/20/2013 00:00"</f>
        <v>03/20/2013 00:00</v>
      </c>
      <c r="C172">
        <v>55.9</v>
      </c>
      <c r="D172" t="s">
        <v>7</v>
      </c>
      <c r="E172" s="2" t="s">
        <v>12</v>
      </c>
      <c r="F172">
        <f t="shared" si="2"/>
        <v>110.8497</v>
      </c>
      <c r="G172" t="s">
        <v>16</v>
      </c>
      <c r="J172" t="str">
        <f>"03/20/2013 23:45"</f>
        <v>03/20/2013 23:45</v>
      </c>
    </row>
    <row r="173" spans="1:10" x14ac:dyDescent="0.3">
      <c r="A173" t="s">
        <v>6</v>
      </c>
      <c r="B173" t="str">
        <f>"03/21/2013 00:00"</f>
        <v>03/21/2013 00:00</v>
      </c>
      <c r="C173">
        <v>48.8</v>
      </c>
      <c r="D173" t="s">
        <v>7</v>
      </c>
      <c r="E173" s="2" t="s">
        <v>12</v>
      </c>
      <c r="F173">
        <f t="shared" si="2"/>
        <v>96.770399999999995</v>
      </c>
      <c r="G173" t="s">
        <v>16</v>
      </c>
      <c r="J173" t="str">
        <f>"03/21/2013 23:45"</f>
        <v>03/21/2013 23:45</v>
      </c>
    </row>
    <row r="174" spans="1:10" x14ac:dyDescent="0.3">
      <c r="A174" t="s">
        <v>6</v>
      </c>
      <c r="B174" t="str">
        <f>"03/22/2013 00:00"</f>
        <v>03/22/2013 00:00</v>
      </c>
      <c r="C174">
        <v>46.4</v>
      </c>
      <c r="D174" t="s">
        <v>7</v>
      </c>
      <c r="E174" s="2" t="s">
        <v>12</v>
      </c>
      <c r="F174">
        <f t="shared" si="2"/>
        <v>92.011200000000002</v>
      </c>
      <c r="G174" t="s">
        <v>16</v>
      </c>
      <c r="J174" t="str">
        <f>"03/22/2013 23:45"</f>
        <v>03/22/2013 23:45</v>
      </c>
    </row>
    <row r="175" spans="1:10" x14ac:dyDescent="0.3">
      <c r="A175" t="s">
        <v>6</v>
      </c>
      <c r="B175" t="str">
        <f>"03/23/2013 00:00"</f>
        <v>03/23/2013 00:00</v>
      </c>
      <c r="C175">
        <v>47.1</v>
      </c>
      <c r="D175" t="s">
        <v>7</v>
      </c>
      <c r="E175" s="2" t="s">
        <v>12</v>
      </c>
      <c r="F175">
        <f t="shared" si="2"/>
        <v>93.399300000000011</v>
      </c>
      <c r="G175" t="s">
        <v>16</v>
      </c>
      <c r="J175" t="str">
        <f>"03/23/2013 23:45"</f>
        <v>03/23/2013 23:45</v>
      </c>
    </row>
    <row r="176" spans="1:10" x14ac:dyDescent="0.3">
      <c r="A176" t="s">
        <v>6</v>
      </c>
      <c r="B176" t="str">
        <f>"03/24/2013 00:00"</f>
        <v>03/24/2013 00:00</v>
      </c>
      <c r="C176">
        <v>47.1</v>
      </c>
      <c r="D176" t="s">
        <v>7</v>
      </c>
      <c r="E176" s="2" t="s">
        <v>12</v>
      </c>
      <c r="F176">
        <f t="shared" si="2"/>
        <v>93.399300000000011</v>
      </c>
      <c r="G176" t="s">
        <v>16</v>
      </c>
      <c r="J176" t="str">
        <f>"03/24/2013 23:45"</f>
        <v>03/24/2013 23:45</v>
      </c>
    </row>
    <row r="177" spans="1:10" x14ac:dyDescent="0.3">
      <c r="A177" t="s">
        <v>6</v>
      </c>
      <c r="B177" t="str">
        <f>"03/25/2013 00:00"</f>
        <v>03/25/2013 00:00</v>
      </c>
      <c r="C177">
        <v>47.1</v>
      </c>
      <c r="D177" t="s">
        <v>7</v>
      </c>
      <c r="E177" s="2" t="s">
        <v>12</v>
      </c>
      <c r="F177">
        <f t="shared" si="2"/>
        <v>93.399300000000011</v>
      </c>
      <c r="G177" t="s">
        <v>16</v>
      </c>
      <c r="J177" t="str">
        <f>"03/25/2013 23:45"</f>
        <v>03/25/2013 23:45</v>
      </c>
    </row>
    <row r="178" spans="1:10" x14ac:dyDescent="0.3">
      <c r="A178" t="s">
        <v>6</v>
      </c>
      <c r="B178" t="str">
        <f>"03/26/2013 00:00"</f>
        <v>03/26/2013 00:00</v>
      </c>
      <c r="C178">
        <v>52</v>
      </c>
      <c r="D178" t="s">
        <v>7</v>
      </c>
      <c r="E178" s="2" t="s">
        <v>12</v>
      </c>
      <c r="F178">
        <f t="shared" si="2"/>
        <v>103.116</v>
      </c>
      <c r="G178" t="s">
        <v>16</v>
      </c>
      <c r="J178" t="str">
        <f>"03/26/2013 23:45"</f>
        <v>03/26/2013 23:45</v>
      </c>
    </row>
    <row r="179" spans="1:10" x14ac:dyDescent="0.3">
      <c r="A179" t="s">
        <v>6</v>
      </c>
      <c r="B179" t="str">
        <f>"03/27/2013 00:00"</f>
        <v>03/27/2013 00:00</v>
      </c>
      <c r="C179">
        <v>55.5</v>
      </c>
      <c r="D179" t="s">
        <v>7</v>
      </c>
      <c r="E179" s="2" t="s">
        <v>12</v>
      </c>
      <c r="F179">
        <f t="shared" si="2"/>
        <v>110.0565</v>
      </c>
      <c r="G179" t="s">
        <v>16</v>
      </c>
      <c r="J179" t="str">
        <f>"03/27/2013 23:45"</f>
        <v>03/27/2013 23:45</v>
      </c>
    </row>
    <row r="180" spans="1:10" x14ac:dyDescent="0.3">
      <c r="A180" t="s">
        <v>6</v>
      </c>
      <c r="B180" t="str">
        <f>"03/28/2013 00:00"</f>
        <v>03/28/2013 00:00</v>
      </c>
      <c r="C180">
        <v>65.099999999999994</v>
      </c>
      <c r="D180" t="s">
        <v>7</v>
      </c>
      <c r="E180" s="2" t="s">
        <v>12</v>
      </c>
      <c r="F180">
        <f t="shared" si="2"/>
        <v>129.0933</v>
      </c>
      <c r="G180" t="s">
        <v>16</v>
      </c>
      <c r="J180" t="str">
        <f>"03/28/2013 23:45"</f>
        <v>03/28/2013 23:45</v>
      </c>
    </row>
    <row r="181" spans="1:10" x14ac:dyDescent="0.3">
      <c r="A181" t="s">
        <v>6</v>
      </c>
      <c r="B181" t="str">
        <f>"03/29/2013 00:00"</f>
        <v>03/29/2013 00:00</v>
      </c>
      <c r="C181">
        <v>86.3</v>
      </c>
      <c r="D181" t="s">
        <v>7</v>
      </c>
      <c r="E181" s="2" t="s">
        <v>12</v>
      </c>
      <c r="F181">
        <f t="shared" si="2"/>
        <v>171.13290000000001</v>
      </c>
      <c r="G181" t="s">
        <v>16</v>
      </c>
      <c r="J181" t="str">
        <f>"03/29/2013 23:45"</f>
        <v>03/29/2013 23:45</v>
      </c>
    </row>
    <row r="182" spans="1:10" x14ac:dyDescent="0.3">
      <c r="A182" t="s">
        <v>6</v>
      </c>
      <c r="B182" t="str">
        <f>"03/30/2013 00:00"</f>
        <v>03/30/2013 00:00</v>
      </c>
      <c r="C182">
        <v>100</v>
      </c>
      <c r="D182" t="s">
        <v>7</v>
      </c>
      <c r="E182" s="2" t="s">
        <v>12</v>
      </c>
      <c r="F182">
        <f t="shared" si="2"/>
        <v>198.3</v>
      </c>
      <c r="G182" t="s">
        <v>16</v>
      </c>
      <c r="J182" t="str">
        <f>"03/30/2013 23:45"</f>
        <v>03/30/2013 23:45</v>
      </c>
    </row>
    <row r="183" spans="1:10" x14ac:dyDescent="0.3">
      <c r="A183" t="s">
        <v>6</v>
      </c>
      <c r="B183" t="str">
        <f>"03/31/2013 00:00"</f>
        <v>03/31/2013 00:00</v>
      </c>
      <c r="C183">
        <v>99.2</v>
      </c>
      <c r="D183" t="s">
        <v>7</v>
      </c>
      <c r="E183" s="2" t="s">
        <v>12</v>
      </c>
      <c r="F183">
        <f t="shared" si="2"/>
        <v>196.71360000000001</v>
      </c>
      <c r="G183" t="s">
        <v>16</v>
      </c>
      <c r="J183" t="str">
        <f>"03/31/2013 23:45"</f>
        <v>03/31/2013 23:45</v>
      </c>
    </row>
    <row r="184" spans="1:10" x14ac:dyDescent="0.3">
      <c r="A184" t="s">
        <v>6</v>
      </c>
      <c r="B184" t="str">
        <f>"04/01/2013 00:00"</f>
        <v>04/01/2013 00:00</v>
      </c>
      <c r="C184">
        <v>98.7</v>
      </c>
      <c r="D184" t="s">
        <v>7</v>
      </c>
      <c r="E184" s="2" t="s">
        <v>12</v>
      </c>
      <c r="F184">
        <f t="shared" si="2"/>
        <v>195.72210000000001</v>
      </c>
      <c r="G184" t="s">
        <v>16</v>
      </c>
      <c r="J184" t="str">
        <f>"04/01/2013 23:45"</f>
        <v>04/01/2013 23:45</v>
      </c>
    </row>
    <row r="185" spans="1:10" x14ac:dyDescent="0.3">
      <c r="A185" t="s">
        <v>6</v>
      </c>
      <c r="B185" t="str">
        <f>"04/02/2013 00:00"</f>
        <v>04/02/2013 00:00</v>
      </c>
      <c r="C185">
        <v>98.2</v>
      </c>
      <c r="D185" t="s">
        <v>7</v>
      </c>
      <c r="E185" s="2" t="s">
        <v>12</v>
      </c>
      <c r="F185">
        <f t="shared" si="2"/>
        <v>194.73060000000001</v>
      </c>
      <c r="G185" t="s">
        <v>16</v>
      </c>
      <c r="J185" t="str">
        <f>"04/02/2013 23:45"</f>
        <v>04/02/2013 23:45</v>
      </c>
    </row>
    <row r="186" spans="1:10" x14ac:dyDescent="0.3">
      <c r="A186" t="s">
        <v>6</v>
      </c>
      <c r="B186" t="str">
        <f>"04/03/2013 00:00"</f>
        <v>04/03/2013 00:00</v>
      </c>
      <c r="C186">
        <v>98.6</v>
      </c>
      <c r="D186" t="s">
        <v>7</v>
      </c>
      <c r="E186" s="2" t="s">
        <v>12</v>
      </c>
      <c r="F186">
        <f t="shared" si="2"/>
        <v>195.52379999999999</v>
      </c>
      <c r="G186" t="s">
        <v>16</v>
      </c>
      <c r="J186" t="str">
        <f>"04/03/2013 23:45"</f>
        <v>04/03/2013 23:45</v>
      </c>
    </row>
    <row r="187" spans="1:10" x14ac:dyDescent="0.3">
      <c r="A187" t="s">
        <v>6</v>
      </c>
      <c r="B187" t="str">
        <f>"04/04/2013 00:00"</f>
        <v>04/04/2013 00:00</v>
      </c>
      <c r="C187">
        <v>99.8</v>
      </c>
      <c r="D187" t="s">
        <v>7</v>
      </c>
      <c r="E187" s="2" t="s">
        <v>12</v>
      </c>
      <c r="F187">
        <f t="shared" si="2"/>
        <v>197.9034</v>
      </c>
      <c r="G187" t="s">
        <v>16</v>
      </c>
      <c r="J187" t="str">
        <f>"04/04/2013 23:45"</f>
        <v>04/04/2013 23:45</v>
      </c>
    </row>
    <row r="188" spans="1:10" x14ac:dyDescent="0.3">
      <c r="A188" t="s">
        <v>6</v>
      </c>
      <c r="B188" t="str">
        <f>"04/05/2013 00:00"</f>
        <v>04/05/2013 00:00</v>
      </c>
      <c r="C188">
        <v>101</v>
      </c>
      <c r="D188" t="s">
        <v>7</v>
      </c>
      <c r="E188" s="2" t="s">
        <v>12</v>
      </c>
      <c r="F188">
        <f t="shared" si="2"/>
        <v>200.28300000000002</v>
      </c>
      <c r="G188" t="s">
        <v>16</v>
      </c>
      <c r="J188" t="str">
        <f>"04/05/2013 23:45"</f>
        <v>04/05/2013 23:45</v>
      </c>
    </row>
    <row r="189" spans="1:10" x14ac:dyDescent="0.3">
      <c r="A189" t="s">
        <v>6</v>
      </c>
      <c r="B189" t="str">
        <f>"04/06/2013 00:00"</f>
        <v>04/06/2013 00:00</v>
      </c>
      <c r="C189">
        <v>101</v>
      </c>
      <c r="D189" t="s">
        <v>7</v>
      </c>
      <c r="E189" s="2" t="s">
        <v>12</v>
      </c>
      <c r="F189">
        <f t="shared" si="2"/>
        <v>200.28300000000002</v>
      </c>
      <c r="G189" t="s">
        <v>16</v>
      </c>
      <c r="J189" t="str">
        <f>"04/06/2013 23:45"</f>
        <v>04/06/2013 23:45</v>
      </c>
    </row>
    <row r="190" spans="1:10" x14ac:dyDescent="0.3">
      <c r="A190" t="s">
        <v>6</v>
      </c>
      <c r="B190" t="str">
        <f>"04/07/2013 00:00"</f>
        <v>04/07/2013 00:00</v>
      </c>
      <c r="C190">
        <v>101</v>
      </c>
      <c r="D190" t="s">
        <v>7</v>
      </c>
      <c r="E190" s="2" t="s">
        <v>12</v>
      </c>
      <c r="F190">
        <f t="shared" si="2"/>
        <v>200.28300000000002</v>
      </c>
      <c r="G190" t="s">
        <v>16</v>
      </c>
      <c r="J190" t="str">
        <f>"04/07/2013 23:45"</f>
        <v>04/07/2013 23:45</v>
      </c>
    </row>
    <row r="191" spans="1:10" x14ac:dyDescent="0.3">
      <c r="A191" t="s">
        <v>6</v>
      </c>
      <c r="B191" t="str">
        <f>"04/08/2013 00:00"</f>
        <v>04/08/2013 00:00</v>
      </c>
      <c r="C191">
        <v>101</v>
      </c>
      <c r="D191" t="s">
        <v>7</v>
      </c>
      <c r="E191" s="2" t="s">
        <v>12</v>
      </c>
      <c r="F191">
        <f t="shared" si="2"/>
        <v>200.28300000000002</v>
      </c>
      <c r="G191" t="s">
        <v>16</v>
      </c>
      <c r="J191" t="str">
        <f>"04/08/2013 23:45"</f>
        <v>04/08/2013 23:45</v>
      </c>
    </row>
    <row r="192" spans="1:10" x14ac:dyDescent="0.3">
      <c r="A192" t="s">
        <v>6</v>
      </c>
      <c r="B192" t="str">
        <f>"04/09/2013 00:00"</f>
        <v>04/09/2013 00:00</v>
      </c>
      <c r="C192">
        <v>102</v>
      </c>
      <c r="D192" t="s">
        <v>7</v>
      </c>
      <c r="E192" s="2" t="s">
        <v>12</v>
      </c>
      <c r="F192">
        <f t="shared" si="2"/>
        <v>202.26600000000002</v>
      </c>
      <c r="G192" t="s">
        <v>16</v>
      </c>
      <c r="J192" t="str">
        <f>"04/09/2013 23:45"</f>
        <v>04/09/2013 23:45</v>
      </c>
    </row>
    <row r="193" spans="1:10" x14ac:dyDescent="0.3">
      <c r="A193" t="s">
        <v>6</v>
      </c>
      <c r="B193" t="str">
        <f>"04/10/2013 00:00"</f>
        <v>04/10/2013 00:00</v>
      </c>
      <c r="C193">
        <v>102</v>
      </c>
      <c r="D193" t="s">
        <v>7</v>
      </c>
      <c r="E193" s="2" t="s">
        <v>12</v>
      </c>
      <c r="F193">
        <f t="shared" si="2"/>
        <v>202.26600000000002</v>
      </c>
      <c r="G193" t="s">
        <v>16</v>
      </c>
      <c r="J193" t="str">
        <f>"04/10/2013 23:45"</f>
        <v>04/10/2013 23:45</v>
      </c>
    </row>
    <row r="194" spans="1:10" x14ac:dyDescent="0.3">
      <c r="A194" t="s">
        <v>6</v>
      </c>
      <c r="B194" t="str">
        <f>"04/11/2013 00:00"</f>
        <v>04/11/2013 00:00</v>
      </c>
      <c r="C194">
        <v>101</v>
      </c>
      <c r="D194" t="s">
        <v>7</v>
      </c>
      <c r="E194" s="2" t="s">
        <v>12</v>
      </c>
      <c r="F194">
        <f t="shared" si="2"/>
        <v>200.28300000000002</v>
      </c>
      <c r="G194" t="s">
        <v>16</v>
      </c>
      <c r="J194" t="str">
        <f>"04/11/2013 23:45"</f>
        <v>04/11/2013 23:45</v>
      </c>
    </row>
    <row r="195" spans="1:10" x14ac:dyDescent="0.3">
      <c r="A195" t="s">
        <v>6</v>
      </c>
      <c r="B195" t="str">
        <f>"04/12/2013 00:00"</f>
        <v>04/12/2013 00:00</v>
      </c>
      <c r="C195">
        <v>89</v>
      </c>
      <c r="D195" t="s">
        <v>7</v>
      </c>
      <c r="E195" s="2" t="s">
        <v>12</v>
      </c>
      <c r="F195">
        <f t="shared" ref="F195:F258" si="3">C195*1.983</f>
        <v>176.48699999999999</v>
      </c>
      <c r="G195" t="s">
        <v>16</v>
      </c>
      <c r="J195" t="str">
        <f>"04/12/2013 23:45"</f>
        <v>04/12/2013 23:45</v>
      </c>
    </row>
    <row r="196" spans="1:10" x14ac:dyDescent="0.3">
      <c r="A196" t="s">
        <v>6</v>
      </c>
      <c r="B196" t="str">
        <f>"04/13/2013 00:00"</f>
        <v>04/13/2013 00:00</v>
      </c>
      <c r="C196">
        <v>61.5</v>
      </c>
      <c r="D196" t="s">
        <v>7</v>
      </c>
      <c r="E196" s="2" t="s">
        <v>12</v>
      </c>
      <c r="F196">
        <f t="shared" si="3"/>
        <v>121.95450000000001</v>
      </c>
      <c r="G196" t="s">
        <v>16</v>
      </c>
      <c r="J196" t="str">
        <f>"04/13/2013 23:45"</f>
        <v>04/13/2013 23:45</v>
      </c>
    </row>
    <row r="197" spans="1:10" x14ac:dyDescent="0.3">
      <c r="A197" t="s">
        <v>6</v>
      </c>
      <c r="B197" t="str">
        <f>"04/14/2013 00:00"</f>
        <v>04/14/2013 00:00</v>
      </c>
      <c r="C197">
        <v>51.2</v>
      </c>
      <c r="D197" t="s">
        <v>7</v>
      </c>
      <c r="E197" s="2" t="s">
        <v>12</v>
      </c>
      <c r="F197">
        <f t="shared" si="3"/>
        <v>101.52960000000002</v>
      </c>
      <c r="G197" t="s">
        <v>16</v>
      </c>
      <c r="J197" t="str">
        <f>"04/14/2013 23:45"</f>
        <v>04/14/2013 23:45</v>
      </c>
    </row>
    <row r="198" spans="1:10" x14ac:dyDescent="0.3">
      <c r="A198" t="s">
        <v>6</v>
      </c>
      <c r="B198" t="str">
        <f>"04/15/2013 00:00"</f>
        <v>04/15/2013 00:00</v>
      </c>
      <c r="C198">
        <v>51.3</v>
      </c>
      <c r="D198" t="s">
        <v>7</v>
      </c>
      <c r="E198" s="2" t="s">
        <v>12</v>
      </c>
      <c r="F198">
        <f t="shared" si="3"/>
        <v>101.72790000000001</v>
      </c>
      <c r="G198" t="s">
        <v>16</v>
      </c>
      <c r="J198" t="str">
        <f>"04/15/2013 23:45"</f>
        <v>04/15/2013 23:45</v>
      </c>
    </row>
    <row r="199" spans="1:10" x14ac:dyDescent="0.3">
      <c r="A199" t="s">
        <v>6</v>
      </c>
      <c r="B199" t="str">
        <f>"04/16/2013 00:00"</f>
        <v>04/16/2013 00:00</v>
      </c>
      <c r="C199">
        <v>51.6</v>
      </c>
      <c r="D199" t="s">
        <v>7</v>
      </c>
      <c r="E199" s="2" t="s">
        <v>12</v>
      </c>
      <c r="F199">
        <f t="shared" si="3"/>
        <v>102.3228</v>
      </c>
      <c r="G199" t="s">
        <v>16</v>
      </c>
      <c r="J199" t="str">
        <f>"04/16/2013 23:45"</f>
        <v>04/16/2013 23:45</v>
      </c>
    </row>
    <row r="200" spans="1:10" x14ac:dyDescent="0.3">
      <c r="A200" t="s">
        <v>6</v>
      </c>
      <c r="B200" t="str">
        <f>"04/17/2013 00:00"</f>
        <v>04/17/2013 00:00</v>
      </c>
      <c r="C200">
        <v>52.3</v>
      </c>
      <c r="D200" t="s">
        <v>7</v>
      </c>
      <c r="E200" s="2" t="s">
        <v>12</v>
      </c>
      <c r="F200">
        <f t="shared" si="3"/>
        <v>103.7109</v>
      </c>
      <c r="G200" t="s">
        <v>16</v>
      </c>
      <c r="J200" t="str">
        <f>"04/17/2013 23:45"</f>
        <v>04/17/2013 23:45</v>
      </c>
    </row>
    <row r="201" spans="1:10" x14ac:dyDescent="0.3">
      <c r="A201" t="s">
        <v>6</v>
      </c>
      <c r="B201" t="str">
        <f>"04/18/2013 00:00"</f>
        <v>04/18/2013 00:00</v>
      </c>
      <c r="C201">
        <v>52.3</v>
      </c>
      <c r="D201" t="s">
        <v>7</v>
      </c>
      <c r="E201" s="2" t="s">
        <v>12</v>
      </c>
      <c r="F201">
        <f t="shared" si="3"/>
        <v>103.7109</v>
      </c>
      <c r="G201" t="s">
        <v>16</v>
      </c>
      <c r="J201" t="str">
        <f>"04/18/2013 23:45"</f>
        <v>04/18/2013 23:45</v>
      </c>
    </row>
    <row r="202" spans="1:10" x14ac:dyDescent="0.3">
      <c r="A202" t="s">
        <v>6</v>
      </c>
      <c r="B202" t="str">
        <f>"04/19/2013 00:00"</f>
        <v>04/19/2013 00:00</v>
      </c>
      <c r="C202">
        <v>67.8</v>
      </c>
      <c r="D202" t="s">
        <v>7</v>
      </c>
      <c r="E202" s="2" t="s">
        <v>12</v>
      </c>
      <c r="F202">
        <f t="shared" si="3"/>
        <v>134.44739999999999</v>
      </c>
      <c r="G202" t="s">
        <v>16</v>
      </c>
      <c r="J202" t="str">
        <f>"04/19/2013 23:45"</f>
        <v>04/19/2013 23:45</v>
      </c>
    </row>
    <row r="203" spans="1:10" x14ac:dyDescent="0.3">
      <c r="A203" t="s">
        <v>6</v>
      </c>
      <c r="B203" t="str">
        <f>"04/20/2013 00:00"</f>
        <v>04/20/2013 00:00</v>
      </c>
      <c r="C203">
        <v>78.2</v>
      </c>
      <c r="D203" t="s">
        <v>7</v>
      </c>
      <c r="E203" s="2" t="s">
        <v>12</v>
      </c>
      <c r="F203">
        <f t="shared" si="3"/>
        <v>155.07060000000001</v>
      </c>
      <c r="G203" t="s">
        <v>16</v>
      </c>
      <c r="J203" t="str">
        <f>"04/20/2013 23:45"</f>
        <v>04/20/2013 23:45</v>
      </c>
    </row>
    <row r="204" spans="1:10" x14ac:dyDescent="0.3">
      <c r="A204" t="s">
        <v>6</v>
      </c>
      <c r="B204" t="str">
        <f>"04/21/2013 00:00"</f>
        <v>04/21/2013 00:00</v>
      </c>
      <c r="C204">
        <v>78.2</v>
      </c>
      <c r="D204" t="s">
        <v>7</v>
      </c>
      <c r="E204" s="2" t="s">
        <v>12</v>
      </c>
      <c r="F204">
        <f t="shared" si="3"/>
        <v>155.07060000000001</v>
      </c>
      <c r="G204" t="s">
        <v>16</v>
      </c>
      <c r="J204" t="str">
        <f>"04/21/2013 23:45"</f>
        <v>04/21/2013 23:45</v>
      </c>
    </row>
    <row r="205" spans="1:10" x14ac:dyDescent="0.3">
      <c r="A205" t="s">
        <v>6</v>
      </c>
      <c r="B205" t="str">
        <f>"04/22/2013 00:00"</f>
        <v>04/22/2013 00:00</v>
      </c>
      <c r="C205">
        <v>78</v>
      </c>
      <c r="D205" t="s">
        <v>7</v>
      </c>
      <c r="E205" s="2" t="s">
        <v>12</v>
      </c>
      <c r="F205">
        <f t="shared" si="3"/>
        <v>154.67400000000001</v>
      </c>
      <c r="G205" t="s">
        <v>16</v>
      </c>
      <c r="J205" t="str">
        <f>"04/22/2013 23:45"</f>
        <v>04/22/2013 23:45</v>
      </c>
    </row>
    <row r="206" spans="1:10" x14ac:dyDescent="0.3">
      <c r="A206" t="s">
        <v>6</v>
      </c>
      <c r="B206" t="str">
        <f>"04/23/2013 00:00"</f>
        <v>04/23/2013 00:00</v>
      </c>
      <c r="C206">
        <v>77.2</v>
      </c>
      <c r="D206" t="s">
        <v>7</v>
      </c>
      <c r="E206" s="2" t="s">
        <v>12</v>
      </c>
      <c r="F206">
        <f t="shared" si="3"/>
        <v>153.08760000000001</v>
      </c>
      <c r="G206" t="s">
        <v>16</v>
      </c>
      <c r="J206" t="str">
        <f>"04/23/2013 23:45"</f>
        <v>04/23/2013 23:45</v>
      </c>
    </row>
    <row r="207" spans="1:10" x14ac:dyDescent="0.3">
      <c r="A207" t="s">
        <v>6</v>
      </c>
      <c r="B207" t="str">
        <f>"04/24/2013 00:00"</f>
        <v>04/24/2013 00:00</v>
      </c>
      <c r="C207">
        <v>76.900000000000006</v>
      </c>
      <c r="D207" t="s">
        <v>7</v>
      </c>
      <c r="E207" s="2" t="s">
        <v>12</v>
      </c>
      <c r="F207">
        <f t="shared" si="3"/>
        <v>152.49270000000001</v>
      </c>
      <c r="G207" t="s">
        <v>16</v>
      </c>
      <c r="J207" t="str">
        <f>"04/24/2013 23:45"</f>
        <v>04/24/2013 23:45</v>
      </c>
    </row>
    <row r="208" spans="1:10" x14ac:dyDescent="0.3">
      <c r="A208" t="s">
        <v>6</v>
      </c>
      <c r="B208" t="str">
        <f>"04/25/2013 00:00"</f>
        <v>04/25/2013 00:00</v>
      </c>
      <c r="C208">
        <v>82.7</v>
      </c>
      <c r="D208" t="s">
        <v>7</v>
      </c>
      <c r="E208" s="2" t="s">
        <v>12</v>
      </c>
      <c r="F208">
        <f t="shared" si="3"/>
        <v>163.9941</v>
      </c>
      <c r="G208" t="s">
        <v>16</v>
      </c>
      <c r="J208" t="str">
        <f>"04/25/2013 23:45"</f>
        <v>04/25/2013 23:45</v>
      </c>
    </row>
    <row r="209" spans="1:10" x14ac:dyDescent="0.3">
      <c r="A209" t="s">
        <v>6</v>
      </c>
      <c r="B209" t="str">
        <f>"04/26/2013 00:00"</f>
        <v>04/26/2013 00:00</v>
      </c>
      <c r="C209">
        <v>88.5</v>
      </c>
      <c r="D209" t="s">
        <v>7</v>
      </c>
      <c r="E209" s="2" t="s">
        <v>12</v>
      </c>
      <c r="F209">
        <f t="shared" si="3"/>
        <v>175.49550000000002</v>
      </c>
      <c r="G209" t="s">
        <v>16</v>
      </c>
      <c r="J209" t="str">
        <f>"04/26/2013 23:45"</f>
        <v>04/26/2013 23:45</v>
      </c>
    </row>
    <row r="210" spans="1:10" x14ac:dyDescent="0.3">
      <c r="A210" t="s">
        <v>6</v>
      </c>
      <c r="B210" t="str">
        <f>"04/27/2013 00:00"</f>
        <v>04/27/2013 00:00</v>
      </c>
      <c r="C210">
        <v>88.7</v>
      </c>
      <c r="D210" t="s">
        <v>7</v>
      </c>
      <c r="E210" s="2" t="s">
        <v>12</v>
      </c>
      <c r="F210">
        <f t="shared" si="3"/>
        <v>175.89210000000003</v>
      </c>
      <c r="G210" t="s">
        <v>16</v>
      </c>
      <c r="J210" t="str">
        <f>"04/27/2013 23:45"</f>
        <v>04/27/2013 23:45</v>
      </c>
    </row>
    <row r="211" spans="1:10" x14ac:dyDescent="0.3">
      <c r="A211" t="s">
        <v>6</v>
      </c>
      <c r="B211" t="str">
        <f>"04/28/2013 00:00"</f>
        <v>04/28/2013 00:00</v>
      </c>
      <c r="C211">
        <v>89.7</v>
      </c>
      <c r="D211" t="s">
        <v>7</v>
      </c>
      <c r="E211" s="2" t="s">
        <v>12</v>
      </c>
      <c r="F211">
        <f t="shared" si="3"/>
        <v>177.8751</v>
      </c>
      <c r="G211" t="s">
        <v>16</v>
      </c>
      <c r="J211" t="str">
        <f>"04/28/2013 23:45"</f>
        <v>04/28/2013 23:45</v>
      </c>
    </row>
    <row r="212" spans="1:10" x14ac:dyDescent="0.3">
      <c r="A212" t="s">
        <v>6</v>
      </c>
      <c r="B212" t="str">
        <f>"04/29/2013 00:00"</f>
        <v>04/29/2013 00:00</v>
      </c>
      <c r="C212">
        <v>89.8</v>
      </c>
      <c r="D212" t="s">
        <v>7</v>
      </c>
      <c r="E212" s="2" t="s">
        <v>12</v>
      </c>
      <c r="F212">
        <f t="shared" si="3"/>
        <v>178.07339999999999</v>
      </c>
      <c r="G212" t="s">
        <v>16</v>
      </c>
      <c r="J212" t="str">
        <f>"04/29/2013 23:45"</f>
        <v>04/29/2013 23:45</v>
      </c>
    </row>
    <row r="213" spans="1:10" x14ac:dyDescent="0.3">
      <c r="A213" t="s">
        <v>6</v>
      </c>
      <c r="B213" t="str">
        <f>"04/30/2013 00:00"</f>
        <v>04/30/2013 00:00</v>
      </c>
      <c r="C213">
        <v>89.3</v>
      </c>
      <c r="D213" t="s">
        <v>7</v>
      </c>
      <c r="E213" s="2" t="s">
        <v>12</v>
      </c>
      <c r="F213">
        <f t="shared" si="3"/>
        <v>177.08189999999999</v>
      </c>
      <c r="G213" t="s">
        <v>16</v>
      </c>
      <c r="J213" t="str">
        <f>"04/30/2013 23:45"</f>
        <v>04/30/2013 23:45</v>
      </c>
    </row>
    <row r="214" spans="1:10" x14ac:dyDescent="0.3">
      <c r="A214" t="s">
        <v>6</v>
      </c>
      <c r="B214" t="str">
        <f>"05/01/2013 00:00"</f>
        <v>05/01/2013 00:00</v>
      </c>
      <c r="C214">
        <v>90</v>
      </c>
      <c r="D214" t="s">
        <v>7</v>
      </c>
      <c r="E214" s="2" t="s">
        <v>12</v>
      </c>
      <c r="F214">
        <f t="shared" si="3"/>
        <v>178.47</v>
      </c>
      <c r="G214" t="s">
        <v>16</v>
      </c>
      <c r="J214" t="str">
        <f>"05/01/2013 23:45"</f>
        <v>05/01/2013 23:45</v>
      </c>
    </row>
    <row r="215" spans="1:10" x14ac:dyDescent="0.3">
      <c r="A215" t="s">
        <v>6</v>
      </c>
      <c r="B215" t="str">
        <f>"05/02/2013 00:00"</f>
        <v>05/02/2013 00:00</v>
      </c>
      <c r="C215">
        <v>43.7</v>
      </c>
      <c r="D215" t="s">
        <v>7</v>
      </c>
      <c r="E215" s="2" t="s">
        <v>12</v>
      </c>
      <c r="F215">
        <f t="shared" si="3"/>
        <v>86.657100000000014</v>
      </c>
      <c r="G215" t="s">
        <v>16</v>
      </c>
      <c r="J215" t="str">
        <f>"05/02/2013 23:45"</f>
        <v>05/02/2013 23:45</v>
      </c>
    </row>
    <row r="216" spans="1:10" x14ac:dyDescent="0.3">
      <c r="A216" t="s">
        <v>6</v>
      </c>
      <c r="B216" t="str">
        <f>"05/03/2013 00:00"</f>
        <v>05/03/2013 00:00</v>
      </c>
      <c r="C216">
        <v>2.74</v>
      </c>
      <c r="D216" t="s">
        <v>7</v>
      </c>
      <c r="E216" s="2" t="s">
        <v>12</v>
      </c>
      <c r="F216">
        <f t="shared" si="3"/>
        <v>5.4334200000000008</v>
      </c>
      <c r="G216" t="s">
        <v>16</v>
      </c>
      <c r="J216" t="str">
        <f>"05/03/2013 23:45"</f>
        <v>05/03/2013 23:45</v>
      </c>
    </row>
    <row r="217" spans="1:10" x14ac:dyDescent="0.3">
      <c r="A217" t="s">
        <v>6</v>
      </c>
      <c r="B217" t="str">
        <f>"05/04/2013 00:00"</f>
        <v>05/04/2013 00:00</v>
      </c>
      <c r="C217">
        <v>2.23</v>
      </c>
      <c r="D217" t="s">
        <v>7</v>
      </c>
      <c r="E217" s="2" t="s">
        <v>12</v>
      </c>
      <c r="F217">
        <f t="shared" si="3"/>
        <v>4.4220899999999999</v>
      </c>
      <c r="G217" t="s">
        <v>16</v>
      </c>
      <c r="J217" t="str">
        <f>"05/04/2013 23:45"</f>
        <v>05/04/2013 23:45</v>
      </c>
    </row>
    <row r="218" spans="1:10" x14ac:dyDescent="0.3">
      <c r="A218" t="s">
        <v>6</v>
      </c>
      <c r="B218" t="str">
        <f>"05/05/2013 00:00"</f>
        <v>05/05/2013 00:00</v>
      </c>
      <c r="C218">
        <v>2.23</v>
      </c>
      <c r="D218" t="s">
        <v>7</v>
      </c>
      <c r="E218" s="2" t="s">
        <v>12</v>
      </c>
      <c r="F218">
        <f t="shared" si="3"/>
        <v>4.4220899999999999</v>
      </c>
      <c r="G218" t="s">
        <v>16</v>
      </c>
      <c r="J218" t="str">
        <f>"05/05/2013 23:45"</f>
        <v>05/05/2013 23:45</v>
      </c>
    </row>
    <row r="219" spans="1:10" x14ac:dyDescent="0.3">
      <c r="A219" t="s">
        <v>6</v>
      </c>
      <c r="B219" t="str">
        <f>"05/06/2013 00:00"</f>
        <v>05/06/2013 00:00</v>
      </c>
      <c r="C219">
        <v>2.23</v>
      </c>
      <c r="D219" t="s">
        <v>7</v>
      </c>
      <c r="E219" s="2" t="s">
        <v>12</v>
      </c>
      <c r="F219">
        <f t="shared" si="3"/>
        <v>4.4220899999999999</v>
      </c>
      <c r="G219" t="s">
        <v>16</v>
      </c>
      <c r="J219" t="str">
        <f>"05/06/2013 23:45"</f>
        <v>05/06/2013 23:45</v>
      </c>
    </row>
    <row r="220" spans="1:10" x14ac:dyDescent="0.3">
      <c r="A220" t="s">
        <v>6</v>
      </c>
      <c r="B220" t="str">
        <f>"05/07/2013 00:00"</f>
        <v>05/07/2013 00:00</v>
      </c>
      <c r="C220">
        <v>2.23</v>
      </c>
      <c r="D220" t="s">
        <v>7</v>
      </c>
      <c r="E220" s="2" t="s">
        <v>12</v>
      </c>
      <c r="F220">
        <f t="shared" si="3"/>
        <v>4.4220899999999999</v>
      </c>
      <c r="G220" t="s">
        <v>16</v>
      </c>
      <c r="J220" t="str">
        <f>"05/07/2013 23:45"</f>
        <v>05/07/2013 23:45</v>
      </c>
    </row>
    <row r="221" spans="1:10" x14ac:dyDescent="0.3">
      <c r="A221" t="s">
        <v>6</v>
      </c>
      <c r="B221" t="str">
        <f>"05/08/2013 00:00"</f>
        <v>05/08/2013 00:00</v>
      </c>
      <c r="C221">
        <v>2.23</v>
      </c>
      <c r="D221" t="s">
        <v>7</v>
      </c>
      <c r="E221" s="2" t="s">
        <v>12</v>
      </c>
      <c r="F221">
        <f t="shared" si="3"/>
        <v>4.4220899999999999</v>
      </c>
      <c r="G221" t="s">
        <v>16</v>
      </c>
      <c r="J221" t="str">
        <f>"05/08/2013 23:45"</f>
        <v>05/08/2013 23:45</v>
      </c>
    </row>
    <row r="222" spans="1:10" x14ac:dyDescent="0.3">
      <c r="A222" t="s">
        <v>6</v>
      </c>
      <c r="B222" t="str">
        <f>"05/09/2013 00:00"</f>
        <v>05/09/2013 00:00</v>
      </c>
      <c r="C222">
        <v>2.48</v>
      </c>
      <c r="D222" t="s">
        <v>7</v>
      </c>
      <c r="E222" s="2" t="s">
        <v>12</v>
      </c>
      <c r="F222">
        <f t="shared" si="3"/>
        <v>4.91784</v>
      </c>
      <c r="G222" t="s">
        <v>16</v>
      </c>
      <c r="J222" t="str">
        <f>"05/09/2013 23:45"</f>
        <v>05/09/2013 23:45</v>
      </c>
    </row>
    <row r="223" spans="1:10" x14ac:dyDescent="0.3">
      <c r="A223" t="s">
        <v>6</v>
      </c>
      <c r="B223" t="str">
        <f>"05/10/2013 00:00"</f>
        <v>05/10/2013 00:00</v>
      </c>
      <c r="C223">
        <v>2.23</v>
      </c>
      <c r="D223" t="s">
        <v>7</v>
      </c>
      <c r="E223" s="2" t="s">
        <v>12</v>
      </c>
      <c r="F223">
        <f t="shared" si="3"/>
        <v>4.4220899999999999</v>
      </c>
      <c r="G223" t="s">
        <v>16</v>
      </c>
      <c r="J223" t="str">
        <f>"05/10/2013 23:45"</f>
        <v>05/10/2013 23:45</v>
      </c>
    </row>
    <row r="224" spans="1:10" x14ac:dyDescent="0.3">
      <c r="A224" t="s">
        <v>6</v>
      </c>
      <c r="B224" t="str">
        <f>"05/11/2013 00:00"</f>
        <v>05/11/2013 00:00</v>
      </c>
      <c r="C224">
        <v>2.23</v>
      </c>
      <c r="D224" t="s">
        <v>7</v>
      </c>
      <c r="E224" s="2" t="s">
        <v>12</v>
      </c>
      <c r="F224">
        <f t="shared" si="3"/>
        <v>4.4220899999999999</v>
      </c>
      <c r="G224" t="s">
        <v>16</v>
      </c>
      <c r="J224" t="str">
        <f>"05/11/2013 23:45"</f>
        <v>05/11/2013 23:45</v>
      </c>
    </row>
    <row r="225" spans="1:10" x14ac:dyDescent="0.3">
      <c r="A225" t="s">
        <v>6</v>
      </c>
      <c r="B225" t="str">
        <f>"05/12/2013 00:00"</f>
        <v>05/12/2013 00:00</v>
      </c>
      <c r="C225">
        <v>2.23</v>
      </c>
      <c r="D225" t="s">
        <v>7</v>
      </c>
      <c r="E225" s="2" t="s">
        <v>12</v>
      </c>
      <c r="F225">
        <f t="shared" si="3"/>
        <v>4.4220899999999999</v>
      </c>
      <c r="G225" t="s">
        <v>16</v>
      </c>
      <c r="J225" t="str">
        <f>"05/12/2013 23:45"</f>
        <v>05/12/2013 23:45</v>
      </c>
    </row>
    <row r="226" spans="1:10" x14ac:dyDescent="0.3">
      <c r="A226" t="s">
        <v>6</v>
      </c>
      <c r="B226" t="str">
        <f>"05/13/2013 00:00"</f>
        <v>05/13/2013 00:00</v>
      </c>
      <c r="C226">
        <v>2.23</v>
      </c>
      <c r="D226" t="s">
        <v>7</v>
      </c>
      <c r="E226" s="2" t="s">
        <v>12</v>
      </c>
      <c r="F226">
        <f t="shared" si="3"/>
        <v>4.4220899999999999</v>
      </c>
      <c r="G226" t="s">
        <v>16</v>
      </c>
      <c r="J226" t="str">
        <f>"05/13/2013 23:45"</f>
        <v>05/13/2013 23:45</v>
      </c>
    </row>
    <row r="227" spans="1:10" x14ac:dyDescent="0.3">
      <c r="A227" t="s">
        <v>6</v>
      </c>
      <c r="B227" t="str">
        <f>"05/14/2013 00:00"</f>
        <v>05/14/2013 00:00</v>
      </c>
      <c r="C227">
        <v>2.16</v>
      </c>
      <c r="D227" t="s">
        <v>7</v>
      </c>
      <c r="E227" s="2" t="s">
        <v>12</v>
      </c>
      <c r="F227">
        <f t="shared" si="3"/>
        <v>4.2832800000000004</v>
      </c>
      <c r="G227" t="s">
        <v>16</v>
      </c>
      <c r="J227" t="str">
        <f>"05/14/2013 23:45"</f>
        <v>05/14/2013 23:45</v>
      </c>
    </row>
    <row r="228" spans="1:10" x14ac:dyDescent="0.3">
      <c r="A228" t="s">
        <v>6</v>
      </c>
      <c r="B228" t="str">
        <f>"05/15/2013 00:00"</f>
        <v>05/15/2013 00:00</v>
      </c>
      <c r="C228">
        <v>1.92</v>
      </c>
      <c r="D228" t="s">
        <v>7</v>
      </c>
      <c r="E228" s="2" t="s">
        <v>12</v>
      </c>
      <c r="F228">
        <f t="shared" si="3"/>
        <v>3.8073600000000001</v>
      </c>
      <c r="G228" t="s">
        <v>16</v>
      </c>
      <c r="J228" t="str">
        <f>"05/15/2013 23:45"</f>
        <v>05/15/2013 23:45</v>
      </c>
    </row>
    <row r="229" spans="1:10" x14ac:dyDescent="0.3">
      <c r="A229" t="s">
        <v>6</v>
      </c>
      <c r="B229" t="str">
        <f>"05/16/2013 00:00"</f>
        <v>05/16/2013 00:00</v>
      </c>
      <c r="C229">
        <v>1.92</v>
      </c>
      <c r="D229" t="s">
        <v>7</v>
      </c>
      <c r="E229" s="2" t="s">
        <v>12</v>
      </c>
      <c r="F229">
        <f t="shared" si="3"/>
        <v>3.8073600000000001</v>
      </c>
      <c r="G229" t="s">
        <v>16</v>
      </c>
      <c r="J229" t="str">
        <f>"05/16/2013 23:45"</f>
        <v>05/16/2013 23:45</v>
      </c>
    </row>
    <row r="230" spans="1:10" x14ac:dyDescent="0.3">
      <c r="A230" t="s">
        <v>6</v>
      </c>
      <c r="B230" t="str">
        <f>"05/17/2013 00:00"</f>
        <v>05/17/2013 00:00</v>
      </c>
      <c r="C230">
        <v>1.92</v>
      </c>
      <c r="D230" t="s">
        <v>7</v>
      </c>
      <c r="E230" s="2" t="s">
        <v>12</v>
      </c>
      <c r="F230">
        <f t="shared" si="3"/>
        <v>3.8073600000000001</v>
      </c>
      <c r="G230" t="s">
        <v>16</v>
      </c>
      <c r="J230" t="str">
        <f>"05/17/2013 23:45"</f>
        <v>05/17/2013 23:45</v>
      </c>
    </row>
    <row r="231" spans="1:10" x14ac:dyDescent="0.3">
      <c r="A231" t="s">
        <v>6</v>
      </c>
      <c r="B231" t="str">
        <f>"05/18/2013 00:00"</f>
        <v>05/18/2013 00:00</v>
      </c>
      <c r="C231">
        <v>1.92</v>
      </c>
      <c r="D231" t="s">
        <v>7</v>
      </c>
      <c r="E231" s="2" t="s">
        <v>12</v>
      </c>
      <c r="F231">
        <f t="shared" si="3"/>
        <v>3.8073600000000001</v>
      </c>
      <c r="G231" t="s">
        <v>16</v>
      </c>
      <c r="J231" t="str">
        <f>"05/18/2013 23:45"</f>
        <v>05/18/2013 23:45</v>
      </c>
    </row>
    <row r="232" spans="1:10" x14ac:dyDescent="0.3">
      <c r="A232" t="s">
        <v>6</v>
      </c>
      <c r="B232" t="str">
        <f>"05/19/2013 00:00"</f>
        <v>05/19/2013 00:00</v>
      </c>
      <c r="C232">
        <v>1.92</v>
      </c>
      <c r="D232" t="s">
        <v>7</v>
      </c>
      <c r="E232" s="2" t="s">
        <v>12</v>
      </c>
      <c r="F232">
        <f t="shared" si="3"/>
        <v>3.8073600000000001</v>
      </c>
      <c r="G232" t="s">
        <v>16</v>
      </c>
      <c r="J232" t="str">
        <f>"05/19/2013 23:45"</f>
        <v>05/19/2013 23:45</v>
      </c>
    </row>
    <row r="233" spans="1:10" x14ac:dyDescent="0.3">
      <c r="A233" t="s">
        <v>6</v>
      </c>
      <c r="B233" t="str">
        <f>"05/20/2013 00:00"</f>
        <v>05/20/2013 00:00</v>
      </c>
      <c r="C233">
        <v>1.92</v>
      </c>
      <c r="D233" t="s">
        <v>7</v>
      </c>
      <c r="E233" s="2" t="s">
        <v>12</v>
      </c>
      <c r="F233">
        <f t="shared" si="3"/>
        <v>3.8073600000000001</v>
      </c>
      <c r="G233" t="s">
        <v>16</v>
      </c>
      <c r="J233" t="str">
        <f>"05/20/2013 23:45"</f>
        <v>05/20/2013 23:45</v>
      </c>
    </row>
    <row r="234" spans="1:10" x14ac:dyDescent="0.3">
      <c r="A234" t="s">
        <v>6</v>
      </c>
      <c r="B234" t="str">
        <f>"05/21/2013 00:00"</f>
        <v>05/21/2013 00:00</v>
      </c>
      <c r="C234">
        <v>1.92</v>
      </c>
      <c r="D234" t="s">
        <v>7</v>
      </c>
      <c r="E234" s="2" t="s">
        <v>12</v>
      </c>
      <c r="F234">
        <f t="shared" si="3"/>
        <v>3.8073600000000001</v>
      </c>
      <c r="G234" t="s">
        <v>16</v>
      </c>
      <c r="J234" t="str">
        <f>"05/21/2013 23:45"</f>
        <v>05/21/2013 23:45</v>
      </c>
    </row>
    <row r="235" spans="1:10" x14ac:dyDescent="0.3">
      <c r="A235" t="s">
        <v>6</v>
      </c>
      <c r="B235" t="str">
        <f>"05/22/2013 00:00"</f>
        <v>05/22/2013 00:00</v>
      </c>
      <c r="C235">
        <v>1.92</v>
      </c>
      <c r="D235" t="s">
        <v>7</v>
      </c>
      <c r="E235" s="2" t="s">
        <v>12</v>
      </c>
      <c r="F235">
        <f t="shared" si="3"/>
        <v>3.8073600000000001</v>
      </c>
      <c r="G235" t="s">
        <v>16</v>
      </c>
      <c r="J235" t="str">
        <f>"05/22/2013 23:45"</f>
        <v>05/22/2013 23:45</v>
      </c>
    </row>
    <row r="236" spans="1:10" x14ac:dyDescent="0.3">
      <c r="A236" t="s">
        <v>6</v>
      </c>
      <c r="B236" t="str">
        <f>"05/23/2013 00:00"</f>
        <v>05/23/2013 00:00</v>
      </c>
      <c r="C236">
        <v>1.92</v>
      </c>
      <c r="D236" t="s">
        <v>7</v>
      </c>
      <c r="E236" s="2" t="s">
        <v>12</v>
      </c>
      <c r="F236">
        <f t="shared" si="3"/>
        <v>3.8073600000000001</v>
      </c>
      <c r="G236" t="s">
        <v>16</v>
      </c>
      <c r="J236" t="str">
        <f>"05/23/2013 23:45"</f>
        <v>05/23/2013 23:45</v>
      </c>
    </row>
    <row r="237" spans="1:10" x14ac:dyDescent="0.3">
      <c r="A237" t="s">
        <v>6</v>
      </c>
      <c r="B237" t="str">
        <f>"05/24/2013 00:00"</f>
        <v>05/24/2013 00:00</v>
      </c>
      <c r="C237">
        <v>1.92</v>
      </c>
      <c r="D237" t="s">
        <v>7</v>
      </c>
      <c r="E237" s="2" t="s">
        <v>12</v>
      </c>
      <c r="F237">
        <f t="shared" si="3"/>
        <v>3.8073600000000001</v>
      </c>
      <c r="G237" t="s">
        <v>16</v>
      </c>
      <c r="J237" t="str">
        <f>"05/24/2013 23:45"</f>
        <v>05/24/2013 23:45</v>
      </c>
    </row>
    <row r="238" spans="1:10" x14ac:dyDescent="0.3">
      <c r="A238" t="s">
        <v>6</v>
      </c>
      <c r="B238" t="str">
        <f>"05/25/2013 00:00"</f>
        <v>05/25/2013 00:00</v>
      </c>
      <c r="C238">
        <v>1.92</v>
      </c>
      <c r="D238" t="s">
        <v>7</v>
      </c>
      <c r="E238" s="2" t="s">
        <v>12</v>
      </c>
      <c r="F238">
        <f t="shared" si="3"/>
        <v>3.8073600000000001</v>
      </c>
      <c r="G238" t="s">
        <v>16</v>
      </c>
      <c r="J238" t="str">
        <f>"05/25/2013 23:45"</f>
        <v>05/25/2013 23:45</v>
      </c>
    </row>
    <row r="239" spans="1:10" x14ac:dyDescent="0.3">
      <c r="A239" t="s">
        <v>6</v>
      </c>
      <c r="B239" t="str">
        <f>"05/26/2013 00:00"</f>
        <v>05/26/2013 00:00</v>
      </c>
      <c r="C239">
        <v>1.92</v>
      </c>
      <c r="D239" t="s">
        <v>7</v>
      </c>
      <c r="E239" s="2" t="s">
        <v>12</v>
      </c>
      <c r="F239">
        <f t="shared" si="3"/>
        <v>3.8073600000000001</v>
      </c>
      <c r="G239" t="s">
        <v>16</v>
      </c>
      <c r="J239" t="str">
        <f>"05/26/2013 23:45"</f>
        <v>05/26/2013 23:45</v>
      </c>
    </row>
    <row r="240" spans="1:10" x14ac:dyDescent="0.3">
      <c r="A240" t="s">
        <v>6</v>
      </c>
      <c r="B240" t="str">
        <f>"05/27/2013 00:00"</f>
        <v>05/27/2013 00:00</v>
      </c>
      <c r="C240">
        <v>1.92</v>
      </c>
      <c r="D240" t="s">
        <v>7</v>
      </c>
      <c r="E240" s="2" t="s">
        <v>12</v>
      </c>
      <c r="F240">
        <f t="shared" si="3"/>
        <v>3.8073600000000001</v>
      </c>
      <c r="G240" t="s">
        <v>16</v>
      </c>
      <c r="J240" t="str">
        <f>"05/27/2013 23:45"</f>
        <v>05/27/2013 23:45</v>
      </c>
    </row>
    <row r="241" spans="1:10" x14ac:dyDescent="0.3">
      <c r="A241" t="s">
        <v>6</v>
      </c>
      <c r="B241" t="str">
        <f>"05/28/2013 00:00"</f>
        <v>05/28/2013 00:00</v>
      </c>
      <c r="C241">
        <v>1.92</v>
      </c>
      <c r="D241" t="s">
        <v>7</v>
      </c>
      <c r="E241" s="2" t="s">
        <v>12</v>
      </c>
      <c r="F241">
        <f t="shared" si="3"/>
        <v>3.8073600000000001</v>
      </c>
      <c r="G241" t="s">
        <v>16</v>
      </c>
      <c r="J241" t="str">
        <f>"05/28/2013 23:45"</f>
        <v>05/28/2013 23:45</v>
      </c>
    </row>
    <row r="242" spans="1:10" x14ac:dyDescent="0.3">
      <c r="A242" t="s">
        <v>6</v>
      </c>
      <c r="B242" t="str">
        <f>"05/29/2013 00:00"</f>
        <v>05/29/2013 00:00</v>
      </c>
      <c r="C242">
        <v>1.92</v>
      </c>
      <c r="D242" t="s">
        <v>7</v>
      </c>
      <c r="E242" s="2" t="s">
        <v>12</v>
      </c>
      <c r="F242">
        <f t="shared" si="3"/>
        <v>3.8073600000000001</v>
      </c>
      <c r="G242" t="s">
        <v>16</v>
      </c>
      <c r="J242" t="str">
        <f>"05/29/2013 23:45"</f>
        <v>05/29/2013 23:45</v>
      </c>
    </row>
    <row r="243" spans="1:10" x14ac:dyDescent="0.3">
      <c r="A243" t="s">
        <v>6</v>
      </c>
      <c r="B243" t="str">
        <f>"05/30/2013 00:00"</f>
        <v>05/30/2013 00:00</v>
      </c>
      <c r="C243">
        <v>1.92</v>
      </c>
      <c r="D243" t="s">
        <v>7</v>
      </c>
      <c r="E243" s="2" t="s">
        <v>12</v>
      </c>
      <c r="F243">
        <f t="shared" si="3"/>
        <v>3.8073600000000001</v>
      </c>
      <c r="G243" t="s">
        <v>16</v>
      </c>
      <c r="J243" t="str">
        <f>"05/30/2013 23:45"</f>
        <v>05/30/2013 23:45</v>
      </c>
    </row>
    <row r="244" spans="1:10" x14ac:dyDescent="0.3">
      <c r="A244" t="s">
        <v>6</v>
      </c>
      <c r="B244" t="str">
        <f>"05/31/2013 00:00"</f>
        <v>05/31/2013 00:00</v>
      </c>
      <c r="C244">
        <v>1.92</v>
      </c>
      <c r="D244" t="s">
        <v>7</v>
      </c>
      <c r="E244" s="2" t="s">
        <v>12</v>
      </c>
      <c r="F244">
        <f t="shared" si="3"/>
        <v>3.8073600000000001</v>
      </c>
      <c r="G244" t="s">
        <v>16</v>
      </c>
      <c r="J244" t="str">
        <f>"05/31/2013 23:45"</f>
        <v>05/31/2013 23:45</v>
      </c>
    </row>
    <row r="245" spans="1:10" x14ac:dyDescent="0.3">
      <c r="A245" t="s">
        <v>6</v>
      </c>
      <c r="B245" t="str">
        <f>"06/01/2013 00:00"</f>
        <v>06/01/2013 00:00</v>
      </c>
      <c r="C245">
        <v>1.92</v>
      </c>
      <c r="D245" t="s">
        <v>7</v>
      </c>
      <c r="E245" s="2" t="s">
        <v>12</v>
      </c>
      <c r="F245">
        <f t="shared" si="3"/>
        <v>3.8073600000000001</v>
      </c>
      <c r="G245" t="s">
        <v>16</v>
      </c>
      <c r="J245" t="str">
        <f>"06/01/2013 23:45"</f>
        <v>06/01/2013 23:45</v>
      </c>
    </row>
    <row r="246" spans="1:10" x14ac:dyDescent="0.3">
      <c r="A246" t="s">
        <v>6</v>
      </c>
      <c r="B246" t="str">
        <f>"06/02/2013 00:00"</f>
        <v>06/02/2013 00:00</v>
      </c>
      <c r="C246">
        <v>1.92</v>
      </c>
      <c r="D246" t="s">
        <v>7</v>
      </c>
      <c r="E246" s="2" t="s">
        <v>12</v>
      </c>
      <c r="F246">
        <f t="shared" si="3"/>
        <v>3.8073600000000001</v>
      </c>
      <c r="G246" t="s">
        <v>16</v>
      </c>
      <c r="J246" t="str">
        <f>"06/02/2013 23:45"</f>
        <v>06/02/2013 23:45</v>
      </c>
    </row>
    <row r="247" spans="1:10" x14ac:dyDescent="0.3">
      <c r="A247" t="s">
        <v>6</v>
      </c>
      <c r="B247" t="str">
        <f>"06/03/2013 00:00"</f>
        <v>06/03/2013 00:00</v>
      </c>
      <c r="C247">
        <v>53.4</v>
      </c>
      <c r="D247" t="s">
        <v>7</v>
      </c>
      <c r="E247" s="2" t="s">
        <v>12</v>
      </c>
      <c r="F247">
        <f t="shared" si="3"/>
        <v>105.8922</v>
      </c>
      <c r="G247" t="s">
        <v>16</v>
      </c>
      <c r="J247" t="str">
        <f>"06/03/2013 23:45"</f>
        <v>06/03/2013 23:45</v>
      </c>
    </row>
    <row r="248" spans="1:10" x14ac:dyDescent="0.3">
      <c r="A248" t="s">
        <v>6</v>
      </c>
      <c r="B248" t="str">
        <f>"06/04/2013 00:00"</f>
        <v>06/04/2013 00:00</v>
      </c>
      <c r="C248">
        <v>100</v>
      </c>
      <c r="D248" t="s">
        <v>7</v>
      </c>
      <c r="E248" s="2" t="s">
        <v>12</v>
      </c>
      <c r="F248">
        <f t="shared" si="3"/>
        <v>198.3</v>
      </c>
      <c r="G248" t="s">
        <v>16</v>
      </c>
      <c r="J248" t="str">
        <f>"06/04/2013 23:45"</f>
        <v>06/04/2013 23:45</v>
      </c>
    </row>
    <row r="249" spans="1:10" x14ac:dyDescent="0.3">
      <c r="A249" t="s">
        <v>6</v>
      </c>
      <c r="B249" t="str">
        <f>"06/05/2013 00:00"</f>
        <v>06/05/2013 00:00</v>
      </c>
      <c r="C249">
        <v>98.9</v>
      </c>
      <c r="D249" t="s">
        <v>7</v>
      </c>
      <c r="E249" s="2" t="s">
        <v>12</v>
      </c>
      <c r="F249">
        <f t="shared" si="3"/>
        <v>196.11870000000002</v>
      </c>
      <c r="G249" t="s">
        <v>16</v>
      </c>
      <c r="J249" t="str">
        <f>"06/05/2013 23:45"</f>
        <v>06/05/2013 23:45</v>
      </c>
    </row>
    <row r="250" spans="1:10" x14ac:dyDescent="0.3">
      <c r="A250" t="s">
        <v>6</v>
      </c>
      <c r="B250" t="str">
        <f>"06/06/2013 00:00"</f>
        <v>06/06/2013 00:00</v>
      </c>
      <c r="C250">
        <v>100</v>
      </c>
      <c r="D250" t="s">
        <v>7</v>
      </c>
      <c r="E250" s="2" t="s">
        <v>12</v>
      </c>
      <c r="F250">
        <f t="shared" si="3"/>
        <v>198.3</v>
      </c>
      <c r="G250" t="s">
        <v>16</v>
      </c>
      <c r="J250" t="str">
        <f>"06/06/2013 23:45"</f>
        <v>06/06/2013 23:45</v>
      </c>
    </row>
    <row r="251" spans="1:10" x14ac:dyDescent="0.3">
      <c r="A251" t="s">
        <v>6</v>
      </c>
      <c r="B251" t="str">
        <f>"06/07/2013 00:00"</f>
        <v>06/07/2013 00:00</v>
      </c>
      <c r="C251">
        <v>90.9</v>
      </c>
      <c r="D251" t="s">
        <v>7</v>
      </c>
      <c r="E251" s="2" t="s">
        <v>12</v>
      </c>
      <c r="F251">
        <f t="shared" si="3"/>
        <v>180.25470000000001</v>
      </c>
      <c r="G251" t="s">
        <v>16</v>
      </c>
      <c r="J251" t="str">
        <f>"06/07/2013 23:45"</f>
        <v>06/07/2013 23:45</v>
      </c>
    </row>
    <row r="252" spans="1:10" x14ac:dyDescent="0.3">
      <c r="A252" t="s">
        <v>6</v>
      </c>
      <c r="B252" t="str">
        <f>"06/08/2013 00:00"</f>
        <v>06/08/2013 00:00</v>
      </c>
      <c r="C252">
        <v>76.599999999999994</v>
      </c>
      <c r="D252" t="s">
        <v>7</v>
      </c>
      <c r="E252" s="2" t="s">
        <v>12</v>
      </c>
      <c r="F252">
        <f t="shared" si="3"/>
        <v>151.89779999999999</v>
      </c>
      <c r="G252" t="s">
        <v>16</v>
      </c>
      <c r="J252" t="str">
        <f>"06/08/2013 23:45"</f>
        <v>06/08/2013 23:45</v>
      </c>
    </row>
    <row r="253" spans="1:10" x14ac:dyDescent="0.3">
      <c r="A253" t="s">
        <v>6</v>
      </c>
      <c r="B253" t="str">
        <f>"06/09/2013 00:00"</f>
        <v>06/09/2013 00:00</v>
      </c>
      <c r="C253">
        <v>75.900000000000006</v>
      </c>
      <c r="D253" t="s">
        <v>7</v>
      </c>
      <c r="E253" s="2" t="s">
        <v>12</v>
      </c>
      <c r="F253">
        <f t="shared" si="3"/>
        <v>150.50970000000001</v>
      </c>
      <c r="G253" t="s">
        <v>16</v>
      </c>
      <c r="J253" t="str">
        <f>"06/09/2013 23:45"</f>
        <v>06/09/2013 23:45</v>
      </c>
    </row>
    <row r="254" spans="1:10" x14ac:dyDescent="0.3">
      <c r="A254" t="s">
        <v>6</v>
      </c>
      <c r="B254" t="str">
        <f>"06/10/2013 00:00"</f>
        <v>06/10/2013 00:00</v>
      </c>
      <c r="C254">
        <v>74.900000000000006</v>
      </c>
      <c r="D254" t="s">
        <v>7</v>
      </c>
      <c r="E254" s="2" t="s">
        <v>12</v>
      </c>
      <c r="F254">
        <f t="shared" si="3"/>
        <v>148.52670000000001</v>
      </c>
      <c r="G254" t="s">
        <v>16</v>
      </c>
      <c r="J254" t="str">
        <f>"06/10/2013 23:45"</f>
        <v>06/10/2013 23:45</v>
      </c>
    </row>
    <row r="255" spans="1:10" x14ac:dyDescent="0.3">
      <c r="A255" t="s">
        <v>6</v>
      </c>
      <c r="B255" t="str">
        <f>"06/11/2013 00:00"</f>
        <v>06/11/2013 00:00</v>
      </c>
      <c r="C255">
        <v>37.200000000000003</v>
      </c>
      <c r="D255" t="s">
        <v>7</v>
      </c>
      <c r="E255" s="2" t="s">
        <v>12</v>
      </c>
      <c r="F255">
        <f t="shared" si="3"/>
        <v>73.767600000000016</v>
      </c>
      <c r="G255" t="s">
        <v>16</v>
      </c>
      <c r="J255" t="str">
        <f>"06/11/2013 23:45"</f>
        <v>06/11/2013 23:45</v>
      </c>
    </row>
    <row r="256" spans="1:10" x14ac:dyDescent="0.3">
      <c r="A256" t="s">
        <v>6</v>
      </c>
      <c r="B256" t="str">
        <f>"06/12/2013 00:00"</f>
        <v>06/12/2013 00:00</v>
      </c>
      <c r="C256">
        <v>1.92</v>
      </c>
      <c r="D256" t="s">
        <v>7</v>
      </c>
      <c r="E256" s="2" t="s">
        <v>12</v>
      </c>
      <c r="F256">
        <f t="shared" si="3"/>
        <v>3.8073600000000001</v>
      </c>
      <c r="G256" t="s">
        <v>16</v>
      </c>
      <c r="J256" t="str">
        <f>"06/12/2013 23:45"</f>
        <v>06/12/2013 23:45</v>
      </c>
    </row>
    <row r="257" spans="1:10" x14ac:dyDescent="0.3">
      <c r="A257" t="s">
        <v>6</v>
      </c>
      <c r="B257" t="str">
        <f>"06/13/2013 00:00"</f>
        <v>06/13/2013 00:00</v>
      </c>
      <c r="C257">
        <v>77.5</v>
      </c>
      <c r="D257" t="s">
        <v>7</v>
      </c>
      <c r="E257" s="2" t="s">
        <v>12</v>
      </c>
      <c r="F257">
        <f t="shared" si="3"/>
        <v>153.6825</v>
      </c>
      <c r="G257" t="s">
        <v>16</v>
      </c>
      <c r="J257" t="str">
        <f>"06/13/2013 23:45"</f>
        <v>06/13/2013 23:45</v>
      </c>
    </row>
    <row r="258" spans="1:10" x14ac:dyDescent="0.3">
      <c r="A258" t="s">
        <v>6</v>
      </c>
      <c r="B258" t="str">
        <f>"06/14/2013 00:00"</f>
        <v>06/14/2013 00:00</v>
      </c>
      <c r="C258">
        <v>151</v>
      </c>
      <c r="D258" t="s">
        <v>7</v>
      </c>
      <c r="E258" s="2" t="s">
        <v>12</v>
      </c>
      <c r="F258">
        <f t="shared" si="3"/>
        <v>299.43299999999999</v>
      </c>
      <c r="G258" t="s">
        <v>16</v>
      </c>
      <c r="J258" t="str">
        <f>"06/14/2013 23:45"</f>
        <v>06/14/2013 23:45</v>
      </c>
    </row>
    <row r="259" spans="1:10" x14ac:dyDescent="0.3">
      <c r="A259" t="s">
        <v>6</v>
      </c>
      <c r="B259" t="str">
        <f>"06/15/2013 00:00"</f>
        <v>06/15/2013 00:00</v>
      </c>
      <c r="C259">
        <v>174</v>
      </c>
      <c r="D259" t="s">
        <v>7</v>
      </c>
      <c r="E259" s="2" t="s">
        <v>12</v>
      </c>
      <c r="F259">
        <f t="shared" ref="F259:F322" si="4">C259*1.983</f>
        <v>345.04200000000003</v>
      </c>
      <c r="G259" t="s">
        <v>16</v>
      </c>
      <c r="J259" t="str">
        <f>"06/15/2013 23:45"</f>
        <v>06/15/2013 23:45</v>
      </c>
    </row>
    <row r="260" spans="1:10" x14ac:dyDescent="0.3">
      <c r="A260" t="s">
        <v>6</v>
      </c>
      <c r="B260" t="str">
        <f>"06/16/2013 00:00"</f>
        <v>06/16/2013 00:00</v>
      </c>
      <c r="C260">
        <v>186</v>
      </c>
      <c r="D260" t="s">
        <v>7</v>
      </c>
      <c r="E260" s="2" t="s">
        <v>12</v>
      </c>
      <c r="F260">
        <f t="shared" si="4"/>
        <v>368.83800000000002</v>
      </c>
      <c r="G260" t="s">
        <v>16</v>
      </c>
      <c r="J260" t="str">
        <f>"06/16/2013 23:45"</f>
        <v>06/16/2013 23:45</v>
      </c>
    </row>
    <row r="261" spans="1:10" x14ac:dyDescent="0.3">
      <c r="A261" t="s">
        <v>6</v>
      </c>
      <c r="B261" t="str">
        <f>"06/17/2013 00:00"</f>
        <v>06/17/2013 00:00</v>
      </c>
      <c r="C261">
        <v>204</v>
      </c>
      <c r="D261" t="s">
        <v>7</v>
      </c>
      <c r="E261" s="2" t="s">
        <v>12</v>
      </c>
      <c r="F261">
        <f t="shared" si="4"/>
        <v>404.53200000000004</v>
      </c>
      <c r="G261" t="s">
        <v>16</v>
      </c>
      <c r="J261" t="str">
        <f>"06/17/2013 23:45"</f>
        <v>06/17/2013 23:45</v>
      </c>
    </row>
    <row r="262" spans="1:10" x14ac:dyDescent="0.3">
      <c r="A262" t="s">
        <v>6</v>
      </c>
      <c r="B262" t="str">
        <f>"06/18/2013 00:00"</f>
        <v>06/18/2013 00:00</v>
      </c>
      <c r="C262">
        <v>217</v>
      </c>
      <c r="D262" t="s">
        <v>7</v>
      </c>
      <c r="E262" s="2" t="s">
        <v>12</v>
      </c>
      <c r="F262">
        <f t="shared" si="4"/>
        <v>430.31100000000004</v>
      </c>
      <c r="G262" t="s">
        <v>16</v>
      </c>
      <c r="J262" t="str">
        <f>"06/18/2013 23:45"</f>
        <v>06/18/2013 23:45</v>
      </c>
    </row>
    <row r="263" spans="1:10" x14ac:dyDescent="0.3">
      <c r="A263" t="s">
        <v>6</v>
      </c>
      <c r="B263" t="str">
        <f>"06/19/2013 00:00"</f>
        <v>06/19/2013 00:00</v>
      </c>
      <c r="C263">
        <v>217</v>
      </c>
      <c r="D263" t="s">
        <v>7</v>
      </c>
      <c r="E263" s="2" t="s">
        <v>12</v>
      </c>
      <c r="F263">
        <f t="shared" si="4"/>
        <v>430.31100000000004</v>
      </c>
      <c r="G263" t="s">
        <v>16</v>
      </c>
      <c r="J263" t="str">
        <f>"06/19/2013 23:45"</f>
        <v>06/19/2013 23:45</v>
      </c>
    </row>
    <row r="264" spans="1:10" x14ac:dyDescent="0.3">
      <c r="A264" t="s">
        <v>6</v>
      </c>
      <c r="B264" t="str">
        <f>"06/20/2013 00:00"</f>
        <v>06/20/2013 00:00</v>
      </c>
      <c r="C264">
        <v>217</v>
      </c>
      <c r="D264" t="s">
        <v>7</v>
      </c>
      <c r="E264" s="2" t="s">
        <v>12</v>
      </c>
      <c r="F264">
        <f t="shared" si="4"/>
        <v>430.31100000000004</v>
      </c>
      <c r="G264" t="s">
        <v>16</v>
      </c>
      <c r="J264" t="str">
        <f>"06/20/2013 23:45"</f>
        <v>06/20/2013 23:45</v>
      </c>
    </row>
    <row r="265" spans="1:10" x14ac:dyDescent="0.3">
      <c r="A265" t="s">
        <v>6</v>
      </c>
      <c r="B265" t="str">
        <f>"06/21/2013 00:00"</f>
        <v>06/21/2013 00:00</v>
      </c>
      <c r="C265">
        <v>250</v>
      </c>
      <c r="D265" t="s">
        <v>7</v>
      </c>
      <c r="E265" s="2" t="s">
        <v>12</v>
      </c>
      <c r="F265">
        <f t="shared" si="4"/>
        <v>495.75</v>
      </c>
      <c r="G265" t="s">
        <v>16</v>
      </c>
      <c r="J265" t="str">
        <f>"06/21/2013 23:45"</f>
        <v>06/21/2013 23:45</v>
      </c>
    </row>
    <row r="266" spans="1:10" x14ac:dyDescent="0.3">
      <c r="A266" t="s">
        <v>6</v>
      </c>
      <c r="B266" t="str">
        <f>"06/22/2013 00:00"</f>
        <v>06/22/2013 00:00</v>
      </c>
      <c r="C266">
        <v>273</v>
      </c>
      <c r="D266" t="s">
        <v>7</v>
      </c>
      <c r="E266" s="2" t="s">
        <v>12</v>
      </c>
      <c r="F266">
        <f t="shared" si="4"/>
        <v>541.35900000000004</v>
      </c>
      <c r="G266" t="s">
        <v>16</v>
      </c>
      <c r="J266" t="str">
        <f>"06/22/2013 23:45"</f>
        <v>06/22/2013 23:45</v>
      </c>
    </row>
    <row r="267" spans="1:10" x14ac:dyDescent="0.3">
      <c r="A267" t="s">
        <v>6</v>
      </c>
      <c r="B267" t="str">
        <f>"06/23/2013 00:00"</f>
        <v>06/23/2013 00:00</v>
      </c>
      <c r="C267">
        <v>273</v>
      </c>
      <c r="D267" t="s">
        <v>7</v>
      </c>
      <c r="E267" s="2" t="s">
        <v>12</v>
      </c>
      <c r="F267">
        <f t="shared" si="4"/>
        <v>541.35900000000004</v>
      </c>
      <c r="G267" t="s">
        <v>16</v>
      </c>
      <c r="J267" t="str">
        <f>"06/23/2013 23:45"</f>
        <v>06/23/2013 23:45</v>
      </c>
    </row>
    <row r="268" spans="1:10" x14ac:dyDescent="0.3">
      <c r="A268" t="s">
        <v>6</v>
      </c>
      <c r="B268" t="str">
        <f>"06/24/2013 00:00"</f>
        <v>06/24/2013 00:00</v>
      </c>
      <c r="C268">
        <v>274</v>
      </c>
      <c r="D268" t="s">
        <v>7</v>
      </c>
      <c r="E268" s="2" t="s">
        <v>12</v>
      </c>
      <c r="F268">
        <f t="shared" si="4"/>
        <v>543.34199999999998</v>
      </c>
      <c r="G268" t="s">
        <v>16</v>
      </c>
      <c r="J268" t="str">
        <f>"06/24/2013 23:45"</f>
        <v>06/24/2013 23:45</v>
      </c>
    </row>
    <row r="269" spans="1:10" x14ac:dyDescent="0.3">
      <c r="A269" t="s">
        <v>6</v>
      </c>
      <c r="B269" t="str">
        <f>"06/25/2013 00:00"</f>
        <v>06/25/2013 00:00</v>
      </c>
      <c r="C269">
        <v>275</v>
      </c>
      <c r="D269" t="s">
        <v>7</v>
      </c>
      <c r="E269" s="2" t="s">
        <v>12</v>
      </c>
      <c r="F269">
        <f t="shared" si="4"/>
        <v>545.32500000000005</v>
      </c>
      <c r="G269" t="s">
        <v>16</v>
      </c>
      <c r="J269" t="str">
        <f>"06/25/2013 23:45"</f>
        <v>06/25/2013 23:45</v>
      </c>
    </row>
    <row r="270" spans="1:10" x14ac:dyDescent="0.3">
      <c r="A270" t="s">
        <v>6</v>
      </c>
      <c r="B270" t="str">
        <f>"06/26/2013 00:00"</f>
        <v>06/26/2013 00:00</v>
      </c>
      <c r="C270">
        <v>275</v>
      </c>
      <c r="D270" t="s">
        <v>7</v>
      </c>
      <c r="E270" s="2" t="s">
        <v>12</v>
      </c>
      <c r="F270">
        <f t="shared" si="4"/>
        <v>545.32500000000005</v>
      </c>
      <c r="G270" t="s">
        <v>16</v>
      </c>
      <c r="J270" t="str">
        <f>"06/26/2013 23:45"</f>
        <v>06/26/2013 23:45</v>
      </c>
    </row>
    <row r="271" spans="1:10" x14ac:dyDescent="0.3">
      <c r="A271" t="s">
        <v>6</v>
      </c>
      <c r="B271" t="str">
        <f>"06/27/2013 00:00"</f>
        <v>06/27/2013 00:00</v>
      </c>
      <c r="C271">
        <v>288</v>
      </c>
      <c r="D271" t="s">
        <v>7</v>
      </c>
      <c r="E271" s="2" t="s">
        <v>12</v>
      </c>
      <c r="F271">
        <f t="shared" si="4"/>
        <v>571.10400000000004</v>
      </c>
      <c r="G271" t="s">
        <v>16</v>
      </c>
      <c r="J271" t="str">
        <f>"06/27/2013 23:45"</f>
        <v>06/27/2013 23:45</v>
      </c>
    </row>
    <row r="272" spans="1:10" x14ac:dyDescent="0.3">
      <c r="A272" t="s">
        <v>6</v>
      </c>
      <c r="B272" t="str">
        <f>"06/28/2013 00:00"</f>
        <v>06/28/2013 00:00</v>
      </c>
      <c r="C272">
        <v>295</v>
      </c>
      <c r="D272" t="s">
        <v>7</v>
      </c>
      <c r="E272" s="2" t="s">
        <v>12</v>
      </c>
      <c r="F272">
        <f t="shared" si="4"/>
        <v>584.98500000000001</v>
      </c>
      <c r="G272" t="s">
        <v>16</v>
      </c>
      <c r="J272" t="str">
        <f>"06/28/2013 23:45"</f>
        <v>06/28/2013 23:45</v>
      </c>
    </row>
    <row r="273" spans="1:10" x14ac:dyDescent="0.3">
      <c r="A273" t="s">
        <v>6</v>
      </c>
      <c r="B273" t="str">
        <f>"06/29/2013 00:00"</f>
        <v>06/29/2013 00:00</v>
      </c>
      <c r="C273">
        <v>299</v>
      </c>
      <c r="D273" t="s">
        <v>7</v>
      </c>
      <c r="E273" s="2" t="s">
        <v>12</v>
      </c>
      <c r="F273">
        <f t="shared" si="4"/>
        <v>592.91700000000003</v>
      </c>
      <c r="G273" t="s">
        <v>16</v>
      </c>
      <c r="J273" t="str">
        <f>"06/29/2013 23:45"</f>
        <v>06/29/2013 23:45</v>
      </c>
    </row>
    <row r="274" spans="1:10" x14ac:dyDescent="0.3">
      <c r="A274" t="s">
        <v>6</v>
      </c>
      <c r="B274" t="str">
        <f>"06/30/2013 00:00"</f>
        <v>06/30/2013 00:00</v>
      </c>
      <c r="C274">
        <v>303</v>
      </c>
      <c r="D274" t="s">
        <v>7</v>
      </c>
      <c r="E274" s="2" t="s">
        <v>12</v>
      </c>
      <c r="F274">
        <f t="shared" si="4"/>
        <v>600.84900000000005</v>
      </c>
      <c r="G274" t="s">
        <v>16</v>
      </c>
      <c r="J274" t="str">
        <f>"06/30/2013 23:45"</f>
        <v>06/30/2013 23:45</v>
      </c>
    </row>
    <row r="275" spans="1:10" x14ac:dyDescent="0.3">
      <c r="A275" t="s">
        <v>6</v>
      </c>
      <c r="B275" t="str">
        <f>"07/01/2013 00:00"</f>
        <v>07/01/2013 00:00</v>
      </c>
      <c r="C275">
        <v>302</v>
      </c>
      <c r="D275" t="s">
        <v>7</v>
      </c>
      <c r="E275" s="2" t="s">
        <v>12</v>
      </c>
      <c r="F275">
        <f t="shared" si="4"/>
        <v>598.86599999999999</v>
      </c>
      <c r="G275" t="s">
        <v>16</v>
      </c>
      <c r="J275" t="str">
        <f>"07/01/2013 23:45"</f>
        <v>07/01/2013 23:45</v>
      </c>
    </row>
    <row r="276" spans="1:10" x14ac:dyDescent="0.3">
      <c r="A276" t="s">
        <v>6</v>
      </c>
      <c r="B276" t="str">
        <f>"07/02/2013 00:00"</f>
        <v>07/02/2013 00:00</v>
      </c>
      <c r="C276">
        <v>303</v>
      </c>
      <c r="D276" t="s">
        <v>7</v>
      </c>
      <c r="E276" s="2" t="s">
        <v>12</v>
      </c>
      <c r="F276">
        <f t="shared" si="4"/>
        <v>600.84900000000005</v>
      </c>
      <c r="G276" t="s">
        <v>16</v>
      </c>
      <c r="J276" t="str">
        <f>"07/02/2013 23:45"</f>
        <v>07/02/2013 23:45</v>
      </c>
    </row>
    <row r="277" spans="1:10" x14ac:dyDescent="0.3">
      <c r="A277" t="s">
        <v>6</v>
      </c>
      <c r="B277" t="str">
        <f>"07/03/2013 00:00"</f>
        <v>07/03/2013 00:00</v>
      </c>
      <c r="C277">
        <v>264</v>
      </c>
      <c r="D277" t="s">
        <v>7</v>
      </c>
      <c r="E277" s="2" t="s">
        <v>12</v>
      </c>
      <c r="F277">
        <f t="shared" si="4"/>
        <v>523.51200000000006</v>
      </c>
      <c r="G277" t="s">
        <v>16</v>
      </c>
      <c r="J277" t="str">
        <f>"07/03/2013 23:45"</f>
        <v>07/03/2013 23:45</v>
      </c>
    </row>
    <row r="278" spans="1:10" x14ac:dyDescent="0.3">
      <c r="A278" t="s">
        <v>6</v>
      </c>
      <c r="B278" t="str">
        <f>"07/04/2013 00:00"</f>
        <v>07/04/2013 00:00</v>
      </c>
      <c r="C278">
        <v>240</v>
      </c>
      <c r="D278" t="s">
        <v>7</v>
      </c>
      <c r="E278" s="2" t="s">
        <v>12</v>
      </c>
      <c r="F278">
        <f t="shared" si="4"/>
        <v>475.92</v>
      </c>
      <c r="G278" t="s">
        <v>16</v>
      </c>
      <c r="J278" t="str">
        <f>"07/04/2013 23:45"</f>
        <v>07/04/2013 23:45</v>
      </c>
    </row>
    <row r="279" spans="1:10" x14ac:dyDescent="0.3">
      <c r="A279" t="s">
        <v>6</v>
      </c>
      <c r="B279" t="str">
        <f>"07/05/2013 00:00"</f>
        <v>07/05/2013 00:00</v>
      </c>
      <c r="C279">
        <v>254</v>
      </c>
      <c r="D279" t="s">
        <v>7</v>
      </c>
      <c r="E279" s="2" t="s">
        <v>12</v>
      </c>
      <c r="F279">
        <f t="shared" si="4"/>
        <v>503.68200000000002</v>
      </c>
      <c r="G279" t="s">
        <v>16</v>
      </c>
      <c r="J279" t="str">
        <f>"07/05/2013 23:45"</f>
        <v>07/05/2013 23:45</v>
      </c>
    </row>
    <row r="280" spans="1:10" x14ac:dyDescent="0.3">
      <c r="A280" t="s">
        <v>6</v>
      </c>
      <c r="B280" t="str">
        <f>"07/06/2013 00:00"</f>
        <v>07/06/2013 00:00</v>
      </c>
      <c r="C280">
        <v>263</v>
      </c>
      <c r="D280" t="s">
        <v>7</v>
      </c>
      <c r="E280" s="2" t="s">
        <v>12</v>
      </c>
      <c r="F280">
        <f t="shared" si="4"/>
        <v>521.529</v>
      </c>
      <c r="G280" t="s">
        <v>16</v>
      </c>
      <c r="J280" t="str">
        <f>"07/06/2013 23:45"</f>
        <v>07/06/2013 23:45</v>
      </c>
    </row>
    <row r="281" spans="1:10" x14ac:dyDescent="0.3">
      <c r="A281" t="s">
        <v>6</v>
      </c>
      <c r="B281" t="str">
        <f>"07/07/2013 00:00"</f>
        <v>07/07/2013 00:00</v>
      </c>
      <c r="C281">
        <v>264</v>
      </c>
      <c r="D281" t="s">
        <v>7</v>
      </c>
      <c r="E281" s="2" t="s">
        <v>12</v>
      </c>
      <c r="F281">
        <f t="shared" si="4"/>
        <v>523.51200000000006</v>
      </c>
      <c r="G281" t="s">
        <v>16</v>
      </c>
      <c r="J281" t="str">
        <f>"07/07/2013 23:45"</f>
        <v>07/07/2013 23:45</v>
      </c>
    </row>
    <row r="282" spans="1:10" x14ac:dyDescent="0.3">
      <c r="A282" t="s">
        <v>6</v>
      </c>
      <c r="B282" t="str">
        <f>"07/08/2013 00:00"</f>
        <v>07/08/2013 00:00</v>
      </c>
      <c r="C282">
        <v>264</v>
      </c>
      <c r="D282" t="s">
        <v>7</v>
      </c>
      <c r="E282" s="2" t="s">
        <v>12</v>
      </c>
      <c r="F282">
        <f t="shared" si="4"/>
        <v>523.51200000000006</v>
      </c>
      <c r="G282" t="s">
        <v>16</v>
      </c>
      <c r="J282" t="str">
        <f>"07/08/2013 23:45"</f>
        <v>07/08/2013 23:45</v>
      </c>
    </row>
    <row r="283" spans="1:10" x14ac:dyDescent="0.3">
      <c r="A283" t="s">
        <v>6</v>
      </c>
      <c r="B283" t="str">
        <f>"07/09/2013 00:00"</f>
        <v>07/09/2013 00:00</v>
      </c>
      <c r="C283">
        <v>264</v>
      </c>
      <c r="D283" t="s">
        <v>7</v>
      </c>
      <c r="E283" s="2" t="s">
        <v>12</v>
      </c>
      <c r="F283">
        <f t="shared" si="4"/>
        <v>523.51200000000006</v>
      </c>
      <c r="G283" t="s">
        <v>16</v>
      </c>
      <c r="J283" t="str">
        <f>"07/09/2013 23:45"</f>
        <v>07/09/2013 23:45</v>
      </c>
    </row>
    <row r="284" spans="1:10" x14ac:dyDescent="0.3">
      <c r="A284" t="s">
        <v>6</v>
      </c>
      <c r="B284" t="str">
        <f>"07/10/2013 00:00"</f>
        <v>07/10/2013 00:00</v>
      </c>
      <c r="C284">
        <v>265</v>
      </c>
      <c r="D284" t="s">
        <v>7</v>
      </c>
      <c r="E284" s="2" t="s">
        <v>12</v>
      </c>
      <c r="F284">
        <f t="shared" si="4"/>
        <v>525.495</v>
      </c>
      <c r="G284" t="s">
        <v>16</v>
      </c>
      <c r="J284" t="str">
        <f>"07/10/2013 23:45"</f>
        <v>07/10/2013 23:45</v>
      </c>
    </row>
    <row r="285" spans="1:10" x14ac:dyDescent="0.3">
      <c r="A285" t="s">
        <v>6</v>
      </c>
      <c r="B285" t="str">
        <f>"07/11/2013 00:00"</f>
        <v>07/11/2013 00:00</v>
      </c>
      <c r="C285">
        <v>265</v>
      </c>
      <c r="D285" t="s">
        <v>7</v>
      </c>
      <c r="E285" s="2" t="s">
        <v>12</v>
      </c>
      <c r="F285">
        <f t="shared" si="4"/>
        <v>525.495</v>
      </c>
      <c r="G285" t="s">
        <v>16</v>
      </c>
      <c r="J285" t="str">
        <f>"07/11/2013 23:45"</f>
        <v>07/11/2013 23:45</v>
      </c>
    </row>
    <row r="286" spans="1:10" x14ac:dyDescent="0.3">
      <c r="A286" t="s">
        <v>6</v>
      </c>
      <c r="B286" t="str">
        <f>"07/12/2013 00:00"</f>
        <v>07/12/2013 00:00</v>
      </c>
      <c r="C286">
        <v>265</v>
      </c>
      <c r="D286" t="s">
        <v>7</v>
      </c>
      <c r="E286" s="2" t="s">
        <v>12</v>
      </c>
      <c r="F286">
        <f t="shared" si="4"/>
        <v>525.495</v>
      </c>
      <c r="G286" t="s">
        <v>16</v>
      </c>
      <c r="J286" t="str">
        <f>"07/12/2013 23:45"</f>
        <v>07/12/2013 23:45</v>
      </c>
    </row>
    <row r="287" spans="1:10" x14ac:dyDescent="0.3">
      <c r="A287" t="s">
        <v>6</v>
      </c>
      <c r="B287" t="str">
        <f>"07/13/2013 00:00"</f>
        <v>07/13/2013 00:00</v>
      </c>
      <c r="C287">
        <v>265</v>
      </c>
      <c r="D287" t="s">
        <v>7</v>
      </c>
      <c r="E287" s="2" t="s">
        <v>12</v>
      </c>
      <c r="F287">
        <f t="shared" si="4"/>
        <v>525.495</v>
      </c>
      <c r="G287" t="s">
        <v>16</v>
      </c>
      <c r="J287" t="str">
        <f>"07/13/2013 23:45"</f>
        <v>07/13/2013 23:45</v>
      </c>
    </row>
    <row r="288" spans="1:10" x14ac:dyDescent="0.3">
      <c r="A288" t="s">
        <v>6</v>
      </c>
      <c r="B288" t="str">
        <f>"07/14/2013 00:00"</f>
        <v>07/14/2013 00:00</v>
      </c>
      <c r="C288">
        <v>192</v>
      </c>
      <c r="D288" t="s">
        <v>7</v>
      </c>
      <c r="E288" s="2" t="s">
        <v>12</v>
      </c>
      <c r="F288">
        <f t="shared" si="4"/>
        <v>380.73599999999999</v>
      </c>
      <c r="G288" t="s">
        <v>16</v>
      </c>
      <c r="J288" t="str">
        <f>"07/14/2013 23:45"</f>
        <v>07/14/2013 23:45</v>
      </c>
    </row>
    <row r="289" spans="1:10" x14ac:dyDescent="0.3">
      <c r="A289" t="s">
        <v>6</v>
      </c>
      <c r="B289" t="str">
        <f>"07/15/2013 00:00"</f>
        <v>07/15/2013 00:00</v>
      </c>
      <c r="C289">
        <v>149</v>
      </c>
      <c r="D289" t="s">
        <v>7</v>
      </c>
      <c r="E289" s="2" t="s">
        <v>12</v>
      </c>
      <c r="F289">
        <f t="shared" si="4"/>
        <v>295.46700000000004</v>
      </c>
      <c r="G289" t="s">
        <v>16</v>
      </c>
      <c r="J289" t="str">
        <f>"07/15/2013 23:45"</f>
        <v>07/15/2013 23:45</v>
      </c>
    </row>
    <row r="290" spans="1:10" x14ac:dyDescent="0.3">
      <c r="A290" t="s">
        <v>6</v>
      </c>
      <c r="B290" t="str">
        <f>"07/16/2013 00:00"</f>
        <v>07/16/2013 00:00</v>
      </c>
      <c r="C290">
        <v>129</v>
      </c>
      <c r="D290" t="s">
        <v>7</v>
      </c>
      <c r="E290" s="2" t="s">
        <v>12</v>
      </c>
      <c r="F290">
        <f t="shared" si="4"/>
        <v>255.80700000000002</v>
      </c>
      <c r="G290" t="s">
        <v>16</v>
      </c>
      <c r="J290" t="str">
        <f>"07/16/2013 23:45"</f>
        <v>07/16/2013 23:45</v>
      </c>
    </row>
    <row r="291" spans="1:10" x14ac:dyDescent="0.3">
      <c r="A291" t="s">
        <v>6</v>
      </c>
      <c r="B291" t="str">
        <f>"07/17/2013 00:00"</f>
        <v>07/17/2013 00:00</v>
      </c>
      <c r="C291">
        <v>164</v>
      </c>
      <c r="D291" t="s">
        <v>7</v>
      </c>
      <c r="E291" s="2" t="s">
        <v>12</v>
      </c>
      <c r="F291">
        <f t="shared" si="4"/>
        <v>325.21199999999999</v>
      </c>
      <c r="G291" t="s">
        <v>16</v>
      </c>
      <c r="J291" t="str">
        <f>"07/17/2013 23:45"</f>
        <v>07/17/2013 23:45</v>
      </c>
    </row>
    <row r="292" spans="1:10" x14ac:dyDescent="0.3">
      <c r="A292" t="s">
        <v>6</v>
      </c>
      <c r="B292" t="str">
        <f>"07/18/2013 00:00"</f>
        <v>07/18/2013 00:00</v>
      </c>
      <c r="C292">
        <v>229</v>
      </c>
      <c r="D292" t="s">
        <v>7</v>
      </c>
      <c r="E292" s="2" t="s">
        <v>12</v>
      </c>
      <c r="F292">
        <f t="shared" si="4"/>
        <v>454.10700000000003</v>
      </c>
      <c r="G292" t="s">
        <v>16</v>
      </c>
      <c r="J292" t="str">
        <f>"07/18/2013 23:45"</f>
        <v>07/18/2013 23:45</v>
      </c>
    </row>
    <row r="293" spans="1:10" x14ac:dyDescent="0.3">
      <c r="A293" t="s">
        <v>6</v>
      </c>
      <c r="B293" t="str">
        <f>"07/19/2013 00:00"</f>
        <v>07/19/2013 00:00</v>
      </c>
      <c r="C293">
        <v>250</v>
      </c>
      <c r="D293" t="s">
        <v>7</v>
      </c>
      <c r="E293" s="2" t="s">
        <v>12</v>
      </c>
      <c r="F293">
        <f t="shared" si="4"/>
        <v>495.75</v>
      </c>
      <c r="G293" t="s">
        <v>16</v>
      </c>
      <c r="J293" t="str">
        <f>"07/19/2013 23:45"</f>
        <v>07/19/2013 23:45</v>
      </c>
    </row>
    <row r="294" spans="1:10" x14ac:dyDescent="0.3">
      <c r="A294" t="s">
        <v>6</v>
      </c>
      <c r="B294" t="str">
        <f>"07/20/2013 00:00"</f>
        <v>07/20/2013 00:00</v>
      </c>
      <c r="C294">
        <v>249</v>
      </c>
      <c r="D294" t="s">
        <v>7</v>
      </c>
      <c r="E294" s="2" t="s">
        <v>12</v>
      </c>
      <c r="F294">
        <f t="shared" si="4"/>
        <v>493.767</v>
      </c>
      <c r="G294" t="s">
        <v>16</v>
      </c>
      <c r="J294" t="str">
        <f>"07/20/2013 23:45"</f>
        <v>07/20/2013 23:45</v>
      </c>
    </row>
    <row r="295" spans="1:10" x14ac:dyDescent="0.3">
      <c r="A295" t="s">
        <v>6</v>
      </c>
      <c r="B295" t="str">
        <f>"07/21/2013 00:00"</f>
        <v>07/21/2013 00:00</v>
      </c>
      <c r="C295">
        <v>250</v>
      </c>
      <c r="D295" t="s">
        <v>7</v>
      </c>
      <c r="E295" s="2" t="s">
        <v>12</v>
      </c>
      <c r="F295">
        <f t="shared" si="4"/>
        <v>495.75</v>
      </c>
      <c r="G295" t="s">
        <v>16</v>
      </c>
      <c r="J295" t="str">
        <f>"07/21/2013 23:45"</f>
        <v>07/21/2013 23:45</v>
      </c>
    </row>
    <row r="296" spans="1:10" x14ac:dyDescent="0.3">
      <c r="A296" t="s">
        <v>6</v>
      </c>
      <c r="B296" t="str">
        <f>"07/22/2013 00:00"</f>
        <v>07/22/2013 00:00</v>
      </c>
      <c r="C296">
        <v>223</v>
      </c>
      <c r="D296" t="s">
        <v>7</v>
      </c>
      <c r="E296" s="2" t="s">
        <v>12</v>
      </c>
      <c r="F296">
        <f t="shared" si="4"/>
        <v>442.209</v>
      </c>
      <c r="G296" t="s">
        <v>16</v>
      </c>
      <c r="J296" t="str">
        <f>"07/22/2013 23:45"</f>
        <v>07/22/2013 23:45</v>
      </c>
    </row>
    <row r="297" spans="1:10" x14ac:dyDescent="0.3">
      <c r="A297" t="s">
        <v>6</v>
      </c>
      <c r="B297" t="str">
        <f>"07/23/2013 00:00"</f>
        <v>07/23/2013 00:00</v>
      </c>
      <c r="C297">
        <v>200</v>
      </c>
      <c r="D297" t="s">
        <v>7</v>
      </c>
      <c r="E297" s="2" t="s">
        <v>12</v>
      </c>
      <c r="F297">
        <f t="shared" si="4"/>
        <v>396.6</v>
      </c>
      <c r="G297" t="s">
        <v>16</v>
      </c>
      <c r="J297" t="str">
        <f>"07/23/2013 23:45"</f>
        <v>07/23/2013 23:45</v>
      </c>
    </row>
    <row r="298" spans="1:10" x14ac:dyDescent="0.3">
      <c r="A298" t="s">
        <v>6</v>
      </c>
      <c r="B298" t="str">
        <f>"07/24/2013 00:00"</f>
        <v>07/24/2013 00:00</v>
      </c>
      <c r="C298">
        <v>230</v>
      </c>
      <c r="D298" t="s">
        <v>7</v>
      </c>
      <c r="E298" s="2" t="s">
        <v>12</v>
      </c>
      <c r="F298">
        <f t="shared" si="4"/>
        <v>456.09000000000003</v>
      </c>
      <c r="G298" t="s">
        <v>16</v>
      </c>
      <c r="J298" t="str">
        <f>"07/24/2013 23:45"</f>
        <v>07/24/2013 23:45</v>
      </c>
    </row>
    <row r="299" spans="1:10" x14ac:dyDescent="0.3">
      <c r="A299" t="s">
        <v>6</v>
      </c>
      <c r="B299" t="str">
        <f>"07/25/2013 00:00"</f>
        <v>07/25/2013 00:00</v>
      </c>
      <c r="C299">
        <v>234</v>
      </c>
      <c r="D299" t="s">
        <v>7</v>
      </c>
      <c r="E299" s="2" t="s">
        <v>12</v>
      </c>
      <c r="F299">
        <f t="shared" si="4"/>
        <v>464.02200000000005</v>
      </c>
      <c r="G299" t="s">
        <v>16</v>
      </c>
      <c r="J299" t="str">
        <f>"07/25/2013 23:45"</f>
        <v>07/25/2013 23:45</v>
      </c>
    </row>
    <row r="300" spans="1:10" x14ac:dyDescent="0.3">
      <c r="A300" t="s">
        <v>6</v>
      </c>
      <c r="B300" t="str">
        <f>"07/26/2013 00:00"</f>
        <v>07/26/2013 00:00</v>
      </c>
      <c r="C300">
        <v>188</v>
      </c>
      <c r="D300" t="s">
        <v>7</v>
      </c>
      <c r="E300" s="2" t="s">
        <v>12</v>
      </c>
      <c r="F300">
        <f t="shared" si="4"/>
        <v>372.80400000000003</v>
      </c>
      <c r="G300" t="s">
        <v>16</v>
      </c>
      <c r="J300" t="str">
        <f>"07/26/2013 23:45"</f>
        <v>07/26/2013 23:45</v>
      </c>
    </row>
    <row r="301" spans="1:10" x14ac:dyDescent="0.3">
      <c r="A301" t="s">
        <v>6</v>
      </c>
      <c r="B301" t="str">
        <f>"07/27/2013 00:00"</f>
        <v>07/27/2013 00:00</v>
      </c>
      <c r="C301">
        <v>177</v>
      </c>
      <c r="D301" t="s">
        <v>7</v>
      </c>
      <c r="E301" s="2" t="s">
        <v>12</v>
      </c>
      <c r="F301">
        <f t="shared" si="4"/>
        <v>350.99100000000004</v>
      </c>
      <c r="G301" t="s">
        <v>16</v>
      </c>
      <c r="J301" t="str">
        <f>"07/27/2013 23:45"</f>
        <v>07/27/2013 23:45</v>
      </c>
    </row>
    <row r="302" spans="1:10" x14ac:dyDescent="0.3">
      <c r="A302" t="s">
        <v>6</v>
      </c>
      <c r="B302" t="str">
        <f>"07/28/2013 00:00"</f>
        <v>07/28/2013 00:00</v>
      </c>
      <c r="C302">
        <v>176</v>
      </c>
      <c r="D302" t="s">
        <v>7</v>
      </c>
      <c r="E302" s="2" t="s">
        <v>12</v>
      </c>
      <c r="F302">
        <f t="shared" si="4"/>
        <v>349.00800000000004</v>
      </c>
      <c r="G302" t="s">
        <v>16</v>
      </c>
      <c r="J302" t="str">
        <f>"07/28/2013 23:45"</f>
        <v>07/28/2013 23:45</v>
      </c>
    </row>
    <row r="303" spans="1:10" x14ac:dyDescent="0.3">
      <c r="A303" t="s">
        <v>6</v>
      </c>
      <c r="B303" t="str">
        <f>"07/29/2013 00:00"</f>
        <v>07/29/2013 00:00</v>
      </c>
      <c r="C303">
        <v>176</v>
      </c>
      <c r="D303" t="s">
        <v>7</v>
      </c>
      <c r="E303" s="2" t="s">
        <v>12</v>
      </c>
      <c r="F303">
        <f t="shared" si="4"/>
        <v>349.00800000000004</v>
      </c>
      <c r="G303" t="s">
        <v>16</v>
      </c>
      <c r="J303" t="str">
        <f>"07/29/2013 23:45"</f>
        <v>07/29/2013 23:45</v>
      </c>
    </row>
    <row r="304" spans="1:10" x14ac:dyDescent="0.3">
      <c r="A304" t="s">
        <v>6</v>
      </c>
      <c r="B304" t="str">
        <f>"07/30/2013 00:00"</f>
        <v>07/30/2013 00:00</v>
      </c>
      <c r="C304">
        <v>143</v>
      </c>
      <c r="D304" t="s">
        <v>7</v>
      </c>
      <c r="E304" s="2" t="s">
        <v>12</v>
      </c>
      <c r="F304">
        <f t="shared" si="4"/>
        <v>283.56900000000002</v>
      </c>
      <c r="G304" t="s">
        <v>16</v>
      </c>
      <c r="J304" t="str">
        <f>"07/30/2013 23:45"</f>
        <v>07/30/2013 23:45</v>
      </c>
    </row>
    <row r="305" spans="1:10" x14ac:dyDescent="0.3">
      <c r="A305" t="s">
        <v>6</v>
      </c>
      <c r="B305" t="str">
        <f>"07/31/2013 00:00"</f>
        <v>07/31/2013 00:00</v>
      </c>
      <c r="C305">
        <v>170</v>
      </c>
      <c r="D305" t="s">
        <v>7</v>
      </c>
      <c r="E305" s="2" t="s">
        <v>12</v>
      </c>
      <c r="F305">
        <f t="shared" si="4"/>
        <v>337.11</v>
      </c>
      <c r="G305" t="s">
        <v>16</v>
      </c>
      <c r="J305" t="str">
        <f>"07/31/2013 23:45"</f>
        <v>07/31/2013 23:45</v>
      </c>
    </row>
    <row r="306" spans="1:10" x14ac:dyDescent="0.3">
      <c r="A306" t="s">
        <v>6</v>
      </c>
      <c r="B306" t="str">
        <f>"08/01/2013 00:00"</f>
        <v>08/01/2013 00:00</v>
      </c>
      <c r="C306">
        <v>229</v>
      </c>
      <c r="D306" t="s">
        <v>7</v>
      </c>
      <c r="E306" s="2" t="s">
        <v>12</v>
      </c>
      <c r="F306">
        <f t="shared" si="4"/>
        <v>454.10700000000003</v>
      </c>
      <c r="G306" t="s">
        <v>16</v>
      </c>
      <c r="J306" t="str">
        <f>"08/01/2013 23:45"</f>
        <v>08/01/2013 23:45</v>
      </c>
    </row>
    <row r="307" spans="1:10" x14ac:dyDescent="0.3">
      <c r="A307" t="s">
        <v>6</v>
      </c>
      <c r="B307" t="str">
        <f>"08/02/2013 00:00"</f>
        <v>08/02/2013 00:00</v>
      </c>
      <c r="C307">
        <v>248</v>
      </c>
      <c r="D307" t="s">
        <v>7</v>
      </c>
      <c r="E307" s="2" t="s">
        <v>12</v>
      </c>
      <c r="F307">
        <f t="shared" si="4"/>
        <v>491.78400000000005</v>
      </c>
      <c r="G307" t="s">
        <v>16</v>
      </c>
      <c r="J307" t="str">
        <f>"08/02/2013 23:45"</f>
        <v>08/02/2013 23:45</v>
      </c>
    </row>
    <row r="308" spans="1:10" x14ac:dyDescent="0.3">
      <c r="A308" t="s">
        <v>6</v>
      </c>
      <c r="B308" t="str">
        <f>"08/03/2013 00:00"</f>
        <v>08/03/2013 00:00</v>
      </c>
      <c r="C308">
        <v>248</v>
      </c>
      <c r="D308" t="s">
        <v>7</v>
      </c>
      <c r="E308" s="2" t="s">
        <v>12</v>
      </c>
      <c r="F308">
        <f t="shared" si="4"/>
        <v>491.78400000000005</v>
      </c>
      <c r="G308" t="s">
        <v>16</v>
      </c>
      <c r="J308" t="str">
        <f>"08/03/2013 23:45"</f>
        <v>08/03/2013 23:45</v>
      </c>
    </row>
    <row r="309" spans="1:10" x14ac:dyDescent="0.3">
      <c r="A309" t="s">
        <v>6</v>
      </c>
      <c r="B309" t="str">
        <f>"08/04/2013 00:00"</f>
        <v>08/04/2013 00:00</v>
      </c>
      <c r="C309">
        <v>248</v>
      </c>
      <c r="D309" t="s">
        <v>7</v>
      </c>
      <c r="E309" s="2" t="s">
        <v>12</v>
      </c>
      <c r="F309">
        <f t="shared" si="4"/>
        <v>491.78400000000005</v>
      </c>
      <c r="G309" t="s">
        <v>16</v>
      </c>
      <c r="J309" t="str">
        <f>"08/04/2013 23:45"</f>
        <v>08/04/2013 23:45</v>
      </c>
    </row>
    <row r="310" spans="1:10" x14ac:dyDescent="0.3">
      <c r="A310" t="s">
        <v>6</v>
      </c>
      <c r="B310" t="str">
        <f>"08/05/2013 00:00"</f>
        <v>08/05/2013 00:00</v>
      </c>
      <c r="C310">
        <v>221</v>
      </c>
      <c r="D310" t="s">
        <v>7</v>
      </c>
      <c r="E310" s="2" t="s">
        <v>12</v>
      </c>
      <c r="F310">
        <f t="shared" si="4"/>
        <v>438.24299999999999</v>
      </c>
      <c r="G310" t="s">
        <v>16</v>
      </c>
      <c r="J310" t="str">
        <f>"08/05/2013 23:45"</f>
        <v>08/05/2013 23:45</v>
      </c>
    </row>
    <row r="311" spans="1:10" x14ac:dyDescent="0.3">
      <c r="A311" t="s">
        <v>6</v>
      </c>
      <c r="B311" t="str">
        <f>"08/06/2013 00:00"</f>
        <v>08/06/2013 00:00</v>
      </c>
      <c r="C311">
        <v>201</v>
      </c>
      <c r="D311" t="s">
        <v>7</v>
      </c>
      <c r="E311" s="2" t="s">
        <v>12</v>
      </c>
      <c r="F311">
        <f t="shared" si="4"/>
        <v>398.58300000000003</v>
      </c>
      <c r="G311" t="s">
        <v>16</v>
      </c>
      <c r="J311" t="str">
        <f>"08/06/2013 23:45"</f>
        <v>08/06/2013 23:45</v>
      </c>
    </row>
    <row r="312" spans="1:10" x14ac:dyDescent="0.3">
      <c r="A312" t="s">
        <v>6</v>
      </c>
      <c r="B312" t="str">
        <f>"08/07/2013 00:00"</f>
        <v>08/07/2013 00:00</v>
      </c>
      <c r="C312">
        <v>175</v>
      </c>
      <c r="D312" t="s">
        <v>7</v>
      </c>
      <c r="E312" s="2" t="s">
        <v>12</v>
      </c>
      <c r="F312">
        <f t="shared" si="4"/>
        <v>347.02500000000003</v>
      </c>
      <c r="G312" t="s">
        <v>16</v>
      </c>
      <c r="J312" t="str">
        <f>"08/07/2013 23:45"</f>
        <v>08/07/2013 23:45</v>
      </c>
    </row>
    <row r="313" spans="1:10" x14ac:dyDescent="0.3">
      <c r="A313" t="s">
        <v>6</v>
      </c>
      <c r="B313" t="str">
        <f>"08/08/2013 00:00"</f>
        <v>08/08/2013 00:00</v>
      </c>
      <c r="C313">
        <v>236</v>
      </c>
      <c r="D313" t="s">
        <v>7</v>
      </c>
      <c r="E313" s="2" t="s">
        <v>12</v>
      </c>
      <c r="F313">
        <f t="shared" si="4"/>
        <v>467.988</v>
      </c>
      <c r="G313" t="s">
        <v>16</v>
      </c>
      <c r="J313" t="str">
        <f>"08/08/2013 23:45"</f>
        <v>08/08/2013 23:45</v>
      </c>
    </row>
    <row r="314" spans="1:10" x14ac:dyDescent="0.3">
      <c r="A314" t="s">
        <v>6</v>
      </c>
      <c r="B314" t="str">
        <f>"08/09/2013 00:00"</f>
        <v>08/09/2013 00:00</v>
      </c>
      <c r="C314">
        <v>361</v>
      </c>
      <c r="D314" t="s">
        <v>7</v>
      </c>
      <c r="E314" s="2" t="s">
        <v>12</v>
      </c>
      <c r="F314">
        <f t="shared" si="4"/>
        <v>715.86300000000006</v>
      </c>
      <c r="G314" t="s">
        <v>16</v>
      </c>
      <c r="J314" t="str">
        <f>"08/09/2013 23:45"</f>
        <v>08/09/2013 23:45</v>
      </c>
    </row>
    <row r="315" spans="1:10" x14ac:dyDescent="0.3">
      <c r="A315" t="s">
        <v>6</v>
      </c>
      <c r="B315" t="str">
        <f>"08/10/2013 00:00"</f>
        <v>08/10/2013 00:00</v>
      </c>
      <c r="C315">
        <v>374</v>
      </c>
      <c r="D315" t="s">
        <v>7</v>
      </c>
      <c r="E315" s="2" t="s">
        <v>12</v>
      </c>
      <c r="F315">
        <f t="shared" si="4"/>
        <v>741.64200000000005</v>
      </c>
      <c r="G315" t="s">
        <v>16</v>
      </c>
      <c r="J315" t="str">
        <f>"08/10/2013 23:45"</f>
        <v>08/10/2013 23:45</v>
      </c>
    </row>
    <row r="316" spans="1:10" x14ac:dyDescent="0.3">
      <c r="A316" t="s">
        <v>6</v>
      </c>
      <c r="B316" t="str">
        <f>"08/11/2013 00:00"</f>
        <v>08/11/2013 00:00</v>
      </c>
      <c r="C316">
        <v>355</v>
      </c>
      <c r="D316" t="s">
        <v>7</v>
      </c>
      <c r="E316" s="2" t="s">
        <v>12</v>
      </c>
      <c r="F316">
        <f t="shared" si="4"/>
        <v>703.96500000000003</v>
      </c>
      <c r="G316" t="s">
        <v>16</v>
      </c>
      <c r="J316" t="str">
        <f>"08/11/2013 23:45"</f>
        <v>08/11/2013 23:45</v>
      </c>
    </row>
    <row r="317" spans="1:10" x14ac:dyDescent="0.3">
      <c r="A317" t="s">
        <v>6</v>
      </c>
      <c r="B317" t="str">
        <f>"08/12/2013 00:00"</f>
        <v>08/12/2013 00:00</v>
      </c>
      <c r="C317">
        <v>297</v>
      </c>
      <c r="D317" t="s">
        <v>7</v>
      </c>
      <c r="E317" s="2" t="s">
        <v>12</v>
      </c>
      <c r="F317">
        <f t="shared" si="4"/>
        <v>588.95100000000002</v>
      </c>
      <c r="G317" t="s">
        <v>16</v>
      </c>
      <c r="J317" t="str">
        <f>"08/12/2013 23:45"</f>
        <v>08/12/2013 23:45</v>
      </c>
    </row>
    <row r="318" spans="1:10" x14ac:dyDescent="0.3">
      <c r="A318" t="s">
        <v>6</v>
      </c>
      <c r="B318" t="str">
        <f>"08/13/2013 00:00"</f>
        <v>08/13/2013 00:00</v>
      </c>
      <c r="C318">
        <v>228</v>
      </c>
      <c r="D318" t="s">
        <v>7</v>
      </c>
      <c r="E318" s="2" t="s">
        <v>12</v>
      </c>
      <c r="F318">
        <f t="shared" si="4"/>
        <v>452.12400000000002</v>
      </c>
      <c r="G318" t="s">
        <v>16</v>
      </c>
      <c r="J318" t="str">
        <f>"08/13/2013 23:45"</f>
        <v>08/13/2013 23:45</v>
      </c>
    </row>
    <row r="319" spans="1:10" x14ac:dyDescent="0.3">
      <c r="A319" t="s">
        <v>6</v>
      </c>
      <c r="B319" t="str">
        <f>"08/14/2013 00:00"</f>
        <v>08/14/2013 00:00</v>
      </c>
      <c r="C319">
        <v>199</v>
      </c>
      <c r="D319" t="s">
        <v>7</v>
      </c>
      <c r="E319" s="2" t="s">
        <v>12</v>
      </c>
      <c r="F319">
        <f t="shared" si="4"/>
        <v>394.61700000000002</v>
      </c>
      <c r="G319" t="s">
        <v>16</v>
      </c>
      <c r="J319" t="str">
        <f>"08/14/2013 23:45"</f>
        <v>08/14/2013 23:45</v>
      </c>
    </row>
    <row r="320" spans="1:10" x14ac:dyDescent="0.3">
      <c r="A320" t="s">
        <v>6</v>
      </c>
      <c r="B320" t="str">
        <f>"08/15/2013 00:00"</f>
        <v>08/15/2013 00:00</v>
      </c>
      <c r="C320">
        <v>199</v>
      </c>
      <c r="D320" t="s">
        <v>7</v>
      </c>
      <c r="E320" s="2" t="s">
        <v>12</v>
      </c>
      <c r="F320">
        <f t="shared" si="4"/>
        <v>394.61700000000002</v>
      </c>
      <c r="G320" t="s">
        <v>16</v>
      </c>
      <c r="J320" t="str">
        <f>"08/15/2013 23:45"</f>
        <v>08/15/2013 23:45</v>
      </c>
    </row>
    <row r="321" spans="1:10" x14ac:dyDescent="0.3">
      <c r="A321" t="s">
        <v>6</v>
      </c>
      <c r="B321" t="str">
        <f>"08/16/2013 00:00"</f>
        <v>08/16/2013 00:00</v>
      </c>
      <c r="C321">
        <v>169</v>
      </c>
      <c r="D321" t="s">
        <v>7</v>
      </c>
      <c r="E321" s="2" t="s">
        <v>12</v>
      </c>
      <c r="F321">
        <f t="shared" si="4"/>
        <v>335.12700000000001</v>
      </c>
      <c r="G321" t="s">
        <v>16</v>
      </c>
      <c r="J321" t="str">
        <f>"08/16/2013 23:45"</f>
        <v>08/16/2013 23:45</v>
      </c>
    </row>
    <row r="322" spans="1:10" x14ac:dyDescent="0.3">
      <c r="A322" t="s">
        <v>6</v>
      </c>
      <c r="B322" t="str">
        <f>"08/17/2013 00:00"</f>
        <v>08/17/2013 00:00</v>
      </c>
      <c r="C322">
        <v>154</v>
      </c>
      <c r="D322" t="s">
        <v>7</v>
      </c>
      <c r="E322" s="2" t="s">
        <v>12</v>
      </c>
      <c r="F322">
        <f t="shared" si="4"/>
        <v>305.38200000000001</v>
      </c>
      <c r="G322" t="s">
        <v>16</v>
      </c>
      <c r="J322" t="str">
        <f>"08/17/2013 23:45"</f>
        <v>08/17/2013 23:45</v>
      </c>
    </row>
    <row r="323" spans="1:10" x14ac:dyDescent="0.3">
      <c r="A323" t="s">
        <v>6</v>
      </c>
      <c r="B323" t="str">
        <f>"08/18/2013 00:00"</f>
        <v>08/18/2013 00:00</v>
      </c>
      <c r="C323">
        <v>152</v>
      </c>
      <c r="D323" t="s">
        <v>7</v>
      </c>
      <c r="E323" s="2" t="s">
        <v>12</v>
      </c>
      <c r="F323">
        <f t="shared" ref="F323:F387" si="5">C323*1.983</f>
        <v>301.416</v>
      </c>
      <c r="G323" t="s">
        <v>16</v>
      </c>
      <c r="J323" t="str">
        <f>"08/18/2013 23:45"</f>
        <v>08/18/2013 23:45</v>
      </c>
    </row>
    <row r="324" spans="1:10" x14ac:dyDescent="0.3">
      <c r="A324" t="s">
        <v>6</v>
      </c>
      <c r="B324" t="str">
        <f>"08/19/2013 00:00"</f>
        <v>08/19/2013 00:00</v>
      </c>
      <c r="C324">
        <v>180</v>
      </c>
      <c r="D324" t="s">
        <v>7</v>
      </c>
      <c r="E324" s="2" t="s">
        <v>12</v>
      </c>
      <c r="F324">
        <f t="shared" si="5"/>
        <v>356.94</v>
      </c>
      <c r="G324" t="s">
        <v>16</v>
      </c>
      <c r="J324" t="str">
        <f>"08/19/2013 23:45"</f>
        <v>08/19/2013 23:45</v>
      </c>
    </row>
    <row r="325" spans="1:10" x14ac:dyDescent="0.3">
      <c r="A325" t="s">
        <v>6</v>
      </c>
      <c r="B325" t="str">
        <f>"08/20/2013 00:00"</f>
        <v>08/20/2013 00:00</v>
      </c>
      <c r="C325">
        <v>178</v>
      </c>
      <c r="D325" t="s">
        <v>7</v>
      </c>
      <c r="E325" s="2" t="s">
        <v>12</v>
      </c>
      <c r="F325">
        <f t="shared" si="5"/>
        <v>352.97399999999999</v>
      </c>
      <c r="G325" t="s">
        <v>16</v>
      </c>
      <c r="J325" t="str">
        <f>"08/20/2013 23:45"</f>
        <v>08/20/2013 23:45</v>
      </c>
    </row>
    <row r="326" spans="1:10" x14ac:dyDescent="0.3">
      <c r="A326" t="s">
        <v>6</v>
      </c>
      <c r="B326" t="str">
        <f>"08/21/2013 00:00"</f>
        <v>08/21/2013 00:00</v>
      </c>
      <c r="C326">
        <v>152</v>
      </c>
      <c r="D326" t="s">
        <v>7</v>
      </c>
      <c r="E326" s="2" t="s">
        <v>12</v>
      </c>
      <c r="F326">
        <f t="shared" si="5"/>
        <v>301.416</v>
      </c>
      <c r="G326" t="s">
        <v>16</v>
      </c>
      <c r="J326" t="str">
        <f>"08/21/2013 23:45"</f>
        <v>08/21/2013 23:45</v>
      </c>
    </row>
    <row r="327" spans="1:10" x14ac:dyDescent="0.3">
      <c r="A327" t="s">
        <v>6</v>
      </c>
      <c r="B327" t="str">
        <f>"08/22/2013 00:00"</f>
        <v>08/22/2013 00:00</v>
      </c>
      <c r="C327">
        <v>150</v>
      </c>
      <c r="D327" t="s">
        <v>7</v>
      </c>
      <c r="E327" s="2" t="s">
        <v>12</v>
      </c>
      <c r="F327">
        <f t="shared" si="5"/>
        <v>297.45</v>
      </c>
      <c r="G327" t="s">
        <v>16</v>
      </c>
      <c r="J327" t="str">
        <f>"08/22/2013 23:45"</f>
        <v>08/22/2013 23:45</v>
      </c>
    </row>
    <row r="328" spans="1:10" x14ac:dyDescent="0.3">
      <c r="A328" t="s">
        <v>6</v>
      </c>
      <c r="B328" t="str">
        <f>"08/23/2013 00:00"</f>
        <v>08/23/2013 00:00</v>
      </c>
      <c r="C328">
        <v>119</v>
      </c>
      <c r="D328" t="s">
        <v>7</v>
      </c>
      <c r="E328" s="2" t="s">
        <v>12</v>
      </c>
      <c r="F328">
        <f t="shared" si="5"/>
        <v>235.977</v>
      </c>
      <c r="G328" t="s">
        <v>16</v>
      </c>
      <c r="J328" t="str">
        <f>"08/23/2013 23:45"</f>
        <v>08/23/2013 23:45</v>
      </c>
    </row>
    <row r="329" spans="1:10" x14ac:dyDescent="0.3">
      <c r="A329" t="s">
        <v>6</v>
      </c>
      <c r="B329" t="str">
        <f>"08/24/2013 00:00"</f>
        <v>08/24/2013 00:00</v>
      </c>
      <c r="C329">
        <v>103</v>
      </c>
      <c r="D329" t="s">
        <v>7</v>
      </c>
      <c r="E329" s="2" t="s">
        <v>12</v>
      </c>
      <c r="F329">
        <f t="shared" si="5"/>
        <v>204.24900000000002</v>
      </c>
      <c r="G329" t="s">
        <v>16</v>
      </c>
      <c r="J329" t="str">
        <f>"08/24/2013 23:45"</f>
        <v>08/24/2013 23:45</v>
      </c>
    </row>
    <row r="330" spans="1:10" x14ac:dyDescent="0.3">
      <c r="A330" t="s">
        <v>6</v>
      </c>
      <c r="B330" t="str">
        <f>"08/25/2013 00:00"</f>
        <v>08/25/2013 00:00</v>
      </c>
      <c r="C330">
        <v>103</v>
      </c>
      <c r="D330" t="s">
        <v>7</v>
      </c>
      <c r="E330" s="2" t="s">
        <v>12</v>
      </c>
      <c r="F330">
        <f t="shared" si="5"/>
        <v>204.24900000000002</v>
      </c>
      <c r="G330" t="s">
        <v>16</v>
      </c>
      <c r="J330" t="str">
        <f>"08/25/2013 23:45"</f>
        <v>08/25/2013 23:45</v>
      </c>
    </row>
    <row r="331" spans="1:10" x14ac:dyDescent="0.3">
      <c r="A331" t="s">
        <v>6</v>
      </c>
      <c r="B331" t="str">
        <f>"08/26/2013 00:00"</f>
        <v>08/26/2013 00:00</v>
      </c>
      <c r="C331">
        <v>102</v>
      </c>
      <c r="D331" t="s">
        <v>7</v>
      </c>
      <c r="E331" s="2" t="s">
        <v>12</v>
      </c>
      <c r="F331">
        <f t="shared" si="5"/>
        <v>202.26600000000002</v>
      </c>
      <c r="G331" t="s">
        <v>16</v>
      </c>
      <c r="J331" t="str">
        <f>"08/26/2013 23:45"</f>
        <v>08/26/2013 23:45</v>
      </c>
    </row>
    <row r="332" spans="1:10" x14ac:dyDescent="0.3">
      <c r="A332" t="s">
        <v>6</v>
      </c>
      <c r="B332" t="str">
        <f>"08/27/2013 00:00"</f>
        <v>08/27/2013 00:00</v>
      </c>
      <c r="C332">
        <v>102</v>
      </c>
      <c r="D332" t="s">
        <v>7</v>
      </c>
      <c r="E332" s="2" t="s">
        <v>12</v>
      </c>
      <c r="F332">
        <f t="shared" si="5"/>
        <v>202.26600000000002</v>
      </c>
      <c r="G332" t="s">
        <v>16</v>
      </c>
      <c r="J332" t="str">
        <f>"08/27/2013 23:45"</f>
        <v>08/27/2013 23:45</v>
      </c>
    </row>
    <row r="333" spans="1:10" x14ac:dyDescent="0.3">
      <c r="A333" t="s">
        <v>6</v>
      </c>
      <c r="B333" t="str">
        <f>"08/28/2013 00:00"</f>
        <v>08/28/2013 00:00</v>
      </c>
      <c r="C333">
        <v>103</v>
      </c>
      <c r="D333" t="s">
        <v>7</v>
      </c>
      <c r="E333" s="2" t="s">
        <v>12</v>
      </c>
      <c r="F333">
        <f t="shared" si="5"/>
        <v>204.24900000000002</v>
      </c>
      <c r="G333" t="s">
        <v>16</v>
      </c>
      <c r="J333" t="str">
        <f>"08/28/2013 23:45"</f>
        <v>08/28/2013 23:45</v>
      </c>
    </row>
    <row r="334" spans="1:10" x14ac:dyDescent="0.3">
      <c r="A334" t="s">
        <v>6</v>
      </c>
      <c r="B334" t="str">
        <f>"08/29/2013 00:00"</f>
        <v>08/29/2013 00:00</v>
      </c>
      <c r="C334">
        <v>102</v>
      </c>
      <c r="D334" t="s">
        <v>7</v>
      </c>
      <c r="E334" s="2" t="s">
        <v>12</v>
      </c>
      <c r="F334">
        <f t="shared" si="5"/>
        <v>202.26600000000002</v>
      </c>
      <c r="G334" t="s">
        <v>16</v>
      </c>
      <c r="J334" t="str">
        <f>"08/29/2013 23:45"</f>
        <v>08/29/2013 23:45</v>
      </c>
    </row>
    <row r="335" spans="1:10" x14ac:dyDescent="0.3">
      <c r="A335" t="s">
        <v>6</v>
      </c>
      <c r="B335" t="str">
        <f>"08/30/2013 00:00"</f>
        <v>08/30/2013 00:00</v>
      </c>
      <c r="C335">
        <v>125</v>
      </c>
      <c r="D335" t="s">
        <v>7</v>
      </c>
      <c r="E335" s="2" t="s">
        <v>12</v>
      </c>
      <c r="F335">
        <f t="shared" si="5"/>
        <v>247.875</v>
      </c>
      <c r="G335" t="s">
        <v>16</v>
      </c>
      <c r="J335" t="str">
        <f>"08/30/2013 23:45"</f>
        <v>08/30/2013 23:45</v>
      </c>
    </row>
    <row r="336" spans="1:10" x14ac:dyDescent="0.3">
      <c r="A336" t="s">
        <v>6</v>
      </c>
      <c r="B336" t="str">
        <f>"08/31/2013 00:00"</f>
        <v>08/31/2013 00:00</v>
      </c>
      <c r="C336">
        <v>149</v>
      </c>
      <c r="D336" t="s">
        <v>7</v>
      </c>
      <c r="E336" s="2" t="s">
        <v>12</v>
      </c>
      <c r="F336">
        <f t="shared" si="5"/>
        <v>295.46700000000004</v>
      </c>
      <c r="G336" t="s">
        <v>16</v>
      </c>
      <c r="J336" t="str">
        <f>"08/31/2013 23:45"</f>
        <v>08/31/2013 23:45</v>
      </c>
    </row>
    <row r="337" spans="1:10" x14ac:dyDescent="0.3">
      <c r="A337" t="s">
        <v>6</v>
      </c>
      <c r="B337" t="str">
        <f>"09/01/2013 00:00"</f>
        <v>09/01/2013 00:00</v>
      </c>
      <c r="C337">
        <v>150</v>
      </c>
      <c r="D337" t="s">
        <v>7</v>
      </c>
      <c r="E337" s="2" t="s">
        <v>12</v>
      </c>
      <c r="F337">
        <f t="shared" si="5"/>
        <v>297.45</v>
      </c>
      <c r="G337" t="s">
        <v>16</v>
      </c>
      <c r="J337" t="str">
        <f>"09/01/2013 23:45"</f>
        <v>09/01/2013 23:45</v>
      </c>
    </row>
    <row r="338" spans="1:10" x14ac:dyDescent="0.3">
      <c r="A338" t="s">
        <v>6</v>
      </c>
      <c r="B338" t="str">
        <f>"09/02/2013 00:00"</f>
        <v>09/02/2013 00:00</v>
      </c>
      <c r="C338">
        <v>150</v>
      </c>
      <c r="D338" t="s">
        <v>7</v>
      </c>
      <c r="E338" s="2" t="s">
        <v>12</v>
      </c>
      <c r="F338">
        <f t="shared" si="5"/>
        <v>297.45</v>
      </c>
      <c r="G338" t="s">
        <v>16</v>
      </c>
      <c r="J338" t="str">
        <f>"09/02/2013 23:45"</f>
        <v>09/02/2013 23:45</v>
      </c>
    </row>
    <row r="339" spans="1:10" x14ac:dyDescent="0.3">
      <c r="A339" t="s">
        <v>6</v>
      </c>
      <c r="B339" t="str">
        <f>"09/03/2013 00:00"</f>
        <v>09/03/2013 00:00</v>
      </c>
      <c r="C339">
        <v>149</v>
      </c>
      <c r="D339" t="s">
        <v>7</v>
      </c>
      <c r="E339" s="2" t="s">
        <v>12</v>
      </c>
      <c r="F339">
        <f t="shared" si="5"/>
        <v>295.46700000000004</v>
      </c>
      <c r="G339" t="s">
        <v>16</v>
      </c>
      <c r="J339" t="str">
        <f>"09/03/2013 23:45"</f>
        <v>09/03/2013 23:45</v>
      </c>
    </row>
    <row r="340" spans="1:10" x14ac:dyDescent="0.3">
      <c r="A340" t="s">
        <v>6</v>
      </c>
      <c r="B340" t="str">
        <f>"09/04/2013 00:00"</f>
        <v>09/04/2013 00:00</v>
      </c>
      <c r="C340">
        <v>148</v>
      </c>
      <c r="D340" t="s">
        <v>7</v>
      </c>
      <c r="E340" s="2" t="s">
        <v>12</v>
      </c>
      <c r="F340">
        <f t="shared" si="5"/>
        <v>293.48400000000004</v>
      </c>
      <c r="G340" t="s">
        <v>16</v>
      </c>
      <c r="J340" t="str">
        <f>"09/04/2013 23:45"</f>
        <v>09/04/2013 23:45</v>
      </c>
    </row>
    <row r="341" spans="1:10" x14ac:dyDescent="0.3">
      <c r="A341" t="s">
        <v>6</v>
      </c>
      <c r="B341" t="str">
        <f>"09/05/2013 00:00"</f>
        <v>09/05/2013 00:00</v>
      </c>
      <c r="C341">
        <v>176</v>
      </c>
      <c r="D341" t="s">
        <v>7</v>
      </c>
      <c r="E341" s="2" t="s">
        <v>12</v>
      </c>
      <c r="F341">
        <f t="shared" si="5"/>
        <v>349.00800000000004</v>
      </c>
      <c r="G341" t="s">
        <v>16</v>
      </c>
      <c r="J341" t="str">
        <f>"09/05/2013 23:45"</f>
        <v>09/05/2013 23:45</v>
      </c>
    </row>
    <row r="342" spans="1:10" x14ac:dyDescent="0.3">
      <c r="A342" t="s">
        <v>6</v>
      </c>
      <c r="B342" t="str">
        <f>"09/06/2013 00:00"</f>
        <v>09/06/2013 00:00</v>
      </c>
      <c r="C342">
        <v>221</v>
      </c>
      <c r="D342" t="s">
        <v>7</v>
      </c>
      <c r="E342" s="2" t="s">
        <v>12</v>
      </c>
      <c r="F342">
        <f t="shared" si="5"/>
        <v>438.24299999999999</v>
      </c>
      <c r="G342" t="s">
        <v>16</v>
      </c>
      <c r="J342" t="str">
        <f>"09/06/2013 23:45"</f>
        <v>09/06/2013 23:45</v>
      </c>
    </row>
    <row r="343" spans="1:10" x14ac:dyDescent="0.3">
      <c r="A343" t="s">
        <v>6</v>
      </c>
      <c r="B343" t="str">
        <f>"09/07/2013 00:00"</f>
        <v>09/07/2013 00:00</v>
      </c>
      <c r="C343">
        <v>249</v>
      </c>
      <c r="D343" t="s">
        <v>7</v>
      </c>
      <c r="E343" s="2" t="s">
        <v>12</v>
      </c>
      <c r="F343">
        <f t="shared" si="5"/>
        <v>493.767</v>
      </c>
      <c r="G343" t="s">
        <v>16</v>
      </c>
      <c r="J343" t="str">
        <f>"09/07/2013 23:45"</f>
        <v>09/07/2013 23:45</v>
      </c>
    </row>
    <row r="344" spans="1:10" x14ac:dyDescent="0.3">
      <c r="A344" t="s">
        <v>6</v>
      </c>
      <c r="B344" t="str">
        <f>"09/08/2013 00:00"</f>
        <v>09/08/2013 00:00</v>
      </c>
      <c r="C344">
        <v>250</v>
      </c>
      <c r="D344" t="s">
        <v>7</v>
      </c>
      <c r="E344" s="2" t="s">
        <v>12</v>
      </c>
      <c r="F344">
        <f t="shared" si="5"/>
        <v>495.75</v>
      </c>
      <c r="G344" t="s">
        <v>16</v>
      </c>
      <c r="J344" t="str">
        <f>"09/08/2013 23:45"</f>
        <v>09/08/2013 23:45</v>
      </c>
    </row>
    <row r="345" spans="1:10" x14ac:dyDescent="0.3">
      <c r="A345" t="s">
        <v>6</v>
      </c>
      <c r="B345" t="str">
        <f>"09/09/2013 00:00"</f>
        <v>09/09/2013 00:00</v>
      </c>
      <c r="C345">
        <v>250</v>
      </c>
      <c r="D345" t="s">
        <v>7</v>
      </c>
      <c r="E345" s="2" t="s">
        <v>12</v>
      </c>
      <c r="F345">
        <f t="shared" si="5"/>
        <v>495.75</v>
      </c>
      <c r="G345" t="s">
        <v>16</v>
      </c>
      <c r="J345" t="str">
        <f>"09/09/2013 23:45"</f>
        <v>09/09/2013 23:45</v>
      </c>
    </row>
    <row r="346" spans="1:10" x14ac:dyDescent="0.3">
      <c r="A346" t="s">
        <v>6</v>
      </c>
      <c r="B346" t="str">
        <f>"09/10/2013 00:00"</f>
        <v>09/10/2013 00:00</v>
      </c>
      <c r="C346">
        <v>220</v>
      </c>
      <c r="D346" t="s">
        <v>7</v>
      </c>
      <c r="E346" s="2" t="s">
        <v>12</v>
      </c>
      <c r="F346">
        <f t="shared" si="5"/>
        <v>436.26000000000005</v>
      </c>
      <c r="G346" t="s">
        <v>16</v>
      </c>
      <c r="J346" t="str">
        <f>"09/10/2013 23:45"</f>
        <v>09/10/2013 23:45</v>
      </c>
    </row>
    <row r="347" spans="1:10" x14ac:dyDescent="0.3">
      <c r="A347" t="s">
        <v>6</v>
      </c>
      <c r="B347" t="str">
        <f>"09/11/2013 00:00"</f>
        <v>09/11/2013 00:00</v>
      </c>
      <c r="C347">
        <v>156</v>
      </c>
      <c r="D347" t="s">
        <v>7</v>
      </c>
      <c r="E347" s="2" t="s">
        <v>12</v>
      </c>
      <c r="F347">
        <f t="shared" si="5"/>
        <v>309.34800000000001</v>
      </c>
      <c r="G347" t="s">
        <v>16</v>
      </c>
      <c r="J347" t="str">
        <f>"09/11/2013 23:45"</f>
        <v>09/11/2013 23:45</v>
      </c>
    </row>
    <row r="348" spans="1:10" x14ac:dyDescent="0.3">
      <c r="A348" t="s">
        <v>6</v>
      </c>
      <c r="B348" t="str">
        <f>"09/12/2013 00:00"</f>
        <v>09/12/2013 00:00</v>
      </c>
      <c r="C348">
        <v>18.600000000000001</v>
      </c>
      <c r="D348" t="s">
        <v>7</v>
      </c>
      <c r="E348" s="2" t="s">
        <v>12</v>
      </c>
      <c r="F348">
        <f t="shared" si="5"/>
        <v>36.883800000000008</v>
      </c>
      <c r="G348" t="s">
        <v>16</v>
      </c>
      <c r="J348" t="str">
        <f>"09/12/2013 23:45"</f>
        <v>09/12/2013 23:45</v>
      </c>
    </row>
    <row r="349" spans="1:10" x14ac:dyDescent="0.3">
      <c r="A349" t="s">
        <v>6</v>
      </c>
      <c r="B349" t="str">
        <f>"09/13/2013 00:00"</f>
        <v>09/13/2013 00:00</v>
      </c>
      <c r="C349">
        <v>3.57</v>
      </c>
      <c r="D349" t="s">
        <v>7</v>
      </c>
      <c r="E349" s="2" t="s">
        <v>12</v>
      </c>
      <c r="F349">
        <f t="shared" si="5"/>
        <v>7.0793100000000004</v>
      </c>
      <c r="G349" t="s">
        <v>16</v>
      </c>
      <c r="J349" t="str">
        <f>"09/13/2013 23:45"</f>
        <v>09/13/2013 23:45</v>
      </c>
    </row>
    <row r="350" spans="1:10" x14ac:dyDescent="0.3">
      <c r="A350" t="s">
        <v>6</v>
      </c>
      <c r="B350" t="str">
        <f>"09/14/2013 00:00"</f>
        <v>09/14/2013 00:00</v>
      </c>
      <c r="C350">
        <v>3.28</v>
      </c>
      <c r="D350" t="s">
        <v>7</v>
      </c>
      <c r="E350" s="2" t="s">
        <v>12</v>
      </c>
      <c r="F350">
        <f t="shared" si="5"/>
        <v>6.5042400000000002</v>
      </c>
      <c r="G350" t="s">
        <v>16</v>
      </c>
      <c r="J350" t="str">
        <f>"09/14/2013 23:45"</f>
        <v>09/14/2013 23:45</v>
      </c>
    </row>
    <row r="351" spans="1:10" x14ac:dyDescent="0.3">
      <c r="A351" t="s">
        <v>6</v>
      </c>
      <c r="B351" t="str">
        <f>"09/15/2013 00:00"</f>
        <v>09/15/2013 00:00</v>
      </c>
      <c r="C351">
        <v>3.28</v>
      </c>
      <c r="D351" t="s">
        <v>7</v>
      </c>
      <c r="E351" s="2" t="s">
        <v>12</v>
      </c>
      <c r="F351">
        <f t="shared" si="5"/>
        <v>6.5042400000000002</v>
      </c>
      <c r="G351" t="s">
        <v>16</v>
      </c>
      <c r="J351" t="str">
        <f>"09/15/2013 23:45"</f>
        <v>09/15/2013 23:45</v>
      </c>
    </row>
    <row r="352" spans="1:10" x14ac:dyDescent="0.3">
      <c r="A352" t="s">
        <v>6</v>
      </c>
      <c r="B352" t="str">
        <f>"09/16/2013 00:00"</f>
        <v>09/16/2013 00:00</v>
      </c>
      <c r="C352">
        <v>3.28</v>
      </c>
      <c r="D352" t="s">
        <v>7</v>
      </c>
      <c r="E352" s="2" t="s">
        <v>12</v>
      </c>
      <c r="F352">
        <f t="shared" si="5"/>
        <v>6.5042400000000002</v>
      </c>
      <c r="G352" t="s">
        <v>16</v>
      </c>
      <c r="J352" t="str">
        <f>"09/16/2013 23:45"</f>
        <v>09/16/2013 23:45</v>
      </c>
    </row>
    <row r="353" spans="1:10" x14ac:dyDescent="0.3">
      <c r="A353" t="s">
        <v>6</v>
      </c>
      <c r="B353" t="str">
        <f>"09/17/2013 00:00"</f>
        <v>09/17/2013 00:00</v>
      </c>
      <c r="C353">
        <v>3.01</v>
      </c>
      <c r="D353" t="s">
        <v>7</v>
      </c>
      <c r="E353" s="2" t="s">
        <v>12</v>
      </c>
      <c r="F353">
        <f t="shared" si="5"/>
        <v>5.9688299999999996</v>
      </c>
      <c r="G353" t="s">
        <v>16</v>
      </c>
      <c r="J353" t="str">
        <f>"09/17/2013 23:45"</f>
        <v>09/17/2013 23:45</v>
      </c>
    </row>
    <row r="354" spans="1:10" x14ac:dyDescent="0.3">
      <c r="A354" t="s">
        <v>6</v>
      </c>
      <c r="B354" t="str">
        <f>"09/18/2013 00:00"</f>
        <v>09/18/2013 00:00</v>
      </c>
      <c r="C354">
        <v>2.91</v>
      </c>
      <c r="D354" t="s">
        <v>7</v>
      </c>
      <c r="E354" s="2" t="s">
        <v>12</v>
      </c>
      <c r="F354">
        <f t="shared" si="5"/>
        <v>5.7705300000000008</v>
      </c>
      <c r="G354" t="s">
        <v>16</v>
      </c>
      <c r="J354" t="str">
        <f>"09/18/2013 23:45"</f>
        <v>09/18/2013 23:45</v>
      </c>
    </row>
    <row r="355" spans="1:10" x14ac:dyDescent="0.3">
      <c r="A355" t="s">
        <v>6</v>
      </c>
      <c r="B355" t="str">
        <f>"09/19/2013 00:00"</f>
        <v>09/19/2013 00:00</v>
      </c>
      <c r="C355">
        <v>3.09</v>
      </c>
      <c r="D355" t="s">
        <v>7</v>
      </c>
      <c r="E355" s="2" t="s">
        <v>12</v>
      </c>
      <c r="F355">
        <f t="shared" si="5"/>
        <v>6.1274699999999998</v>
      </c>
      <c r="G355" t="s">
        <v>16</v>
      </c>
      <c r="J355" t="str">
        <f>"09/19/2013 23:45"</f>
        <v>09/19/2013 23:45</v>
      </c>
    </row>
    <row r="356" spans="1:10" x14ac:dyDescent="0.3">
      <c r="A356" t="s">
        <v>6</v>
      </c>
      <c r="B356" t="str">
        <f>"09/20/2013 00:00"</f>
        <v>09/20/2013 00:00</v>
      </c>
      <c r="C356">
        <v>3.09</v>
      </c>
      <c r="D356" t="s">
        <v>7</v>
      </c>
      <c r="E356" s="2" t="s">
        <v>12</v>
      </c>
      <c r="F356">
        <f t="shared" si="5"/>
        <v>6.1274699999999998</v>
      </c>
      <c r="G356" t="s">
        <v>16</v>
      </c>
      <c r="J356" t="str">
        <f>"09/20/2013 23:45"</f>
        <v>09/20/2013 23:45</v>
      </c>
    </row>
    <row r="357" spans="1:10" x14ac:dyDescent="0.3">
      <c r="A357" t="s">
        <v>6</v>
      </c>
      <c r="B357" t="str">
        <f>"09/21/2013 00:00"</f>
        <v>09/21/2013 00:00</v>
      </c>
      <c r="C357">
        <v>2.91</v>
      </c>
      <c r="D357" t="s">
        <v>7</v>
      </c>
      <c r="E357" s="2" t="s">
        <v>12</v>
      </c>
      <c r="F357">
        <f t="shared" si="5"/>
        <v>5.7705300000000008</v>
      </c>
      <c r="G357" t="s">
        <v>16</v>
      </c>
      <c r="J357" t="str">
        <f>"09/21/2013 23:45"</f>
        <v>09/21/2013 23:45</v>
      </c>
    </row>
    <row r="358" spans="1:10" x14ac:dyDescent="0.3">
      <c r="A358" t="s">
        <v>6</v>
      </c>
      <c r="B358" t="str">
        <f>"09/22/2013 00:00"</f>
        <v>09/22/2013 00:00</v>
      </c>
      <c r="C358">
        <v>3.15</v>
      </c>
      <c r="D358" t="s">
        <v>7</v>
      </c>
      <c r="E358" s="2" t="s">
        <v>12</v>
      </c>
      <c r="F358">
        <f t="shared" si="5"/>
        <v>6.2464500000000003</v>
      </c>
      <c r="G358" t="s">
        <v>16</v>
      </c>
      <c r="J358" t="str">
        <f>"09/22/2013 23:45"</f>
        <v>09/22/2013 23:45</v>
      </c>
    </row>
    <row r="359" spans="1:10" x14ac:dyDescent="0.3">
      <c r="A359" t="s">
        <v>6</v>
      </c>
      <c r="B359" t="str">
        <f>"09/23/2013 00:00"</f>
        <v>09/23/2013 00:00</v>
      </c>
      <c r="C359">
        <v>3.06</v>
      </c>
      <c r="D359" t="s">
        <v>7</v>
      </c>
      <c r="E359" s="2" t="s">
        <v>12</v>
      </c>
      <c r="F359">
        <f t="shared" si="5"/>
        <v>6.0679800000000004</v>
      </c>
      <c r="G359" t="s">
        <v>16</v>
      </c>
      <c r="J359" t="str">
        <f>"09/23/2013 23:45"</f>
        <v>09/23/2013 23:45</v>
      </c>
    </row>
    <row r="360" spans="1:10" x14ac:dyDescent="0.3">
      <c r="A360" t="s">
        <v>6</v>
      </c>
      <c r="B360" t="str">
        <f>"09/24/2013 00:00"</f>
        <v>09/24/2013 00:00</v>
      </c>
      <c r="C360">
        <v>2.91</v>
      </c>
      <c r="D360" t="s">
        <v>7</v>
      </c>
      <c r="E360" s="2" t="s">
        <v>12</v>
      </c>
      <c r="F360">
        <f t="shared" si="5"/>
        <v>5.7705300000000008</v>
      </c>
      <c r="G360" t="s">
        <v>16</v>
      </c>
      <c r="J360" t="str">
        <f>"09/24/2013 23:45"</f>
        <v>09/24/2013 23:45</v>
      </c>
    </row>
    <row r="361" spans="1:10" x14ac:dyDescent="0.3">
      <c r="A361" t="s">
        <v>6</v>
      </c>
      <c r="B361" t="str">
        <f>"09/25/2013 00:00"</f>
        <v>09/25/2013 00:00</v>
      </c>
      <c r="C361">
        <v>2.91</v>
      </c>
      <c r="D361" t="s">
        <v>7</v>
      </c>
      <c r="E361" s="2" t="s">
        <v>12</v>
      </c>
      <c r="F361">
        <f t="shared" si="5"/>
        <v>5.7705300000000008</v>
      </c>
      <c r="G361" t="s">
        <v>16</v>
      </c>
      <c r="J361" t="str">
        <f>"09/25/2013 23:45"</f>
        <v>09/25/2013 23:45</v>
      </c>
    </row>
    <row r="362" spans="1:10" x14ac:dyDescent="0.3">
      <c r="A362" t="s">
        <v>6</v>
      </c>
      <c r="B362" t="str">
        <f>"09/26/2013 00:00"</f>
        <v>09/26/2013 00:00</v>
      </c>
      <c r="C362">
        <v>2.91</v>
      </c>
      <c r="D362" t="s">
        <v>7</v>
      </c>
      <c r="E362" s="2" t="s">
        <v>12</v>
      </c>
      <c r="F362">
        <f t="shared" si="5"/>
        <v>5.7705300000000008</v>
      </c>
      <c r="G362" t="s">
        <v>16</v>
      </c>
      <c r="J362" t="str">
        <f>"09/26/2013 23:45"</f>
        <v>09/26/2013 23:45</v>
      </c>
    </row>
    <row r="363" spans="1:10" x14ac:dyDescent="0.3">
      <c r="A363" t="s">
        <v>6</v>
      </c>
      <c r="B363" t="str">
        <f>"09/27/2013 00:00"</f>
        <v>09/27/2013 00:00</v>
      </c>
      <c r="C363">
        <v>2.94</v>
      </c>
      <c r="D363" t="s">
        <v>7</v>
      </c>
      <c r="E363" s="2" t="s">
        <v>12</v>
      </c>
      <c r="F363">
        <f t="shared" si="5"/>
        <v>5.8300200000000002</v>
      </c>
      <c r="G363" t="s">
        <v>16</v>
      </c>
      <c r="J363" t="str">
        <f>"09/27/2013 23:45"</f>
        <v>09/27/2013 23:45</v>
      </c>
    </row>
    <row r="364" spans="1:10" x14ac:dyDescent="0.3">
      <c r="A364" t="s">
        <v>6</v>
      </c>
      <c r="B364" t="str">
        <f>"09/28/2013 00:00"</f>
        <v>09/28/2013 00:00</v>
      </c>
      <c r="C364">
        <v>2.91</v>
      </c>
      <c r="D364" t="s">
        <v>7</v>
      </c>
      <c r="E364" s="2" t="s">
        <v>12</v>
      </c>
      <c r="F364">
        <f t="shared" si="5"/>
        <v>5.7705300000000008</v>
      </c>
      <c r="G364" t="s">
        <v>16</v>
      </c>
      <c r="J364" t="str">
        <f>"09/28/2013 23:45"</f>
        <v>09/28/2013 23:45</v>
      </c>
    </row>
    <row r="365" spans="1:10" x14ac:dyDescent="0.3">
      <c r="A365" t="s">
        <v>6</v>
      </c>
      <c r="B365" t="str">
        <f>"09/29/2013 00:00"</f>
        <v>09/29/2013 00:00</v>
      </c>
      <c r="C365">
        <v>2.91</v>
      </c>
      <c r="D365" t="s">
        <v>7</v>
      </c>
      <c r="E365" s="2" t="s">
        <v>12</v>
      </c>
      <c r="F365">
        <f t="shared" si="5"/>
        <v>5.7705300000000008</v>
      </c>
      <c r="G365" t="s">
        <v>16</v>
      </c>
      <c r="J365" t="str">
        <f>"09/29/2013 23:45"</f>
        <v>09/29/2013 23:45</v>
      </c>
    </row>
    <row r="366" spans="1:10" x14ac:dyDescent="0.3">
      <c r="A366" t="s">
        <v>6</v>
      </c>
      <c r="B366" t="str">
        <f>"09/30/2013 00:00"</f>
        <v>09/30/2013 00:00</v>
      </c>
      <c r="C366">
        <v>2.91</v>
      </c>
      <c r="D366" t="s">
        <v>7</v>
      </c>
      <c r="E366" s="2" t="s">
        <v>12</v>
      </c>
      <c r="F366">
        <f t="shared" si="5"/>
        <v>5.7705300000000008</v>
      </c>
      <c r="G366" t="s">
        <v>16</v>
      </c>
      <c r="J366" t="str">
        <f>"09/30/2013 23:45"</f>
        <v>09/30/2013 23:45</v>
      </c>
    </row>
    <row r="367" spans="1:10" s="4" customFormat="1" x14ac:dyDescent="0.3">
      <c r="B367" s="4" t="s">
        <v>27</v>
      </c>
      <c r="E367" s="2" t="s">
        <v>12</v>
      </c>
      <c r="F367" s="5">
        <f>SUM(F2:F366)</f>
        <v>84820.802340000038</v>
      </c>
      <c r="G367" s="4" t="s">
        <v>19</v>
      </c>
    </row>
    <row r="368" spans="1:10" x14ac:dyDescent="0.3">
      <c r="A368" t="s">
        <v>6</v>
      </c>
      <c r="B368" t="str">
        <f>"10/01/2013 00:00"</f>
        <v>10/01/2013 00:00</v>
      </c>
      <c r="C368">
        <v>2.91</v>
      </c>
      <c r="D368" t="s">
        <v>7</v>
      </c>
      <c r="E368" s="2" t="s">
        <v>12</v>
      </c>
      <c r="F368">
        <f t="shared" si="5"/>
        <v>5.7705300000000008</v>
      </c>
      <c r="G368" t="s">
        <v>16</v>
      </c>
      <c r="J368" t="str">
        <f>"10/01/2013 23:45"</f>
        <v>10/01/2013 23:45</v>
      </c>
    </row>
    <row r="369" spans="1:10" x14ac:dyDescent="0.3">
      <c r="A369" t="s">
        <v>6</v>
      </c>
      <c r="B369" t="str">
        <f>"10/02/2013 00:00"</f>
        <v>10/02/2013 00:00</v>
      </c>
      <c r="C369">
        <v>2.91</v>
      </c>
      <c r="D369" t="s">
        <v>7</v>
      </c>
      <c r="E369" s="2" t="s">
        <v>12</v>
      </c>
      <c r="F369">
        <f t="shared" si="5"/>
        <v>5.7705300000000008</v>
      </c>
      <c r="G369" t="s">
        <v>16</v>
      </c>
      <c r="J369" t="str">
        <f>"10/02/2013 23:45"</f>
        <v>10/02/2013 23:45</v>
      </c>
    </row>
    <row r="370" spans="1:10" x14ac:dyDescent="0.3">
      <c r="A370" t="s">
        <v>6</v>
      </c>
      <c r="B370" t="str">
        <f>"10/03/2013 00:00"</f>
        <v>10/03/2013 00:00</v>
      </c>
      <c r="C370">
        <v>2.91</v>
      </c>
      <c r="D370" t="s">
        <v>7</v>
      </c>
      <c r="E370" s="2" t="s">
        <v>12</v>
      </c>
      <c r="F370">
        <f t="shared" si="5"/>
        <v>5.7705300000000008</v>
      </c>
      <c r="G370" t="s">
        <v>16</v>
      </c>
      <c r="J370" t="str">
        <f>"10/03/2013 23:45"</f>
        <v>10/03/2013 23:45</v>
      </c>
    </row>
    <row r="371" spans="1:10" x14ac:dyDescent="0.3">
      <c r="A371" t="s">
        <v>6</v>
      </c>
      <c r="B371" t="str">
        <f>"10/04/2013 00:00"</f>
        <v>10/04/2013 00:00</v>
      </c>
      <c r="C371">
        <v>3.02</v>
      </c>
      <c r="D371" t="s">
        <v>7</v>
      </c>
      <c r="E371" s="2" t="s">
        <v>12</v>
      </c>
      <c r="F371">
        <f t="shared" si="5"/>
        <v>5.9886600000000003</v>
      </c>
      <c r="G371" t="s">
        <v>16</v>
      </c>
      <c r="J371" t="str">
        <f>"10/04/2013 23:45"</f>
        <v>10/04/2013 23:45</v>
      </c>
    </row>
    <row r="372" spans="1:10" x14ac:dyDescent="0.3">
      <c r="A372" t="s">
        <v>6</v>
      </c>
      <c r="B372" t="str">
        <f>"10/05/2013 00:00"</f>
        <v>10/05/2013 00:00</v>
      </c>
      <c r="C372">
        <v>2.91</v>
      </c>
      <c r="D372" t="s">
        <v>7</v>
      </c>
      <c r="E372" s="2" t="s">
        <v>12</v>
      </c>
      <c r="F372">
        <f t="shared" si="5"/>
        <v>5.7705300000000008</v>
      </c>
      <c r="G372" t="s">
        <v>16</v>
      </c>
      <c r="J372" t="str">
        <f>"10/05/2013 23:45"</f>
        <v>10/05/2013 23:45</v>
      </c>
    </row>
    <row r="373" spans="1:10" x14ac:dyDescent="0.3">
      <c r="A373" t="s">
        <v>6</v>
      </c>
      <c r="B373" t="str">
        <f>"10/06/2013 00:00"</f>
        <v>10/06/2013 00:00</v>
      </c>
      <c r="C373">
        <v>2.91</v>
      </c>
      <c r="D373" t="s">
        <v>7</v>
      </c>
      <c r="E373" s="2" t="s">
        <v>12</v>
      </c>
      <c r="F373">
        <f t="shared" si="5"/>
        <v>5.7705300000000008</v>
      </c>
      <c r="G373" t="s">
        <v>16</v>
      </c>
      <c r="J373" t="str">
        <f>"10/06/2013 23:45"</f>
        <v>10/06/2013 23:45</v>
      </c>
    </row>
    <row r="374" spans="1:10" x14ac:dyDescent="0.3">
      <c r="A374" t="s">
        <v>6</v>
      </c>
      <c r="B374" t="str">
        <f>"10/07/2013 00:00"</f>
        <v>10/07/2013 00:00</v>
      </c>
      <c r="C374">
        <v>2.91</v>
      </c>
      <c r="D374" t="s">
        <v>7</v>
      </c>
      <c r="E374" s="2" t="s">
        <v>12</v>
      </c>
      <c r="F374">
        <f t="shared" si="5"/>
        <v>5.7705300000000008</v>
      </c>
      <c r="G374" t="s">
        <v>16</v>
      </c>
      <c r="J374" t="str">
        <f>"10/07/2013 23:45"</f>
        <v>10/07/2013 23:45</v>
      </c>
    </row>
    <row r="375" spans="1:10" x14ac:dyDescent="0.3">
      <c r="A375" t="s">
        <v>6</v>
      </c>
      <c r="B375" t="str">
        <f>"10/08/2013 00:00"</f>
        <v>10/08/2013 00:00</v>
      </c>
      <c r="C375">
        <v>2.92</v>
      </c>
      <c r="D375" t="s">
        <v>7</v>
      </c>
      <c r="E375" s="2" t="s">
        <v>12</v>
      </c>
      <c r="F375">
        <f t="shared" si="5"/>
        <v>5.7903599999999997</v>
      </c>
      <c r="G375" t="s">
        <v>16</v>
      </c>
      <c r="J375" t="str">
        <f>"10/08/2013 23:45"</f>
        <v>10/08/2013 23:45</v>
      </c>
    </row>
    <row r="376" spans="1:10" x14ac:dyDescent="0.3">
      <c r="A376" t="s">
        <v>6</v>
      </c>
      <c r="B376" t="str">
        <f>"10/09/2013 00:00"</f>
        <v>10/09/2013 00:00</v>
      </c>
      <c r="C376">
        <v>3.27</v>
      </c>
      <c r="D376" t="s">
        <v>7</v>
      </c>
      <c r="E376" s="2" t="s">
        <v>12</v>
      </c>
      <c r="F376">
        <f t="shared" si="5"/>
        <v>6.4844100000000005</v>
      </c>
      <c r="G376" t="s">
        <v>16</v>
      </c>
      <c r="J376" t="str">
        <f>"10/09/2013 23:45"</f>
        <v>10/09/2013 23:45</v>
      </c>
    </row>
    <row r="377" spans="1:10" x14ac:dyDescent="0.3">
      <c r="A377" t="s">
        <v>6</v>
      </c>
      <c r="B377" t="str">
        <f>"10/10/2013 00:00"</f>
        <v>10/10/2013 00:00</v>
      </c>
      <c r="C377">
        <v>3.28</v>
      </c>
      <c r="D377" t="s">
        <v>7</v>
      </c>
      <c r="E377" s="2" t="s">
        <v>12</v>
      </c>
      <c r="F377">
        <f t="shared" si="5"/>
        <v>6.5042400000000002</v>
      </c>
      <c r="G377" t="s">
        <v>16</v>
      </c>
      <c r="J377" t="str">
        <f>"10/10/2013 23:45"</f>
        <v>10/10/2013 23:45</v>
      </c>
    </row>
    <row r="378" spans="1:10" x14ac:dyDescent="0.3">
      <c r="A378" t="s">
        <v>6</v>
      </c>
      <c r="B378" t="str">
        <f>"10/11/2013 00:00"</f>
        <v>10/11/2013 00:00</v>
      </c>
      <c r="C378">
        <v>2.98</v>
      </c>
      <c r="D378" t="s">
        <v>7</v>
      </c>
      <c r="E378" s="2" t="s">
        <v>12</v>
      </c>
      <c r="F378">
        <f t="shared" si="5"/>
        <v>5.9093400000000003</v>
      </c>
      <c r="G378" t="s">
        <v>16</v>
      </c>
      <c r="J378" t="str">
        <f>"10/11/2013 23:45"</f>
        <v>10/11/2013 23:45</v>
      </c>
    </row>
    <row r="379" spans="1:10" x14ac:dyDescent="0.3">
      <c r="A379" t="s">
        <v>6</v>
      </c>
      <c r="B379" t="str">
        <f>"10/12/2013 00:00"</f>
        <v>10/12/2013 00:00</v>
      </c>
      <c r="C379">
        <v>3.02</v>
      </c>
      <c r="D379" t="s">
        <v>7</v>
      </c>
      <c r="E379" s="2" t="s">
        <v>12</v>
      </c>
      <c r="F379">
        <f t="shared" si="5"/>
        <v>5.9886600000000003</v>
      </c>
      <c r="G379" t="s">
        <v>16</v>
      </c>
      <c r="J379" t="str">
        <f>"10/12/2013 23:45"</f>
        <v>10/12/2013 23:45</v>
      </c>
    </row>
    <row r="380" spans="1:10" x14ac:dyDescent="0.3">
      <c r="A380" t="s">
        <v>6</v>
      </c>
      <c r="B380" t="str">
        <f>"10/13/2013 00:00"</f>
        <v>10/13/2013 00:00</v>
      </c>
      <c r="C380">
        <v>3.26</v>
      </c>
      <c r="D380" t="s">
        <v>7</v>
      </c>
      <c r="E380" s="2" t="s">
        <v>12</v>
      </c>
      <c r="F380">
        <f t="shared" si="5"/>
        <v>6.4645799999999998</v>
      </c>
      <c r="G380" t="s">
        <v>16</v>
      </c>
      <c r="J380" t="str">
        <f>"10/13/2013 23:45"</f>
        <v>10/13/2013 23:45</v>
      </c>
    </row>
    <row r="381" spans="1:10" x14ac:dyDescent="0.3">
      <c r="A381" t="s">
        <v>6</v>
      </c>
      <c r="B381" t="str">
        <f>"10/14/2013 00:00"</f>
        <v>10/14/2013 00:00</v>
      </c>
      <c r="C381">
        <v>3.28</v>
      </c>
      <c r="D381" t="s">
        <v>7</v>
      </c>
      <c r="E381" s="2" t="s">
        <v>12</v>
      </c>
      <c r="F381">
        <f t="shared" si="5"/>
        <v>6.5042400000000002</v>
      </c>
      <c r="G381" t="s">
        <v>16</v>
      </c>
      <c r="J381" t="str">
        <f>"10/14/2013 23:45"</f>
        <v>10/14/2013 23:45</v>
      </c>
    </row>
    <row r="382" spans="1:10" x14ac:dyDescent="0.3">
      <c r="A382" t="s">
        <v>6</v>
      </c>
      <c r="B382" t="str">
        <f>"10/15/2013 00:00"</f>
        <v>10/15/2013 00:00</v>
      </c>
      <c r="C382">
        <v>3.28</v>
      </c>
      <c r="D382" t="s">
        <v>7</v>
      </c>
      <c r="E382" s="2" t="s">
        <v>12</v>
      </c>
      <c r="F382">
        <f t="shared" si="5"/>
        <v>6.5042400000000002</v>
      </c>
      <c r="G382" t="s">
        <v>16</v>
      </c>
      <c r="J382" t="str">
        <f>"10/15/2013 23:45"</f>
        <v>10/15/2013 23:45</v>
      </c>
    </row>
    <row r="383" spans="1:10" x14ac:dyDescent="0.3">
      <c r="A383" t="s">
        <v>6</v>
      </c>
      <c r="B383" t="str">
        <f>"10/16/2013 00:00"</f>
        <v>10/16/2013 00:00</v>
      </c>
      <c r="C383">
        <v>3.2</v>
      </c>
      <c r="D383" t="s">
        <v>7</v>
      </c>
      <c r="E383" s="2" t="s">
        <v>12</v>
      </c>
      <c r="F383">
        <f t="shared" si="5"/>
        <v>6.345600000000001</v>
      </c>
      <c r="G383" t="s">
        <v>16</v>
      </c>
      <c r="J383" t="str">
        <f>"10/16/2013 23:45"</f>
        <v>10/16/2013 23:45</v>
      </c>
    </row>
    <row r="384" spans="1:10" x14ac:dyDescent="0.3">
      <c r="A384" t="s">
        <v>6</v>
      </c>
      <c r="B384" t="str">
        <f>"10/17/2013 00:00"</f>
        <v>10/17/2013 00:00</v>
      </c>
      <c r="C384">
        <v>2.99</v>
      </c>
      <c r="D384" t="s">
        <v>7</v>
      </c>
      <c r="E384" s="2" t="s">
        <v>12</v>
      </c>
      <c r="F384">
        <f t="shared" si="5"/>
        <v>5.9291700000000009</v>
      </c>
      <c r="G384" t="s">
        <v>16</v>
      </c>
      <c r="J384" t="str">
        <f>"10/17/2013 23:45"</f>
        <v>10/17/2013 23:45</v>
      </c>
    </row>
    <row r="385" spans="1:10" x14ac:dyDescent="0.3">
      <c r="A385" t="s">
        <v>6</v>
      </c>
      <c r="B385" t="str">
        <f>"10/18/2013 00:00"</f>
        <v>10/18/2013 00:00</v>
      </c>
      <c r="C385">
        <v>2.99</v>
      </c>
      <c r="D385" t="s">
        <v>7</v>
      </c>
      <c r="E385" s="2" t="s">
        <v>12</v>
      </c>
      <c r="F385">
        <f t="shared" si="5"/>
        <v>5.9291700000000009</v>
      </c>
      <c r="G385" t="s">
        <v>16</v>
      </c>
      <c r="J385" t="str">
        <f>"10/18/2013 23:45"</f>
        <v>10/18/2013 23:45</v>
      </c>
    </row>
    <row r="386" spans="1:10" x14ac:dyDescent="0.3">
      <c r="A386" t="s">
        <v>6</v>
      </c>
      <c r="B386" t="str">
        <f>"10/19/2013 00:00"</f>
        <v>10/19/2013 00:00</v>
      </c>
      <c r="C386">
        <v>3.04</v>
      </c>
      <c r="D386" t="s">
        <v>7</v>
      </c>
      <c r="E386" s="2" t="s">
        <v>12</v>
      </c>
      <c r="F386">
        <f t="shared" si="5"/>
        <v>6.0283200000000008</v>
      </c>
      <c r="G386" t="s">
        <v>16</v>
      </c>
      <c r="J386" t="str">
        <f>"10/19/2013 23:45"</f>
        <v>10/19/2013 23:45</v>
      </c>
    </row>
    <row r="387" spans="1:10" x14ac:dyDescent="0.3">
      <c r="A387" t="s">
        <v>6</v>
      </c>
      <c r="B387" t="str">
        <f>"10/20/2013 00:00"</f>
        <v>10/20/2013 00:00</v>
      </c>
      <c r="C387">
        <v>2.91</v>
      </c>
      <c r="D387" t="s">
        <v>7</v>
      </c>
      <c r="E387" s="2" t="s">
        <v>12</v>
      </c>
      <c r="F387">
        <f t="shared" si="5"/>
        <v>5.7705300000000008</v>
      </c>
      <c r="G387" t="s">
        <v>16</v>
      </c>
      <c r="J387" t="str">
        <f>"10/20/2013 23:45"</f>
        <v>10/20/2013 23:45</v>
      </c>
    </row>
    <row r="388" spans="1:10" x14ac:dyDescent="0.3">
      <c r="A388" t="s">
        <v>6</v>
      </c>
      <c r="B388" t="str">
        <f>"10/21/2013 00:00"</f>
        <v>10/21/2013 00:00</v>
      </c>
      <c r="C388">
        <v>2.94</v>
      </c>
      <c r="D388" t="s">
        <v>7</v>
      </c>
      <c r="E388" s="2" t="s">
        <v>12</v>
      </c>
      <c r="F388">
        <f t="shared" ref="F388:F451" si="6">C388*1.983</f>
        <v>5.8300200000000002</v>
      </c>
      <c r="G388" t="s">
        <v>16</v>
      </c>
      <c r="J388" t="str">
        <f>"10/21/2013 23:45"</f>
        <v>10/21/2013 23:45</v>
      </c>
    </row>
    <row r="389" spans="1:10" x14ac:dyDescent="0.3">
      <c r="A389" t="s">
        <v>6</v>
      </c>
      <c r="B389" t="str">
        <f>"10/22/2013 00:00"</f>
        <v>10/22/2013 00:00</v>
      </c>
      <c r="C389">
        <v>2.91</v>
      </c>
      <c r="D389" t="s">
        <v>7</v>
      </c>
      <c r="E389" s="2" t="s">
        <v>12</v>
      </c>
      <c r="F389">
        <f t="shared" si="6"/>
        <v>5.7705300000000008</v>
      </c>
      <c r="G389" t="s">
        <v>16</v>
      </c>
      <c r="J389" t="str">
        <f>"10/22/2013 23:45"</f>
        <v>10/22/2013 23:45</v>
      </c>
    </row>
    <row r="390" spans="1:10" x14ac:dyDescent="0.3">
      <c r="A390" t="s">
        <v>6</v>
      </c>
      <c r="B390" t="str">
        <f>"10/23/2013 00:00"</f>
        <v>10/23/2013 00:00</v>
      </c>
      <c r="C390">
        <v>2.91</v>
      </c>
      <c r="D390" t="s">
        <v>7</v>
      </c>
      <c r="E390" s="2" t="s">
        <v>12</v>
      </c>
      <c r="F390">
        <f t="shared" si="6"/>
        <v>5.7705300000000008</v>
      </c>
      <c r="G390" t="s">
        <v>16</v>
      </c>
      <c r="J390" t="str">
        <f>"10/23/2013 23:45"</f>
        <v>10/23/2013 23:45</v>
      </c>
    </row>
    <row r="391" spans="1:10" x14ac:dyDescent="0.3">
      <c r="A391" t="s">
        <v>6</v>
      </c>
      <c r="B391" t="str">
        <f>"10/24/2013 00:00"</f>
        <v>10/24/2013 00:00</v>
      </c>
      <c r="C391">
        <v>2.91</v>
      </c>
      <c r="D391" t="s">
        <v>7</v>
      </c>
      <c r="E391" s="2" t="s">
        <v>12</v>
      </c>
      <c r="F391">
        <f t="shared" si="6"/>
        <v>5.7705300000000008</v>
      </c>
      <c r="G391" t="s">
        <v>16</v>
      </c>
      <c r="J391" t="str">
        <f>"10/24/2013 23:45"</f>
        <v>10/24/2013 23:45</v>
      </c>
    </row>
    <row r="392" spans="1:10" x14ac:dyDescent="0.3">
      <c r="A392" t="s">
        <v>6</v>
      </c>
      <c r="B392" t="str">
        <f>"10/25/2013 00:00"</f>
        <v>10/25/2013 00:00</v>
      </c>
      <c r="C392">
        <v>2.91</v>
      </c>
      <c r="D392" t="s">
        <v>7</v>
      </c>
      <c r="E392" s="2" t="s">
        <v>12</v>
      </c>
      <c r="F392">
        <f t="shared" si="6"/>
        <v>5.7705300000000008</v>
      </c>
      <c r="G392" t="s">
        <v>16</v>
      </c>
      <c r="J392" t="str">
        <f>"10/25/2013 23:45"</f>
        <v>10/25/2013 23:45</v>
      </c>
    </row>
    <row r="393" spans="1:10" x14ac:dyDescent="0.3">
      <c r="A393" t="s">
        <v>6</v>
      </c>
      <c r="B393" t="str">
        <f>"10/26/2013 00:00"</f>
        <v>10/26/2013 00:00</v>
      </c>
      <c r="C393">
        <v>3.13</v>
      </c>
      <c r="D393" t="s">
        <v>7</v>
      </c>
      <c r="E393" s="2" t="s">
        <v>12</v>
      </c>
      <c r="F393">
        <f t="shared" si="6"/>
        <v>6.2067899999999998</v>
      </c>
      <c r="G393" t="s">
        <v>16</v>
      </c>
      <c r="J393" t="str">
        <f>"10/26/2013 23:45"</f>
        <v>10/26/2013 23:45</v>
      </c>
    </row>
    <row r="394" spans="1:10" x14ac:dyDescent="0.3">
      <c r="A394" t="s">
        <v>6</v>
      </c>
      <c r="B394" t="str">
        <f>"10/27/2013 00:00"</f>
        <v>10/27/2013 00:00</v>
      </c>
      <c r="C394">
        <v>3.12</v>
      </c>
      <c r="D394" t="s">
        <v>7</v>
      </c>
      <c r="E394" s="2" t="s">
        <v>12</v>
      </c>
      <c r="F394">
        <f t="shared" si="6"/>
        <v>6.1869600000000009</v>
      </c>
      <c r="G394" t="s">
        <v>16</v>
      </c>
      <c r="J394" t="str">
        <f>"10/27/2013 23:45"</f>
        <v>10/27/2013 23:45</v>
      </c>
    </row>
    <row r="395" spans="1:10" x14ac:dyDescent="0.3">
      <c r="A395" t="s">
        <v>6</v>
      </c>
      <c r="B395" t="str">
        <f>"10/28/2013 00:00"</f>
        <v>10/28/2013 00:00</v>
      </c>
      <c r="C395">
        <v>3.28</v>
      </c>
      <c r="D395" t="s">
        <v>7</v>
      </c>
      <c r="E395" s="2" t="s">
        <v>12</v>
      </c>
      <c r="F395">
        <f t="shared" si="6"/>
        <v>6.5042400000000002</v>
      </c>
      <c r="G395" t="s">
        <v>16</v>
      </c>
      <c r="J395" t="str">
        <f>"10/28/2013 23:45"</f>
        <v>10/28/2013 23:45</v>
      </c>
    </row>
    <row r="396" spans="1:10" x14ac:dyDescent="0.3">
      <c r="A396" t="s">
        <v>6</v>
      </c>
      <c r="B396" t="str">
        <f>"10/29/2013 00:00"</f>
        <v>10/29/2013 00:00</v>
      </c>
      <c r="C396">
        <v>3.27</v>
      </c>
      <c r="D396" t="s">
        <v>7</v>
      </c>
      <c r="E396" s="2" t="s">
        <v>12</v>
      </c>
      <c r="F396">
        <f t="shared" si="6"/>
        <v>6.4844100000000005</v>
      </c>
      <c r="G396" t="s">
        <v>16</v>
      </c>
      <c r="J396" t="str">
        <f>"10/29/2013 23:45"</f>
        <v>10/29/2013 23:45</v>
      </c>
    </row>
    <row r="397" spans="1:10" x14ac:dyDescent="0.3">
      <c r="A397" t="s">
        <v>6</v>
      </c>
      <c r="B397" t="str">
        <f>"10/30/2013 00:00"</f>
        <v>10/30/2013 00:00</v>
      </c>
      <c r="C397">
        <v>3.28</v>
      </c>
      <c r="D397" t="s">
        <v>7</v>
      </c>
      <c r="E397" s="2" t="s">
        <v>12</v>
      </c>
      <c r="F397">
        <f t="shared" si="6"/>
        <v>6.5042400000000002</v>
      </c>
      <c r="G397" t="s">
        <v>16</v>
      </c>
      <c r="J397" t="str">
        <f>"10/30/2013 23:45"</f>
        <v>10/30/2013 23:45</v>
      </c>
    </row>
    <row r="398" spans="1:10" x14ac:dyDescent="0.3">
      <c r="A398" t="s">
        <v>6</v>
      </c>
      <c r="B398" t="str">
        <f>"10/31/2013 00:00"</f>
        <v>10/31/2013 00:00</v>
      </c>
      <c r="C398">
        <v>3.28</v>
      </c>
      <c r="D398" t="s">
        <v>7</v>
      </c>
      <c r="E398" s="2" t="s">
        <v>12</v>
      </c>
      <c r="F398">
        <f t="shared" si="6"/>
        <v>6.5042400000000002</v>
      </c>
      <c r="G398" t="s">
        <v>16</v>
      </c>
      <c r="J398" t="str">
        <f>"10/31/2013 23:45"</f>
        <v>10/31/2013 23:45</v>
      </c>
    </row>
    <row r="399" spans="1:10" x14ac:dyDescent="0.3">
      <c r="A399" t="s">
        <v>6</v>
      </c>
      <c r="B399" t="str">
        <f>"11/01/2013 00:00"</f>
        <v>11/01/2013 00:00</v>
      </c>
      <c r="C399">
        <v>3.17</v>
      </c>
      <c r="D399" t="s">
        <v>7</v>
      </c>
      <c r="E399" s="2" t="s">
        <v>12</v>
      </c>
      <c r="F399">
        <f t="shared" si="6"/>
        <v>6.2861099999999999</v>
      </c>
      <c r="G399" t="s">
        <v>16</v>
      </c>
      <c r="J399" t="str">
        <f>"11/01/2013 23:45"</f>
        <v>11/01/2013 23:45</v>
      </c>
    </row>
    <row r="400" spans="1:10" x14ac:dyDescent="0.3">
      <c r="A400" t="s">
        <v>6</v>
      </c>
      <c r="B400" t="str">
        <f>"11/02/2013 00:00"</f>
        <v>11/02/2013 00:00</v>
      </c>
      <c r="C400">
        <v>3.13</v>
      </c>
      <c r="D400" t="s">
        <v>7</v>
      </c>
      <c r="E400" s="2" t="s">
        <v>12</v>
      </c>
      <c r="F400">
        <f t="shared" si="6"/>
        <v>6.2067899999999998</v>
      </c>
      <c r="G400" t="s">
        <v>16</v>
      </c>
      <c r="J400" t="str">
        <f>"11/02/2013 23:45"</f>
        <v>11/02/2013 23:45</v>
      </c>
    </row>
    <row r="401" spans="1:10" x14ac:dyDescent="0.3">
      <c r="A401" t="s">
        <v>6</v>
      </c>
      <c r="B401" t="str">
        <f>"11/03/2013 00:00"</f>
        <v>11/03/2013 00:00</v>
      </c>
      <c r="C401">
        <v>3.01</v>
      </c>
      <c r="D401" t="s">
        <v>7</v>
      </c>
      <c r="E401" s="2" t="s">
        <v>12</v>
      </c>
      <c r="F401">
        <f t="shared" si="6"/>
        <v>5.9688299999999996</v>
      </c>
      <c r="G401" t="s">
        <v>16</v>
      </c>
      <c r="J401" t="str">
        <f>"11/03/2013 23:45"</f>
        <v>11/03/2013 23:45</v>
      </c>
    </row>
    <row r="402" spans="1:10" x14ac:dyDescent="0.3">
      <c r="A402" t="s">
        <v>6</v>
      </c>
      <c r="B402" t="str">
        <f>"11/04/2013 00:00"</f>
        <v>11/04/2013 00:00</v>
      </c>
      <c r="C402">
        <v>3.04</v>
      </c>
      <c r="D402" t="s">
        <v>7</v>
      </c>
      <c r="E402" s="2" t="s">
        <v>12</v>
      </c>
      <c r="F402">
        <f t="shared" si="6"/>
        <v>6.0283200000000008</v>
      </c>
      <c r="G402" t="s">
        <v>16</v>
      </c>
      <c r="J402" t="str">
        <f>"11/04/2013 23:45"</f>
        <v>11/04/2013 23:45</v>
      </c>
    </row>
    <row r="403" spans="1:10" x14ac:dyDescent="0.3">
      <c r="A403" t="s">
        <v>6</v>
      </c>
      <c r="B403" t="str">
        <f>"11/05/2013 00:00"</f>
        <v>11/05/2013 00:00</v>
      </c>
      <c r="C403">
        <v>3.19</v>
      </c>
      <c r="D403" t="s">
        <v>7</v>
      </c>
      <c r="E403" s="2" t="s">
        <v>12</v>
      </c>
      <c r="F403">
        <f t="shared" si="6"/>
        <v>6.3257700000000003</v>
      </c>
      <c r="G403" t="s">
        <v>16</v>
      </c>
      <c r="J403" t="str">
        <f>"11/05/2013 23:45"</f>
        <v>11/05/2013 23:45</v>
      </c>
    </row>
    <row r="404" spans="1:10" x14ac:dyDescent="0.3">
      <c r="A404" t="s">
        <v>6</v>
      </c>
      <c r="B404" t="str">
        <f>"11/06/2013 00:00"</f>
        <v>11/06/2013 00:00</v>
      </c>
      <c r="C404">
        <v>3.28</v>
      </c>
      <c r="D404" t="s">
        <v>7</v>
      </c>
      <c r="E404" s="2" t="s">
        <v>12</v>
      </c>
      <c r="F404">
        <f t="shared" si="6"/>
        <v>6.5042400000000002</v>
      </c>
      <c r="G404" t="s">
        <v>16</v>
      </c>
      <c r="J404" t="str">
        <f>"11/06/2013 23:45"</f>
        <v>11/06/2013 23:45</v>
      </c>
    </row>
    <row r="405" spans="1:10" x14ac:dyDescent="0.3">
      <c r="A405" t="s">
        <v>6</v>
      </c>
      <c r="B405" t="str">
        <f>"11/07/2013 00:00"</f>
        <v>11/07/2013 00:00</v>
      </c>
      <c r="C405">
        <v>3.18</v>
      </c>
      <c r="D405" t="s">
        <v>7</v>
      </c>
      <c r="E405" s="2" t="s">
        <v>12</v>
      </c>
      <c r="F405">
        <f t="shared" si="6"/>
        <v>6.3059400000000005</v>
      </c>
      <c r="G405" t="s">
        <v>16</v>
      </c>
      <c r="J405" t="str">
        <f>"11/07/2013 23:45"</f>
        <v>11/07/2013 23:45</v>
      </c>
    </row>
    <row r="406" spans="1:10" x14ac:dyDescent="0.3">
      <c r="A406" t="s">
        <v>6</v>
      </c>
      <c r="B406" t="str">
        <f>"11/08/2013 00:00"</f>
        <v>11/08/2013 00:00</v>
      </c>
      <c r="C406">
        <v>2.79</v>
      </c>
      <c r="D406" t="s">
        <v>7</v>
      </c>
      <c r="E406" s="2" t="s">
        <v>12</v>
      </c>
      <c r="F406">
        <f t="shared" si="6"/>
        <v>5.5325700000000007</v>
      </c>
      <c r="G406" t="s">
        <v>16</v>
      </c>
      <c r="J406" t="str">
        <f>"11/08/2013 23:45"</f>
        <v>11/08/2013 23:45</v>
      </c>
    </row>
    <row r="407" spans="1:10" x14ac:dyDescent="0.3">
      <c r="A407" t="s">
        <v>6</v>
      </c>
      <c r="B407" t="str">
        <f>"11/09/2013 00:00"</f>
        <v>11/09/2013 00:00</v>
      </c>
      <c r="C407">
        <v>2.73</v>
      </c>
      <c r="D407" t="s">
        <v>7</v>
      </c>
      <c r="E407" s="2" t="s">
        <v>12</v>
      </c>
      <c r="F407">
        <f t="shared" si="6"/>
        <v>5.4135900000000001</v>
      </c>
      <c r="G407" t="s">
        <v>16</v>
      </c>
      <c r="J407" t="str">
        <f>"11/09/2013 23:45"</f>
        <v>11/09/2013 23:45</v>
      </c>
    </row>
    <row r="408" spans="1:10" x14ac:dyDescent="0.3">
      <c r="A408" t="s">
        <v>6</v>
      </c>
      <c r="B408" t="str">
        <f>"11/10/2013 00:00"</f>
        <v>11/10/2013 00:00</v>
      </c>
      <c r="C408">
        <v>2.67</v>
      </c>
      <c r="D408" t="s">
        <v>7</v>
      </c>
      <c r="E408" s="2" t="s">
        <v>12</v>
      </c>
      <c r="F408">
        <f t="shared" si="6"/>
        <v>5.2946100000000005</v>
      </c>
      <c r="G408" t="s">
        <v>16</v>
      </c>
      <c r="J408" t="str">
        <f>"11/10/2013 23:45"</f>
        <v>11/10/2013 23:45</v>
      </c>
    </row>
    <row r="409" spans="1:10" x14ac:dyDescent="0.3">
      <c r="A409" t="s">
        <v>6</v>
      </c>
      <c r="B409" t="str">
        <f>"11/11/2013 00:00"</f>
        <v>11/11/2013 00:00</v>
      </c>
      <c r="C409">
        <v>2.7</v>
      </c>
      <c r="D409" t="s">
        <v>7</v>
      </c>
      <c r="E409" s="2" t="s">
        <v>12</v>
      </c>
      <c r="F409">
        <f t="shared" si="6"/>
        <v>5.3541000000000007</v>
      </c>
      <c r="G409" t="s">
        <v>16</v>
      </c>
      <c r="J409" t="str">
        <f>"11/11/2013 23:45"</f>
        <v>11/11/2013 23:45</v>
      </c>
    </row>
    <row r="410" spans="1:10" x14ac:dyDescent="0.3">
      <c r="A410" t="s">
        <v>6</v>
      </c>
      <c r="B410" t="str">
        <f>"11/12/2013 00:00"</f>
        <v>11/12/2013 00:00</v>
      </c>
      <c r="C410">
        <v>2.79</v>
      </c>
      <c r="D410" t="s">
        <v>7</v>
      </c>
      <c r="E410" s="2" t="s">
        <v>12</v>
      </c>
      <c r="F410">
        <f t="shared" si="6"/>
        <v>5.5325700000000007</v>
      </c>
      <c r="G410" t="s">
        <v>16</v>
      </c>
      <c r="J410" t="str">
        <f>"11/12/2013 23:45"</f>
        <v>11/12/2013 23:45</v>
      </c>
    </row>
    <row r="411" spans="1:10" x14ac:dyDescent="0.3">
      <c r="A411" t="s">
        <v>6</v>
      </c>
      <c r="B411" t="str">
        <f>"11/13/2013 00:00"</f>
        <v>11/13/2013 00:00</v>
      </c>
      <c r="C411">
        <v>2.91</v>
      </c>
      <c r="D411" t="s">
        <v>7</v>
      </c>
      <c r="E411" s="2" t="s">
        <v>12</v>
      </c>
      <c r="F411">
        <f t="shared" si="6"/>
        <v>5.7705300000000008</v>
      </c>
      <c r="G411" t="s">
        <v>16</v>
      </c>
      <c r="J411" t="str">
        <f>"11/13/2013 23:45"</f>
        <v>11/13/2013 23:45</v>
      </c>
    </row>
    <row r="412" spans="1:10" x14ac:dyDescent="0.3">
      <c r="A412" t="s">
        <v>6</v>
      </c>
      <c r="B412" t="str">
        <f>"11/14/2013 00:00"</f>
        <v>11/14/2013 00:00</v>
      </c>
      <c r="C412">
        <v>2.76</v>
      </c>
      <c r="D412" t="s">
        <v>7</v>
      </c>
      <c r="E412" s="2" t="s">
        <v>12</v>
      </c>
      <c r="F412">
        <f t="shared" si="6"/>
        <v>5.4730799999999995</v>
      </c>
      <c r="G412" t="s">
        <v>16</v>
      </c>
      <c r="J412" t="str">
        <f>"11/14/2013 23:45"</f>
        <v>11/14/2013 23:45</v>
      </c>
    </row>
    <row r="413" spans="1:10" x14ac:dyDescent="0.3">
      <c r="A413" t="s">
        <v>6</v>
      </c>
      <c r="B413" t="str">
        <f>"11/15/2013 00:00"</f>
        <v>11/15/2013 00:00</v>
      </c>
      <c r="C413">
        <v>2.91</v>
      </c>
      <c r="D413" t="s">
        <v>7</v>
      </c>
      <c r="E413" s="2" t="s">
        <v>12</v>
      </c>
      <c r="F413">
        <f t="shared" si="6"/>
        <v>5.7705300000000008</v>
      </c>
      <c r="G413" t="s">
        <v>16</v>
      </c>
      <c r="J413" t="str">
        <f>"11/15/2013 23:45"</f>
        <v>11/15/2013 23:45</v>
      </c>
    </row>
    <row r="414" spans="1:10" x14ac:dyDescent="0.3">
      <c r="A414" t="s">
        <v>6</v>
      </c>
      <c r="B414" t="str">
        <f>"11/16/2013 00:00"</f>
        <v>11/16/2013 00:00</v>
      </c>
      <c r="C414">
        <v>2.83</v>
      </c>
      <c r="D414" t="s">
        <v>7</v>
      </c>
      <c r="E414" s="2" t="s">
        <v>12</v>
      </c>
      <c r="F414">
        <f t="shared" si="6"/>
        <v>5.6118900000000007</v>
      </c>
      <c r="G414" t="s">
        <v>16</v>
      </c>
      <c r="J414" t="str">
        <f>"11/16/2013 23:45"</f>
        <v>11/16/2013 23:45</v>
      </c>
    </row>
    <row r="415" spans="1:10" x14ac:dyDescent="0.3">
      <c r="A415" t="s">
        <v>6</v>
      </c>
      <c r="B415" t="str">
        <f>"11/17/2013 00:00"</f>
        <v>11/17/2013 00:00</v>
      </c>
      <c r="C415">
        <v>2.57</v>
      </c>
      <c r="D415" t="s">
        <v>7</v>
      </c>
      <c r="E415" s="2" t="s">
        <v>12</v>
      </c>
      <c r="F415">
        <f t="shared" si="6"/>
        <v>5.0963099999999999</v>
      </c>
      <c r="G415" t="s">
        <v>16</v>
      </c>
      <c r="J415" t="str">
        <f>"11/17/2013 23:45"</f>
        <v>11/17/2013 23:45</v>
      </c>
    </row>
    <row r="416" spans="1:10" x14ac:dyDescent="0.3">
      <c r="A416" t="s">
        <v>6</v>
      </c>
      <c r="B416" t="str">
        <f>"11/18/2013 00:00"</f>
        <v>11/18/2013 00:00</v>
      </c>
      <c r="C416">
        <v>2.99</v>
      </c>
      <c r="D416" t="s">
        <v>7</v>
      </c>
      <c r="E416" s="2" t="s">
        <v>12</v>
      </c>
      <c r="F416">
        <f t="shared" si="6"/>
        <v>5.9291700000000009</v>
      </c>
      <c r="G416" t="s">
        <v>16</v>
      </c>
      <c r="J416" t="str">
        <f>"11/18/2013 23:45"</f>
        <v>11/18/2013 23:45</v>
      </c>
    </row>
    <row r="417" spans="1:10" x14ac:dyDescent="0.3">
      <c r="A417" t="s">
        <v>6</v>
      </c>
      <c r="B417" t="str">
        <f>"11/19/2013 00:00"</f>
        <v>11/19/2013 00:00</v>
      </c>
      <c r="C417">
        <v>2.81</v>
      </c>
      <c r="D417" t="s">
        <v>7</v>
      </c>
      <c r="E417" s="2" t="s">
        <v>12</v>
      </c>
      <c r="F417">
        <f t="shared" si="6"/>
        <v>5.5722300000000002</v>
      </c>
      <c r="G417" t="s">
        <v>16</v>
      </c>
      <c r="J417" t="str">
        <f>"11/19/2013 23:45"</f>
        <v>11/19/2013 23:45</v>
      </c>
    </row>
    <row r="418" spans="1:10" x14ac:dyDescent="0.3">
      <c r="A418" t="s">
        <v>6</v>
      </c>
      <c r="B418" t="str">
        <f>"11/20/2013 00:00"</f>
        <v>11/20/2013 00:00</v>
      </c>
      <c r="C418">
        <v>2.63</v>
      </c>
      <c r="D418" t="s">
        <v>7</v>
      </c>
      <c r="E418" s="2" t="s">
        <v>12</v>
      </c>
      <c r="F418">
        <f t="shared" si="6"/>
        <v>5.2152900000000004</v>
      </c>
      <c r="G418" t="s">
        <v>16</v>
      </c>
      <c r="J418" t="str">
        <f>"11/20/2013 23:45"</f>
        <v>11/20/2013 23:45</v>
      </c>
    </row>
    <row r="419" spans="1:10" x14ac:dyDescent="0.3">
      <c r="A419" t="s">
        <v>6</v>
      </c>
      <c r="B419" t="str">
        <f>"11/21/2013 00:00"</f>
        <v>11/21/2013 00:00</v>
      </c>
      <c r="C419">
        <v>2.78</v>
      </c>
      <c r="D419" t="s">
        <v>7</v>
      </c>
      <c r="E419" s="2" t="s">
        <v>12</v>
      </c>
      <c r="F419">
        <f t="shared" si="6"/>
        <v>5.51274</v>
      </c>
      <c r="G419" t="s">
        <v>16</v>
      </c>
      <c r="J419" t="str">
        <f>"11/21/2013 23:45"</f>
        <v>11/21/2013 23:45</v>
      </c>
    </row>
    <row r="420" spans="1:10" x14ac:dyDescent="0.3">
      <c r="A420" t="s">
        <v>6</v>
      </c>
      <c r="B420" t="str">
        <f>"11/22/2013 00:00"</f>
        <v>11/22/2013 00:00</v>
      </c>
      <c r="C420">
        <v>2.91</v>
      </c>
      <c r="D420" t="s">
        <v>7</v>
      </c>
      <c r="E420" s="2" t="s">
        <v>12</v>
      </c>
      <c r="F420">
        <f t="shared" si="6"/>
        <v>5.7705300000000008</v>
      </c>
      <c r="G420" t="s">
        <v>16</v>
      </c>
      <c r="J420" t="str">
        <f>"11/22/2013 23:45"</f>
        <v>11/22/2013 23:45</v>
      </c>
    </row>
    <row r="421" spans="1:10" x14ac:dyDescent="0.3">
      <c r="A421" t="s">
        <v>6</v>
      </c>
      <c r="B421" t="str">
        <f>"11/23/2013 00:00"</f>
        <v>11/23/2013 00:00</v>
      </c>
      <c r="C421">
        <v>2.91</v>
      </c>
      <c r="D421" t="s">
        <v>7</v>
      </c>
      <c r="E421" s="2" t="s">
        <v>12</v>
      </c>
      <c r="F421">
        <f t="shared" si="6"/>
        <v>5.7705300000000008</v>
      </c>
      <c r="G421" t="s">
        <v>16</v>
      </c>
      <c r="J421" t="str">
        <f>"11/23/2013 23:45"</f>
        <v>11/23/2013 23:45</v>
      </c>
    </row>
    <row r="422" spans="1:10" x14ac:dyDescent="0.3">
      <c r="A422" t="s">
        <v>6</v>
      </c>
      <c r="B422" t="str">
        <f>"11/24/2013 00:00"</f>
        <v>11/24/2013 00:00</v>
      </c>
      <c r="C422">
        <v>2.66</v>
      </c>
      <c r="D422" t="s">
        <v>7</v>
      </c>
      <c r="E422" s="2" t="s">
        <v>12</v>
      </c>
      <c r="F422">
        <f t="shared" si="6"/>
        <v>5.2747800000000007</v>
      </c>
      <c r="G422" t="s">
        <v>16</v>
      </c>
      <c r="J422" t="str">
        <f>"11/24/2013 23:45"</f>
        <v>11/24/2013 23:45</v>
      </c>
    </row>
    <row r="423" spans="1:10" x14ac:dyDescent="0.3">
      <c r="A423" t="s">
        <v>6</v>
      </c>
      <c r="B423" t="str">
        <f>"11/25/2013 00:00"</f>
        <v>11/25/2013 00:00</v>
      </c>
      <c r="C423">
        <v>2.9</v>
      </c>
      <c r="D423" t="s">
        <v>7</v>
      </c>
      <c r="E423" s="2" t="s">
        <v>12</v>
      </c>
      <c r="F423">
        <f t="shared" si="6"/>
        <v>5.7507000000000001</v>
      </c>
      <c r="G423" t="s">
        <v>16</v>
      </c>
      <c r="J423" t="str">
        <f>"11/25/2013 23:45"</f>
        <v>11/25/2013 23:45</v>
      </c>
    </row>
    <row r="424" spans="1:10" x14ac:dyDescent="0.3">
      <c r="A424" t="s">
        <v>6</v>
      </c>
      <c r="B424" t="str">
        <f>"11/26/2013 00:00"</f>
        <v>11/26/2013 00:00</v>
      </c>
      <c r="C424">
        <v>2.91</v>
      </c>
      <c r="D424" t="s">
        <v>7</v>
      </c>
      <c r="E424" s="2" t="s">
        <v>12</v>
      </c>
      <c r="F424">
        <f t="shared" si="6"/>
        <v>5.7705300000000008</v>
      </c>
      <c r="G424" t="s">
        <v>16</v>
      </c>
      <c r="J424" t="str">
        <f>"11/26/2013 23:45"</f>
        <v>11/26/2013 23:45</v>
      </c>
    </row>
    <row r="425" spans="1:10" x14ac:dyDescent="0.3">
      <c r="A425" t="s">
        <v>6</v>
      </c>
      <c r="B425" t="str">
        <f>"11/27/2013 00:00"</f>
        <v>11/27/2013 00:00</v>
      </c>
      <c r="C425">
        <v>2.91</v>
      </c>
      <c r="D425" t="s">
        <v>7</v>
      </c>
      <c r="E425" s="2" t="s">
        <v>12</v>
      </c>
      <c r="F425">
        <f t="shared" si="6"/>
        <v>5.7705300000000008</v>
      </c>
      <c r="G425" t="s">
        <v>16</v>
      </c>
      <c r="J425" t="str">
        <f>"11/27/2013 23:45"</f>
        <v>11/27/2013 23:45</v>
      </c>
    </row>
    <row r="426" spans="1:10" x14ac:dyDescent="0.3">
      <c r="A426" t="s">
        <v>6</v>
      </c>
      <c r="B426" t="str">
        <f>"11/28/2013 00:00"</f>
        <v>11/28/2013 00:00</v>
      </c>
      <c r="C426">
        <v>2.91</v>
      </c>
      <c r="D426" t="s">
        <v>7</v>
      </c>
      <c r="E426" s="2" t="s">
        <v>12</v>
      </c>
      <c r="F426">
        <f t="shared" si="6"/>
        <v>5.7705300000000008</v>
      </c>
      <c r="G426" t="s">
        <v>16</v>
      </c>
      <c r="J426" t="str">
        <f>"11/28/2013 23:45"</f>
        <v>11/28/2013 23:45</v>
      </c>
    </row>
    <row r="427" spans="1:10" x14ac:dyDescent="0.3">
      <c r="A427" t="s">
        <v>6</v>
      </c>
      <c r="B427" t="str">
        <f>"11/29/2013 00:00"</f>
        <v>11/29/2013 00:00</v>
      </c>
      <c r="C427">
        <v>2.91</v>
      </c>
      <c r="D427" t="s">
        <v>7</v>
      </c>
      <c r="E427" s="2" t="s">
        <v>12</v>
      </c>
      <c r="F427">
        <f t="shared" si="6"/>
        <v>5.7705300000000008</v>
      </c>
      <c r="G427" t="s">
        <v>16</v>
      </c>
      <c r="J427" t="str">
        <f>"11/29/2013 23:45"</f>
        <v>11/29/2013 23:45</v>
      </c>
    </row>
    <row r="428" spans="1:10" x14ac:dyDescent="0.3">
      <c r="A428" t="s">
        <v>6</v>
      </c>
      <c r="B428" t="str">
        <f>"11/30/2013 00:00"</f>
        <v>11/30/2013 00:00</v>
      </c>
      <c r="C428">
        <v>2.91</v>
      </c>
      <c r="D428" t="s">
        <v>7</v>
      </c>
      <c r="E428" s="2" t="s">
        <v>12</v>
      </c>
      <c r="F428">
        <f t="shared" si="6"/>
        <v>5.7705300000000008</v>
      </c>
      <c r="G428" t="s">
        <v>16</v>
      </c>
      <c r="J428" t="str">
        <f>"11/30/2013 23:45"</f>
        <v>11/30/2013 23:45</v>
      </c>
    </row>
    <row r="429" spans="1:10" x14ac:dyDescent="0.3">
      <c r="A429" t="s">
        <v>6</v>
      </c>
      <c r="B429" t="str">
        <f>"12/01/2013 00:00"</f>
        <v>12/01/2013 00:00</v>
      </c>
      <c r="C429">
        <v>2.91</v>
      </c>
      <c r="D429" t="s">
        <v>7</v>
      </c>
      <c r="E429" s="2" t="s">
        <v>12</v>
      </c>
      <c r="F429">
        <f t="shared" si="6"/>
        <v>5.7705300000000008</v>
      </c>
      <c r="G429" t="s">
        <v>16</v>
      </c>
      <c r="J429" t="str">
        <f>"12/01/2013 23:45"</f>
        <v>12/01/2013 23:45</v>
      </c>
    </row>
    <row r="430" spans="1:10" x14ac:dyDescent="0.3">
      <c r="A430" t="s">
        <v>6</v>
      </c>
      <c r="B430" t="str">
        <f>"12/02/2013 00:00"</f>
        <v>12/02/2013 00:00</v>
      </c>
      <c r="C430">
        <v>2.91</v>
      </c>
      <c r="D430" t="s">
        <v>7</v>
      </c>
      <c r="E430" s="2" t="s">
        <v>12</v>
      </c>
      <c r="F430">
        <f t="shared" si="6"/>
        <v>5.7705300000000008</v>
      </c>
      <c r="G430" t="s">
        <v>16</v>
      </c>
      <c r="J430" t="str">
        <f>"12/02/2013 23:45"</f>
        <v>12/02/2013 23:45</v>
      </c>
    </row>
    <row r="431" spans="1:10" x14ac:dyDescent="0.3">
      <c r="A431" t="s">
        <v>6</v>
      </c>
      <c r="B431" t="str">
        <f>"12/03/2013 00:00"</f>
        <v>12/03/2013 00:00</v>
      </c>
      <c r="C431">
        <v>2.7</v>
      </c>
      <c r="D431" t="s">
        <v>7</v>
      </c>
      <c r="E431" s="2" t="s">
        <v>12</v>
      </c>
      <c r="F431">
        <f t="shared" si="6"/>
        <v>5.3541000000000007</v>
      </c>
      <c r="G431" t="s">
        <v>16</v>
      </c>
      <c r="J431" t="str">
        <f>"12/03/2013 23:45"</f>
        <v>12/03/2013 23:45</v>
      </c>
    </row>
    <row r="432" spans="1:10" x14ac:dyDescent="0.3">
      <c r="A432" t="s">
        <v>6</v>
      </c>
      <c r="B432" t="str">
        <f>"12/04/2013 00:00"</f>
        <v>12/04/2013 00:00</v>
      </c>
      <c r="C432">
        <v>3.24</v>
      </c>
      <c r="D432" t="s">
        <v>7</v>
      </c>
      <c r="E432" s="2" t="s">
        <v>12</v>
      </c>
      <c r="F432">
        <f t="shared" si="6"/>
        <v>6.4249200000000011</v>
      </c>
      <c r="G432" t="s">
        <v>16</v>
      </c>
      <c r="J432" t="str">
        <f>"12/04/2013 23:45"</f>
        <v>12/04/2013 23:45</v>
      </c>
    </row>
    <row r="433" spans="1:10" x14ac:dyDescent="0.3">
      <c r="A433" t="s">
        <v>6</v>
      </c>
      <c r="B433" t="str">
        <f>"12/05/2013 00:00"</f>
        <v>12/05/2013 00:00</v>
      </c>
      <c r="C433">
        <v>2.91</v>
      </c>
      <c r="D433" t="s">
        <v>7</v>
      </c>
      <c r="E433" s="2" t="s">
        <v>12</v>
      </c>
      <c r="F433">
        <f t="shared" si="6"/>
        <v>5.7705300000000008</v>
      </c>
      <c r="G433" t="s">
        <v>16</v>
      </c>
      <c r="J433" t="str">
        <f>"12/05/2013 23:45"</f>
        <v>12/05/2013 23:45</v>
      </c>
    </row>
    <row r="434" spans="1:10" x14ac:dyDescent="0.3">
      <c r="A434" t="s">
        <v>6</v>
      </c>
      <c r="B434" t="str">
        <f>"12/06/2013 00:00"</f>
        <v>12/06/2013 00:00</v>
      </c>
      <c r="C434">
        <v>2.71</v>
      </c>
      <c r="D434" t="s">
        <v>7</v>
      </c>
      <c r="E434" s="2" t="s">
        <v>12</v>
      </c>
      <c r="F434">
        <f t="shared" si="6"/>
        <v>5.3739300000000005</v>
      </c>
      <c r="G434" t="s">
        <v>16</v>
      </c>
      <c r="J434" t="str">
        <f>"12/06/2013 23:45"</f>
        <v>12/06/2013 23:45</v>
      </c>
    </row>
    <row r="435" spans="1:10" x14ac:dyDescent="0.3">
      <c r="A435" t="s">
        <v>6</v>
      </c>
      <c r="B435" t="str">
        <f>"12/07/2013 00:00"</f>
        <v>12/07/2013 00:00</v>
      </c>
      <c r="C435">
        <v>2.56</v>
      </c>
      <c r="D435" t="s">
        <v>7</v>
      </c>
      <c r="E435" s="2" t="s">
        <v>12</v>
      </c>
      <c r="F435">
        <f t="shared" si="6"/>
        <v>5.0764800000000001</v>
      </c>
      <c r="G435" t="s">
        <v>16</v>
      </c>
      <c r="J435" t="str">
        <f>"12/07/2013 23:45"</f>
        <v>12/07/2013 23:45</v>
      </c>
    </row>
    <row r="436" spans="1:10" x14ac:dyDescent="0.3">
      <c r="A436" t="s">
        <v>6</v>
      </c>
      <c r="B436" t="str">
        <f>"12/08/2013 00:00"</f>
        <v>12/08/2013 00:00</v>
      </c>
      <c r="C436">
        <v>2.56</v>
      </c>
      <c r="D436" t="s">
        <v>7</v>
      </c>
      <c r="E436" s="2" t="s">
        <v>12</v>
      </c>
      <c r="F436">
        <f t="shared" si="6"/>
        <v>5.0764800000000001</v>
      </c>
      <c r="G436" t="s">
        <v>16</v>
      </c>
      <c r="J436" t="str">
        <f>"12/08/2013 23:45"</f>
        <v>12/08/2013 23:45</v>
      </c>
    </row>
    <row r="437" spans="1:10" x14ac:dyDescent="0.3">
      <c r="A437" t="s">
        <v>6</v>
      </c>
      <c r="B437" t="str">
        <f>"12/09/2013 00:00"</f>
        <v>12/09/2013 00:00</v>
      </c>
      <c r="C437">
        <v>2.56</v>
      </c>
      <c r="D437" t="s">
        <v>7</v>
      </c>
      <c r="E437" s="2" t="s">
        <v>12</v>
      </c>
      <c r="F437">
        <f t="shared" si="6"/>
        <v>5.0764800000000001</v>
      </c>
      <c r="G437" t="s">
        <v>16</v>
      </c>
      <c r="J437" t="str">
        <f>"12/09/2013 23:45"</f>
        <v>12/09/2013 23:45</v>
      </c>
    </row>
    <row r="438" spans="1:10" x14ac:dyDescent="0.3">
      <c r="A438" t="s">
        <v>6</v>
      </c>
      <c r="B438" t="str">
        <f>"12/10/2013 00:00"</f>
        <v>12/10/2013 00:00</v>
      </c>
      <c r="C438">
        <v>2.61</v>
      </c>
      <c r="D438" t="s">
        <v>7</v>
      </c>
      <c r="E438" s="2" t="s">
        <v>12</v>
      </c>
      <c r="F438">
        <f t="shared" si="6"/>
        <v>5.17563</v>
      </c>
      <c r="G438" t="s">
        <v>16</v>
      </c>
      <c r="J438" t="str">
        <f>"12/10/2013 23:45"</f>
        <v>12/10/2013 23:45</v>
      </c>
    </row>
    <row r="439" spans="1:10" x14ac:dyDescent="0.3">
      <c r="A439" t="s">
        <v>6</v>
      </c>
      <c r="B439" t="str">
        <f>"12/11/2013 00:00"</f>
        <v>12/11/2013 00:00</v>
      </c>
      <c r="C439">
        <v>2.91</v>
      </c>
      <c r="D439" t="s">
        <v>7</v>
      </c>
      <c r="E439" s="2" t="s">
        <v>12</v>
      </c>
      <c r="F439">
        <f t="shared" si="6"/>
        <v>5.7705300000000008</v>
      </c>
      <c r="G439" t="s">
        <v>16</v>
      </c>
      <c r="J439" t="str">
        <f>"12/11/2013 23:45"</f>
        <v>12/11/2013 23:45</v>
      </c>
    </row>
    <row r="440" spans="1:10" x14ac:dyDescent="0.3">
      <c r="A440" t="s">
        <v>6</v>
      </c>
      <c r="B440" t="str">
        <f>"12/12/2013 00:00"</f>
        <v>12/12/2013 00:00</v>
      </c>
      <c r="C440">
        <v>2.6</v>
      </c>
      <c r="D440" t="s">
        <v>7</v>
      </c>
      <c r="E440" s="2" t="s">
        <v>12</v>
      </c>
      <c r="F440">
        <f t="shared" si="6"/>
        <v>5.1558000000000002</v>
      </c>
      <c r="G440" t="s">
        <v>16</v>
      </c>
      <c r="J440" t="str">
        <f>"12/12/2013 23:45"</f>
        <v>12/12/2013 23:45</v>
      </c>
    </row>
    <row r="441" spans="1:10" x14ac:dyDescent="0.3">
      <c r="A441" t="s">
        <v>6</v>
      </c>
      <c r="B441" t="str">
        <f>"12/13/2013 00:00"</f>
        <v>12/13/2013 00:00</v>
      </c>
      <c r="C441">
        <v>2.56</v>
      </c>
      <c r="D441" t="s">
        <v>7</v>
      </c>
      <c r="E441" s="2" t="s">
        <v>12</v>
      </c>
      <c r="F441">
        <f t="shared" si="6"/>
        <v>5.0764800000000001</v>
      </c>
      <c r="G441" t="s">
        <v>16</v>
      </c>
      <c r="J441" t="str">
        <f>"12/13/2013 23:45"</f>
        <v>12/13/2013 23:45</v>
      </c>
    </row>
    <row r="442" spans="1:10" x14ac:dyDescent="0.3">
      <c r="A442" t="s">
        <v>6</v>
      </c>
      <c r="B442" t="str">
        <f>"12/14/2013 00:00"</f>
        <v>12/14/2013 00:00</v>
      </c>
      <c r="C442">
        <v>2.56</v>
      </c>
      <c r="D442" t="s">
        <v>7</v>
      </c>
      <c r="E442" s="2" t="s">
        <v>12</v>
      </c>
      <c r="F442">
        <f t="shared" si="6"/>
        <v>5.0764800000000001</v>
      </c>
      <c r="G442" t="s">
        <v>16</v>
      </c>
      <c r="J442" t="str">
        <f>"12/14/2013 23:45"</f>
        <v>12/14/2013 23:45</v>
      </c>
    </row>
    <row r="443" spans="1:10" x14ac:dyDescent="0.3">
      <c r="A443" t="s">
        <v>6</v>
      </c>
      <c r="B443" t="str">
        <f>"12/15/2013 00:00"</f>
        <v>12/15/2013 00:00</v>
      </c>
      <c r="C443">
        <v>2.56</v>
      </c>
      <c r="D443" t="s">
        <v>7</v>
      </c>
      <c r="E443" s="2" t="s">
        <v>12</v>
      </c>
      <c r="F443">
        <f t="shared" si="6"/>
        <v>5.0764800000000001</v>
      </c>
      <c r="G443" t="s">
        <v>16</v>
      </c>
      <c r="J443" t="str">
        <f>"12/15/2013 23:45"</f>
        <v>12/15/2013 23:45</v>
      </c>
    </row>
    <row r="444" spans="1:10" x14ac:dyDescent="0.3">
      <c r="A444" t="s">
        <v>6</v>
      </c>
      <c r="B444" t="str">
        <f>"12/16/2013 00:00"</f>
        <v>12/16/2013 00:00</v>
      </c>
      <c r="C444">
        <v>2.64</v>
      </c>
      <c r="D444" t="s">
        <v>7</v>
      </c>
      <c r="E444" s="2" t="s">
        <v>12</v>
      </c>
      <c r="F444">
        <f t="shared" si="6"/>
        <v>5.2351200000000002</v>
      </c>
      <c r="G444" t="s">
        <v>16</v>
      </c>
      <c r="J444" t="str">
        <f>"12/16/2013 23:45"</f>
        <v>12/16/2013 23:45</v>
      </c>
    </row>
    <row r="445" spans="1:10" x14ac:dyDescent="0.3">
      <c r="A445" t="s">
        <v>6</v>
      </c>
      <c r="B445" t="str">
        <f>"12/17/2013 00:00"</f>
        <v>12/17/2013 00:00</v>
      </c>
      <c r="C445">
        <v>2.31</v>
      </c>
      <c r="D445" t="s">
        <v>7</v>
      </c>
      <c r="E445" s="2" t="s">
        <v>12</v>
      </c>
      <c r="F445">
        <f t="shared" si="6"/>
        <v>4.58073</v>
      </c>
      <c r="G445" t="s">
        <v>16</v>
      </c>
      <c r="J445" t="str">
        <f>"12/17/2013 23:45"</f>
        <v>12/17/2013 23:45</v>
      </c>
    </row>
    <row r="446" spans="1:10" x14ac:dyDescent="0.3">
      <c r="A446" t="s">
        <v>6</v>
      </c>
      <c r="B446" t="str">
        <f>"12/18/2013 00:00"</f>
        <v>12/18/2013 00:00</v>
      </c>
      <c r="C446">
        <v>3.22</v>
      </c>
      <c r="D446" t="s">
        <v>7</v>
      </c>
      <c r="E446" s="2" t="s">
        <v>12</v>
      </c>
      <c r="F446">
        <f t="shared" si="6"/>
        <v>6.3852600000000006</v>
      </c>
      <c r="G446" t="s">
        <v>16</v>
      </c>
      <c r="J446" t="str">
        <f>"12/18/2013 23:45"</f>
        <v>12/18/2013 23:45</v>
      </c>
    </row>
    <row r="447" spans="1:10" x14ac:dyDescent="0.3">
      <c r="A447" t="s">
        <v>6</v>
      </c>
      <c r="B447" t="str">
        <f>"12/19/2013 00:00"</f>
        <v>12/19/2013 00:00</v>
      </c>
      <c r="C447">
        <v>2.23</v>
      </c>
      <c r="D447" t="s">
        <v>7</v>
      </c>
      <c r="E447" s="2" t="s">
        <v>12</v>
      </c>
      <c r="F447">
        <f t="shared" si="6"/>
        <v>4.4220899999999999</v>
      </c>
      <c r="G447" t="s">
        <v>16</v>
      </c>
      <c r="J447" t="str">
        <f>"12/19/2013 23:45"</f>
        <v>12/19/2013 23:45</v>
      </c>
    </row>
    <row r="448" spans="1:10" x14ac:dyDescent="0.3">
      <c r="A448" t="s">
        <v>6</v>
      </c>
      <c r="B448" t="str">
        <f>"12/20/2013 00:00"</f>
        <v>12/20/2013 00:00</v>
      </c>
      <c r="C448">
        <v>2.23</v>
      </c>
      <c r="D448" t="s">
        <v>7</v>
      </c>
      <c r="E448" s="2" t="s">
        <v>12</v>
      </c>
      <c r="F448">
        <f t="shared" si="6"/>
        <v>4.4220899999999999</v>
      </c>
      <c r="G448" t="s">
        <v>16</v>
      </c>
      <c r="J448" t="str">
        <f>"12/20/2013 23:45"</f>
        <v>12/20/2013 23:45</v>
      </c>
    </row>
    <row r="449" spans="1:10" x14ac:dyDescent="0.3">
      <c r="A449" t="s">
        <v>6</v>
      </c>
      <c r="B449" t="str">
        <f>"12/21/2013 00:00"</f>
        <v>12/21/2013 00:00</v>
      </c>
      <c r="C449">
        <v>2.23</v>
      </c>
      <c r="D449" t="s">
        <v>7</v>
      </c>
      <c r="E449" s="2" t="s">
        <v>12</v>
      </c>
      <c r="F449">
        <f t="shared" si="6"/>
        <v>4.4220899999999999</v>
      </c>
      <c r="G449" t="s">
        <v>16</v>
      </c>
      <c r="J449" t="str">
        <f>"12/21/2013 23:45"</f>
        <v>12/21/2013 23:45</v>
      </c>
    </row>
    <row r="450" spans="1:10" x14ac:dyDescent="0.3">
      <c r="A450" t="s">
        <v>6</v>
      </c>
      <c r="B450" t="str">
        <f>"12/22/2013 00:00"</f>
        <v>12/22/2013 00:00</v>
      </c>
      <c r="C450">
        <v>2.0499999999999998</v>
      </c>
      <c r="D450" t="s">
        <v>7</v>
      </c>
      <c r="E450" s="2" t="s">
        <v>12</v>
      </c>
      <c r="F450">
        <f t="shared" si="6"/>
        <v>4.06515</v>
      </c>
      <c r="G450" t="s">
        <v>16</v>
      </c>
      <c r="J450" t="str">
        <f>"12/22/2013 23:45"</f>
        <v>12/22/2013 23:45</v>
      </c>
    </row>
    <row r="451" spans="1:10" x14ac:dyDescent="0.3">
      <c r="A451" t="s">
        <v>6</v>
      </c>
      <c r="B451" t="str">
        <f>"12/23/2013 00:00"</f>
        <v>12/23/2013 00:00</v>
      </c>
      <c r="C451">
        <v>1.92</v>
      </c>
      <c r="D451" t="s">
        <v>7</v>
      </c>
      <c r="E451" s="2" t="s">
        <v>12</v>
      </c>
      <c r="F451">
        <f t="shared" si="6"/>
        <v>3.8073600000000001</v>
      </c>
      <c r="G451" t="s">
        <v>16</v>
      </c>
      <c r="J451" t="str">
        <f>"12/23/2013 23:45"</f>
        <v>12/23/2013 23:45</v>
      </c>
    </row>
    <row r="452" spans="1:10" x14ac:dyDescent="0.3">
      <c r="A452" t="s">
        <v>6</v>
      </c>
      <c r="B452" t="str">
        <f>"12/24/2013 00:00"</f>
        <v>12/24/2013 00:00</v>
      </c>
      <c r="C452">
        <v>1.92</v>
      </c>
      <c r="D452" t="s">
        <v>7</v>
      </c>
      <c r="E452" s="2" t="s">
        <v>12</v>
      </c>
      <c r="F452">
        <f t="shared" ref="F452:F515" si="7">C452*1.983</f>
        <v>3.8073600000000001</v>
      </c>
      <c r="G452" t="s">
        <v>16</v>
      </c>
      <c r="J452" t="str">
        <f>"12/24/2013 23:45"</f>
        <v>12/24/2013 23:45</v>
      </c>
    </row>
    <row r="453" spans="1:10" x14ac:dyDescent="0.3">
      <c r="A453" t="s">
        <v>6</v>
      </c>
      <c r="B453" t="str">
        <f>"12/25/2013 00:00"</f>
        <v>12/25/2013 00:00</v>
      </c>
      <c r="C453">
        <v>1.92</v>
      </c>
      <c r="D453" t="s">
        <v>7</v>
      </c>
      <c r="E453" s="2" t="s">
        <v>12</v>
      </c>
      <c r="F453">
        <f t="shared" si="7"/>
        <v>3.8073600000000001</v>
      </c>
      <c r="G453" t="s">
        <v>16</v>
      </c>
      <c r="J453" t="str">
        <f>"12/25/2013 23:45"</f>
        <v>12/25/2013 23:45</v>
      </c>
    </row>
    <row r="454" spans="1:10" x14ac:dyDescent="0.3">
      <c r="A454" t="s">
        <v>6</v>
      </c>
      <c r="B454" t="str">
        <f>"12/26/2013 00:00"</f>
        <v>12/26/2013 00:00</v>
      </c>
      <c r="C454">
        <v>1.92</v>
      </c>
      <c r="D454" t="s">
        <v>7</v>
      </c>
      <c r="E454" s="2" t="s">
        <v>12</v>
      </c>
      <c r="F454">
        <f t="shared" si="7"/>
        <v>3.8073600000000001</v>
      </c>
      <c r="G454" t="s">
        <v>16</v>
      </c>
      <c r="J454" t="str">
        <f>"12/26/2013 23:45"</f>
        <v>12/26/2013 23:45</v>
      </c>
    </row>
    <row r="455" spans="1:10" x14ac:dyDescent="0.3">
      <c r="A455" t="s">
        <v>6</v>
      </c>
      <c r="B455" t="str">
        <f>"12/27/2013 00:00"</f>
        <v>12/27/2013 00:00</v>
      </c>
      <c r="C455">
        <v>1.92</v>
      </c>
      <c r="D455" t="s">
        <v>7</v>
      </c>
      <c r="E455" s="2" t="s">
        <v>12</v>
      </c>
      <c r="F455">
        <f t="shared" si="7"/>
        <v>3.8073600000000001</v>
      </c>
      <c r="G455" t="s">
        <v>16</v>
      </c>
      <c r="J455" t="str">
        <f>"12/27/2013 23:45"</f>
        <v>12/27/2013 23:45</v>
      </c>
    </row>
    <row r="456" spans="1:10" x14ac:dyDescent="0.3">
      <c r="A456" t="s">
        <v>6</v>
      </c>
      <c r="B456" t="str">
        <f>"12/28/2013 00:00"</f>
        <v>12/28/2013 00:00</v>
      </c>
      <c r="C456">
        <v>1.92</v>
      </c>
      <c r="D456" t="s">
        <v>7</v>
      </c>
      <c r="E456" s="2" t="s">
        <v>12</v>
      </c>
      <c r="F456">
        <f t="shared" si="7"/>
        <v>3.8073600000000001</v>
      </c>
      <c r="G456" t="s">
        <v>16</v>
      </c>
      <c r="J456" t="str">
        <f>"12/28/2013 23:45"</f>
        <v>12/28/2013 23:45</v>
      </c>
    </row>
    <row r="457" spans="1:10" x14ac:dyDescent="0.3">
      <c r="A457" t="s">
        <v>6</v>
      </c>
      <c r="B457" t="str">
        <f>"12/29/2013 00:00"</f>
        <v>12/29/2013 00:00</v>
      </c>
      <c r="C457">
        <v>1.92</v>
      </c>
      <c r="D457" t="s">
        <v>7</v>
      </c>
      <c r="E457" s="2" t="s">
        <v>12</v>
      </c>
      <c r="F457">
        <f t="shared" si="7"/>
        <v>3.8073600000000001</v>
      </c>
      <c r="G457" t="s">
        <v>16</v>
      </c>
      <c r="J457" t="str">
        <f>"12/29/2013 23:45"</f>
        <v>12/29/2013 23:45</v>
      </c>
    </row>
    <row r="458" spans="1:10" x14ac:dyDescent="0.3">
      <c r="A458" t="s">
        <v>6</v>
      </c>
      <c r="B458" t="str">
        <f>"12/30/2013 00:00"</f>
        <v>12/30/2013 00:00</v>
      </c>
      <c r="C458">
        <v>1.77</v>
      </c>
      <c r="D458" t="s">
        <v>7</v>
      </c>
      <c r="E458" s="2" t="s">
        <v>12</v>
      </c>
      <c r="F458">
        <f t="shared" si="7"/>
        <v>3.5099100000000001</v>
      </c>
      <c r="G458" t="s">
        <v>16</v>
      </c>
      <c r="J458" t="str">
        <f>"12/30/2013 23:45"</f>
        <v>12/30/2013 23:45</v>
      </c>
    </row>
    <row r="459" spans="1:10" x14ac:dyDescent="0.3">
      <c r="A459" t="s">
        <v>6</v>
      </c>
      <c r="B459" t="str">
        <f>"12/31/2013 00:00"</f>
        <v>12/31/2013 00:00</v>
      </c>
      <c r="C459">
        <v>1.62</v>
      </c>
      <c r="D459" t="s">
        <v>7</v>
      </c>
      <c r="E459" s="2" t="s">
        <v>12</v>
      </c>
      <c r="F459">
        <f t="shared" si="7"/>
        <v>3.2124600000000005</v>
      </c>
      <c r="G459" t="s">
        <v>16</v>
      </c>
      <c r="J459" t="str">
        <f>"12/31/2013 23:45"</f>
        <v>12/31/2013 23:45</v>
      </c>
    </row>
    <row r="460" spans="1:10" x14ac:dyDescent="0.3">
      <c r="A460" t="s">
        <v>6</v>
      </c>
      <c r="B460" t="str">
        <f>"01/01/2014 00:00"</f>
        <v>01/01/2014 00:00</v>
      </c>
      <c r="C460">
        <v>1.62</v>
      </c>
      <c r="D460" t="s">
        <v>7</v>
      </c>
      <c r="E460" s="2" t="s">
        <v>12</v>
      </c>
      <c r="F460">
        <f t="shared" si="7"/>
        <v>3.2124600000000005</v>
      </c>
      <c r="G460" t="s">
        <v>16</v>
      </c>
      <c r="J460" t="str">
        <f>"01/01/2014 23:45"</f>
        <v>01/01/2014 23:45</v>
      </c>
    </row>
    <row r="461" spans="1:10" x14ac:dyDescent="0.3">
      <c r="A461" t="s">
        <v>6</v>
      </c>
      <c r="B461" t="str">
        <f>"01/02/2014 00:00"</f>
        <v>01/02/2014 00:00</v>
      </c>
      <c r="C461">
        <v>1.62</v>
      </c>
      <c r="D461" t="s">
        <v>7</v>
      </c>
      <c r="E461" s="2" t="s">
        <v>12</v>
      </c>
      <c r="F461">
        <f t="shared" si="7"/>
        <v>3.2124600000000005</v>
      </c>
      <c r="G461" t="s">
        <v>16</v>
      </c>
      <c r="J461" t="str">
        <f>"01/02/2014 23:45"</f>
        <v>01/02/2014 23:45</v>
      </c>
    </row>
    <row r="462" spans="1:10" x14ac:dyDescent="0.3">
      <c r="A462" t="s">
        <v>6</v>
      </c>
      <c r="B462" t="str">
        <f>"01/03/2014 00:00"</f>
        <v>01/03/2014 00:00</v>
      </c>
      <c r="C462">
        <v>1.62</v>
      </c>
      <c r="D462" t="s">
        <v>7</v>
      </c>
      <c r="E462" s="2" t="s">
        <v>12</v>
      </c>
      <c r="F462">
        <f t="shared" si="7"/>
        <v>3.2124600000000005</v>
      </c>
      <c r="G462" t="s">
        <v>16</v>
      </c>
      <c r="J462" t="str">
        <f>"01/03/2014 23:45"</f>
        <v>01/03/2014 23:45</v>
      </c>
    </row>
    <row r="463" spans="1:10" x14ac:dyDescent="0.3">
      <c r="A463" t="s">
        <v>6</v>
      </c>
      <c r="B463" t="str">
        <f>"01/04/2014 00:00"</f>
        <v>01/04/2014 00:00</v>
      </c>
      <c r="C463">
        <v>1.62</v>
      </c>
      <c r="D463" t="s">
        <v>7</v>
      </c>
      <c r="E463" s="2" t="s">
        <v>12</v>
      </c>
      <c r="F463">
        <f t="shared" si="7"/>
        <v>3.2124600000000005</v>
      </c>
      <c r="G463" t="s">
        <v>16</v>
      </c>
      <c r="J463" t="str">
        <f>"01/04/2014 23:45"</f>
        <v>01/04/2014 23:45</v>
      </c>
    </row>
    <row r="464" spans="1:10" x14ac:dyDescent="0.3">
      <c r="A464" t="s">
        <v>6</v>
      </c>
      <c r="B464" t="str">
        <f>"01/05/2014 00:00"</f>
        <v>01/05/2014 00:00</v>
      </c>
      <c r="C464">
        <v>1.62</v>
      </c>
      <c r="D464" t="s">
        <v>7</v>
      </c>
      <c r="E464" s="2" t="s">
        <v>12</v>
      </c>
      <c r="F464">
        <f t="shared" si="7"/>
        <v>3.2124600000000005</v>
      </c>
      <c r="G464" t="s">
        <v>16</v>
      </c>
      <c r="J464" t="str">
        <f>"01/05/2014 23:45"</f>
        <v>01/05/2014 23:45</v>
      </c>
    </row>
    <row r="465" spans="1:10" x14ac:dyDescent="0.3">
      <c r="A465" t="s">
        <v>6</v>
      </c>
      <c r="B465" t="str">
        <f>"01/06/2014 00:00"</f>
        <v>01/06/2014 00:00</v>
      </c>
      <c r="C465">
        <v>1.62</v>
      </c>
      <c r="D465" t="s">
        <v>7</v>
      </c>
      <c r="E465" s="2" t="s">
        <v>12</v>
      </c>
      <c r="F465">
        <f t="shared" si="7"/>
        <v>3.2124600000000005</v>
      </c>
      <c r="G465" t="s">
        <v>16</v>
      </c>
      <c r="J465" t="str">
        <f>"01/06/2014 23:45"</f>
        <v>01/06/2014 23:45</v>
      </c>
    </row>
    <row r="466" spans="1:10" x14ac:dyDescent="0.3">
      <c r="A466" t="s">
        <v>6</v>
      </c>
      <c r="B466" t="str">
        <f>"01/07/2014 00:00"</f>
        <v>01/07/2014 00:00</v>
      </c>
      <c r="C466">
        <v>1.62</v>
      </c>
      <c r="D466" t="s">
        <v>7</v>
      </c>
      <c r="E466" s="2" t="s">
        <v>12</v>
      </c>
      <c r="F466">
        <f t="shared" si="7"/>
        <v>3.2124600000000005</v>
      </c>
      <c r="G466" t="s">
        <v>16</v>
      </c>
      <c r="J466" t="str">
        <f>"01/07/2014 23:45"</f>
        <v>01/07/2014 23:45</v>
      </c>
    </row>
    <row r="467" spans="1:10" x14ac:dyDescent="0.3">
      <c r="A467" t="s">
        <v>6</v>
      </c>
      <c r="B467" t="str">
        <f>"01/08/2014 00:00"</f>
        <v>01/08/2014 00:00</v>
      </c>
      <c r="C467">
        <v>1.62</v>
      </c>
      <c r="D467" t="s">
        <v>7</v>
      </c>
      <c r="E467" s="2" t="s">
        <v>12</v>
      </c>
      <c r="F467">
        <f t="shared" si="7"/>
        <v>3.2124600000000005</v>
      </c>
      <c r="G467" t="s">
        <v>16</v>
      </c>
      <c r="J467" t="str">
        <f>"01/08/2014 23:45"</f>
        <v>01/08/2014 23:45</v>
      </c>
    </row>
    <row r="468" spans="1:10" x14ac:dyDescent="0.3">
      <c r="A468" t="s">
        <v>6</v>
      </c>
      <c r="B468" t="str">
        <f>"01/09/2014 00:00"</f>
        <v>01/09/2014 00:00</v>
      </c>
      <c r="C468">
        <v>1.62</v>
      </c>
      <c r="D468" t="s">
        <v>7</v>
      </c>
      <c r="E468" s="2" t="s">
        <v>12</v>
      </c>
      <c r="F468">
        <f t="shared" si="7"/>
        <v>3.2124600000000005</v>
      </c>
      <c r="G468" t="s">
        <v>16</v>
      </c>
      <c r="J468" t="str">
        <f>"01/09/2014 23:45"</f>
        <v>01/09/2014 23:45</v>
      </c>
    </row>
    <row r="469" spans="1:10" x14ac:dyDescent="0.3">
      <c r="A469" t="s">
        <v>6</v>
      </c>
      <c r="B469" t="str">
        <f>"01/10/2014 00:00"</f>
        <v>01/10/2014 00:00</v>
      </c>
      <c r="C469">
        <v>1.62</v>
      </c>
      <c r="D469" t="s">
        <v>7</v>
      </c>
      <c r="E469" s="2" t="s">
        <v>12</v>
      </c>
      <c r="F469">
        <f t="shared" si="7"/>
        <v>3.2124600000000005</v>
      </c>
      <c r="G469" t="s">
        <v>16</v>
      </c>
      <c r="J469" t="str">
        <f>"01/10/2014 23:45"</f>
        <v>01/10/2014 23:45</v>
      </c>
    </row>
    <row r="470" spans="1:10" x14ac:dyDescent="0.3">
      <c r="A470" t="s">
        <v>6</v>
      </c>
      <c r="B470" t="str">
        <f>"01/11/2014 00:00"</f>
        <v>01/11/2014 00:00</v>
      </c>
      <c r="C470">
        <v>1.62</v>
      </c>
      <c r="D470" t="s">
        <v>7</v>
      </c>
      <c r="E470" s="2" t="s">
        <v>12</v>
      </c>
      <c r="F470">
        <f t="shared" si="7"/>
        <v>3.2124600000000005</v>
      </c>
      <c r="G470" t="s">
        <v>16</v>
      </c>
      <c r="J470" t="str">
        <f>"01/11/2014 23:45"</f>
        <v>01/11/2014 23:45</v>
      </c>
    </row>
    <row r="471" spans="1:10" x14ac:dyDescent="0.3">
      <c r="A471" t="s">
        <v>6</v>
      </c>
      <c r="B471" t="str">
        <f>"01/12/2014 00:00"</f>
        <v>01/12/2014 00:00</v>
      </c>
      <c r="C471">
        <v>1.62</v>
      </c>
      <c r="D471" t="s">
        <v>7</v>
      </c>
      <c r="E471" s="2" t="s">
        <v>12</v>
      </c>
      <c r="F471">
        <f t="shared" si="7"/>
        <v>3.2124600000000005</v>
      </c>
      <c r="G471" t="s">
        <v>16</v>
      </c>
      <c r="J471" t="str">
        <f>"01/12/2014 23:45"</f>
        <v>01/12/2014 23:45</v>
      </c>
    </row>
    <row r="472" spans="1:10" x14ac:dyDescent="0.3">
      <c r="A472" t="s">
        <v>6</v>
      </c>
      <c r="B472" t="str">
        <f>"01/13/2014 00:00"</f>
        <v>01/13/2014 00:00</v>
      </c>
      <c r="C472">
        <v>1.62</v>
      </c>
      <c r="D472" t="s">
        <v>7</v>
      </c>
      <c r="E472" s="2" t="s">
        <v>12</v>
      </c>
      <c r="F472">
        <f t="shared" si="7"/>
        <v>3.2124600000000005</v>
      </c>
      <c r="G472" t="s">
        <v>16</v>
      </c>
      <c r="J472" t="str">
        <f>"01/13/2014 23:45"</f>
        <v>01/13/2014 23:45</v>
      </c>
    </row>
    <row r="473" spans="1:10" x14ac:dyDescent="0.3">
      <c r="A473" t="s">
        <v>6</v>
      </c>
      <c r="B473" t="str">
        <f>"01/14/2014 00:00"</f>
        <v>01/14/2014 00:00</v>
      </c>
      <c r="C473">
        <v>1.62</v>
      </c>
      <c r="D473" t="s">
        <v>7</v>
      </c>
      <c r="E473" s="2" t="s">
        <v>12</v>
      </c>
      <c r="F473">
        <f t="shared" si="7"/>
        <v>3.2124600000000005</v>
      </c>
      <c r="G473" t="s">
        <v>16</v>
      </c>
      <c r="J473" t="str">
        <f>"01/14/2014 23:45"</f>
        <v>01/14/2014 23:45</v>
      </c>
    </row>
    <row r="474" spans="1:10" x14ac:dyDescent="0.3">
      <c r="A474" t="s">
        <v>6</v>
      </c>
      <c r="B474" t="str">
        <f>"01/15/2014 00:00"</f>
        <v>01/15/2014 00:00</v>
      </c>
      <c r="C474">
        <v>1.62</v>
      </c>
      <c r="D474" t="s">
        <v>7</v>
      </c>
      <c r="E474" s="2" t="s">
        <v>12</v>
      </c>
      <c r="F474">
        <f t="shared" si="7"/>
        <v>3.2124600000000005</v>
      </c>
      <c r="G474" t="s">
        <v>16</v>
      </c>
      <c r="J474" t="str">
        <f>"01/15/2014 23:45"</f>
        <v>01/15/2014 23:45</v>
      </c>
    </row>
    <row r="475" spans="1:10" x14ac:dyDescent="0.3">
      <c r="A475" t="s">
        <v>6</v>
      </c>
      <c r="B475" t="str">
        <f>"01/16/2014 00:00"</f>
        <v>01/16/2014 00:00</v>
      </c>
      <c r="C475">
        <v>1.62</v>
      </c>
      <c r="D475" t="s">
        <v>7</v>
      </c>
      <c r="E475" s="2" t="s">
        <v>12</v>
      </c>
      <c r="F475">
        <f t="shared" si="7"/>
        <v>3.2124600000000005</v>
      </c>
      <c r="G475" t="s">
        <v>16</v>
      </c>
      <c r="J475" t="str">
        <f>"01/16/2014 23:45"</f>
        <v>01/16/2014 23:45</v>
      </c>
    </row>
    <row r="476" spans="1:10" x14ac:dyDescent="0.3">
      <c r="A476" t="s">
        <v>6</v>
      </c>
      <c r="B476" t="str">
        <f>"01/17/2014 00:00"</f>
        <v>01/17/2014 00:00</v>
      </c>
      <c r="C476">
        <v>1.62</v>
      </c>
      <c r="D476" t="s">
        <v>7</v>
      </c>
      <c r="E476" s="2" t="s">
        <v>12</v>
      </c>
      <c r="F476">
        <f t="shared" si="7"/>
        <v>3.2124600000000005</v>
      </c>
      <c r="G476" t="s">
        <v>16</v>
      </c>
      <c r="J476" t="str">
        <f>"01/17/2014 23:45"</f>
        <v>01/17/2014 23:45</v>
      </c>
    </row>
    <row r="477" spans="1:10" x14ac:dyDescent="0.3">
      <c r="A477" t="s">
        <v>6</v>
      </c>
      <c r="B477" t="str">
        <f>"01/18/2014 00:00"</f>
        <v>01/18/2014 00:00</v>
      </c>
      <c r="C477">
        <v>1.62</v>
      </c>
      <c r="D477" t="s">
        <v>7</v>
      </c>
      <c r="E477" s="2" t="s">
        <v>12</v>
      </c>
      <c r="F477">
        <f t="shared" si="7"/>
        <v>3.2124600000000005</v>
      </c>
      <c r="G477" t="s">
        <v>16</v>
      </c>
      <c r="J477" t="str">
        <f>"01/18/2014 23:45"</f>
        <v>01/18/2014 23:45</v>
      </c>
    </row>
    <row r="478" spans="1:10" x14ac:dyDescent="0.3">
      <c r="A478" t="s">
        <v>6</v>
      </c>
      <c r="B478" t="str">
        <f>"01/19/2014 00:00"</f>
        <v>01/19/2014 00:00</v>
      </c>
      <c r="C478">
        <v>1.62</v>
      </c>
      <c r="D478" t="s">
        <v>7</v>
      </c>
      <c r="E478" s="2" t="s">
        <v>12</v>
      </c>
      <c r="F478">
        <f t="shared" si="7"/>
        <v>3.2124600000000005</v>
      </c>
      <c r="G478" t="s">
        <v>16</v>
      </c>
      <c r="J478" t="str">
        <f>"01/19/2014 23:45"</f>
        <v>01/19/2014 23:45</v>
      </c>
    </row>
    <row r="479" spans="1:10" x14ac:dyDescent="0.3">
      <c r="A479" t="s">
        <v>6</v>
      </c>
      <c r="B479" t="str">
        <f>"01/20/2014 00:00"</f>
        <v>01/20/2014 00:00</v>
      </c>
      <c r="C479">
        <v>1.62</v>
      </c>
      <c r="D479" t="s">
        <v>7</v>
      </c>
      <c r="E479" s="2" t="s">
        <v>12</v>
      </c>
      <c r="F479">
        <f t="shared" si="7"/>
        <v>3.2124600000000005</v>
      </c>
      <c r="G479" t="s">
        <v>16</v>
      </c>
      <c r="J479" t="str">
        <f>"01/20/2014 23:45"</f>
        <v>01/20/2014 23:45</v>
      </c>
    </row>
    <row r="480" spans="1:10" x14ac:dyDescent="0.3">
      <c r="A480" t="s">
        <v>6</v>
      </c>
      <c r="B480" t="str">
        <f>"01/21/2014 00:00"</f>
        <v>01/21/2014 00:00</v>
      </c>
      <c r="C480">
        <v>1.62</v>
      </c>
      <c r="D480" t="s">
        <v>7</v>
      </c>
      <c r="E480" s="2" t="s">
        <v>12</v>
      </c>
      <c r="F480">
        <f t="shared" si="7"/>
        <v>3.2124600000000005</v>
      </c>
      <c r="G480" t="s">
        <v>16</v>
      </c>
      <c r="J480" t="str">
        <f>"01/21/2014 23:45"</f>
        <v>01/21/2014 23:45</v>
      </c>
    </row>
    <row r="481" spans="1:10" x14ac:dyDescent="0.3">
      <c r="A481" t="s">
        <v>6</v>
      </c>
      <c r="B481" t="str">
        <f>"01/22/2014 00:00"</f>
        <v>01/22/2014 00:00</v>
      </c>
      <c r="C481">
        <v>1.62</v>
      </c>
      <c r="D481" t="s">
        <v>7</v>
      </c>
      <c r="E481" s="2" t="s">
        <v>12</v>
      </c>
      <c r="F481">
        <f t="shared" si="7"/>
        <v>3.2124600000000005</v>
      </c>
      <c r="G481" t="s">
        <v>16</v>
      </c>
      <c r="J481" t="str">
        <f>"01/22/2014 23:45"</f>
        <v>01/22/2014 23:45</v>
      </c>
    </row>
    <row r="482" spans="1:10" x14ac:dyDescent="0.3">
      <c r="A482" t="s">
        <v>6</v>
      </c>
      <c r="B482" t="str">
        <f>"01/23/2014 00:00"</f>
        <v>01/23/2014 00:00</v>
      </c>
      <c r="C482">
        <v>1.62</v>
      </c>
      <c r="D482" t="s">
        <v>7</v>
      </c>
      <c r="E482" s="2" t="s">
        <v>12</v>
      </c>
      <c r="F482">
        <f t="shared" si="7"/>
        <v>3.2124600000000005</v>
      </c>
      <c r="G482" t="s">
        <v>16</v>
      </c>
      <c r="J482" t="str">
        <f>"01/23/2014 23:45"</f>
        <v>01/23/2014 23:45</v>
      </c>
    </row>
    <row r="483" spans="1:10" x14ac:dyDescent="0.3">
      <c r="A483" t="s">
        <v>6</v>
      </c>
      <c r="B483" t="str">
        <f>"01/24/2014 00:00"</f>
        <v>01/24/2014 00:00</v>
      </c>
      <c r="C483">
        <v>1.62</v>
      </c>
      <c r="D483" t="s">
        <v>7</v>
      </c>
      <c r="E483" s="2" t="s">
        <v>12</v>
      </c>
      <c r="F483">
        <f t="shared" si="7"/>
        <v>3.2124600000000005</v>
      </c>
      <c r="G483" t="s">
        <v>16</v>
      </c>
      <c r="J483" t="str">
        <f>"01/24/2014 23:45"</f>
        <v>01/24/2014 23:45</v>
      </c>
    </row>
    <row r="484" spans="1:10" x14ac:dyDescent="0.3">
      <c r="A484" t="s">
        <v>6</v>
      </c>
      <c r="B484" t="str">
        <f>"01/25/2014 00:00"</f>
        <v>01/25/2014 00:00</v>
      </c>
      <c r="C484">
        <v>1.62</v>
      </c>
      <c r="D484" t="s">
        <v>7</v>
      </c>
      <c r="E484" s="2" t="s">
        <v>12</v>
      </c>
      <c r="F484">
        <f t="shared" si="7"/>
        <v>3.2124600000000005</v>
      </c>
      <c r="G484" t="s">
        <v>16</v>
      </c>
      <c r="J484" t="str">
        <f>"01/25/2014 23:45"</f>
        <v>01/25/2014 23:45</v>
      </c>
    </row>
    <row r="485" spans="1:10" x14ac:dyDescent="0.3">
      <c r="A485" t="s">
        <v>6</v>
      </c>
      <c r="B485" t="str">
        <f>"01/26/2014 00:00"</f>
        <v>01/26/2014 00:00</v>
      </c>
      <c r="C485">
        <v>1.62</v>
      </c>
      <c r="D485" t="s">
        <v>7</v>
      </c>
      <c r="E485" s="2" t="s">
        <v>12</v>
      </c>
      <c r="F485">
        <f t="shared" si="7"/>
        <v>3.2124600000000005</v>
      </c>
      <c r="G485" t="s">
        <v>16</v>
      </c>
      <c r="J485" t="str">
        <f>"01/26/2014 23:45"</f>
        <v>01/26/2014 23:45</v>
      </c>
    </row>
    <row r="486" spans="1:10" x14ac:dyDescent="0.3">
      <c r="A486" t="s">
        <v>6</v>
      </c>
      <c r="B486" t="str">
        <f>"01/27/2014 00:00"</f>
        <v>01/27/2014 00:00</v>
      </c>
      <c r="C486">
        <v>1.62</v>
      </c>
      <c r="D486" t="s">
        <v>7</v>
      </c>
      <c r="E486" s="2" t="s">
        <v>12</v>
      </c>
      <c r="F486">
        <f t="shared" si="7"/>
        <v>3.2124600000000005</v>
      </c>
      <c r="G486" t="s">
        <v>16</v>
      </c>
      <c r="J486" t="str">
        <f>"01/27/2014 23:45"</f>
        <v>01/27/2014 23:45</v>
      </c>
    </row>
    <row r="487" spans="1:10" x14ac:dyDescent="0.3">
      <c r="A487" t="s">
        <v>6</v>
      </c>
      <c r="B487" t="str">
        <f>"01/28/2014 00:00"</f>
        <v>01/28/2014 00:00</v>
      </c>
      <c r="C487">
        <v>1.62</v>
      </c>
      <c r="D487" t="s">
        <v>7</v>
      </c>
      <c r="E487" s="2" t="s">
        <v>12</v>
      </c>
      <c r="F487">
        <f t="shared" si="7"/>
        <v>3.2124600000000005</v>
      </c>
      <c r="G487" t="s">
        <v>16</v>
      </c>
      <c r="J487" t="str">
        <f>"01/28/2014 23:45"</f>
        <v>01/28/2014 23:45</v>
      </c>
    </row>
    <row r="488" spans="1:10" x14ac:dyDescent="0.3">
      <c r="A488" t="s">
        <v>6</v>
      </c>
      <c r="B488" t="str">
        <f>"01/29/2014 00:00"</f>
        <v>01/29/2014 00:00</v>
      </c>
      <c r="C488">
        <v>1.62</v>
      </c>
      <c r="D488" t="s">
        <v>7</v>
      </c>
      <c r="E488" s="2" t="s">
        <v>12</v>
      </c>
      <c r="F488">
        <f t="shared" si="7"/>
        <v>3.2124600000000005</v>
      </c>
      <c r="G488" t="s">
        <v>16</v>
      </c>
      <c r="J488" t="str">
        <f>"01/29/2014 23:45"</f>
        <v>01/29/2014 23:45</v>
      </c>
    </row>
    <row r="489" spans="1:10" x14ac:dyDescent="0.3">
      <c r="A489" t="s">
        <v>6</v>
      </c>
      <c r="B489" t="str">
        <f>"01/30/2014 00:00"</f>
        <v>01/30/2014 00:00</v>
      </c>
      <c r="C489">
        <v>1.62</v>
      </c>
      <c r="D489" t="s">
        <v>7</v>
      </c>
      <c r="E489" s="2" t="s">
        <v>12</v>
      </c>
      <c r="F489">
        <f t="shared" si="7"/>
        <v>3.2124600000000005</v>
      </c>
      <c r="G489" t="s">
        <v>16</v>
      </c>
      <c r="J489" t="str">
        <f>"01/30/2014 23:45"</f>
        <v>01/30/2014 23:45</v>
      </c>
    </row>
    <row r="490" spans="1:10" x14ac:dyDescent="0.3">
      <c r="A490" t="s">
        <v>6</v>
      </c>
      <c r="B490" t="str">
        <f>"01/31/2014 00:00"</f>
        <v>01/31/2014 00:00</v>
      </c>
      <c r="C490">
        <v>1.62</v>
      </c>
      <c r="D490" t="s">
        <v>7</v>
      </c>
      <c r="E490" s="2" t="s">
        <v>12</v>
      </c>
      <c r="F490">
        <f t="shared" si="7"/>
        <v>3.2124600000000005</v>
      </c>
      <c r="G490" t="s">
        <v>16</v>
      </c>
      <c r="J490" t="str">
        <f>"01/31/2014 23:45"</f>
        <v>01/31/2014 23:45</v>
      </c>
    </row>
    <row r="491" spans="1:10" x14ac:dyDescent="0.3">
      <c r="A491" t="s">
        <v>6</v>
      </c>
      <c r="B491" t="str">
        <f>"02/01/2014 00:00"</f>
        <v>02/01/2014 00:00</v>
      </c>
      <c r="C491">
        <v>1.62</v>
      </c>
      <c r="D491" t="s">
        <v>7</v>
      </c>
      <c r="E491" s="2" t="s">
        <v>12</v>
      </c>
      <c r="F491">
        <f t="shared" si="7"/>
        <v>3.2124600000000005</v>
      </c>
      <c r="G491" t="s">
        <v>16</v>
      </c>
      <c r="J491" t="str">
        <f>"02/01/2014 23:45"</f>
        <v>02/01/2014 23:45</v>
      </c>
    </row>
    <row r="492" spans="1:10" x14ac:dyDescent="0.3">
      <c r="A492" t="s">
        <v>6</v>
      </c>
      <c r="B492" t="str">
        <f>"02/02/2014 00:00"</f>
        <v>02/02/2014 00:00</v>
      </c>
      <c r="C492">
        <v>1.62</v>
      </c>
      <c r="D492" t="s">
        <v>7</v>
      </c>
      <c r="E492" s="2" t="s">
        <v>12</v>
      </c>
      <c r="F492">
        <f t="shared" si="7"/>
        <v>3.2124600000000005</v>
      </c>
      <c r="G492" t="s">
        <v>16</v>
      </c>
      <c r="J492" t="str">
        <f>"02/02/2014 23:45"</f>
        <v>02/02/2014 23:45</v>
      </c>
    </row>
    <row r="493" spans="1:10" x14ac:dyDescent="0.3">
      <c r="A493" t="s">
        <v>6</v>
      </c>
      <c r="B493" t="str">
        <f>"02/03/2014 00:00"</f>
        <v>02/03/2014 00:00</v>
      </c>
      <c r="C493">
        <v>1.56</v>
      </c>
      <c r="D493" t="s">
        <v>7</v>
      </c>
      <c r="E493" s="2" t="s">
        <v>12</v>
      </c>
      <c r="F493">
        <f t="shared" si="7"/>
        <v>3.0934800000000005</v>
      </c>
      <c r="G493" t="s">
        <v>16</v>
      </c>
      <c r="J493" t="str">
        <f>"02/03/2014 23:45"</f>
        <v>02/03/2014 23:45</v>
      </c>
    </row>
    <row r="494" spans="1:10" x14ac:dyDescent="0.3">
      <c r="A494" t="s">
        <v>6</v>
      </c>
      <c r="B494" t="str">
        <f>"02/04/2014 00:00"</f>
        <v>02/04/2014 00:00</v>
      </c>
      <c r="C494">
        <v>1.34</v>
      </c>
      <c r="D494" t="s">
        <v>7</v>
      </c>
      <c r="E494" s="2" t="s">
        <v>12</v>
      </c>
      <c r="F494">
        <f t="shared" si="7"/>
        <v>2.6572200000000001</v>
      </c>
      <c r="G494" t="s">
        <v>16</v>
      </c>
      <c r="J494" t="str">
        <f>"02/04/2014 23:45"</f>
        <v>02/04/2014 23:45</v>
      </c>
    </row>
    <row r="495" spans="1:10" x14ac:dyDescent="0.3">
      <c r="A495" t="s">
        <v>6</v>
      </c>
      <c r="B495" t="str">
        <f>"02/05/2014 00:00"</f>
        <v>02/05/2014 00:00</v>
      </c>
      <c r="C495">
        <v>1.34</v>
      </c>
      <c r="D495" t="s">
        <v>7</v>
      </c>
      <c r="E495" s="2" t="s">
        <v>12</v>
      </c>
      <c r="F495">
        <f t="shared" si="7"/>
        <v>2.6572200000000001</v>
      </c>
      <c r="G495" t="s">
        <v>16</v>
      </c>
      <c r="J495" t="str">
        <f>"02/05/2014 23:45"</f>
        <v>02/05/2014 23:45</v>
      </c>
    </row>
    <row r="496" spans="1:10" x14ac:dyDescent="0.3">
      <c r="A496" t="s">
        <v>6</v>
      </c>
      <c r="B496" t="str">
        <f>"02/06/2014 00:00"</f>
        <v>02/06/2014 00:00</v>
      </c>
      <c r="C496">
        <v>1.34</v>
      </c>
      <c r="D496" t="s">
        <v>7</v>
      </c>
      <c r="E496" s="2" t="s">
        <v>12</v>
      </c>
      <c r="F496">
        <f t="shared" si="7"/>
        <v>2.6572200000000001</v>
      </c>
      <c r="G496" t="s">
        <v>16</v>
      </c>
      <c r="J496" t="str">
        <f>"02/06/2014 23:45"</f>
        <v>02/06/2014 23:45</v>
      </c>
    </row>
    <row r="497" spans="1:10" x14ac:dyDescent="0.3">
      <c r="A497" t="s">
        <v>6</v>
      </c>
      <c r="B497" t="str">
        <f>"02/07/2014 00:00"</f>
        <v>02/07/2014 00:00</v>
      </c>
      <c r="C497">
        <v>1.34</v>
      </c>
      <c r="D497" t="s">
        <v>7</v>
      </c>
      <c r="E497" s="2" t="s">
        <v>12</v>
      </c>
      <c r="F497">
        <f t="shared" si="7"/>
        <v>2.6572200000000001</v>
      </c>
      <c r="G497" t="s">
        <v>16</v>
      </c>
      <c r="J497" t="str">
        <f>"02/07/2014 23:45"</f>
        <v>02/07/2014 23:45</v>
      </c>
    </row>
    <row r="498" spans="1:10" x14ac:dyDescent="0.3">
      <c r="A498" t="s">
        <v>6</v>
      </c>
      <c r="B498" t="str">
        <f>"02/08/2014 00:00"</f>
        <v>02/08/2014 00:00</v>
      </c>
      <c r="C498">
        <v>1.34</v>
      </c>
      <c r="D498" t="s">
        <v>7</v>
      </c>
      <c r="E498" s="2" t="s">
        <v>12</v>
      </c>
      <c r="F498">
        <f t="shared" si="7"/>
        <v>2.6572200000000001</v>
      </c>
      <c r="G498" t="s">
        <v>16</v>
      </c>
      <c r="J498" t="str">
        <f>"02/08/2014 23:45"</f>
        <v>02/08/2014 23:45</v>
      </c>
    </row>
    <row r="499" spans="1:10" x14ac:dyDescent="0.3">
      <c r="A499" t="s">
        <v>6</v>
      </c>
      <c r="B499" t="str">
        <f>"02/09/2014 00:00"</f>
        <v>02/09/2014 00:00</v>
      </c>
      <c r="C499">
        <v>1.39</v>
      </c>
      <c r="D499" t="s">
        <v>7</v>
      </c>
      <c r="E499" s="2" t="s">
        <v>12</v>
      </c>
      <c r="F499">
        <f t="shared" si="7"/>
        <v>2.75637</v>
      </c>
      <c r="G499" t="s">
        <v>16</v>
      </c>
      <c r="J499" t="str">
        <f>"02/09/2014 23:45"</f>
        <v>02/09/2014 23:45</v>
      </c>
    </row>
    <row r="500" spans="1:10" x14ac:dyDescent="0.3">
      <c r="A500" t="s">
        <v>6</v>
      </c>
      <c r="B500" t="str">
        <f>"02/10/2014 00:00"</f>
        <v>02/10/2014 00:00</v>
      </c>
      <c r="C500">
        <v>1.4</v>
      </c>
      <c r="D500" t="s">
        <v>7</v>
      </c>
      <c r="E500" s="2" t="s">
        <v>12</v>
      </c>
      <c r="F500">
        <f t="shared" si="7"/>
        <v>2.7761999999999998</v>
      </c>
      <c r="G500" t="s">
        <v>16</v>
      </c>
      <c r="J500" t="str">
        <f>"02/10/2014 23:45"</f>
        <v>02/10/2014 23:45</v>
      </c>
    </row>
    <row r="501" spans="1:10" x14ac:dyDescent="0.3">
      <c r="A501" t="s">
        <v>6</v>
      </c>
      <c r="B501" t="str">
        <f>"02/11/2014 00:00"</f>
        <v>02/11/2014 00:00</v>
      </c>
      <c r="C501">
        <v>1.34</v>
      </c>
      <c r="D501" t="s">
        <v>7</v>
      </c>
      <c r="E501" s="2" t="s">
        <v>12</v>
      </c>
      <c r="F501">
        <f t="shared" si="7"/>
        <v>2.6572200000000001</v>
      </c>
      <c r="G501" t="s">
        <v>16</v>
      </c>
      <c r="J501" t="str">
        <f>"02/11/2014 23:45"</f>
        <v>02/11/2014 23:45</v>
      </c>
    </row>
    <row r="502" spans="1:10" x14ac:dyDescent="0.3">
      <c r="A502" t="s">
        <v>6</v>
      </c>
      <c r="B502" t="str">
        <f>"02/12/2014 00:00"</f>
        <v>02/12/2014 00:00</v>
      </c>
      <c r="C502">
        <v>1.34</v>
      </c>
      <c r="D502" t="s">
        <v>7</v>
      </c>
      <c r="E502" s="2" t="s">
        <v>12</v>
      </c>
      <c r="F502">
        <f t="shared" si="7"/>
        <v>2.6572200000000001</v>
      </c>
      <c r="G502" t="s">
        <v>16</v>
      </c>
      <c r="J502" t="str">
        <f>"02/12/2014 23:45"</f>
        <v>02/12/2014 23:45</v>
      </c>
    </row>
    <row r="503" spans="1:10" x14ac:dyDescent="0.3">
      <c r="A503" t="s">
        <v>6</v>
      </c>
      <c r="B503" t="str">
        <f>"02/13/2014 00:00"</f>
        <v>02/13/2014 00:00</v>
      </c>
      <c r="C503">
        <v>1.34</v>
      </c>
      <c r="D503" t="s">
        <v>7</v>
      </c>
      <c r="E503" s="2" t="s">
        <v>12</v>
      </c>
      <c r="F503">
        <f t="shared" si="7"/>
        <v>2.6572200000000001</v>
      </c>
      <c r="G503" t="s">
        <v>16</v>
      </c>
      <c r="J503" t="str">
        <f>"02/13/2014 23:45"</f>
        <v>02/13/2014 23:45</v>
      </c>
    </row>
    <row r="504" spans="1:10" x14ac:dyDescent="0.3">
      <c r="A504" t="s">
        <v>6</v>
      </c>
      <c r="B504" t="str">
        <f>"02/14/2014 00:00"</f>
        <v>02/14/2014 00:00</v>
      </c>
      <c r="C504">
        <v>1.34</v>
      </c>
      <c r="D504" t="s">
        <v>7</v>
      </c>
      <c r="E504" s="2" t="s">
        <v>12</v>
      </c>
      <c r="F504">
        <f t="shared" si="7"/>
        <v>2.6572200000000001</v>
      </c>
      <c r="G504" t="s">
        <v>16</v>
      </c>
      <c r="J504" t="str">
        <f>"02/14/2014 23:45"</f>
        <v>02/14/2014 23:45</v>
      </c>
    </row>
    <row r="505" spans="1:10" x14ac:dyDescent="0.3">
      <c r="A505" t="s">
        <v>6</v>
      </c>
      <c r="B505" t="str">
        <f>"02/15/2014 00:00"</f>
        <v>02/15/2014 00:00</v>
      </c>
      <c r="C505">
        <v>1.34</v>
      </c>
      <c r="D505" t="s">
        <v>7</v>
      </c>
      <c r="E505" s="2" t="s">
        <v>12</v>
      </c>
      <c r="F505">
        <f t="shared" si="7"/>
        <v>2.6572200000000001</v>
      </c>
      <c r="G505" t="s">
        <v>16</v>
      </c>
      <c r="J505" t="str">
        <f>"02/15/2014 23:45"</f>
        <v>02/15/2014 23:45</v>
      </c>
    </row>
    <row r="506" spans="1:10" x14ac:dyDescent="0.3">
      <c r="A506" t="s">
        <v>6</v>
      </c>
      <c r="B506" t="str">
        <f>"02/16/2014 00:00"</f>
        <v>02/16/2014 00:00</v>
      </c>
      <c r="C506">
        <v>1.34</v>
      </c>
      <c r="D506" t="s">
        <v>7</v>
      </c>
      <c r="E506" s="2" t="s">
        <v>12</v>
      </c>
      <c r="F506">
        <f t="shared" si="7"/>
        <v>2.6572200000000001</v>
      </c>
      <c r="G506" t="s">
        <v>16</v>
      </c>
      <c r="J506" t="str">
        <f>"02/16/2014 23:45"</f>
        <v>02/16/2014 23:45</v>
      </c>
    </row>
    <row r="507" spans="1:10" x14ac:dyDescent="0.3">
      <c r="A507" t="s">
        <v>6</v>
      </c>
      <c r="B507" t="str">
        <f>"02/17/2014 00:00"</f>
        <v>02/17/2014 00:00</v>
      </c>
      <c r="C507">
        <v>1.34</v>
      </c>
      <c r="D507" t="s">
        <v>7</v>
      </c>
      <c r="E507" s="2" t="s">
        <v>12</v>
      </c>
      <c r="F507">
        <f t="shared" si="7"/>
        <v>2.6572200000000001</v>
      </c>
      <c r="G507" t="s">
        <v>16</v>
      </c>
      <c r="J507" t="str">
        <f>"02/17/2014 23:45"</f>
        <v>02/17/2014 23:45</v>
      </c>
    </row>
    <row r="508" spans="1:10" x14ac:dyDescent="0.3">
      <c r="A508" t="s">
        <v>6</v>
      </c>
      <c r="B508" t="str">
        <f>"02/18/2014 00:00"</f>
        <v>02/18/2014 00:00</v>
      </c>
      <c r="C508">
        <v>1.34</v>
      </c>
      <c r="D508" t="s">
        <v>7</v>
      </c>
      <c r="E508" s="2" t="s">
        <v>12</v>
      </c>
      <c r="F508">
        <f t="shared" si="7"/>
        <v>2.6572200000000001</v>
      </c>
      <c r="G508" t="s">
        <v>16</v>
      </c>
      <c r="J508" t="str">
        <f>"02/18/2014 23:45"</f>
        <v>02/18/2014 23:45</v>
      </c>
    </row>
    <row r="509" spans="1:10" x14ac:dyDescent="0.3">
      <c r="A509" t="s">
        <v>6</v>
      </c>
      <c r="B509" t="str">
        <f>"02/19/2014 00:00"</f>
        <v>02/19/2014 00:00</v>
      </c>
      <c r="C509">
        <v>1.34</v>
      </c>
      <c r="D509" t="s">
        <v>7</v>
      </c>
      <c r="E509" s="2" t="s">
        <v>12</v>
      </c>
      <c r="F509">
        <f t="shared" si="7"/>
        <v>2.6572200000000001</v>
      </c>
      <c r="G509" t="s">
        <v>16</v>
      </c>
      <c r="J509" t="str">
        <f>"02/19/2014 23:45"</f>
        <v>02/19/2014 23:45</v>
      </c>
    </row>
    <row r="510" spans="1:10" x14ac:dyDescent="0.3">
      <c r="A510" t="s">
        <v>6</v>
      </c>
      <c r="B510" t="str">
        <f>"02/20/2014 00:00"</f>
        <v>02/20/2014 00:00</v>
      </c>
      <c r="C510">
        <v>1.34</v>
      </c>
      <c r="D510" t="s">
        <v>7</v>
      </c>
      <c r="E510" s="2" t="s">
        <v>12</v>
      </c>
      <c r="F510">
        <f t="shared" si="7"/>
        <v>2.6572200000000001</v>
      </c>
      <c r="G510" t="s">
        <v>16</v>
      </c>
      <c r="J510" t="str">
        <f>"02/20/2014 23:45"</f>
        <v>02/20/2014 23:45</v>
      </c>
    </row>
    <row r="511" spans="1:10" x14ac:dyDescent="0.3">
      <c r="A511" t="s">
        <v>6</v>
      </c>
      <c r="B511" t="str">
        <f>"02/21/2014 00:00"</f>
        <v>02/21/2014 00:00</v>
      </c>
      <c r="C511">
        <v>1.34</v>
      </c>
      <c r="D511" t="s">
        <v>7</v>
      </c>
      <c r="E511" s="2" t="s">
        <v>12</v>
      </c>
      <c r="F511">
        <f t="shared" si="7"/>
        <v>2.6572200000000001</v>
      </c>
      <c r="G511" t="s">
        <v>16</v>
      </c>
      <c r="J511" t="str">
        <f>"02/21/2014 23:45"</f>
        <v>02/21/2014 23:45</v>
      </c>
    </row>
    <row r="512" spans="1:10" x14ac:dyDescent="0.3">
      <c r="A512" t="s">
        <v>6</v>
      </c>
      <c r="B512" t="str">
        <f>"02/22/2014 00:00"</f>
        <v>02/22/2014 00:00</v>
      </c>
      <c r="C512">
        <v>1.34</v>
      </c>
      <c r="D512" t="s">
        <v>7</v>
      </c>
      <c r="E512" s="2" t="s">
        <v>12</v>
      </c>
      <c r="F512">
        <f t="shared" si="7"/>
        <v>2.6572200000000001</v>
      </c>
      <c r="G512" t="s">
        <v>16</v>
      </c>
      <c r="J512" t="str">
        <f>"02/22/2014 23:45"</f>
        <v>02/22/2014 23:45</v>
      </c>
    </row>
    <row r="513" spans="1:10" x14ac:dyDescent="0.3">
      <c r="A513" t="s">
        <v>6</v>
      </c>
      <c r="B513" t="str">
        <f>"02/23/2014 00:00"</f>
        <v>02/23/2014 00:00</v>
      </c>
      <c r="C513">
        <v>1.34</v>
      </c>
      <c r="D513" t="s">
        <v>7</v>
      </c>
      <c r="E513" s="2" t="s">
        <v>12</v>
      </c>
      <c r="F513">
        <f t="shared" si="7"/>
        <v>2.6572200000000001</v>
      </c>
      <c r="G513" t="s">
        <v>16</v>
      </c>
      <c r="J513" t="str">
        <f>"02/23/2014 23:45"</f>
        <v>02/23/2014 23:45</v>
      </c>
    </row>
    <row r="514" spans="1:10" x14ac:dyDescent="0.3">
      <c r="A514" t="s">
        <v>6</v>
      </c>
      <c r="B514" t="str">
        <f>"02/24/2014 00:00"</f>
        <v>02/24/2014 00:00</v>
      </c>
      <c r="C514">
        <v>1.34</v>
      </c>
      <c r="D514" t="s">
        <v>7</v>
      </c>
      <c r="E514" s="2" t="s">
        <v>12</v>
      </c>
      <c r="F514">
        <f t="shared" si="7"/>
        <v>2.6572200000000001</v>
      </c>
      <c r="G514" t="s">
        <v>16</v>
      </c>
      <c r="J514" t="str">
        <f>"02/24/2014 23:45"</f>
        <v>02/24/2014 23:45</v>
      </c>
    </row>
    <row r="515" spans="1:10" x14ac:dyDescent="0.3">
      <c r="A515" t="s">
        <v>6</v>
      </c>
      <c r="B515" t="str">
        <f>"02/25/2014 00:00"</f>
        <v>02/25/2014 00:00</v>
      </c>
      <c r="C515">
        <v>1.34</v>
      </c>
      <c r="D515" t="s">
        <v>7</v>
      </c>
      <c r="E515" s="2" t="s">
        <v>12</v>
      </c>
      <c r="F515">
        <f t="shared" si="7"/>
        <v>2.6572200000000001</v>
      </c>
      <c r="G515" t="s">
        <v>16</v>
      </c>
      <c r="J515" t="str">
        <f>"02/25/2014 23:45"</f>
        <v>02/25/2014 23:45</v>
      </c>
    </row>
    <row r="516" spans="1:10" x14ac:dyDescent="0.3">
      <c r="A516" t="s">
        <v>6</v>
      </c>
      <c r="B516" t="str">
        <f>"02/26/2014 00:00"</f>
        <v>02/26/2014 00:00</v>
      </c>
      <c r="C516">
        <v>1.34</v>
      </c>
      <c r="D516" t="s">
        <v>7</v>
      </c>
      <c r="E516" s="2" t="s">
        <v>12</v>
      </c>
      <c r="F516">
        <f t="shared" ref="F516:F579" si="8">C516*1.983</f>
        <v>2.6572200000000001</v>
      </c>
      <c r="G516" t="s">
        <v>16</v>
      </c>
      <c r="J516" t="str">
        <f>"02/26/2014 23:45"</f>
        <v>02/26/2014 23:45</v>
      </c>
    </row>
    <row r="517" spans="1:10" x14ac:dyDescent="0.3">
      <c r="A517" t="s">
        <v>6</v>
      </c>
      <c r="B517" t="str">
        <f>"02/27/2014 00:00"</f>
        <v>02/27/2014 00:00</v>
      </c>
      <c r="C517">
        <v>1.34</v>
      </c>
      <c r="D517" t="s">
        <v>7</v>
      </c>
      <c r="E517" s="2" t="s">
        <v>12</v>
      </c>
      <c r="F517">
        <f t="shared" si="8"/>
        <v>2.6572200000000001</v>
      </c>
      <c r="G517" t="s">
        <v>16</v>
      </c>
      <c r="J517" t="str">
        <f>"02/27/2014 23:45"</f>
        <v>02/27/2014 23:45</v>
      </c>
    </row>
    <row r="518" spans="1:10" x14ac:dyDescent="0.3">
      <c r="A518" t="s">
        <v>6</v>
      </c>
      <c r="B518" t="str">
        <f>"02/28/2014 00:00"</f>
        <v>02/28/2014 00:00</v>
      </c>
      <c r="C518">
        <v>1.34</v>
      </c>
      <c r="D518" t="s">
        <v>7</v>
      </c>
      <c r="E518" s="2" t="s">
        <v>12</v>
      </c>
      <c r="F518">
        <f t="shared" si="8"/>
        <v>2.6572200000000001</v>
      </c>
      <c r="G518" t="s">
        <v>16</v>
      </c>
      <c r="J518" t="str">
        <f>"02/28/2014 23:45"</f>
        <v>02/28/2014 23:45</v>
      </c>
    </row>
    <row r="519" spans="1:10" x14ac:dyDescent="0.3">
      <c r="A519" t="s">
        <v>6</v>
      </c>
      <c r="B519" t="str">
        <f>"03/01/2014 00:00"</f>
        <v>03/01/2014 00:00</v>
      </c>
      <c r="C519">
        <v>1.34</v>
      </c>
      <c r="D519" t="s">
        <v>7</v>
      </c>
      <c r="E519" s="2" t="s">
        <v>12</v>
      </c>
      <c r="F519">
        <f t="shared" si="8"/>
        <v>2.6572200000000001</v>
      </c>
      <c r="G519" t="s">
        <v>16</v>
      </c>
      <c r="J519" t="str">
        <f>"03/01/2014 23:45"</f>
        <v>03/01/2014 23:45</v>
      </c>
    </row>
    <row r="520" spans="1:10" x14ac:dyDescent="0.3">
      <c r="A520" t="s">
        <v>6</v>
      </c>
      <c r="B520" t="str">
        <f>"03/02/2014 00:00"</f>
        <v>03/02/2014 00:00</v>
      </c>
      <c r="C520">
        <v>1.34</v>
      </c>
      <c r="D520" t="s">
        <v>7</v>
      </c>
      <c r="E520" s="2" t="s">
        <v>12</v>
      </c>
      <c r="F520">
        <f t="shared" si="8"/>
        <v>2.6572200000000001</v>
      </c>
      <c r="G520" t="s">
        <v>16</v>
      </c>
      <c r="J520" t="str">
        <f>"03/02/2014 23:45"</f>
        <v>03/02/2014 23:45</v>
      </c>
    </row>
    <row r="521" spans="1:10" x14ac:dyDescent="0.3">
      <c r="A521" t="s">
        <v>6</v>
      </c>
      <c r="B521" t="str">
        <f>"03/03/2014 00:00"</f>
        <v>03/03/2014 00:00</v>
      </c>
      <c r="C521">
        <v>1.34</v>
      </c>
      <c r="D521" t="s">
        <v>7</v>
      </c>
      <c r="E521" s="2" t="s">
        <v>12</v>
      </c>
      <c r="F521">
        <f t="shared" si="8"/>
        <v>2.6572200000000001</v>
      </c>
      <c r="G521" t="s">
        <v>16</v>
      </c>
      <c r="J521" t="str">
        <f>"03/03/2014 23:45"</f>
        <v>03/03/2014 23:45</v>
      </c>
    </row>
    <row r="522" spans="1:10" x14ac:dyDescent="0.3">
      <c r="A522" t="s">
        <v>6</v>
      </c>
      <c r="B522" t="str">
        <f>"03/04/2014 00:00"</f>
        <v>03/04/2014 00:00</v>
      </c>
      <c r="C522">
        <v>1.34</v>
      </c>
      <c r="D522" t="s">
        <v>7</v>
      </c>
      <c r="E522" s="2" t="s">
        <v>12</v>
      </c>
      <c r="F522">
        <f t="shared" si="8"/>
        <v>2.6572200000000001</v>
      </c>
      <c r="G522" t="s">
        <v>16</v>
      </c>
      <c r="J522" t="str">
        <f>"03/04/2014 23:45"</f>
        <v>03/04/2014 23:45</v>
      </c>
    </row>
    <row r="523" spans="1:10" x14ac:dyDescent="0.3">
      <c r="A523" t="s">
        <v>6</v>
      </c>
      <c r="B523" t="str">
        <f>"03/05/2014 00:00"</f>
        <v>03/05/2014 00:00</v>
      </c>
      <c r="C523">
        <v>1.34</v>
      </c>
      <c r="D523" t="s">
        <v>7</v>
      </c>
      <c r="E523" s="2" t="s">
        <v>12</v>
      </c>
      <c r="F523">
        <f t="shared" si="8"/>
        <v>2.6572200000000001</v>
      </c>
      <c r="G523" t="s">
        <v>16</v>
      </c>
      <c r="J523" t="str">
        <f>"03/05/2014 23:45"</f>
        <v>03/05/2014 23:45</v>
      </c>
    </row>
    <row r="524" spans="1:10" x14ac:dyDescent="0.3">
      <c r="A524" t="s">
        <v>6</v>
      </c>
      <c r="B524" t="str">
        <f>"03/06/2014 00:00"</f>
        <v>03/06/2014 00:00</v>
      </c>
      <c r="C524">
        <v>1.34</v>
      </c>
      <c r="D524" t="s">
        <v>7</v>
      </c>
      <c r="E524" s="2" t="s">
        <v>12</v>
      </c>
      <c r="F524">
        <f t="shared" si="8"/>
        <v>2.6572200000000001</v>
      </c>
      <c r="G524" t="s">
        <v>16</v>
      </c>
      <c r="J524" t="str">
        <f>"03/06/2014 23:45"</f>
        <v>03/06/2014 23:45</v>
      </c>
    </row>
    <row r="525" spans="1:10" x14ac:dyDescent="0.3">
      <c r="A525" t="s">
        <v>6</v>
      </c>
      <c r="B525" t="str">
        <f>"03/07/2014 00:00"</f>
        <v>03/07/2014 00:00</v>
      </c>
      <c r="C525">
        <v>1.34</v>
      </c>
      <c r="D525" t="s">
        <v>7</v>
      </c>
      <c r="E525" s="2" t="s">
        <v>12</v>
      </c>
      <c r="F525">
        <f t="shared" si="8"/>
        <v>2.6572200000000001</v>
      </c>
      <c r="G525" t="s">
        <v>16</v>
      </c>
      <c r="J525" t="str">
        <f>"03/07/2014 23:45"</f>
        <v>03/07/2014 23:45</v>
      </c>
    </row>
    <row r="526" spans="1:10" x14ac:dyDescent="0.3">
      <c r="A526" t="s">
        <v>6</v>
      </c>
      <c r="B526" t="str">
        <f>"03/08/2014 00:00"</f>
        <v>03/08/2014 00:00</v>
      </c>
      <c r="C526">
        <v>1.43</v>
      </c>
      <c r="D526" t="s">
        <v>7</v>
      </c>
      <c r="E526" s="2" t="s">
        <v>12</v>
      </c>
      <c r="F526">
        <f t="shared" si="8"/>
        <v>2.83569</v>
      </c>
      <c r="G526" t="s">
        <v>16</v>
      </c>
      <c r="J526" t="str">
        <f>"03/08/2014 23:45"</f>
        <v>03/08/2014 23:45</v>
      </c>
    </row>
    <row r="527" spans="1:10" x14ac:dyDescent="0.3">
      <c r="A527" t="s">
        <v>6</v>
      </c>
      <c r="B527" t="str">
        <f>"03/09/2014 00:00"</f>
        <v>03/09/2014 00:00</v>
      </c>
      <c r="C527">
        <v>1.62</v>
      </c>
      <c r="D527" t="s">
        <v>7</v>
      </c>
      <c r="E527" s="2" t="s">
        <v>12</v>
      </c>
      <c r="F527">
        <f t="shared" si="8"/>
        <v>3.2124600000000005</v>
      </c>
      <c r="G527" t="s">
        <v>16</v>
      </c>
      <c r="J527" t="str">
        <f>"03/09/2014 23:45"</f>
        <v>03/09/2014 23:45</v>
      </c>
    </row>
    <row r="528" spans="1:10" x14ac:dyDescent="0.3">
      <c r="A528" t="s">
        <v>6</v>
      </c>
      <c r="B528" t="str">
        <f>"03/10/2014 00:00"</f>
        <v>03/10/2014 00:00</v>
      </c>
      <c r="C528">
        <v>1.62</v>
      </c>
      <c r="D528" t="s">
        <v>7</v>
      </c>
      <c r="E528" s="2" t="s">
        <v>12</v>
      </c>
      <c r="F528">
        <f t="shared" si="8"/>
        <v>3.2124600000000005</v>
      </c>
      <c r="G528" t="s">
        <v>16</v>
      </c>
      <c r="J528" t="str">
        <f>"03/10/2014 23:45"</f>
        <v>03/10/2014 23:45</v>
      </c>
    </row>
    <row r="529" spans="1:10" x14ac:dyDescent="0.3">
      <c r="A529" t="s">
        <v>6</v>
      </c>
      <c r="B529" t="str">
        <f>"03/11/2014 00:00"</f>
        <v>03/11/2014 00:00</v>
      </c>
      <c r="C529">
        <v>1.62</v>
      </c>
      <c r="D529" t="s">
        <v>7</v>
      </c>
      <c r="E529" s="2" t="s">
        <v>12</v>
      </c>
      <c r="F529">
        <f t="shared" si="8"/>
        <v>3.2124600000000005</v>
      </c>
      <c r="G529" t="s">
        <v>16</v>
      </c>
      <c r="J529" t="str">
        <f>"03/11/2014 23:45"</f>
        <v>03/11/2014 23:45</v>
      </c>
    </row>
    <row r="530" spans="1:10" x14ac:dyDescent="0.3">
      <c r="A530" t="s">
        <v>6</v>
      </c>
      <c r="B530" t="str">
        <f>"03/12/2014 00:00"</f>
        <v>03/12/2014 00:00</v>
      </c>
      <c r="C530">
        <v>1.62</v>
      </c>
      <c r="D530" t="s">
        <v>7</v>
      </c>
      <c r="E530" s="2" t="s">
        <v>12</v>
      </c>
      <c r="F530">
        <f t="shared" si="8"/>
        <v>3.2124600000000005</v>
      </c>
      <c r="G530" t="s">
        <v>16</v>
      </c>
      <c r="J530" t="str">
        <f>"03/12/2014 23:45"</f>
        <v>03/12/2014 23:45</v>
      </c>
    </row>
    <row r="531" spans="1:10" x14ac:dyDescent="0.3">
      <c r="A531" t="s">
        <v>6</v>
      </c>
      <c r="B531" t="str">
        <f>"03/13/2014 00:00"</f>
        <v>03/13/2014 00:00</v>
      </c>
      <c r="C531">
        <v>1.62</v>
      </c>
      <c r="D531" t="s">
        <v>7</v>
      </c>
      <c r="E531" s="2" t="s">
        <v>12</v>
      </c>
      <c r="F531">
        <f t="shared" si="8"/>
        <v>3.2124600000000005</v>
      </c>
      <c r="G531" t="s">
        <v>16</v>
      </c>
      <c r="J531" t="str">
        <f>"03/13/2014 23:45"</f>
        <v>03/13/2014 23:45</v>
      </c>
    </row>
    <row r="532" spans="1:10" x14ac:dyDescent="0.3">
      <c r="A532" t="s">
        <v>6</v>
      </c>
      <c r="B532" t="str">
        <f>"03/14/2014 00:00"</f>
        <v>03/14/2014 00:00</v>
      </c>
      <c r="C532">
        <v>1.62</v>
      </c>
      <c r="D532" t="s">
        <v>7</v>
      </c>
      <c r="E532" s="2" t="s">
        <v>12</v>
      </c>
      <c r="F532">
        <f t="shared" si="8"/>
        <v>3.2124600000000005</v>
      </c>
      <c r="G532" t="s">
        <v>16</v>
      </c>
      <c r="J532" t="str">
        <f>"03/14/2014 23:45"</f>
        <v>03/14/2014 23:45</v>
      </c>
    </row>
    <row r="533" spans="1:10" x14ac:dyDescent="0.3">
      <c r="A533" t="s">
        <v>6</v>
      </c>
      <c r="B533" t="str">
        <f>"03/15/2014 00:00"</f>
        <v>03/15/2014 00:00</v>
      </c>
      <c r="C533">
        <v>1.62</v>
      </c>
      <c r="D533" t="s">
        <v>7</v>
      </c>
      <c r="E533" s="2" t="s">
        <v>12</v>
      </c>
      <c r="F533">
        <f t="shared" si="8"/>
        <v>3.2124600000000005</v>
      </c>
      <c r="G533" t="s">
        <v>16</v>
      </c>
      <c r="J533" t="str">
        <f>"03/15/2014 23:45"</f>
        <v>03/15/2014 23:45</v>
      </c>
    </row>
    <row r="534" spans="1:10" x14ac:dyDescent="0.3">
      <c r="A534" t="s">
        <v>6</v>
      </c>
      <c r="B534" t="str">
        <f>"03/16/2014 00:00"</f>
        <v>03/16/2014 00:00</v>
      </c>
      <c r="C534">
        <v>1.62</v>
      </c>
      <c r="D534" t="s">
        <v>7</v>
      </c>
      <c r="E534" s="2" t="s">
        <v>12</v>
      </c>
      <c r="F534">
        <f t="shared" si="8"/>
        <v>3.2124600000000005</v>
      </c>
      <c r="G534" t="s">
        <v>16</v>
      </c>
      <c r="J534" t="str">
        <f>"03/16/2014 23:45"</f>
        <v>03/16/2014 23:45</v>
      </c>
    </row>
    <row r="535" spans="1:10" x14ac:dyDescent="0.3">
      <c r="A535" t="s">
        <v>6</v>
      </c>
      <c r="B535" t="str">
        <f>"03/17/2014 00:00"</f>
        <v>03/17/2014 00:00</v>
      </c>
      <c r="C535">
        <v>1.62</v>
      </c>
      <c r="D535" t="s">
        <v>7</v>
      </c>
      <c r="E535" s="2" t="s">
        <v>12</v>
      </c>
      <c r="F535">
        <f t="shared" si="8"/>
        <v>3.2124600000000005</v>
      </c>
      <c r="G535" t="s">
        <v>16</v>
      </c>
      <c r="J535" t="str">
        <f>"03/17/2014 23:45"</f>
        <v>03/17/2014 23:45</v>
      </c>
    </row>
    <row r="536" spans="1:10" x14ac:dyDescent="0.3">
      <c r="A536" t="s">
        <v>6</v>
      </c>
      <c r="B536" t="str">
        <f>"03/18/2014 00:00"</f>
        <v>03/18/2014 00:00</v>
      </c>
      <c r="C536">
        <v>1.62</v>
      </c>
      <c r="D536" t="s">
        <v>7</v>
      </c>
      <c r="E536" s="2" t="s">
        <v>12</v>
      </c>
      <c r="F536">
        <f t="shared" si="8"/>
        <v>3.2124600000000005</v>
      </c>
      <c r="G536" t="s">
        <v>16</v>
      </c>
      <c r="J536" t="str">
        <f>"03/18/2014 23:45"</f>
        <v>03/18/2014 23:45</v>
      </c>
    </row>
    <row r="537" spans="1:10" x14ac:dyDescent="0.3">
      <c r="A537" t="s">
        <v>6</v>
      </c>
      <c r="B537" t="str">
        <f>"03/19/2014 00:00"</f>
        <v>03/19/2014 00:00</v>
      </c>
      <c r="C537">
        <v>1.4</v>
      </c>
      <c r="D537" t="s">
        <v>7</v>
      </c>
      <c r="E537" s="2" t="s">
        <v>12</v>
      </c>
      <c r="F537">
        <f t="shared" si="8"/>
        <v>2.7761999999999998</v>
      </c>
      <c r="G537" t="s">
        <v>16</v>
      </c>
      <c r="J537" t="str">
        <f>"03/19/2014 23:45"</f>
        <v>03/19/2014 23:45</v>
      </c>
    </row>
    <row r="538" spans="1:10" x14ac:dyDescent="0.3">
      <c r="A538" t="s">
        <v>6</v>
      </c>
      <c r="B538" t="str">
        <f>"03/20/2014 00:00"</f>
        <v>03/20/2014 00:00</v>
      </c>
      <c r="C538">
        <v>1.34</v>
      </c>
      <c r="D538" t="s">
        <v>7</v>
      </c>
      <c r="E538" s="2" t="s">
        <v>12</v>
      </c>
      <c r="F538">
        <f t="shared" si="8"/>
        <v>2.6572200000000001</v>
      </c>
      <c r="G538" t="s">
        <v>16</v>
      </c>
      <c r="J538" t="str">
        <f>"03/20/2014 23:45"</f>
        <v>03/20/2014 23:45</v>
      </c>
    </row>
    <row r="539" spans="1:10" x14ac:dyDescent="0.3">
      <c r="A539" t="s">
        <v>6</v>
      </c>
      <c r="B539" t="str">
        <f>"03/21/2014 00:00"</f>
        <v>03/21/2014 00:00</v>
      </c>
      <c r="C539">
        <v>1.34</v>
      </c>
      <c r="D539" t="s">
        <v>7</v>
      </c>
      <c r="E539" s="2" t="s">
        <v>12</v>
      </c>
      <c r="F539">
        <f t="shared" si="8"/>
        <v>2.6572200000000001</v>
      </c>
      <c r="G539" t="s">
        <v>16</v>
      </c>
      <c r="J539" t="str">
        <f>"03/21/2014 23:45"</f>
        <v>03/21/2014 23:45</v>
      </c>
    </row>
    <row r="540" spans="1:10" x14ac:dyDescent="0.3">
      <c r="A540" t="s">
        <v>6</v>
      </c>
      <c r="B540" t="str">
        <f>"03/22/2014 00:00"</f>
        <v>03/22/2014 00:00</v>
      </c>
      <c r="C540">
        <v>1.34</v>
      </c>
      <c r="D540" t="s">
        <v>7</v>
      </c>
      <c r="E540" s="2" t="s">
        <v>12</v>
      </c>
      <c r="F540">
        <f t="shared" si="8"/>
        <v>2.6572200000000001</v>
      </c>
      <c r="G540" t="s">
        <v>16</v>
      </c>
      <c r="J540" t="str">
        <f>"03/22/2014 23:45"</f>
        <v>03/22/2014 23:45</v>
      </c>
    </row>
    <row r="541" spans="1:10" x14ac:dyDescent="0.3">
      <c r="A541" t="s">
        <v>6</v>
      </c>
      <c r="B541" t="str">
        <f>"03/23/2014 00:00"</f>
        <v>03/23/2014 00:00</v>
      </c>
      <c r="C541">
        <v>1.34</v>
      </c>
      <c r="D541" t="s">
        <v>7</v>
      </c>
      <c r="E541" s="2" t="s">
        <v>12</v>
      </c>
      <c r="F541">
        <f t="shared" si="8"/>
        <v>2.6572200000000001</v>
      </c>
      <c r="G541" t="s">
        <v>16</v>
      </c>
      <c r="J541" t="str">
        <f>"03/23/2014 23:45"</f>
        <v>03/23/2014 23:45</v>
      </c>
    </row>
    <row r="542" spans="1:10" x14ac:dyDescent="0.3">
      <c r="A542" t="s">
        <v>6</v>
      </c>
      <c r="B542" t="str">
        <f>"03/24/2014 00:00"</f>
        <v>03/24/2014 00:00</v>
      </c>
      <c r="C542">
        <v>1.34</v>
      </c>
      <c r="D542" t="s">
        <v>7</v>
      </c>
      <c r="E542" s="2" t="s">
        <v>12</v>
      </c>
      <c r="F542">
        <f t="shared" si="8"/>
        <v>2.6572200000000001</v>
      </c>
      <c r="G542" t="s">
        <v>16</v>
      </c>
      <c r="J542" t="str">
        <f>"03/24/2014 23:45"</f>
        <v>03/24/2014 23:45</v>
      </c>
    </row>
    <row r="543" spans="1:10" x14ac:dyDescent="0.3">
      <c r="A543" t="s">
        <v>6</v>
      </c>
      <c r="B543" t="str">
        <f>"03/25/2014 00:00"</f>
        <v>03/25/2014 00:00</v>
      </c>
      <c r="C543">
        <v>1.34</v>
      </c>
      <c r="D543" t="s">
        <v>7</v>
      </c>
      <c r="E543" s="2" t="s">
        <v>12</v>
      </c>
      <c r="F543">
        <f t="shared" si="8"/>
        <v>2.6572200000000001</v>
      </c>
      <c r="G543" t="s">
        <v>16</v>
      </c>
      <c r="J543" t="str">
        <f>"03/25/2014 23:45"</f>
        <v>03/25/2014 23:45</v>
      </c>
    </row>
    <row r="544" spans="1:10" x14ac:dyDescent="0.3">
      <c r="A544" t="s">
        <v>6</v>
      </c>
      <c r="B544" t="str">
        <f>"03/26/2014 00:00"</f>
        <v>03/26/2014 00:00</v>
      </c>
      <c r="C544">
        <v>1.34</v>
      </c>
      <c r="D544" t="s">
        <v>7</v>
      </c>
      <c r="E544" s="2" t="s">
        <v>12</v>
      </c>
      <c r="F544">
        <f t="shared" si="8"/>
        <v>2.6572200000000001</v>
      </c>
      <c r="G544" t="s">
        <v>16</v>
      </c>
      <c r="J544" t="str">
        <f>"03/26/2014 23:45"</f>
        <v>03/26/2014 23:45</v>
      </c>
    </row>
    <row r="545" spans="1:10" x14ac:dyDescent="0.3">
      <c r="A545" t="s">
        <v>6</v>
      </c>
      <c r="B545" t="str">
        <f>"03/27/2014 00:00"</f>
        <v>03/27/2014 00:00</v>
      </c>
      <c r="C545">
        <v>1.34</v>
      </c>
      <c r="D545" t="s">
        <v>7</v>
      </c>
      <c r="E545" s="2" t="s">
        <v>12</v>
      </c>
      <c r="F545">
        <f t="shared" si="8"/>
        <v>2.6572200000000001</v>
      </c>
      <c r="G545" t="s">
        <v>16</v>
      </c>
      <c r="J545" t="str">
        <f>"03/27/2014 23:45"</f>
        <v>03/27/2014 23:45</v>
      </c>
    </row>
    <row r="546" spans="1:10" x14ac:dyDescent="0.3">
      <c r="A546" t="s">
        <v>6</v>
      </c>
      <c r="B546" t="str">
        <f>"03/28/2014 00:00"</f>
        <v>03/28/2014 00:00</v>
      </c>
      <c r="C546">
        <v>1.34</v>
      </c>
      <c r="D546" t="s">
        <v>7</v>
      </c>
      <c r="E546" s="2" t="s">
        <v>12</v>
      </c>
      <c r="F546">
        <f t="shared" si="8"/>
        <v>2.6572200000000001</v>
      </c>
      <c r="G546" t="s">
        <v>16</v>
      </c>
      <c r="J546" t="str">
        <f>"03/28/2014 23:45"</f>
        <v>03/28/2014 23:45</v>
      </c>
    </row>
    <row r="547" spans="1:10" x14ac:dyDescent="0.3">
      <c r="A547" t="s">
        <v>6</v>
      </c>
      <c r="B547" t="str">
        <f>"03/29/2014 00:00"</f>
        <v>03/29/2014 00:00</v>
      </c>
      <c r="C547">
        <v>1.34</v>
      </c>
      <c r="D547" t="s">
        <v>7</v>
      </c>
      <c r="E547" s="2" t="s">
        <v>12</v>
      </c>
      <c r="F547">
        <f t="shared" si="8"/>
        <v>2.6572200000000001</v>
      </c>
      <c r="G547" t="s">
        <v>16</v>
      </c>
      <c r="J547" t="str">
        <f>"03/29/2014 23:45"</f>
        <v>03/29/2014 23:45</v>
      </c>
    </row>
    <row r="548" spans="1:10" x14ac:dyDescent="0.3">
      <c r="A548" t="s">
        <v>6</v>
      </c>
      <c r="B548" t="str">
        <f>"03/30/2014 00:00"</f>
        <v>03/30/2014 00:00</v>
      </c>
      <c r="C548">
        <v>1.34</v>
      </c>
      <c r="D548" t="s">
        <v>7</v>
      </c>
      <c r="E548" s="2" t="s">
        <v>12</v>
      </c>
      <c r="F548">
        <f t="shared" si="8"/>
        <v>2.6572200000000001</v>
      </c>
      <c r="G548" t="s">
        <v>16</v>
      </c>
      <c r="J548" t="str">
        <f>"03/30/2014 23:45"</f>
        <v>03/30/2014 23:45</v>
      </c>
    </row>
    <row r="549" spans="1:10" x14ac:dyDescent="0.3">
      <c r="A549" t="s">
        <v>6</v>
      </c>
      <c r="B549" t="str">
        <f>"03/31/2014 00:00"</f>
        <v>03/31/2014 00:00</v>
      </c>
      <c r="C549">
        <v>1.34</v>
      </c>
      <c r="D549" t="s">
        <v>7</v>
      </c>
      <c r="E549" s="2" t="s">
        <v>12</v>
      </c>
      <c r="F549">
        <f t="shared" si="8"/>
        <v>2.6572200000000001</v>
      </c>
      <c r="G549" t="s">
        <v>16</v>
      </c>
      <c r="J549" t="str">
        <f>"03/31/2014 23:45"</f>
        <v>03/31/2014 23:45</v>
      </c>
    </row>
    <row r="550" spans="1:10" x14ac:dyDescent="0.3">
      <c r="A550" t="s">
        <v>6</v>
      </c>
      <c r="B550" t="str">
        <f>"04/01/2014 00:00"</f>
        <v>04/01/2014 00:00</v>
      </c>
      <c r="C550">
        <v>1.34</v>
      </c>
      <c r="D550" t="s">
        <v>7</v>
      </c>
      <c r="E550" s="2" t="s">
        <v>12</v>
      </c>
      <c r="F550">
        <f t="shared" si="8"/>
        <v>2.6572200000000001</v>
      </c>
      <c r="G550" t="s">
        <v>16</v>
      </c>
      <c r="J550" t="str">
        <f>"04/01/2014 23:45"</f>
        <v>04/01/2014 23:45</v>
      </c>
    </row>
    <row r="551" spans="1:10" x14ac:dyDescent="0.3">
      <c r="A551" t="s">
        <v>6</v>
      </c>
      <c r="B551" t="str">
        <f>"04/02/2014 00:00"</f>
        <v>04/02/2014 00:00</v>
      </c>
      <c r="C551">
        <v>1.34</v>
      </c>
      <c r="D551" t="s">
        <v>7</v>
      </c>
      <c r="E551" s="2" t="s">
        <v>12</v>
      </c>
      <c r="F551">
        <f t="shared" si="8"/>
        <v>2.6572200000000001</v>
      </c>
      <c r="G551" t="s">
        <v>16</v>
      </c>
      <c r="J551" t="str">
        <f>"04/02/2014 23:45"</f>
        <v>04/02/2014 23:45</v>
      </c>
    </row>
    <row r="552" spans="1:10" x14ac:dyDescent="0.3">
      <c r="A552" t="s">
        <v>6</v>
      </c>
      <c r="B552" t="str">
        <f>"04/03/2014 00:00"</f>
        <v>04/03/2014 00:00</v>
      </c>
      <c r="C552">
        <v>1.34</v>
      </c>
      <c r="D552" t="s">
        <v>7</v>
      </c>
      <c r="E552" s="2" t="s">
        <v>12</v>
      </c>
      <c r="F552">
        <f t="shared" si="8"/>
        <v>2.6572200000000001</v>
      </c>
      <c r="G552" t="s">
        <v>16</v>
      </c>
      <c r="J552" t="str">
        <f>"04/03/2014 23:45"</f>
        <v>04/03/2014 23:45</v>
      </c>
    </row>
    <row r="553" spans="1:10" x14ac:dyDescent="0.3">
      <c r="A553" t="s">
        <v>6</v>
      </c>
      <c r="B553" t="str">
        <f>"04/04/2014 00:00"</f>
        <v>04/04/2014 00:00</v>
      </c>
      <c r="C553">
        <v>1.34</v>
      </c>
      <c r="D553" t="s">
        <v>7</v>
      </c>
      <c r="E553" s="2" t="s">
        <v>12</v>
      </c>
      <c r="F553">
        <f t="shared" si="8"/>
        <v>2.6572200000000001</v>
      </c>
      <c r="G553" t="s">
        <v>16</v>
      </c>
      <c r="J553" t="str">
        <f>"04/04/2014 23:45"</f>
        <v>04/04/2014 23:45</v>
      </c>
    </row>
    <row r="554" spans="1:10" x14ac:dyDescent="0.3">
      <c r="A554" t="s">
        <v>6</v>
      </c>
      <c r="B554" t="str">
        <f>"04/05/2014 00:00"</f>
        <v>04/05/2014 00:00</v>
      </c>
      <c r="C554">
        <v>1.34</v>
      </c>
      <c r="D554" t="s">
        <v>7</v>
      </c>
      <c r="E554" s="2" t="s">
        <v>12</v>
      </c>
      <c r="F554">
        <f t="shared" si="8"/>
        <v>2.6572200000000001</v>
      </c>
      <c r="G554" t="s">
        <v>16</v>
      </c>
      <c r="J554" t="str">
        <f>"04/05/2014 23:45"</f>
        <v>04/05/2014 23:45</v>
      </c>
    </row>
    <row r="555" spans="1:10" x14ac:dyDescent="0.3">
      <c r="A555" t="s">
        <v>6</v>
      </c>
      <c r="B555" t="str">
        <f>"04/06/2014 00:00"</f>
        <v>04/06/2014 00:00</v>
      </c>
      <c r="C555">
        <v>1.34</v>
      </c>
      <c r="D555" t="s">
        <v>7</v>
      </c>
      <c r="E555" s="2" t="s">
        <v>12</v>
      </c>
      <c r="F555">
        <f t="shared" si="8"/>
        <v>2.6572200000000001</v>
      </c>
      <c r="G555" t="s">
        <v>16</v>
      </c>
      <c r="J555" t="str">
        <f>"04/06/2014 23:45"</f>
        <v>04/06/2014 23:45</v>
      </c>
    </row>
    <row r="556" spans="1:10" x14ac:dyDescent="0.3">
      <c r="A556" t="s">
        <v>6</v>
      </c>
      <c r="B556" t="str">
        <f>"04/07/2014 00:00"</f>
        <v>04/07/2014 00:00</v>
      </c>
      <c r="C556">
        <v>1.34</v>
      </c>
      <c r="D556" t="s">
        <v>7</v>
      </c>
      <c r="E556" s="2" t="s">
        <v>12</v>
      </c>
      <c r="F556">
        <f t="shared" si="8"/>
        <v>2.6572200000000001</v>
      </c>
      <c r="G556" t="s">
        <v>16</v>
      </c>
      <c r="J556" t="str">
        <f>"04/07/2014 23:45"</f>
        <v>04/07/2014 23:45</v>
      </c>
    </row>
    <row r="557" spans="1:10" x14ac:dyDescent="0.3">
      <c r="A557" t="s">
        <v>6</v>
      </c>
      <c r="B557" t="str">
        <f>"04/08/2014 00:00"</f>
        <v>04/08/2014 00:00</v>
      </c>
      <c r="C557">
        <v>1.34</v>
      </c>
      <c r="D557" t="s">
        <v>7</v>
      </c>
      <c r="E557" s="2" t="s">
        <v>12</v>
      </c>
      <c r="F557">
        <f t="shared" si="8"/>
        <v>2.6572200000000001</v>
      </c>
      <c r="G557" t="s">
        <v>16</v>
      </c>
      <c r="J557" t="str">
        <f>"04/08/2014 23:45"</f>
        <v>04/08/2014 23:45</v>
      </c>
    </row>
    <row r="558" spans="1:10" x14ac:dyDescent="0.3">
      <c r="A558" t="s">
        <v>6</v>
      </c>
      <c r="B558" t="str">
        <f>"04/09/2014 00:00"</f>
        <v>04/09/2014 00:00</v>
      </c>
      <c r="C558">
        <v>1.34</v>
      </c>
      <c r="D558" t="s">
        <v>7</v>
      </c>
      <c r="E558" s="2" t="s">
        <v>12</v>
      </c>
      <c r="F558">
        <f t="shared" si="8"/>
        <v>2.6572200000000001</v>
      </c>
      <c r="G558" t="s">
        <v>16</v>
      </c>
      <c r="J558" t="str">
        <f>"04/09/2014 23:45"</f>
        <v>04/09/2014 23:45</v>
      </c>
    </row>
    <row r="559" spans="1:10" x14ac:dyDescent="0.3">
      <c r="A559" t="s">
        <v>6</v>
      </c>
      <c r="B559" t="str">
        <f>"04/10/2014 00:00"</f>
        <v>04/10/2014 00:00</v>
      </c>
      <c r="C559">
        <v>1.34</v>
      </c>
      <c r="D559" t="s">
        <v>7</v>
      </c>
      <c r="E559" s="2" t="s">
        <v>12</v>
      </c>
      <c r="F559">
        <f t="shared" si="8"/>
        <v>2.6572200000000001</v>
      </c>
      <c r="G559" t="s">
        <v>16</v>
      </c>
      <c r="J559" t="str">
        <f>"04/10/2014 23:45"</f>
        <v>04/10/2014 23:45</v>
      </c>
    </row>
    <row r="560" spans="1:10" x14ac:dyDescent="0.3">
      <c r="A560" t="s">
        <v>6</v>
      </c>
      <c r="B560" t="str">
        <f>"04/11/2014 00:00"</f>
        <v>04/11/2014 00:00</v>
      </c>
      <c r="C560">
        <v>1.34</v>
      </c>
      <c r="D560" t="s">
        <v>7</v>
      </c>
      <c r="E560" s="2" t="s">
        <v>12</v>
      </c>
      <c r="F560">
        <f t="shared" si="8"/>
        <v>2.6572200000000001</v>
      </c>
      <c r="G560" t="s">
        <v>16</v>
      </c>
      <c r="J560" t="str">
        <f>"04/11/2014 23:45"</f>
        <v>04/11/2014 23:45</v>
      </c>
    </row>
    <row r="561" spans="1:10" x14ac:dyDescent="0.3">
      <c r="A561" t="s">
        <v>6</v>
      </c>
      <c r="B561" t="str">
        <f>"04/12/2014 00:00"</f>
        <v>04/12/2014 00:00</v>
      </c>
      <c r="C561">
        <v>1.34</v>
      </c>
      <c r="D561" t="s">
        <v>7</v>
      </c>
      <c r="E561" s="2" t="s">
        <v>12</v>
      </c>
      <c r="F561">
        <f t="shared" si="8"/>
        <v>2.6572200000000001</v>
      </c>
      <c r="G561" t="s">
        <v>16</v>
      </c>
      <c r="J561" t="str">
        <f>"04/12/2014 23:45"</f>
        <v>04/12/2014 23:45</v>
      </c>
    </row>
    <row r="562" spans="1:10" x14ac:dyDescent="0.3">
      <c r="A562" t="s">
        <v>6</v>
      </c>
      <c r="B562" t="str">
        <f>"04/13/2014 00:00"</f>
        <v>04/13/2014 00:00</v>
      </c>
      <c r="C562">
        <v>1.34</v>
      </c>
      <c r="D562" t="s">
        <v>7</v>
      </c>
      <c r="E562" s="2" t="s">
        <v>12</v>
      </c>
      <c r="F562">
        <f t="shared" si="8"/>
        <v>2.6572200000000001</v>
      </c>
      <c r="G562" t="s">
        <v>16</v>
      </c>
      <c r="J562" t="str">
        <f>"04/13/2014 23:45"</f>
        <v>04/13/2014 23:45</v>
      </c>
    </row>
    <row r="563" spans="1:10" x14ac:dyDescent="0.3">
      <c r="A563" t="s">
        <v>6</v>
      </c>
      <c r="B563" t="str">
        <f>"04/14/2014 00:00"</f>
        <v>04/14/2014 00:00</v>
      </c>
      <c r="C563">
        <v>1.34</v>
      </c>
      <c r="D563" t="s">
        <v>7</v>
      </c>
      <c r="E563" s="2" t="s">
        <v>12</v>
      </c>
      <c r="F563">
        <f t="shared" si="8"/>
        <v>2.6572200000000001</v>
      </c>
      <c r="G563" t="s">
        <v>16</v>
      </c>
      <c r="J563" t="str">
        <f>"04/14/2014 23:45"</f>
        <v>04/14/2014 23:45</v>
      </c>
    </row>
    <row r="564" spans="1:10" x14ac:dyDescent="0.3">
      <c r="A564" t="s">
        <v>6</v>
      </c>
      <c r="B564" t="str">
        <f>"04/15/2014 00:00"</f>
        <v>04/15/2014 00:00</v>
      </c>
      <c r="C564">
        <v>1.34</v>
      </c>
      <c r="D564" t="s">
        <v>7</v>
      </c>
      <c r="E564" s="2" t="s">
        <v>12</v>
      </c>
      <c r="F564">
        <f t="shared" si="8"/>
        <v>2.6572200000000001</v>
      </c>
      <c r="G564" t="s">
        <v>16</v>
      </c>
      <c r="J564" t="str">
        <f>"04/15/2014 23:45"</f>
        <v>04/15/2014 23:45</v>
      </c>
    </row>
    <row r="565" spans="1:10" x14ac:dyDescent="0.3">
      <c r="A565" t="s">
        <v>6</v>
      </c>
      <c r="B565" t="str">
        <f>"04/16/2014 00:00"</f>
        <v>04/16/2014 00:00</v>
      </c>
      <c r="C565">
        <v>1.34</v>
      </c>
      <c r="D565" t="s">
        <v>7</v>
      </c>
      <c r="E565" s="2" t="s">
        <v>12</v>
      </c>
      <c r="F565">
        <f t="shared" si="8"/>
        <v>2.6572200000000001</v>
      </c>
      <c r="G565" t="s">
        <v>16</v>
      </c>
      <c r="J565" t="str">
        <f>"04/16/2014 23:45"</f>
        <v>04/16/2014 23:45</v>
      </c>
    </row>
    <row r="566" spans="1:10" x14ac:dyDescent="0.3">
      <c r="A566" t="s">
        <v>6</v>
      </c>
      <c r="B566" t="str">
        <f>"04/17/2014 00:00"</f>
        <v>04/17/2014 00:00</v>
      </c>
      <c r="C566">
        <v>1.34</v>
      </c>
      <c r="D566" t="s">
        <v>7</v>
      </c>
      <c r="E566" s="2" t="s">
        <v>12</v>
      </c>
      <c r="F566">
        <f t="shared" si="8"/>
        <v>2.6572200000000001</v>
      </c>
      <c r="G566" t="s">
        <v>16</v>
      </c>
      <c r="J566" t="str">
        <f>"04/17/2014 23:45"</f>
        <v>04/17/2014 23:45</v>
      </c>
    </row>
    <row r="567" spans="1:10" x14ac:dyDescent="0.3">
      <c r="A567" t="s">
        <v>6</v>
      </c>
      <c r="B567" t="str">
        <f>"04/18/2014 00:00"</f>
        <v>04/18/2014 00:00</v>
      </c>
      <c r="C567">
        <v>1.34</v>
      </c>
      <c r="D567" t="s">
        <v>7</v>
      </c>
      <c r="E567" s="2" t="s">
        <v>12</v>
      </c>
      <c r="F567">
        <f t="shared" si="8"/>
        <v>2.6572200000000001</v>
      </c>
      <c r="G567" t="s">
        <v>16</v>
      </c>
      <c r="J567" t="str">
        <f>"04/18/2014 23:45"</f>
        <v>04/18/2014 23:45</v>
      </c>
    </row>
    <row r="568" spans="1:10" x14ac:dyDescent="0.3">
      <c r="A568" t="s">
        <v>6</v>
      </c>
      <c r="B568" t="str">
        <f>"04/19/2014 00:00"</f>
        <v>04/19/2014 00:00</v>
      </c>
      <c r="C568">
        <v>1.34</v>
      </c>
      <c r="D568" t="s">
        <v>7</v>
      </c>
      <c r="E568" s="2" t="s">
        <v>12</v>
      </c>
      <c r="F568">
        <f t="shared" si="8"/>
        <v>2.6572200000000001</v>
      </c>
      <c r="G568" t="s">
        <v>16</v>
      </c>
      <c r="J568" t="str">
        <f>"04/19/2014 23:45"</f>
        <v>04/19/2014 23:45</v>
      </c>
    </row>
    <row r="569" spans="1:10" x14ac:dyDescent="0.3">
      <c r="A569" t="s">
        <v>6</v>
      </c>
      <c r="B569" t="str">
        <f>"04/20/2014 00:00"</f>
        <v>04/20/2014 00:00</v>
      </c>
      <c r="C569">
        <v>1.3</v>
      </c>
      <c r="D569" t="s">
        <v>7</v>
      </c>
      <c r="E569" s="2" t="s">
        <v>12</v>
      </c>
      <c r="F569">
        <f t="shared" si="8"/>
        <v>2.5779000000000001</v>
      </c>
      <c r="G569" t="s">
        <v>16</v>
      </c>
      <c r="J569" t="str">
        <f>"04/20/2014 23:45"</f>
        <v>04/20/2014 23:45</v>
      </c>
    </row>
    <row r="570" spans="1:10" x14ac:dyDescent="0.3">
      <c r="A570" t="s">
        <v>6</v>
      </c>
      <c r="B570" t="str">
        <f>"04/21/2014 00:00"</f>
        <v>04/21/2014 00:00</v>
      </c>
      <c r="C570">
        <v>1.1299999999999999</v>
      </c>
      <c r="D570" t="s">
        <v>7</v>
      </c>
      <c r="E570" s="2" t="s">
        <v>12</v>
      </c>
      <c r="F570">
        <f t="shared" si="8"/>
        <v>2.2407900000000001</v>
      </c>
      <c r="G570" t="s">
        <v>16</v>
      </c>
      <c r="J570" t="str">
        <f>"04/21/2014 23:45"</f>
        <v>04/21/2014 23:45</v>
      </c>
    </row>
    <row r="571" spans="1:10" x14ac:dyDescent="0.3">
      <c r="A571" t="s">
        <v>6</v>
      </c>
      <c r="B571" t="str">
        <f>"04/22/2014 00:00"</f>
        <v>04/22/2014 00:00</v>
      </c>
      <c r="C571">
        <v>1.08</v>
      </c>
      <c r="D571" t="s">
        <v>7</v>
      </c>
      <c r="E571" s="2" t="s">
        <v>12</v>
      </c>
      <c r="F571">
        <f t="shared" si="8"/>
        <v>2.1416400000000002</v>
      </c>
      <c r="G571" t="s">
        <v>16</v>
      </c>
      <c r="J571" t="str">
        <f>"04/22/2014 23:45"</f>
        <v>04/22/2014 23:45</v>
      </c>
    </row>
    <row r="572" spans="1:10" x14ac:dyDescent="0.3">
      <c r="A572" t="s">
        <v>6</v>
      </c>
      <c r="B572" t="str">
        <f>"04/23/2014 00:00"</f>
        <v>04/23/2014 00:00</v>
      </c>
      <c r="C572">
        <v>1.08</v>
      </c>
      <c r="D572" t="s">
        <v>7</v>
      </c>
      <c r="E572" s="2" t="s">
        <v>12</v>
      </c>
      <c r="F572">
        <f t="shared" si="8"/>
        <v>2.1416400000000002</v>
      </c>
      <c r="G572" t="s">
        <v>16</v>
      </c>
      <c r="J572" t="str">
        <f>"04/23/2014 23:45"</f>
        <v>04/23/2014 23:45</v>
      </c>
    </row>
    <row r="573" spans="1:10" x14ac:dyDescent="0.3">
      <c r="A573" t="s">
        <v>6</v>
      </c>
      <c r="B573" t="str">
        <f>"04/24/2014 00:00"</f>
        <v>04/24/2014 00:00</v>
      </c>
      <c r="C573">
        <v>1.08</v>
      </c>
      <c r="D573" t="s">
        <v>7</v>
      </c>
      <c r="E573" s="2" t="s">
        <v>12</v>
      </c>
      <c r="F573">
        <f t="shared" si="8"/>
        <v>2.1416400000000002</v>
      </c>
      <c r="G573" t="s">
        <v>16</v>
      </c>
      <c r="J573" t="str">
        <f>"04/24/2014 23:45"</f>
        <v>04/24/2014 23:45</v>
      </c>
    </row>
    <row r="574" spans="1:10" x14ac:dyDescent="0.3">
      <c r="A574" t="s">
        <v>6</v>
      </c>
      <c r="B574" t="str">
        <f>"04/25/2014 00:00"</f>
        <v>04/25/2014 00:00</v>
      </c>
      <c r="C574">
        <v>1.08</v>
      </c>
      <c r="D574" t="s">
        <v>7</v>
      </c>
      <c r="E574" s="2" t="s">
        <v>12</v>
      </c>
      <c r="F574">
        <f t="shared" si="8"/>
        <v>2.1416400000000002</v>
      </c>
      <c r="G574" t="s">
        <v>16</v>
      </c>
      <c r="J574" t="str">
        <f>"04/25/2014 23:45"</f>
        <v>04/25/2014 23:45</v>
      </c>
    </row>
    <row r="575" spans="1:10" x14ac:dyDescent="0.3">
      <c r="A575" t="s">
        <v>6</v>
      </c>
      <c r="B575" t="str">
        <f>"04/26/2014 00:00"</f>
        <v>04/26/2014 00:00</v>
      </c>
      <c r="C575">
        <v>1.08</v>
      </c>
      <c r="D575" t="s">
        <v>7</v>
      </c>
      <c r="E575" s="2" t="s">
        <v>12</v>
      </c>
      <c r="F575">
        <f t="shared" si="8"/>
        <v>2.1416400000000002</v>
      </c>
      <c r="G575" t="s">
        <v>16</v>
      </c>
      <c r="J575" t="str">
        <f>"04/26/2014 23:45"</f>
        <v>04/26/2014 23:45</v>
      </c>
    </row>
    <row r="576" spans="1:10" x14ac:dyDescent="0.3">
      <c r="A576" t="s">
        <v>6</v>
      </c>
      <c r="B576" t="str">
        <f>"04/27/2014 00:00"</f>
        <v>04/27/2014 00:00</v>
      </c>
      <c r="C576">
        <v>1.08</v>
      </c>
      <c r="D576" t="s">
        <v>7</v>
      </c>
      <c r="E576" s="2" t="s">
        <v>12</v>
      </c>
      <c r="F576">
        <f t="shared" si="8"/>
        <v>2.1416400000000002</v>
      </c>
      <c r="G576" t="s">
        <v>16</v>
      </c>
      <c r="J576" t="str">
        <f>"04/27/2014 23:45"</f>
        <v>04/27/2014 23:45</v>
      </c>
    </row>
    <row r="577" spans="1:10" x14ac:dyDescent="0.3">
      <c r="A577" t="s">
        <v>6</v>
      </c>
      <c r="B577" t="str">
        <f>"04/28/2014 00:00"</f>
        <v>04/28/2014 00:00</v>
      </c>
      <c r="C577">
        <v>1.08</v>
      </c>
      <c r="D577" t="s">
        <v>7</v>
      </c>
      <c r="E577" s="2" t="s">
        <v>12</v>
      </c>
      <c r="F577">
        <f t="shared" si="8"/>
        <v>2.1416400000000002</v>
      </c>
      <c r="G577" t="s">
        <v>16</v>
      </c>
      <c r="J577" t="str">
        <f>"04/28/2014 23:45"</f>
        <v>04/28/2014 23:45</v>
      </c>
    </row>
    <row r="578" spans="1:10" x14ac:dyDescent="0.3">
      <c r="A578" t="s">
        <v>6</v>
      </c>
      <c r="B578" t="str">
        <f>"04/29/2014 00:00"</f>
        <v>04/29/2014 00:00</v>
      </c>
      <c r="C578">
        <v>1.08</v>
      </c>
      <c r="D578" t="s">
        <v>7</v>
      </c>
      <c r="E578" s="2" t="s">
        <v>12</v>
      </c>
      <c r="F578">
        <f t="shared" si="8"/>
        <v>2.1416400000000002</v>
      </c>
      <c r="G578" t="s">
        <v>16</v>
      </c>
      <c r="J578" t="str">
        <f>"04/29/2014 23:45"</f>
        <v>04/29/2014 23:45</v>
      </c>
    </row>
    <row r="579" spans="1:10" x14ac:dyDescent="0.3">
      <c r="A579" t="s">
        <v>6</v>
      </c>
      <c r="B579" t="str">
        <f>"04/30/2014 00:00"</f>
        <v>04/30/2014 00:00</v>
      </c>
      <c r="C579">
        <v>1.08</v>
      </c>
      <c r="D579" t="s">
        <v>7</v>
      </c>
      <c r="E579" s="2" t="s">
        <v>12</v>
      </c>
      <c r="F579">
        <f t="shared" si="8"/>
        <v>2.1416400000000002</v>
      </c>
      <c r="G579" t="s">
        <v>16</v>
      </c>
      <c r="J579" t="str">
        <f>"04/30/2014 23:45"</f>
        <v>04/30/2014 23:45</v>
      </c>
    </row>
    <row r="580" spans="1:10" x14ac:dyDescent="0.3">
      <c r="A580" t="s">
        <v>6</v>
      </c>
      <c r="B580" t="str">
        <f>"05/01/2014 00:00"</f>
        <v>05/01/2014 00:00</v>
      </c>
      <c r="C580">
        <v>1.08</v>
      </c>
      <c r="D580" t="s">
        <v>7</v>
      </c>
      <c r="E580" s="2" t="s">
        <v>12</v>
      </c>
      <c r="F580">
        <f t="shared" ref="F580:F643" si="9">C580*1.983</f>
        <v>2.1416400000000002</v>
      </c>
      <c r="G580" t="s">
        <v>16</v>
      </c>
      <c r="J580" t="str">
        <f>"05/01/2014 23:45"</f>
        <v>05/01/2014 23:45</v>
      </c>
    </row>
    <row r="581" spans="1:10" x14ac:dyDescent="0.3">
      <c r="A581" t="s">
        <v>6</v>
      </c>
      <c r="B581" t="str">
        <f>"05/02/2014 00:00"</f>
        <v>05/02/2014 00:00</v>
      </c>
      <c r="C581">
        <v>1.08</v>
      </c>
      <c r="D581" t="s">
        <v>7</v>
      </c>
      <c r="E581" s="2" t="s">
        <v>12</v>
      </c>
      <c r="F581">
        <f t="shared" si="9"/>
        <v>2.1416400000000002</v>
      </c>
      <c r="G581" t="s">
        <v>16</v>
      </c>
      <c r="J581" t="str">
        <f>"05/02/2014 23:45"</f>
        <v>05/02/2014 23:45</v>
      </c>
    </row>
    <row r="582" spans="1:10" x14ac:dyDescent="0.3">
      <c r="A582" t="s">
        <v>6</v>
      </c>
      <c r="B582" t="str">
        <f>"05/03/2014 00:00"</f>
        <v>05/03/2014 00:00</v>
      </c>
      <c r="C582">
        <v>1.08</v>
      </c>
      <c r="D582" t="s">
        <v>7</v>
      </c>
      <c r="E582" s="2" t="s">
        <v>12</v>
      </c>
      <c r="F582">
        <f t="shared" si="9"/>
        <v>2.1416400000000002</v>
      </c>
      <c r="G582" t="s">
        <v>16</v>
      </c>
      <c r="J582" t="str">
        <f>"05/03/2014 23:45"</f>
        <v>05/03/2014 23:45</v>
      </c>
    </row>
    <row r="583" spans="1:10" x14ac:dyDescent="0.3">
      <c r="A583" t="s">
        <v>6</v>
      </c>
      <c r="B583" t="str">
        <f>"05/04/2014 00:00"</f>
        <v>05/04/2014 00:00</v>
      </c>
      <c r="C583">
        <v>1.08</v>
      </c>
      <c r="D583" t="s">
        <v>7</v>
      </c>
      <c r="E583" s="2" t="s">
        <v>12</v>
      </c>
      <c r="F583">
        <f t="shared" si="9"/>
        <v>2.1416400000000002</v>
      </c>
      <c r="G583" t="s">
        <v>16</v>
      </c>
      <c r="J583" t="str">
        <f>"05/04/2014 23:45"</f>
        <v>05/04/2014 23:45</v>
      </c>
    </row>
    <row r="584" spans="1:10" x14ac:dyDescent="0.3">
      <c r="A584" t="s">
        <v>6</v>
      </c>
      <c r="B584" t="str">
        <f>"05/05/2014 00:00"</f>
        <v>05/05/2014 00:00</v>
      </c>
      <c r="C584">
        <v>1.08</v>
      </c>
      <c r="D584" t="s">
        <v>7</v>
      </c>
      <c r="E584" s="2" t="s">
        <v>12</v>
      </c>
      <c r="F584">
        <f t="shared" si="9"/>
        <v>2.1416400000000002</v>
      </c>
      <c r="G584" t="s">
        <v>16</v>
      </c>
      <c r="J584" t="str">
        <f>"05/05/2014 23:45"</f>
        <v>05/05/2014 23:45</v>
      </c>
    </row>
    <row r="585" spans="1:10" x14ac:dyDescent="0.3">
      <c r="A585" t="s">
        <v>6</v>
      </c>
      <c r="B585" t="str">
        <f>"05/06/2014 00:00"</f>
        <v>05/06/2014 00:00</v>
      </c>
      <c r="C585">
        <v>1.08</v>
      </c>
      <c r="D585" t="s">
        <v>7</v>
      </c>
      <c r="E585" s="2" t="s">
        <v>12</v>
      </c>
      <c r="F585">
        <f t="shared" si="9"/>
        <v>2.1416400000000002</v>
      </c>
      <c r="G585" t="s">
        <v>16</v>
      </c>
      <c r="J585" t="str">
        <f>"05/06/2014 23:45"</f>
        <v>05/06/2014 23:45</v>
      </c>
    </row>
    <row r="586" spans="1:10" x14ac:dyDescent="0.3">
      <c r="A586" t="s">
        <v>6</v>
      </c>
      <c r="B586" t="str">
        <f>"05/07/2014 00:00"</f>
        <v>05/07/2014 00:00</v>
      </c>
      <c r="C586">
        <v>1.08</v>
      </c>
      <c r="D586" t="s">
        <v>7</v>
      </c>
      <c r="E586" s="2" t="s">
        <v>12</v>
      </c>
      <c r="F586">
        <f t="shared" si="9"/>
        <v>2.1416400000000002</v>
      </c>
      <c r="G586" t="s">
        <v>16</v>
      </c>
      <c r="J586" t="str">
        <f>"05/07/2014 23:45"</f>
        <v>05/07/2014 23:45</v>
      </c>
    </row>
    <row r="587" spans="1:10" x14ac:dyDescent="0.3">
      <c r="A587" t="s">
        <v>6</v>
      </c>
      <c r="B587" t="str">
        <f>"05/08/2014 00:00"</f>
        <v>05/08/2014 00:00</v>
      </c>
      <c r="C587">
        <v>1.08</v>
      </c>
      <c r="D587" t="s">
        <v>7</v>
      </c>
      <c r="E587" s="2" t="s">
        <v>12</v>
      </c>
      <c r="F587">
        <f t="shared" si="9"/>
        <v>2.1416400000000002</v>
      </c>
      <c r="G587" t="s">
        <v>16</v>
      </c>
      <c r="J587" t="str">
        <f>"05/08/2014 23:45"</f>
        <v>05/08/2014 23:45</v>
      </c>
    </row>
    <row r="588" spans="1:10" x14ac:dyDescent="0.3">
      <c r="A588" t="s">
        <v>6</v>
      </c>
      <c r="B588" t="str">
        <f>"05/09/2014 00:00"</f>
        <v>05/09/2014 00:00</v>
      </c>
      <c r="C588">
        <v>1.08</v>
      </c>
      <c r="D588" t="s">
        <v>7</v>
      </c>
      <c r="E588" s="2" t="s">
        <v>12</v>
      </c>
      <c r="F588">
        <f t="shared" si="9"/>
        <v>2.1416400000000002</v>
      </c>
      <c r="G588" t="s">
        <v>16</v>
      </c>
      <c r="J588" t="str">
        <f>"05/09/2014 23:45"</f>
        <v>05/09/2014 23:45</v>
      </c>
    </row>
    <row r="589" spans="1:10" x14ac:dyDescent="0.3">
      <c r="A589" t="s">
        <v>6</v>
      </c>
      <c r="B589" t="str">
        <f>"05/10/2014 00:00"</f>
        <v>05/10/2014 00:00</v>
      </c>
      <c r="C589">
        <v>1.08</v>
      </c>
      <c r="D589" t="s">
        <v>7</v>
      </c>
      <c r="E589" s="2" t="s">
        <v>12</v>
      </c>
      <c r="F589">
        <f t="shared" si="9"/>
        <v>2.1416400000000002</v>
      </c>
      <c r="G589" t="s">
        <v>16</v>
      </c>
      <c r="J589" t="str">
        <f>"05/10/2014 23:45"</f>
        <v>05/10/2014 23:45</v>
      </c>
    </row>
    <row r="590" spans="1:10" x14ac:dyDescent="0.3">
      <c r="A590" t="s">
        <v>6</v>
      </c>
      <c r="B590" t="str">
        <f>"05/11/2014 00:00"</f>
        <v>05/11/2014 00:00</v>
      </c>
      <c r="C590">
        <v>1.08</v>
      </c>
      <c r="D590" t="s">
        <v>7</v>
      </c>
      <c r="E590" s="2" t="s">
        <v>12</v>
      </c>
      <c r="F590">
        <f t="shared" si="9"/>
        <v>2.1416400000000002</v>
      </c>
      <c r="G590" t="s">
        <v>16</v>
      </c>
      <c r="J590" t="str">
        <f>"05/11/2014 23:45"</f>
        <v>05/11/2014 23:45</v>
      </c>
    </row>
    <row r="591" spans="1:10" x14ac:dyDescent="0.3">
      <c r="A591" t="s">
        <v>6</v>
      </c>
      <c r="B591" t="str">
        <f>"05/12/2014 00:00"</f>
        <v>05/12/2014 00:00</v>
      </c>
      <c r="C591">
        <v>1.08</v>
      </c>
      <c r="D591" t="s">
        <v>7</v>
      </c>
      <c r="E591" s="2" t="s">
        <v>12</v>
      </c>
      <c r="F591">
        <f t="shared" si="9"/>
        <v>2.1416400000000002</v>
      </c>
      <c r="G591" t="s">
        <v>16</v>
      </c>
      <c r="J591" t="str">
        <f>"05/12/2014 23:45"</f>
        <v>05/12/2014 23:45</v>
      </c>
    </row>
    <row r="592" spans="1:10" x14ac:dyDescent="0.3">
      <c r="A592" t="s">
        <v>6</v>
      </c>
      <c r="B592" t="str">
        <f>"05/13/2014 00:00"</f>
        <v>05/13/2014 00:00</v>
      </c>
      <c r="C592">
        <v>1.08</v>
      </c>
      <c r="D592" t="s">
        <v>7</v>
      </c>
      <c r="E592" s="2" t="s">
        <v>12</v>
      </c>
      <c r="F592">
        <f t="shared" si="9"/>
        <v>2.1416400000000002</v>
      </c>
      <c r="G592" t="s">
        <v>16</v>
      </c>
      <c r="J592" t="str">
        <f>"05/13/2014 23:45"</f>
        <v>05/13/2014 23:45</v>
      </c>
    </row>
    <row r="593" spans="1:10" x14ac:dyDescent="0.3">
      <c r="A593" t="s">
        <v>6</v>
      </c>
      <c r="B593" t="str">
        <f>"05/14/2014 00:00"</f>
        <v>05/14/2014 00:00</v>
      </c>
      <c r="C593">
        <v>1.08</v>
      </c>
      <c r="D593" t="s">
        <v>7</v>
      </c>
      <c r="E593" s="2" t="s">
        <v>12</v>
      </c>
      <c r="F593">
        <f t="shared" si="9"/>
        <v>2.1416400000000002</v>
      </c>
      <c r="G593" t="s">
        <v>16</v>
      </c>
      <c r="J593" t="str">
        <f>"05/14/2014 23:45"</f>
        <v>05/14/2014 23:45</v>
      </c>
    </row>
    <row r="594" spans="1:10" x14ac:dyDescent="0.3">
      <c r="A594" t="s">
        <v>6</v>
      </c>
      <c r="B594" t="str">
        <f>"05/15/2014 00:00"</f>
        <v>05/15/2014 00:00</v>
      </c>
      <c r="C594">
        <v>0.97299999999999998</v>
      </c>
      <c r="D594" t="s">
        <v>7</v>
      </c>
      <c r="E594" s="2" t="s">
        <v>12</v>
      </c>
      <c r="F594">
        <f t="shared" si="9"/>
        <v>1.929459</v>
      </c>
      <c r="G594" t="s">
        <v>16</v>
      </c>
      <c r="J594" t="str">
        <f>"05/15/2014 23:45"</f>
        <v>05/15/2014 23:45</v>
      </c>
    </row>
    <row r="595" spans="1:10" x14ac:dyDescent="0.3">
      <c r="A595" t="s">
        <v>6</v>
      </c>
      <c r="B595" t="str">
        <f>"05/16/2014 00:00"</f>
        <v>05/16/2014 00:00</v>
      </c>
      <c r="C595">
        <v>0.84599999999999997</v>
      </c>
      <c r="D595" t="s">
        <v>7</v>
      </c>
      <c r="E595" s="2" t="s">
        <v>12</v>
      </c>
      <c r="F595">
        <f t="shared" si="9"/>
        <v>1.6776180000000001</v>
      </c>
      <c r="G595" t="s">
        <v>16</v>
      </c>
      <c r="J595" t="str">
        <f>"05/16/2014 23:45"</f>
        <v>05/16/2014 23:45</v>
      </c>
    </row>
    <row r="596" spans="1:10" x14ac:dyDescent="0.3">
      <c r="A596" t="s">
        <v>6</v>
      </c>
      <c r="B596" t="str">
        <f>"05/17/2014 00:00"</f>
        <v>05/17/2014 00:00</v>
      </c>
      <c r="C596">
        <v>0.84599999999999997</v>
      </c>
      <c r="D596" t="s">
        <v>7</v>
      </c>
      <c r="E596" s="2" t="s">
        <v>12</v>
      </c>
      <c r="F596">
        <f t="shared" si="9"/>
        <v>1.6776180000000001</v>
      </c>
      <c r="G596" t="s">
        <v>16</v>
      </c>
      <c r="J596" t="str">
        <f>"05/17/2014 23:45"</f>
        <v>05/17/2014 23:45</v>
      </c>
    </row>
    <row r="597" spans="1:10" x14ac:dyDescent="0.3">
      <c r="A597" t="s">
        <v>6</v>
      </c>
      <c r="B597" t="str">
        <f>"05/18/2014 00:00"</f>
        <v>05/18/2014 00:00</v>
      </c>
      <c r="C597">
        <v>0.84599999999999997</v>
      </c>
      <c r="D597" t="s">
        <v>7</v>
      </c>
      <c r="E597" s="2" t="s">
        <v>12</v>
      </c>
      <c r="F597">
        <f t="shared" si="9"/>
        <v>1.6776180000000001</v>
      </c>
      <c r="G597" t="s">
        <v>16</v>
      </c>
      <c r="J597" t="str">
        <f>"05/18/2014 23:45"</f>
        <v>05/18/2014 23:45</v>
      </c>
    </row>
    <row r="598" spans="1:10" x14ac:dyDescent="0.3">
      <c r="A598" t="s">
        <v>6</v>
      </c>
      <c r="B598" t="str">
        <f>"05/19/2014 00:00"</f>
        <v>05/19/2014 00:00</v>
      </c>
      <c r="C598">
        <v>0.84599999999999997</v>
      </c>
      <c r="D598" t="s">
        <v>7</v>
      </c>
      <c r="E598" s="2" t="s">
        <v>12</v>
      </c>
      <c r="F598">
        <f t="shared" si="9"/>
        <v>1.6776180000000001</v>
      </c>
      <c r="G598" t="s">
        <v>16</v>
      </c>
      <c r="J598" t="str">
        <f>"05/19/2014 23:45"</f>
        <v>05/19/2014 23:45</v>
      </c>
    </row>
    <row r="599" spans="1:10" x14ac:dyDescent="0.3">
      <c r="A599" t="s">
        <v>6</v>
      </c>
      <c r="B599" t="str">
        <f>"05/20/2014 00:00"</f>
        <v>05/20/2014 00:00</v>
      </c>
      <c r="C599">
        <v>0.84599999999999997</v>
      </c>
      <c r="D599" t="s">
        <v>7</v>
      </c>
      <c r="E599" s="2" t="s">
        <v>12</v>
      </c>
      <c r="F599">
        <f t="shared" si="9"/>
        <v>1.6776180000000001</v>
      </c>
      <c r="G599" t="s">
        <v>16</v>
      </c>
      <c r="J599" t="str">
        <f>"05/20/2014 23:45"</f>
        <v>05/20/2014 23:45</v>
      </c>
    </row>
    <row r="600" spans="1:10" x14ac:dyDescent="0.3">
      <c r="A600" t="s">
        <v>6</v>
      </c>
      <c r="B600" t="str">
        <f>"05/21/2014 00:00"</f>
        <v>05/21/2014 00:00</v>
      </c>
      <c r="C600">
        <v>0.84599999999999997</v>
      </c>
      <c r="D600" t="s">
        <v>7</v>
      </c>
      <c r="E600" s="2" t="s">
        <v>12</v>
      </c>
      <c r="F600">
        <f t="shared" si="9"/>
        <v>1.6776180000000001</v>
      </c>
      <c r="G600" t="s">
        <v>16</v>
      </c>
      <c r="J600" t="str">
        <f>"05/21/2014 23:45"</f>
        <v>05/21/2014 23:45</v>
      </c>
    </row>
    <row r="601" spans="1:10" x14ac:dyDescent="0.3">
      <c r="A601" t="s">
        <v>6</v>
      </c>
      <c r="B601" t="str">
        <f>"05/22/2014 00:00"</f>
        <v>05/22/2014 00:00</v>
      </c>
      <c r="C601">
        <v>0.84599999999999997</v>
      </c>
      <c r="D601" t="s">
        <v>7</v>
      </c>
      <c r="E601" s="2" t="s">
        <v>12</v>
      </c>
      <c r="F601">
        <f t="shared" si="9"/>
        <v>1.6776180000000001</v>
      </c>
      <c r="G601" t="s">
        <v>16</v>
      </c>
      <c r="J601" t="str">
        <f>"05/22/2014 23:45"</f>
        <v>05/22/2014 23:45</v>
      </c>
    </row>
    <row r="602" spans="1:10" x14ac:dyDescent="0.3">
      <c r="A602" t="s">
        <v>6</v>
      </c>
      <c r="B602" t="str">
        <f>"05/23/2014 00:00"</f>
        <v>05/23/2014 00:00</v>
      </c>
      <c r="C602">
        <v>0.84599999999999997</v>
      </c>
      <c r="D602" t="s">
        <v>7</v>
      </c>
      <c r="E602" s="2" t="s">
        <v>12</v>
      </c>
      <c r="F602">
        <f t="shared" si="9"/>
        <v>1.6776180000000001</v>
      </c>
      <c r="G602" t="s">
        <v>16</v>
      </c>
      <c r="J602" t="str">
        <f>"05/23/2014 23:45"</f>
        <v>05/23/2014 23:45</v>
      </c>
    </row>
    <row r="603" spans="1:10" x14ac:dyDescent="0.3">
      <c r="A603" t="s">
        <v>6</v>
      </c>
      <c r="B603" t="str">
        <f>"05/24/2014 00:00"</f>
        <v>05/24/2014 00:00</v>
      </c>
      <c r="C603">
        <v>0.86599999999999999</v>
      </c>
      <c r="D603" t="s">
        <v>7</v>
      </c>
      <c r="E603" s="2" t="s">
        <v>12</v>
      </c>
      <c r="F603">
        <f t="shared" si="9"/>
        <v>1.7172780000000001</v>
      </c>
      <c r="G603" t="s">
        <v>16</v>
      </c>
      <c r="J603" t="str">
        <f>"05/24/2014 23:45"</f>
        <v>05/24/2014 23:45</v>
      </c>
    </row>
    <row r="604" spans="1:10" x14ac:dyDescent="0.3">
      <c r="A604" t="s">
        <v>6</v>
      </c>
      <c r="B604" t="str">
        <f>"05/25/2014 00:00"</f>
        <v>05/25/2014 00:00</v>
      </c>
      <c r="C604">
        <v>1.05</v>
      </c>
      <c r="D604" t="s">
        <v>7</v>
      </c>
      <c r="E604" s="2" t="s">
        <v>12</v>
      </c>
      <c r="F604">
        <f t="shared" si="9"/>
        <v>2.0821500000000004</v>
      </c>
      <c r="G604" t="s">
        <v>16</v>
      </c>
      <c r="J604" t="str">
        <f>"05/25/2014 23:45"</f>
        <v>05/25/2014 23:45</v>
      </c>
    </row>
    <row r="605" spans="1:10" x14ac:dyDescent="0.3">
      <c r="A605" t="s">
        <v>6</v>
      </c>
      <c r="B605" t="str">
        <f>"05/26/2014 00:00"</f>
        <v>05/26/2014 00:00</v>
      </c>
      <c r="C605">
        <v>0.92200000000000004</v>
      </c>
      <c r="D605" t="s">
        <v>7</v>
      </c>
      <c r="E605" s="2" t="s">
        <v>12</v>
      </c>
      <c r="F605">
        <f t="shared" si="9"/>
        <v>1.8283260000000001</v>
      </c>
      <c r="G605" t="s">
        <v>16</v>
      </c>
      <c r="J605" t="str">
        <f>"05/26/2014 23:45"</f>
        <v>05/26/2014 23:45</v>
      </c>
    </row>
    <row r="606" spans="1:10" x14ac:dyDescent="0.3">
      <c r="A606" t="s">
        <v>6</v>
      </c>
      <c r="B606" t="str">
        <f>"05/27/2014 00:00"</f>
        <v>05/27/2014 00:00</v>
      </c>
      <c r="C606">
        <v>0.84599999999999997</v>
      </c>
      <c r="D606" t="s">
        <v>7</v>
      </c>
      <c r="E606" s="2" t="s">
        <v>12</v>
      </c>
      <c r="F606">
        <f t="shared" si="9"/>
        <v>1.6776180000000001</v>
      </c>
      <c r="G606" t="s">
        <v>16</v>
      </c>
      <c r="J606" t="str">
        <f>"05/27/2014 23:45"</f>
        <v>05/27/2014 23:45</v>
      </c>
    </row>
    <row r="607" spans="1:10" x14ac:dyDescent="0.3">
      <c r="A607" t="s">
        <v>6</v>
      </c>
      <c r="B607" t="str">
        <f>"05/28/2014 00:00"</f>
        <v>05/28/2014 00:00</v>
      </c>
      <c r="C607">
        <v>0.84599999999999997</v>
      </c>
      <c r="D607" t="s">
        <v>7</v>
      </c>
      <c r="E607" s="2" t="s">
        <v>12</v>
      </c>
      <c r="F607">
        <f t="shared" si="9"/>
        <v>1.6776180000000001</v>
      </c>
      <c r="G607" t="s">
        <v>16</v>
      </c>
      <c r="J607" t="str">
        <f>"05/28/2014 23:45"</f>
        <v>05/28/2014 23:45</v>
      </c>
    </row>
    <row r="608" spans="1:10" x14ac:dyDescent="0.3">
      <c r="A608" t="s">
        <v>6</v>
      </c>
      <c r="B608" t="str">
        <f>"05/29/2014 00:00"</f>
        <v>05/29/2014 00:00</v>
      </c>
      <c r="C608">
        <v>0.94599999999999995</v>
      </c>
      <c r="D608" t="s">
        <v>7</v>
      </c>
      <c r="E608" s="2" t="s">
        <v>12</v>
      </c>
      <c r="F608">
        <f t="shared" si="9"/>
        <v>1.875918</v>
      </c>
      <c r="G608" t="s">
        <v>16</v>
      </c>
      <c r="J608" t="str">
        <f>"05/29/2014 23:45"</f>
        <v>05/29/2014 23:45</v>
      </c>
    </row>
    <row r="609" spans="1:10" x14ac:dyDescent="0.3">
      <c r="A609" t="s">
        <v>6</v>
      </c>
      <c r="B609" t="str">
        <f>"05/30/2014 00:00"</f>
        <v>05/30/2014 00:00</v>
      </c>
      <c r="C609">
        <v>1.08</v>
      </c>
      <c r="D609" t="s">
        <v>7</v>
      </c>
      <c r="E609" s="2" t="s">
        <v>12</v>
      </c>
      <c r="F609">
        <f t="shared" si="9"/>
        <v>2.1416400000000002</v>
      </c>
      <c r="G609" t="s">
        <v>16</v>
      </c>
      <c r="J609" t="str">
        <f>"05/30/2014 23:45"</f>
        <v>05/30/2014 23:45</v>
      </c>
    </row>
    <row r="610" spans="1:10" x14ac:dyDescent="0.3">
      <c r="A610" t="s">
        <v>6</v>
      </c>
      <c r="B610" t="str">
        <f>"05/31/2014 00:00"</f>
        <v>05/31/2014 00:00</v>
      </c>
      <c r="C610">
        <v>1.08</v>
      </c>
      <c r="D610" t="s">
        <v>7</v>
      </c>
      <c r="E610" s="2" t="s">
        <v>12</v>
      </c>
      <c r="F610">
        <f t="shared" si="9"/>
        <v>2.1416400000000002</v>
      </c>
      <c r="G610" t="s">
        <v>16</v>
      </c>
      <c r="J610" t="str">
        <f>"05/31/2014 23:45"</f>
        <v>05/31/2014 23:45</v>
      </c>
    </row>
    <row r="611" spans="1:10" x14ac:dyDescent="0.3">
      <c r="A611" t="s">
        <v>6</v>
      </c>
      <c r="B611" t="str">
        <f>"06/01/2014 00:00"</f>
        <v>06/01/2014 00:00</v>
      </c>
      <c r="C611">
        <v>1.04</v>
      </c>
      <c r="D611" t="s">
        <v>7</v>
      </c>
      <c r="E611" s="2" t="s">
        <v>12</v>
      </c>
      <c r="F611">
        <f t="shared" si="9"/>
        <v>2.0623200000000002</v>
      </c>
      <c r="G611" t="s">
        <v>16</v>
      </c>
      <c r="J611" t="str">
        <f>"06/01/2014 23:45"</f>
        <v>06/01/2014 23:45</v>
      </c>
    </row>
    <row r="612" spans="1:10" x14ac:dyDescent="0.3">
      <c r="A612" t="s">
        <v>6</v>
      </c>
      <c r="B612" t="str">
        <f>"06/02/2014 00:00"</f>
        <v>06/02/2014 00:00</v>
      </c>
      <c r="C612">
        <v>0.94099999999999995</v>
      </c>
      <c r="D612" t="s">
        <v>7</v>
      </c>
      <c r="E612" s="2" t="s">
        <v>12</v>
      </c>
      <c r="F612">
        <f t="shared" si="9"/>
        <v>1.8660030000000001</v>
      </c>
      <c r="G612" t="s">
        <v>16</v>
      </c>
      <c r="J612" t="str">
        <f>"06/02/2014 23:45"</f>
        <v>06/02/2014 23:45</v>
      </c>
    </row>
    <row r="613" spans="1:10" x14ac:dyDescent="0.3">
      <c r="A613" t="s">
        <v>6</v>
      </c>
      <c r="B613" t="str">
        <f>"06/03/2014 00:00"</f>
        <v>06/03/2014 00:00</v>
      </c>
      <c r="C613">
        <v>0.89500000000000002</v>
      </c>
      <c r="D613" t="s">
        <v>7</v>
      </c>
      <c r="E613" s="2" t="s">
        <v>12</v>
      </c>
      <c r="F613">
        <f t="shared" si="9"/>
        <v>1.7747850000000001</v>
      </c>
      <c r="G613" t="s">
        <v>16</v>
      </c>
      <c r="J613" t="str">
        <f>"06/03/2014 23:45"</f>
        <v>06/03/2014 23:45</v>
      </c>
    </row>
    <row r="614" spans="1:10" x14ac:dyDescent="0.3">
      <c r="A614" t="s">
        <v>6</v>
      </c>
      <c r="B614" t="str">
        <f>"06/04/2014 00:00"</f>
        <v>06/04/2014 00:00</v>
      </c>
      <c r="C614">
        <v>0.84599999999999997</v>
      </c>
      <c r="D614" t="s">
        <v>7</v>
      </c>
      <c r="E614" s="2" t="s">
        <v>12</v>
      </c>
      <c r="F614">
        <f t="shared" si="9"/>
        <v>1.6776180000000001</v>
      </c>
      <c r="G614" t="s">
        <v>16</v>
      </c>
      <c r="J614" t="str">
        <f>"06/04/2014 23:45"</f>
        <v>06/04/2014 23:45</v>
      </c>
    </row>
    <row r="615" spans="1:10" x14ac:dyDescent="0.3">
      <c r="A615" t="s">
        <v>6</v>
      </c>
      <c r="B615" t="str">
        <f>"06/05/2014 00:00"</f>
        <v>06/05/2014 00:00</v>
      </c>
      <c r="C615">
        <v>0.84599999999999997</v>
      </c>
      <c r="D615" t="s">
        <v>7</v>
      </c>
      <c r="E615" s="2" t="s">
        <v>12</v>
      </c>
      <c r="F615">
        <f t="shared" si="9"/>
        <v>1.6776180000000001</v>
      </c>
      <c r="G615" t="s">
        <v>16</v>
      </c>
      <c r="J615" t="str">
        <f>"06/05/2014 23:45"</f>
        <v>06/05/2014 23:45</v>
      </c>
    </row>
    <row r="616" spans="1:10" x14ac:dyDescent="0.3">
      <c r="A616" t="s">
        <v>6</v>
      </c>
      <c r="B616" t="str">
        <f>"06/06/2014 00:00"</f>
        <v>06/06/2014 00:00</v>
      </c>
      <c r="C616">
        <v>0.84599999999999997</v>
      </c>
      <c r="D616" t="s">
        <v>7</v>
      </c>
      <c r="E616" s="2" t="s">
        <v>12</v>
      </c>
      <c r="F616">
        <f t="shared" si="9"/>
        <v>1.6776180000000001</v>
      </c>
      <c r="G616" t="s">
        <v>16</v>
      </c>
      <c r="J616" t="str">
        <f>"06/06/2014 23:45"</f>
        <v>06/06/2014 23:45</v>
      </c>
    </row>
    <row r="617" spans="1:10" x14ac:dyDescent="0.3">
      <c r="A617" t="s">
        <v>6</v>
      </c>
      <c r="B617" t="str">
        <f>"06/07/2014 00:00"</f>
        <v>06/07/2014 00:00</v>
      </c>
      <c r="C617">
        <v>0.84599999999999997</v>
      </c>
      <c r="D617" t="s">
        <v>7</v>
      </c>
      <c r="E617" s="2" t="s">
        <v>12</v>
      </c>
      <c r="F617">
        <f t="shared" si="9"/>
        <v>1.6776180000000001</v>
      </c>
      <c r="G617" t="s">
        <v>16</v>
      </c>
      <c r="J617" t="str">
        <f>"06/07/2014 23:45"</f>
        <v>06/07/2014 23:45</v>
      </c>
    </row>
    <row r="618" spans="1:10" x14ac:dyDescent="0.3">
      <c r="A618" t="s">
        <v>6</v>
      </c>
      <c r="B618" t="str">
        <f>"06/08/2014 00:00"</f>
        <v>06/08/2014 00:00</v>
      </c>
      <c r="C618">
        <v>0.84599999999999997</v>
      </c>
      <c r="D618" t="s">
        <v>7</v>
      </c>
      <c r="E618" s="2" t="s">
        <v>12</v>
      </c>
      <c r="F618">
        <f t="shared" si="9"/>
        <v>1.6776180000000001</v>
      </c>
      <c r="G618" t="s">
        <v>16</v>
      </c>
      <c r="J618" t="str">
        <f>"06/08/2014 23:45"</f>
        <v>06/08/2014 23:45</v>
      </c>
    </row>
    <row r="619" spans="1:10" x14ac:dyDescent="0.3">
      <c r="A619" t="s">
        <v>6</v>
      </c>
      <c r="B619" t="str">
        <f>"06/09/2014 00:00"</f>
        <v>06/09/2014 00:00</v>
      </c>
      <c r="C619">
        <v>0.84599999999999997</v>
      </c>
      <c r="D619" t="s">
        <v>7</v>
      </c>
      <c r="E619" s="2" t="s">
        <v>12</v>
      </c>
      <c r="F619">
        <f t="shared" si="9"/>
        <v>1.6776180000000001</v>
      </c>
      <c r="G619" t="s">
        <v>16</v>
      </c>
      <c r="J619" t="str">
        <f>"06/09/2014 23:45"</f>
        <v>06/09/2014 23:45</v>
      </c>
    </row>
    <row r="620" spans="1:10" x14ac:dyDescent="0.3">
      <c r="A620" t="s">
        <v>6</v>
      </c>
      <c r="B620" t="str">
        <f>"06/10/2014 00:00"</f>
        <v>06/10/2014 00:00</v>
      </c>
      <c r="C620">
        <v>0.84599999999999997</v>
      </c>
      <c r="D620" t="s">
        <v>7</v>
      </c>
      <c r="E620" s="2" t="s">
        <v>12</v>
      </c>
      <c r="F620">
        <f t="shared" si="9"/>
        <v>1.6776180000000001</v>
      </c>
      <c r="G620" t="s">
        <v>16</v>
      </c>
      <c r="J620" t="str">
        <f>"06/10/2014 23:45"</f>
        <v>06/10/2014 23:45</v>
      </c>
    </row>
    <row r="621" spans="1:10" x14ac:dyDescent="0.3">
      <c r="A621" t="s">
        <v>6</v>
      </c>
      <c r="B621" t="str">
        <f>"06/11/2014 00:00"</f>
        <v>06/11/2014 00:00</v>
      </c>
      <c r="C621">
        <v>0.84599999999999997</v>
      </c>
      <c r="D621" t="s">
        <v>7</v>
      </c>
      <c r="E621" s="2" t="s">
        <v>12</v>
      </c>
      <c r="F621">
        <f t="shared" si="9"/>
        <v>1.6776180000000001</v>
      </c>
      <c r="G621" t="s">
        <v>16</v>
      </c>
      <c r="J621" t="str">
        <f>"06/11/2014 23:45"</f>
        <v>06/11/2014 23:45</v>
      </c>
    </row>
    <row r="622" spans="1:10" x14ac:dyDescent="0.3">
      <c r="A622" t="s">
        <v>6</v>
      </c>
      <c r="B622" t="str">
        <f>"06/12/2014 00:00"</f>
        <v>06/12/2014 00:00</v>
      </c>
      <c r="C622">
        <v>0.84599999999999997</v>
      </c>
      <c r="D622" t="s">
        <v>7</v>
      </c>
      <c r="E622" s="2" t="s">
        <v>12</v>
      </c>
      <c r="F622">
        <f t="shared" si="9"/>
        <v>1.6776180000000001</v>
      </c>
      <c r="G622" t="s">
        <v>16</v>
      </c>
      <c r="J622" t="str">
        <f>"06/12/2014 23:45"</f>
        <v>06/12/2014 23:45</v>
      </c>
    </row>
    <row r="623" spans="1:10" x14ac:dyDescent="0.3">
      <c r="A623" t="s">
        <v>6</v>
      </c>
      <c r="B623" t="str">
        <f>"06/13/2014 00:00"</f>
        <v>06/13/2014 00:00</v>
      </c>
      <c r="C623">
        <v>0.84599999999999997</v>
      </c>
      <c r="D623" t="s">
        <v>7</v>
      </c>
      <c r="E623" s="2" t="s">
        <v>12</v>
      </c>
      <c r="F623">
        <f t="shared" si="9"/>
        <v>1.6776180000000001</v>
      </c>
      <c r="G623" t="s">
        <v>16</v>
      </c>
      <c r="J623" t="str">
        <f>"06/13/2014 23:45"</f>
        <v>06/13/2014 23:45</v>
      </c>
    </row>
    <row r="624" spans="1:10" x14ac:dyDescent="0.3">
      <c r="A624" t="s">
        <v>6</v>
      </c>
      <c r="B624" t="str">
        <f>"06/14/2014 00:00"</f>
        <v>06/14/2014 00:00</v>
      </c>
      <c r="C624">
        <v>0.84599999999999997</v>
      </c>
      <c r="D624" t="s">
        <v>7</v>
      </c>
      <c r="E624" s="2" t="s">
        <v>12</v>
      </c>
      <c r="F624">
        <f t="shared" si="9"/>
        <v>1.6776180000000001</v>
      </c>
      <c r="G624" t="s">
        <v>16</v>
      </c>
      <c r="J624" t="str">
        <f>"06/14/2014 23:45"</f>
        <v>06/14/2014 23:45</v>
      </c>
    </row>
    <row r="625" spans="1:10" x14ac:dyDescent="0.3">
      <c r="A625" t="s">
        <v>6</v>
      </c>
      <c r="B625" t="str">
        <f>"06/15/2014 00:00"</f>
        <v>06/15/2014 00:00</v>
      </c>
      <c r="C625">
        <v>0.84599999999999997</v>
      </c>
      <c r="D625" t="s">
        <v>7</v>
      </c>
      <c r="E625" s="2" t="s">
        <v>12</v>
      </c>
      <c r="F625">
        <f t="shared" si="9"/>
        <v>1.6776180000000001</v>
      </c>
      <c r="G625" t="s">
        <v>16</v>
      </c>
      <c r="J625" t="str">
        <f>"06/15/2014 23:45"</f>
        <v>06/15/2014 23:45</v>
      </c>
    </row>
    <row r="626" spans="1:10" x14ac:dyDescent="0.3">
      <c r="A626" t="s">
        <v>6</v>
      </c>
      <c r="B626" t="str">
        <f>"06/16/2014 00:00"</f>
        <v>06/16/2014 00:00</v>
      </c>
      <c r="C626">
        <v>0.84599999999999997</v>
      </c>
      <c r="D626" t="s">
        <v>7</v>
      </c>
      <c r="E626" s="2" t="s">
        <v>12</v>
      </c>
      <c r="F626">
        <f t="shared" si="9"/>
        <v>1.6776180000000001</v>
      </c>
      <c r="G626" t="s">
        <v>16</v>
      </c>
      <c r="J626" t="str">
        <f>"06/16/2014 23:45"</f>
        <v>06/16/2014 23:45</v>
      </c>
    </row>
    <row r="627" spans="1:10" x14ac:dyDescent="0.3">
      <c r="A627" t="s">
        <v>6</v>
      </c>
      <c r="B627" t="str">
        <f>"06/17/2014 00:00"</f>
        <v>06/17/2014 00:00</v>
      </c>
      <c r="C627">
        <v>0.84599999999999997</v>
      </c>
      <c r="D627" t="s">
        <v>7</v>
      </c>
      <c r="E627" s="2" t="s">
        <v>12</v>
      </c>
      <c r="F627">
        <f t="shared" si="9"/>
        <v>1.6776180000000001</v>
      </c>
      <c r="G627" t="s">
        <v>16</v>
      </c>
      <c r="J627" t="str">
        <f>"06/17/2014 23:45"</f>
        <v>06/17/2014 23:45</v>
      </c>
    </row>
    <row r="628" spans="1:10" x14ac:dyDescent="0.3">
      <c r="A628" t="s">
        <v>6</v>
      </c>
      <c r="B628" t="str">
        <f>"06/18/2014 00:00"</f>
        <v>06/18/2014 00:00</v>
      </c>
      <c r="C628">
        <v>0.84599999999999997</v>
      </c>
      <c r="D628" t="s">
        <v>7</v>
      </c>
      <c r="E628" s="2" t="s">
        <v>12</v>
      </c>
      <c r="F628">
        <f t="shared" si="9"/>
        <v>1.6776180000000001</v>
      </c>
      <c r="G628" t="s">
        <v>16</v>
      </c>
      <c r="J628" t="str">
        <f>"06/18/2014 23:45"</f>
        <v>06/18/2014 23:45</v>
      </c>
    </row>
    <row r="629" spans="1:10" x14ac:dyDescent="0.3">
      <c r="A629" t="s">
        <v>6</v>
      </c>
      <c r="B629" t="str">
        <f>"06/19/2014 00:00"</f>
        <v>06/19/2014 00:00</v>
      </c>
      <c r="C629">
        <v>0.71199999999999997</v>
      </c>
      <c r="D629" t="s">
        <v>7</v>
      </c>
      <c r="E629" s="2" t="s">
        <v>12</v>
      </c>
      <c r="F629">
        <f t="shared" si="9"/>
        <v>1.411896</v>
      </c>
      <c r="G629" t="s">
        <v>16</v>
      </c>
      <c r="J629" t="str">
        <f>"06/19/2014 23:45"</f>
        <v>06/19/2014 23:45</v>
      </c>
    </row>
    <row r="630" spans="1:10" x14ac:dyDescent="0.3">
      <c r="A630" t="s">
        <v>6</v>
      </c>
      <c r="B630" t="str">
        <f>"06/20/2014 00:00"</f>
        <v>06/20/2014 00:00</v>
      </c>
      <c r="C630">
        <v>0.63200000000000001</v>
      </c>
      <c r="D630" t="s">
        <v>7</v>
      </c>
      <c r="E630" s="2" t="s">
        <v>12</v>
      </c>
      <c r="F630">
        <f t="shared" si="9"/>
        <v>1.2532560000000001</v>
      </c>
      <c r="G630" t="s">
        <v>16</v>
      </c>
      <c r="J630" t="str">
        <f>"06/20/2014 23:45"</f>
        <v>06/20/2014 23:45</v>
      </c>
    </row>
    <row r="631" spans="1:10" x14ac:dyDescent="0.3">
      <c r="A631" t="s">
        <v>6</v>
      </c>
      <c r="B631" t="str">
        <f>"06/21/2014 00:00"</f>
        <v>06/21/2014 00:00</v>
      </c>
      <c r="C631">
        <v>0.63200000000000001</v>
      </c>
      <c r="D631" t="s">
        <v>7</v>
      </c>
      <c r="E631" s="2" t="s">
        <v>12</v>
      </c>
      <c r="F631">
        <f t="shared" si="9"/>
        <v>1.2532560000000001</v>
      </c>
      <c r="G631" t="s">
        <v>16</v>
      </c>
      <c r="J631" t="str">
        <f>"06/21/2014 23:45"</f>
        <v>06/21/2014 23:45</v>
      </c>
    </row>
    <row r="632" spans="1:10" x14ac:dyDescent="0.3">
      <c r="A632" t="s">
        <v>6</v>
      </c>
      <c r="B632" t="str">
        <f>"06/22/2014 00:00"</f>
        <v>06/22/2014 00:00</v>
      </c>
      <c r="C632">
        <v>0.63200000000000001</v>
      </c>
      <c r="D632" t="s">
        <v>7</v>
      </c>
      <c r="E632" s="2" t="s">
        <v>12</v>
      </c>
      <c r="F632">
        <f t="shared" si="9"/>
        <v>1.2532560000000001</v>
      </c>
      <c r="G632" t="s">
        <v>16</v>
      </c>
      <c r="J632" t="str">
        <f>"06/22/2014 23:45"</f>
        <v>06/22/2014 23:45</v>
      </c>
    </row>
    <row r="633" spans="1:10" x14ac:dyDescent="0.3">
      <c r="A633" t="s">
        <v>6</v>
      </c>
      <c r="B633" t="str">
        <f>"06/23/2014 00:00"</f>
        <v>06/23/2014 00:00</v>
      </c>
      <c r="C633">
        <v>0.63200000000000001</v>
      </c>
      <c r="D633" t="s">
        <v>7</v>
      </c>
      <c r="E633" s="2" t="s">
        <v>12</v>
      </c>
      <c r="F633">
        <f t="shared" si="9"/>
        <v>1.2532560000000001</v>
      </c>
      <c r="G633" t="s">
        <v>16</v>
      </c>
      <c r="J633" t="str">
        <f>"06/23/2014 23:45"</f>
        <v>06/23/2014 23:45</v>
      </c>
    </row>
    <row r="634" spans="1:10" x14ac:dyDescent="0.3">
      <c r="A634" t="s">
        <v>6</v>
      </c>
      <c r="B634" t="str">
        <f>"06/24/2014 00:00"</f>
        <v>06/24/2014 00:00</v>
      </c>
      <c r="C634">
        <v>0.63200000000000001</v>
      </c>
      <c r="D634" t="s">
        <v>7</v>
      </c>
      <c r="E634" s="2" t="s">
        <v>12</v>
      </c>
      <c r="F634">
        <f t="shared" si="9"/>
        <v>1.2532560000000001</v>
      </c>
      <c r="G634" t="s">
        <v>16</v>
      </c>
      <c r="J634" t="str">
        <f>"06/24/2014 23:45"</f>
        <v>06/24/2014 23:45</v>
      </c>
    </row>
    <row r="635" spans="1:10" x14ac:dyDescent="0.3">
      <c r="A635" t="s">
        <v>6</v>
      </c>
      <c r="B635" t="str">
        <f>"06/25/2014 00:00"</f>
        <v>06/25/2014 00:00</v>
      </c>
      <c r="C635">
        <v>0.63200000000000001</v>
      </c>
      <c r="D635" t="s">
        <v>7</v>
      </c>
      <c r="E635" s="2" t="s">
        <v>12</v>
      </c>
      <c r="F635">
        <f t="shared" si="9"/>
        <v>1.2532560000000001</v>
      </c>
      <c r="G635" t="s">
        <v>16</v>
      </c>
      <c r="J635" t="str">
        <f>"06/25/2014 23:45"</f>
        <v>06/25/2014 23:45</v>
      </c>
    </row>
    <row r="636" spans="1:10" x14ac:dyDescent="0.3">
      <c r="A636" t="s">
        <v>6</v>
      </c>
      <c r="B636" t="str">
        <f>"06/26/2014 00:00"</f>
        <v>06/26/2014 00:00</v>
      </c>
      <c r="C636">
        <v>0.63200000000000001</v>
      </c>
      <c r="D636" t="s">
        <v>7</v>
      </c>
      <c r="E636" s="2" t="s">
        <v>12</v>
      </c>
      <c r="F636">
        <f t="shared" si="9"/>
        <v>1.2532560000000001</v>
      </c>
      <c r="G636" t="s">
        <v>16</v>
      </c>
      <c r="J636" t="str">
        <f>"06/26/2014 23:45"</f>
        <v>06/26/2014 23:45</v>
      </c>
    </row>
    <row r="637" spans="1:10" x14ac:dyDescent="0.3">
      <c r="A637" t="s">
        <v>6</v>
      </c>
      <c r="B637" t="str">
        <f>"06/27/2014 00:00"</f>
        <v>06/27/2014 00:00</v>
      </c>
      <c r="C637">
        <v>0.63200000000000001</v>
      </c>
      <c r="D637" t="s">
        <v>7</v>
      </c>
      <c r="E637" s="2" t="s">
        <v>12</v>
      </c>
      <c r="F637">
        <f t="shared" si="9"/>
        <v>1.2532560000000001</v>
      </c>
      <c r="G637" t="s">
        <v>16</v>
      </c>
      <c r="J637" t="str">
        <f>"06/27/2014 23:45"</f>
        <v>06/27/2014 23:45</v>
      </c>
    </row>
    <row r="638" spans="1:10" x14ac:dyDescent="0.3">
      <c r="A638" t="s">
        <v>6</v>
      </c>
      <c r="B638" t="str">
        <f>"06/28/2014 00:00"</f>
        <v>06/28/2014 00:00</v>
      </c>
      <c r="C638">
        <v>0.63200000000000001</v>
      </c>
      <c r="D638" t="s">
        <v>7</v>
      </c>
      <c r="E638" s="2" t="s">
        <v>12</v>
      </c>
      <c r="F638">
        <f t="shared" si="9"/>
        <v>1.2532560000000001</v>
      </c>
      <c r="G638" t="s">
        <v>16</v>
      </c>
      <c r="J638" t="str">
        <f>"06/28/2014 23:45"</f>
        <v>06/28/2014 23:45</v>
      </c>
    </row>
    <row r="639" spans="1:10" x14ac:dyDescent="0.3">
      <c r="A639" t="s">
        <v>6</v>
      </c>
      <c r="B639" t="str">
        <f>"06/29/2014 00:00"</f>
        <v>06/29/2014 00:00</v>
      </c>
      <c r="C639">
        <v>0.63200000000000001</v>
      </c>
      <c r="D639" t="s">
        <v>7</v>
      </c>
      <c r="E639" s="2" t="s">
        <v>12</v>
      </c>
      <c r="F639">
        <f t="shared" si="9"/>
        <v>1.2532560000000001</v>
      </c>
      <c r="G639" t="s">
        <v>16</v>
      </c>
      <c r="J639" t="str">
        <f>"06/29/2014 23:45"</f>
        <v>06/29/2014 23:45</v>
      </c>
    </row>
    <row r="640" spans="1:10" x14ac:dyDescent="0.3">
      <c r="A640" t="s">
        <v>6</v>
      </c>
      <c r="B640" t="str">
        <f>"06/30/2014 00:00"</f>
        <v>06/30/2014 00:00</v>
      </c>
      <c r="C640">
        <v>0.63200000000000001</v>
      </c>
      <c r="D640" t="s">
        <v>7</v>
      </c>
      <c r="E640" s="2" t="s">
        <v>12</v>
      </c>
      <c r="F640">
        <f t="shared" si="9"/>
        <v>1.2532560000000001</v>
      </c>
      <c r="G640" t="s">
        <v>16</v>
      </c>
      <c r="J640" t="str">
        <f>"06/30/2014 23:45"</f>
        <v>06/30/2014 23:45</v>
      </c>
    </row>
    <row r="641" spans="1:10" x14ac:dyDescent="0.3">
      <c r="A641" t="s">
        <v>6</v>
      </c>
      <c r="B641" t="str">
        <f>"07/01/2014 00:00"</f>
        <v>07/01/2014 00:00</v>
      </c>
      <c r="C641">
        <v>0.63200000000000001</v>
      </c>
      <c r="D641" t="s">
        <v>7</v>
      </c>
      <c r="E641" s="2" t="s">
        <v>12</v>
      </c>
      <c r="F641">
        <f t="shared" si="9"/>
        <v>1.2532560000000001</v>
      </c>
      <c r="G641" t="s">
        <v>16</v>
      </c>
      <c r="J641" t="str">
        <f>"07/01/2014 23:45"</f>
        <v>07/01/2014 23:45</v>
      </c>
    </row>
    <row r="642" spans="1:10" x14ac:dyDescent="0.3">
      <c r="A642" t="s">
        <v>6</v>
      </c>
      <c r="B642" t="str">
        <f>"07/02/2014 00:00"</f>
        <v>07/02/2014 00:00</v>
      </c>
      <c r="C642">
        <v>0.63200000000000001</v>
      </c>
      <c r="D642" t="s">
        <v>7</v>
      </c>
      <c r="E642" s="2" t="s">
        <v>12</v>
      </c>
      <c r="F642">
        <f t="shared" si="9"/>
        <v>1.2532560000000001</v>
      </c>
      <c r="G642" t="s">
        <v>16</v>
      </c>
      <c r="J642" t="str">
        <f>"07/02/2014 23:45"</f>
        <v>07/02/2014 23:45</v>
      </c>
    </row>
    <row r="643" spans="1:10" x14ac:dyDescent="0.3">
      <c r="A643" t="s">
        <v>6</v>
      </c>
      <c r="B643" t="str">
        <f>"07/03/2014 00:00"</f>
        <v>07/03/2014 00:00</v>
      </c>
      <c r="C643">
        <v>0.63200000000000001</v>
      </c>
      <c r="D643" t="s">
        <v>7</v>
      </c>
      <c r="E643" s="2" t="s">
        <v>12</v>
      </c>
      <c r="F643">
        <f t="shared" si="9"/>
        <v>1.2532560000000001</v>
      </c>
      <c r="G643" t="s">
        <v>16</v>
      </c>
      <c r="J643" t="str">
        <f>"07/03/2014 23:45"</f>
        <v>07/03/2014 23:45</v>
      </c>
    </row>
    <row r="644" spans="1:10" x14ac:dyDescent="0.3">
      <c r="A644" t="s">
        <v>6</v>
      </c>
      <c r="B644" t="str">
        <f>"07/04/2014 00:00"</f>
        <v>07/04/2014 00:00</v>
      </c>
      <c r="C644">
        <v>0.63200000000000001</v>
      </c>
      <c r="D644" t="s">
        <v>7</v>
      </c>
      <c r="E644" s="2" t="s">
        <v>12</v>
      </c>
      <c r="F644">
        <f t="shared" ref="F644:F707" si="10">C644*1.983</f>
        <v>1.2532560000000001</v>
      </c>
      <c r="G644" t="s">
        <v>16</v>
      </c>
      <c r="J644" t="str">
        <f>"07/04/2014 23:45"</f>
        <v>07/04/2014 23:45</v>
      </c>
    </row>
    <row r="645" spans="1:10" x14ac:dyDescent="0.3">
      <c r="A645" t="s">
        <v>6</v>
      </c>
      <c r="B645" t="str">
        <f>"07/05/2014 00:00"</f>
        <v>07/05/2014 00:00</v>
      </c>
      <c r="C645">
        <v>0.63200000000000001</v>
      </c>
      <c r="D645" t="s">
        <v>7</v>
      </c>
      <c r="E645" s="2" t="s">
        <v>12</v>
      </c>
      <c r="F645">
        <f t="shared" si="10"/>
        <v>1.2532560000000001</v>
      </c>
      <c r="G645" t="s">
        <v>16</v>
      </c>
      <c r="J645" t="str">
        <f>"07/05/2014 23:45"</f>
        <v>07/05/2014 23:45</v>
      </c>
    </row>
    <row r="646" spans="1:10" x14ac:dyDescent="0.3">
      <c r="A646" t="s">
        <v>6</v>
      </c>
      <c r="B646" t="str">
        <f>"07/06/2014 00:00"</f>
        <v>07/06/2014 00:00</v>
      </c>
      <c r="C646">
        <v>0.57699999999999996</v>
      </c>
      <c r="D646" t="s">
        <v>7</v>
      </c>
      <c r="E646" s="2" t="s">
        <v>12</v>
      </c>
      <c r="F646">
        <f t="shared" si="10"/>
        <v>1.144191</v>
      </c>
      <c r="G646" t="s">
        <v>16</v>
      </c>
      <c r="J646" t="str">
        <f>"07/06/2014 23:45"</f>
        <v>07/06/2014 23:45</v>
      </c>
    </row>
    <row r="647" spans="1:10" x14ac:dyDescent="0.3">
      <c r="A647" t="s">
        <v>6</v>
      </c>
      <c r="B647" t="str">
        <f>"07/07/2014 00:00"</f>
        <v>07/07/2014 00:00</v>
      </c>
      <c r="C647">
        <v>0.442</v>
      </c>
      <c r="D647" t="s">
        <v>7</v>
      </c>
      <c r="E647" s="2" t="s">
        <v>12</v>
      </c>
      <c r="F647">
        <f t="shared" si="10"/>
        <v>0.8764860000000001</v>
      </c>
      <c r="G647" t="s">
        <v>16</v>
      </c>
      <c r="J647" t="str">
        <f>"07/07/2014 23:45"</f>
        <v>07/07/2014 23:45</v>
      </c>
    </row>
    <row r="648" spans="1:10" x14ac:dyDescent="0.3">
      <c r="A648" t="s">
        <v>6</v>
      </c>
      <c r="B648" t="str">
        <f>"07/08/2014 00:00"</f>
        <v>07/08/2014 00:00</v>
      </c>
      <c r="C648">
        <v>0.442</v>
      </c>
      <c r="D648" t="s">
        <v>7</v>
      </c>
      <c r="E648" s="2" t="s">
        <v>12</v>
      </c>
      <c r="F648">
        <f t="shared" si="10"/>
        <v>0.8764860000000001</v>
      </c>
      <c r="G648" t="s">
        <v>16</v>
      </c>
      <c r="J648" t="str">
        <f>"07/08/2014 23:45"</f>
        <v>07/08/2014 23:45</v>
      </c>
    </row>
    <row r="649" spans="1:10" x14ac:dyDescent="0.3">
      <c r="A649" t="s">
        <v>6</v>
      </c>
      <c r="B649" t="str">
        <f>"07/09/2014 00:00"</f>
        <v>07/09/2014 00:00</v>
      </c>
      <c r="C649">
        <v>0.442</v>
      </c>
      <c r="D649" t="s">
        <v>7</v>
      </c>
      <c r="E649" s="2" t="s">
        <v>12</v>
      </c>
      <c r="F649">
        <f t="shared" si="10"/>
        <v>0.8764860000000001</v>
      </c>
      <c r="G649" t="s">
        <v>16</v>
      </c>
      <c r="J649" t="str">
        <f>"07/09/2014 23:45"</f>
        <v>07/09/2014 23:45</v>
      </c>
    </row>
    <row r="650" spans="1:10" x14ac:dyDescent="0.3">
      <c r="A650" t="s">
        <v>6</v>
      </c>
      <c r="B650" t="str">
        <f>"07/10/2014 00:00"</f>
        <v>07/10/2014 00:00</v>
      </c>
      <c r="C650">
        <v>49.3</v>
      </c>
      <c r="D650" t="s">
        <v>7</v>
      </c>
      <c r="E650" s="2" t="s">
        <v>12</v>
      </c>
      <c r="F650">
        <f t="shared" si="10"/>
        <v>97.761899999999997</v>
      </c>
      <c r="G650" t="s">
        <v>16</v>
      </c>
      <c r="J650" t="str">
        <f>"07/10/2014 23:45"</f>
        <v>07/10/2014 23:45</v>
      </c>
    </row>
    <row r="651" spans="1:10" x14ac:dyDescent="0.3">
      <c r="A651" t="s">
        <v>6</v>
      </c>
      <c r="B651" t="str">
        <f>"07/11/2014 00:00"</f>
        <v>07/11/2014 00:00</v>
      </c>
      <c r="C651">
        <v>101</v>
      </c>
      <c r="D651" t="s">
        <v>7</v>
      </c>
      <c r="E651" s="2" t="s">
        <v>12</v>
      </c>
      <c r="F651">
        <f t="shared" si="10"/>
        <v>200.28300000000002</v>
      </c>
      <c r="G651" t="s">
        <v>16</v>
      </c>
      <c r="J651" t="str">
        <f>"07/11/2014 23:45"</f>
        <v>07/11/2014 23:45</v>
      </c>
    </row>
    <row r="652" spans="1:10" x14ac:dyDescent="0.3">
      <c r="A652" t="s">
        <v>6</v>
      </c>
      <c r="B652" t="str">
        <f>"07/12/2014 00:00"</f>
        <v>07/12/2014 00:00</v>
      </c>
      <c r="C652">
        <v>99.5</v>
      </c>
      <c r="D652" t="s">
        <v>7</v>
      </c>
      <c r="E652" s="2" t="s">
        <v>12</v>
      </c>
      <c r="F652">
        <f t="shared" si="10"/>
        <v>197.30850000000001</v>
      </c>
      <c r="G652" t="s">
        <v>16</v>
      </c>
      <c r="J652" t="str">
        <f>"07/12/2014 23:45"</f>
        <v>07/12/2014 23:45</v>
      </c>
    </row>
    <row r="653" spans="1:10" x14ac:dyDescent="0.3">
      <c r="A653" t="s">
        <v>6</v>
      </c>
      <c r="B653" t="str">
        <f>"07/13/2014 00:00"</f>
        <v>07/13/2014 00:00</v>
      </c>
      <c r="C653">
        <v>99.5</v>
      </c>
      <c r="D653" t="s">
        <v>7</v>
      </c>
      <c r="E653" s="2" t="s">
        <v>12</v>
      </c>
      <c r="F653">
        <f t="shared" si="10"/>
        <v>197.30850000000001</v>
      </c>
      <c r="G653" t="s">
        <v>16</v>
      </c>
      <c r="J653" t="str">
        <f>"07/13/2014 23:45"</f>
        <v>07/13/2014 23:45</v>
      </c>
    </row>
    <row r="654" spans="1:10" x14ac:dyDescent="0.3">
      <c r="A654" t="s">
        <v>6</v>
      </c>
      <c r="B654" t="str">
        <f>"07/14/2014 00:00"</f>
        <v>07/14/2014 00:00</v>
      </c>
      <c r="C654">
        <v>95.4</v>
      </c>
      <c r="D654" t="s">
        <v>7</v>
      </c>
      <c r="E654" s="2" t="s">
        <v>12</v>
      </c>
      <c r="F654">
        <f t="shared" si="10"/>
        <v>189.17820000000003</v>
      </c>
      <c r="G654" t="s">
        <v>16</v>
      </c>
      <c r="J654" t="str">
        <f>"07/14/2014 23:45"</f>
        <v>07/14/2014 23:45</v>
      </c>
    </row>
    <row r="655" spans="1:10" x14ac:dyDescent="0.3">
      <c r="A655" t="s">
        <v>6</v>
      </c>
      <c r="B655" t="str">
        <f>"07/15/2014 00:00"</f>
        <v>07/15/2014 00:00</v>
      </c>
      <c r="C655">
        <v>99.2</v>
      </c>
      <c r="D655" t="s">
        <v>7</v>
      </c>
      <c r="E655" s="2" t="s">
        <v>12</v>
      </c>
      <c r="F655">
        <f t="shared" si="10"/>
        <v>196.71360000000001</v>
      </c>
      <c r="G655" t="s">
        <v>16</v>
      </c>
      <c r="J655" t="str">
        <f>"07/15/2014 23:45"</f>
        <v>07/15/2014 23:45</v>
      </c>
    </row>
    <row r="656" spans="1:10" x14ac:dyDescent="0.3">
      <c r="A656" t="s">
        <v>6</v>
      </c>
      <c r="B656" t="str">
        <f>"07/16/2014 00:00"</f>
        <v>07/16/2014 00:00</v>
      </c>
      <c r="C656">
        <v>96.4</v>
      </c>
      <c r="D656" t="s">
        <v>7</v>
      </c>
      <c r="E656" s="2" t="s">
        <v>12</v>
      </c>
      <c r="F656">
        <f t="shared" si="10"/>
        <v>191.16120000000001</v>
      </c>
      <c r="G656" t="s">
        <v>16</v>
      </c>
      <c r="J656" t="str">
        <f>"07/16/2014 23:45"</f>
        <v>07/16/2014 23:45</v>
      </c>
    </row>
    <row r="657" spans="1:10" x14ac:dyDescent="0.3">
      <c r="A657" t="s">
        <v>6</v>
      </c>
      <c r="B657" t="str">
        <f>"07/17/2014 00:00"</f>
        <v>07/17/2014 00:00</v>
      </c>
      <c r="C657">
        <v>99.6</v>
      </c>
      <c r="D657" t="s">
        <v>7</v>
      </c>
      <c r="E657" s="2" t="s">
        <v>12</v>
      </c>
      <c r="F657">
        <f t="shared" si="10"/>
        <v>197.5068</v>
      </c>
      <c r="G657" t="s">
        <v>16</v>
      </c>
      <c r="J657" t="str">
        <f>"07/17/2014 23:45"</f>
        <v>07/17/2014 23:45</v>
      </c>
    </row>
    <row r="658" spans="1:10" x14ac:dyDescent="0.3">
      <c r="A658" t="s">
        <v>6</v>
      </c>
      <c r="B658" t="str">
        <f>"07/18/2014 00:00"</f>
        <v>07/18/2014 00:00</v>
      </c>
      <c r="C658">
        <v>99.5</v>
      </c>
      <c r="D658" t="s">
        <v>7</v>
      </c>
      <c r="E658" s="2" t="s">
        <v>12</v>
      </c>
      <c r="F658">
        <f t="shared" si="10"/>
        <v>197.30850000000001</v>
      </c>
      <c r="G658" t="s">
        <v>16</v>
      </c>
      <c r="J658" t="str">
        <f>"07/18/2014 23:45"</f>
        <v>07/18/2014 23:45</v>
      </c>
    </row>
    <row r="659" spans="1:10" x14ac:dyDescent="0.3">
      <c r="A659" t="s">
        <v>6</v>
      </c>
      <c r="B659" t="str">
        <f>"07/19/2014 00:00"</f>
        <v>07/19/2014 00:00</v>
      </c>
      <c r="C659">
        <v>99.6</v>
      </c>
      <c r="D659" t="s">
        <v>7</v>
      </c>
      <c r="E659" s="2" t="s">
        <v>12</v>
      </c>
      <c r="F659">
        <f t="shared" si="10"/>
        <v>197.5068</v>
      </c>
      <c r="G659" t="s">
        <v>16</v>
      </c>
      <c r="J659" t="str">
        <f>"07/19/2014 23:45"</f>
        <v>07/19/2014 23:45</v>
      </c>
    </row>
    <row r="660" spans="1:10" x14ac:dyDescent="0.3">
      <c r="A660" t="s">
        <v>6</v>
      </c>
      <c r="B660" t="str">
        <f>"07/20/2014 00:00"</f>
        <v>07/20/2014 00:00</v>
      </c>
      <c r="C660">
        <v>99.5</v>
      </c>
      <c r="D660" t="s">
        <v>7</v>
      </c>
      <c r="E660" s="2" t="s">
        <v>12</v>
      </c>
      <c r="F660">
        <f t="shared" si="10"/>
        <v>197.30850000000001</v>
      </c>
      <c r="G660" t="s">
        <v>16</v>
      </c>
      <c r="J660" t="str">
        <f>"07/20/2014 23:45"</f>
        <v>07/20/2014 23:45</v>
      </c>
    </row>
    <row r="661" spans="1:10" x14ac:dyDescent="0.3">
      <c r="A661" t="s">
        <v>6</v>
      </c>
      <c r="B661" t="str">
        <f>"07/21/2014 00:00"</f>
        <v>07/21/2014 00:00</v>
      </c>
      <c r="C661">
        <v>99.6</v>
      </c>
      <c r="D661" t="s">
        <v>7</v>
      </c>
      <c r="E661" s="2" t="s">
        <v>12</v>
      </c>
      <c r="F661">
        <f t="shared" si="10"/>
        <v>197.5068</v>
      </c>
      <c r="G661" t="s">
        <v>16</v>
      </c>
      <c r="J661" t="str">
        <f>"07/21/2014 23:45"</f>
        <v>07/21/2014 23:45</v>
      </c>
    </row>
    <row r="662" spans="1:10" x14ac:dyDescent="0.3">
      <c r="A662" t="s">
        <v>6</v>
      </c>
      <c r="B662" t="str">
        <f>"07/22/2014 00:00"</f>
        <v>07/22/2014 00:00</v>
      </c>
      <c r="C662">
        <v>116</v>
      </c>
      <c r="D662" t="s">
        <v>7</v>
      </c>
      <c r="E662" s="2" t="s">
        <v>12</v>
      </c>
      <c r="F662">
        <f t="shared" si="10"/>
        <v>230.02800000000002</v>
      </c>
      <c r="G662" t="s">
        <v>16</v>
      </c>
      <c r="J662" t="str">
        <f>"07/22/2014 23:45"</f>
        <v>07/22/2014 23:45</v>
      </c>
    </row>
    <row r="663" spans="1:10" x14ac:dyDescent="0.3">
      <c r="A663" t="s">
        <v>6</v>
      </c>
      <c r="B663" t="str">
        <f>"07/23/2014 00:00"</f>
        <v>07/23/2014 00:00</v>
      </c>
      <c r="C663">
        <v>129</v>
      </c>
      <c r="D663" t="s">
        <v>7</v>
      </c>
      <c r="E663" s="2" t="s">
        <v>12</v>
      </c>
      <c r="F663">
        <f t="shared" si="10"/>
        <v>255.80700000000002</v>
      </c>
      <c r="G663" t="s">
        <v>16</v>
      </c>
      <c r="J663" t="str">
        <f>"07/23/2014 23:45"</f>
        <v>07/23/2014 23:45</v>
      </c>
    </row>
    <row r="664" spans="1:10" x14ac:dyDescent="0.3">
      <c r="A664" t="s">
        <v>6</v>
      </c>
      <c r="B664" t="str">
        <f>"07/24/2014 00:00"</f>
        <v>07/24/2014 00:00</v>
      </c>
      <c r="C664">
        <v>130</v>
      </c>
      <c r="D664" t="s">
        <v>7</v>
      </c>
      <c r="E664" s="2" t="s">
        <v>12</v>
      </c>
      <c r="F664">
        <f t="shared" si="10"/>
        <v>257.79000000000002</v>
      </c>
      <c r="G664" t="s">
        <v>16</v>
      </c>
      <c r="J664" t="str">
        <f>"07/24/2014 23:45"</f>
        <v>07/24/2014 23:45</v>
      </c>
    </row>
    <row r="665" spans="1:10" x14ac:dyDescent="0.3">
      <c r="A665" t="s">
        <v>6</v>
      </c>
      <c r="B665" t="str">
        <f>"07/25/2014 00:00"</f>
        <v>07/25/2014 00:00</v>
      </c>
      <c r="C665">
        <v>109</v>
      </c>
      <c r="D665" t="s">
        <v>7</v>
      </c>
      <c r="E665" s="2" t="s">
        <v>12</v>
      </c>
      <c r="F665">
        <f t="shared" si="10"/>
        <v>216.14700000000002</v>
      </c>
      <c r="G665" t="s">
        <v>16</v>
      </c>
      <c r="J665" t="str">
        <f>"07/25/2014 23:45"</f>
        <v>07/25/2014 23:45</v>
      </c>
    </row>
    <row r="666" spans="1:10" x14ac:dyDescent="0.3">
      <c r="A666" t="s">
        <v>6</v>
      </c>
      <c r="B666" t="str">
        <f>"07/26/2014 00:00"</f>
        <v>07/26/2014 00:00</v>
      </c>
      <c r="C666">
        <v>73.900000000000006</v>
      </c>
      <c r="D666" t="s">
        <v>7</v>
      </c>
      <c r="E666" s="2" t="s">
        <v>12</v>
      </c>
      <c r="F666">
        <f t="shared" si="10"/>
        <v>146.54370000000003</v>
      </c>
      <c r="G666" t="s">
        <v>16</v>
      </c>
      <c r="J666" t="str">
        <f>"07/26/2014 23:45"</f>
        <v>07/26/2014 23:45</v>
      </c>
    </row>
    <row r="667" spans="1:10" x14ac:dyDescent="0.3">
      <c r="A667" t="s">
        <v>6</v>
      </c>
      <c r="B667" t="str">
        <f>"07/27/2014 00:00"</f>
        <v>07/27/2014 00:00</v>
      </c>
      <c r="C667">
        <v>61</v>
      </c>
      <c r="D667" t="s">
        <v>7</v>
      </c>
      <c r="E667" s="2" t="s">
        <v>12</v>
      </c>
      <c r="F667">
        <f t="shared" si="10"/>
        <v>120.96300000000001</v>
      </c>
      <c r="G667" t="s">
        <v>16</v>
      </c>
      <c r="J667" t="str">
        <f>"07/27/2014 23:45"</f>
        <v>07/27/2014 23:45</v>
      </c>
    </row>
    <row r="668" spans="1:10" x14ac:dyDescent="0.3">
      <c r="A668" t="s">
        <v>6</v>
      </c>
      <c r="B668" t="str">
        <f>"07/28/2014 00:00"</f>
        <v>07/28/2014 00:00</v>
      </c>
      <c r="C668">
        <v>60.2</v>
      </c>
      <c r="D668" t="s">
        <v>7</v>
      </c>
      <c r="E668" s="2" t="s">
        <v>12</v>
      </c>
      <c r="F668">
        <f t="shared" si="10"/>
        <v>119.37660000000001</v>
      </c>
      <c r="G668" t="s">
        <v>16</v>
      </c>
      <c r="J668" t="str">
        <f>"07/28/2014 23:45"</f>
        <v>07/28/2014 23:45</v>
      </c>
    </row>
    <row r="669" spans="1:10" x14ac:dyDescent="0.3">
      <c r="A669" t="s">
        <v>6</v>
      </c>
      <c r="B669" t="str">
        <f>"07/29/2014 00:00"</f>
        <v>07/29/2014 00:00</v>
      </c>
      <c r="C669">
        <v>31.9</v>
      </c>
      <c r="D669" t="s">
        <v>7</v>
      </c>
      <c r="E669" s="2" t="s">
        <v>12</v>
      </c>
      <c r="F669">
        <f t="shared" si="10"/>
        <v>63.2577</v>
      </c>
      <c r="G669" t="s">
        <v>16</v>
      </c>
      <c r="J669" t="str">
        <f>"07/29/2014 23:45"</f>
        <v>07/29/2014 23:45</v>
      </c>
    </row>
    <row r="670" spans="1:10" x14ac:dyDescent="0.3">
      <c r="A670" t="s">
        <v>6</v>
      </c>
      <c r="B670" t="str">
        <f>"07/30/2014 00:00"</f>
        <v>07/30/2014 00:00</v>
      </c>
      <c r="C670">
        <v>2.5099999999999998</v>
      </c>
      <c r="D670" t="s">
        <v>7</v>
      </c>
      <c r="E670" s="2" t="s">
        <v>12</v>
      </c>
      <c r="F670">
        <f t="shared" si="10"/>
        <v>4.9773300000000003</v>
      </c>
      <c r="G670" t="s">
        <v>16</v>
      </c>
      <c r="J670" t="str">
        <f>"07/30/2014 23:45"</f>
        <v>07/30/2014 23:45</v>
      </c>
    </row>
    <row r="671" spans="1:10" x14ac:dyDescent="0.3">
      <c r="A671" t="s">
        <v>6</v>
      </c>
      <c r="B671" t="str">
        <f>"07/31/2014 00:00"</f>
        <v>07/31/2014 00:00</v>
      </c>
      <c r="C671">
        <v>2.23</v>
      </c>
      <c r="D671" t="s">
        <v>7</v>
      </c>
      <c r="E671" s="2" t="s">
        <v>12</v>
      </c>
      <c r="F671">
        <f t="shared" si="10"/>
        <v>4.4220899999999999</v>
      </c>
      <c r="G671" t="s">
        <v>16</v>
      </c>
      <c r="J671" t="str">
        <f>"07/31/2014 23:45"</f>
        <v>07/31/2014 23:45</v>
      </c>
    </row>
    <row r="672" spans="1:10" x14ac:dyDescent="0.3">
      <c r="A672" t="s">
        <v>6</v>
      </c>
      <c r="B672" t="str">
        <f>"08/01/2014 00:00"</f>
        <v>08/01/2014 00:00</v>
      </c>
      <c r="C672">
        <v>2.23</v>
      </c>
      <c r="D672" t="s">
        <v>7</v>
      </c>
      <c r="E672" s="2" t="s">
        <v>12</v>
      </c>
      <c r="F672">
        <f t="shared" si="10"/>
        <v>4.4220899999999999</v>
      </c>
      <c r="G672" t="s">
        <v>16</v>
      </c>
      <c r="J672" t="str">
        <f>"08/01/2014 23:45"</f>
        <v>08/01/2014 23:45</v>
      </c>
    </row>
    <row r="673" spans="1:10" x14ac:dyDescent="0.3">
      <c r="A673" t="s">
        <v>6</v>
      </c>
      <c r="B673" t="str">
        <f>"08/02/2014 00:00"</f>
        <v>08/02/2014 00:00</v>
      </c>
      <c r="C673">
        <v>2.23</v>
      </c>
      <c r="D673" t="s">
        <v>7</v>
      </c>
      <c r="E673" s="2" t="s">
        <v>12</v>
      </c>
      <c r="F673">
        <f t="shared" si="10"/>
        <v>4.4220899999999999</v>
      </c>
      <c r="G673" t="s">
        <v>16</v>
      </c>
      <c r="J673" t="str">
        <f>"08/02/2014 23:45"</f>
        <v>08/02/2014 23:45</v>
      </c>
    </row>
    <row r="674" spans="1:10" x14ac:dyDescent="0.3">
      <c r="A674" t="s">
        <v>6</v>
      </c>
      <c r="B674" t="str">
        <f>"08/03/2014 00:00"</f>
        <v>08/03/2014 00:00</v>
      </c>
      <c r="C674">
        <v>2.23</v>
      </c>
      <c r="D674" t="s">
        <v>7</v>
      </c>
      <c r="E674" s="2" t="s">
        <v>12</v>
      </c>
      <c r="F674">
        <f t="shared" si="10"/>
        <v>4.4220899999999999</v>
      </c>
      <c r="G674" t="s">
        <v>16</v>
      </c>
      <c r="J674" t="str">
        <f>"08/03/2014 23:45"</f>
        <v>08/03/2014 23:45</v>
      </c>
    </row>
    <row r="675" spans="1:10" x14ac:dyDescent="0.3">
      <c r="A675" t="s">
        <v>6</v>
      </c>
      <c r="B675" t="str">
        <f>"08/04/2014 00:00"</f>
        <v>08/04/2014 00:00</v>
      </c>
      <c r="C675">
        <v>2.23</v>
      </c>
      <c r="D675" t="s">
        <v>7</v>
      </c>
      <c r="E675" s="2" t="s">
        <v>12</v>
      </c>
      <c r="F675">
        <f t="shared" si="10"/>
        <v>4.4220899999999999</v>
      </c>
      <c r="G675" t="s">
        <v>16</v>
      </c>
      <c r="J675" t="str">
        <f>"08/04/2014 23:45"</f>
        <v>08/04/2014 23:45</v>
      </c>
    </row>
    <row r="676" spans="1:10" x14ac:dyDescent="0.3">
      <c r="A676" t="s">
        <v>6</v>
      </c>
      <c r="B676" t="str">
        <f>"08/05/2014 00:00"</f>
        <v>08/05/2014 00:00</v>
      </c>
      <c r="C676">
        <v>2.23</v>
      </c>
      <c r="D676" t="s">
        <v>7</v>
      </c>
      <c r="E676" s="2" t="s">
        <v>12</v>
      </c>
      <c r="F676">
        <f t="shared" si="10"/>
        <v>4.4220899999999999</v>
      </c>
      <c r="G676" t="s">
        <v>16</v>
      </c>
      <c r="J676" t="str">
        <f>"08/05/2014 23:45"</f>
        <v>08/05/2014 23:45</v>
      </c>
    </row>
    <row r="677" spans="1:10" x14ac:dyDescent="0.3">
      <c r="A677" t="s">
        <v>6</v>
      </c>
      <c r="B677" t="str">
        <f>"08/06/2014 00:00"</f>
        <v>08/06/2014 00:00</v>
      </c>
      <c r="C677">
        <v>2.23</v>
      </c>
      <c r="D677" t="s">
        <v>7</v>
      </c>
      <c r="E677" s="2" t="s">
        <v>12</v>
      </c>
      <c r="F677">
        <f t="shared" si="10"/>
        <v>4.4220899999999999</v>
      </c>
      <c r="G677" t="s">
        <v>16</v>
      </c>
      <c r="J677" t="str">
        <f>"08/06/2014 23:45"</f>
        <v>08/06/2014 23:45</v>
      </c>
    </row>
    <row r="678" spans="1:10" x14ac:dyDescent="0.3">
      <c r="A678" t="s">
        <v>6</v>
      </c>
      <c r="B678" t="str">
        <f>"08/07/2014 00:00"</f>
        <v>08/07/2014 00:00</v>
      </c>
      <c r="C678">
        <v>2.23</v>
      </c>
      <c r="D678" t="s">
        <v>7</v>
      </c>
      <c r="E678" s="2" t="s">
        <v>12</v>
      </c>
      <c r="F678">
        <f t="shared" si="10"/>
        <v>4.4220899999999999</v>
      </c>
      <c r="G678" t="s">
        <v>16</v>
      </c>
      <c r="J678" t="str">
        <f>"08/07/2014 23:45"</f>
        <v>08/07/2014 23:45</v>
      </c>
    </row>
    <row r="679" spans="1:10" x14ac:dyDescent="0.3">
      <c r="A679" t="s">
        <v>6</v>
      </c>
      <c r="B679" t="str">
        <f>"08/08/2014 00:00"</f>
        <v>08/08/2014 00:00</v>
      </c>
      <c r="C679">
        <v>2.23</v>
      </c>
      <c r="D679" t="s">
        <v>7</v>
      </c>
      <c r="E679" s="2" t="s">
        <v>12</v>
      </c>
      <c r="F679">
        <f t="shared" si="10"/>
        <v>4.4220899999999999</v>
      </c>
      <c r="G679" t="s">
        <v>16</v>
      </c>
      <c r="J679" t="str">
        <f>"08/08/2014 23:45"</f>
        <v>08/08/2014 23:45</v>
      </c>
    </row>
    <row r="680" spans="1:10" x14ac:dyDescent="0.3">
      <c r="A680" t="s">
        <v>6</v>
      </c>
      <c r="B680" t="str">
        <f>"08/09/2014 00:00"</f>
        <v>08/09/2014 00:00</v>
      </c>
      <c r="C680">
        <v>2.1</v>
      </c>
      <c r="D680" t="s">
        <v>7</v>
      </c>
      <c r="E680" s="2" t="s">
        <v>12</v>
      </c>
      <c r="F680">
        <f t="shared" si="10"/>
        <v>4.1643000000000008</v>
      </c>
      <c r="G680" t="s">
        <v>16</v>
      </c>
      <c r="J680" t="str">
        <f>"08/09/2014 23:45"</f>
        <v>08/09/2014 23:45</v>
      </c>
    </row>
    <row r="681" spans="1:10" x14ac:dyDescent="0.3">
      <c r="A681" t="s">
        <v>6</v>
      </c>
      <c r="B681" t="str">
        <f>"08/10/2014 00:00"</f>
        <v>08/10/2014 00:00</v>
      </c>
      <c r="C681">
        <v>2.06</v>
      </c>
      <c r="D681" t="s">
        <v>7</v>
      </c>
      <c r="E681" s="2" t="s">
        <v>12</v>
      </c>
      <c r="F681">
        <f t="shared" si="10"/>
        <v>4.0849800000000007</v>
      </c>
      <c r="G681" t="s">
        <v>16</v>
      </c>
      <c r="J681" t="str">
        <f>"08/10/2014 23:45"</f>
        <v>08/10/2014 23:45</v>
      </c>
    </row>
    <row r="682" spans="1:10" x14ac:dyDescent="0.3">
      <c r="A682" t="s">
        <v>6</v>
      </c>
      <c r="B682" t="str">
        <f>"08/11/2014 00:00"</f>
        <v>08/11/2014 00:00</v>
      </c>
      <c r="C682">
        <v>2.23</v>
      </c>
      <c r="D682" t="s">
        <v>7</v>
      </c>
      <c r="E682" s="2" t="s">
        <v>12</v>
      </c>
      <c r="F682">
        <f t="shared" si="10"/>
        <v>4.4220899999999999</v>
      </c>
      <c r="G682" t="s">
        <v>16</v>
      </c>
      <c r="J682" t="str">
        <f>"08/11/2014 23:45"</f>
        <v>08/11/2014 23:45</v>
      </c>
    </row>
    <row r="683" spans="1:10" x14ac:dyDescent="0.3">
      <c r="A683" t="s">
        <v>6</v>
      </c>
      <c r="B683" t="str">
        <f>"08/12/2014 00:00"</f>
        <v>08/12/2014 00:00</v>
      </c>
      <c r="C683">
        <v>2.23</v>
      </c>
      <c r="D683" t="s">
        <v>7</v>
      </c>
      <c r="E683" s="2" t="s">
        <v>12</v>
      </c>
      <c r="F683">
        <f t="shared" si="10"/>
        <v>4.4220899999999999</v>
      </c>
      <c r="G683" t="s">
        <v>16</v>
      </c>
      <c r="J683" t="str">
        <f>"08/12/2014 23:45"</f>
        <v>08/12/2014 23:45</v>
      </c>
    </row>
    <row r="684" spans="1:10" x14ac:dyDescent="0.3">
      <c r="A684" t="s">
        <v>6</v>
      </c>
      <c r="B684" t="str">
        <f>"08/13/2014 00:00"</f>
        <v>08/13/2014 00:00</v>
      </c>
      <c r="C684">
        <v>2.23</v>
      </c>
      <c r="D684" t="s">
        <v>7</v>
      </c>
      <c r="E684" s="2" t="s">
        <v>12</v>
      </c>
      <c r="F684">
        <f t="shared" si="10"/>
        <v>4.4220899999999999</v>
      </c>
      <c r="G684" t="s">
        <v>16</v>
      </c>
      <c r="J684" t="str">
        <f>"08/13/2014 23:45"</f>
        <v>08/13/2014 23:45</v>
      </c>
    </row>
    <row r="685" spans="1:10" x14ac:dyDescent="0.3">
      <c r="A685" t="s">
        <v>6</v>
      </c>
      <c r="B685" t="str">
        <f>"08/14/2014 00:00"</f>
        <v>08/14/2014 00:00</v>
      </c>
      <c r="C685">
        <v>2.23</v>
      </c>
      <c r="D685" t="s">
        <v>7</v>
      </c>
      <c r="E685" s="2" t="s">
        <v>12</v>
      </c>
      <c r="F685">
        <f t="shared" si="10"/>
        <v>4.4220899999999999</v>
      </c>
      <c r="G685" t="s">
        <v>16</v>
      </c>
      <c r="J685" t="str">
        <f>"08/14/2014 23:45"</f>
        <v>08/14/2014 23:45</v>
      </c>
    </row>
    <row r="686" spans="1:10" x14ac:dyDescent="0.3">
      <c r="A686" t="s">
        <v>6</v>
      </c>
      <c r="B686" t="str">
        <f>"08/15/2014 00:00"</f>
        <v>08/15/2014 00:00</v>
      </c>
      <c r="C686">
        <v>2.23</v>
      </c>
      <c r="D686" t="s">
        <v>7</v>
      </c>
      <c r="E686" s="2" t="s">
        <v>12</v>
      </c>
      <c r="F686">
        <f t="shared" si="10"/>
        <v>4.4220899999999999</v>
      </c>
      <c r="G686" t="s">
        <v>16</v>
      </c>
      <c r="J686" t="str">
        <f>"08/15/2014 23:45"</f>
        <v>08/15/2014 23:45</v>
      </c>
    </row>
    <row r="687" spans="1:10" x14ac:dyDescent="0.3">
      <c r="A687" t="s">
        <v>6</v>
      </c>
      <c r="B687" t="str">
        <f>"08/16/2014 00:00"</f>
        <v>08/16/2014 00:00</v>
      </c>
      <c r="C687">
        <v>1.97</v>
      </c>
      <c r="D687" t="s">
        <v>7</v>
      </c>
      <c r="E687" s="2" t="s">
        <v>12</v>
      </c>
      <c r="F687">
        <f t="shared" si="10"/>
        <v>3.9065099999999999</v>
      </c>
      <c r="G687" t="s">
        <v>16</v>
      </c>
      <c r="J687" t="str">
        <f>"08/16/2014 23:45"</f>
        <v>08/16/2014 23:45</v>
      </c>
    </row>
    <row r="688" spans="1:10" x14ac:dyDescent="0.3">
      <c r="A688" t="s">
        <v>6</v>
      </c>
      <c r="B688" t="str">
        <f>"08/17/2014 00:00"</f>
        <v>08/17/2014 00:00</v>
      </c>
      <c r="C688">
        <v>1.92</v>
      </c>
      <c r="D688" t="s">
        <v>7</v>
      </c>
      <c r="E688" s="2" t="s">
        <v>12</v>
      </c>
      <c r="F688">
        <f t="shared" si="10"/>
        <v>3.8073600000000001</v>
      </c>
      <c r="G688" t="s">
        <v>16</v>
      </c>
      <c r="J688" t="str">
        <f>"08/17/2014 23:45"</f>
        <v>08/17/2014 23:45</v>
      </c>
    </row>
    <row r="689" spans="1:10" x14ac:dyDescent="0.3">
      <c r="A689" t="s">
        <v>6</v>
      </c>
      <c r="B689" t="str">
        <f>"08/18/2014 00:00"</f>
        <v>08/18/2014 00:00</v>
      </c>
      <c r="C689">
        <v>1.92</v>
      </c>
      <c r="D689" t="s">
        <v>7</v>
      </c>
      <c r="E689" s="2" t="s">
        <v>12</v>
      </c>
      <c r="F689">
        <f t="shared" si="10"/>
        <v>3.8073600000000001</v>
      </c>
      <c r="G689" t="s">
        <v>16</v>
      </c>
      <c r="J689" t="str">
        <f>"08/18/2014 23:45"</f>
        <v>08/18/2014 23:45</v>
      </c>
    </row>
    <row r="690" spans="1:10" x14ac:dyDescent="0.3">
      <c r="A690" t="s">
        <v>6</v>
      </c>
      <c r="B690" t="str">
        <f>"08/19/2014 00:00"</f>
        <v>08/19/2014 00:00</v>
      </c>
      <c r="C690">
        <v>1.92</v>
      </c>
      <c r="D690" t="s">
        <v>7</v>
      </c>
      <c r="E690" s="2" t="s">
        <v>12</v>
      </c>
      <c r="F690">
        <f t="shared" si="10"/>
        <v>3.8073600000000001</v>
      </c>
      <c r="G690" t="s">
        <v>16</v>
      </c>
      <c r="J690" t="str">
        <f>"08/19/2014 23:45"</f>
        <v>08/19/2014 23:45</v>
      </c>
    </row>
    <row r="691" spans="1:10" x14ac:dyDescent="0.3">
      <c r="A691" t="s">
        <v>6</v>
      </c>
      <c r="B691" t="str">
        <f>"08/20/2014 00:00"</f>
        <v>08/20/2014 00:00</v>
      </c>
      <c r="C691">
        <v>1.92</v>
      </c>
      <c r="D691" t="s">
        <v>7</v>
      </c>
      <c r="E691" s="2" t="s">
        <v>12</v>
      </c>
      <c r="F691">
        <f t="shared" si="10"/>
        <v>3.8073600000000001</v>
      </c>
      <c r="G691" t="s">
        <v>16</v>
      </c>
      <c r="J691" t="str">
        <f>"08/20/2014 23:45"</f>
        <v>08/20/2014 23:45</v>
      </c>
    </row>
    <row r="692" spans="1:10" x14ac:dyDescent="0.3">
      <c r="A692" t="s">
        <v>6</v>
      </c>
      <c r="B692" t="str">
        <f>"08/21/2014 00:00"</f>
        <v>08/21/2014 00:00</v>
      </c>
      <c r="C692">
        <v>1.92</v>
      </c>
      <c r="D692" t="s">
        <v>7</v>
      </c>
      <c r="E692" s="2" t="s">
        <v>12</v>
      </c>
      <c r="F692">
        <f t="shared" si="10"/>
        <v>3.8073600000000001</v>
      </c>
      <c r="G692" t="s">
        <v>16</v>
      </c>
      <c r="J692" t="str">
        <f>"08/21/2014 23:45"</f>
        <v>08/21/2014 23:45</v>
      </c>
    </row>
    <row r="693" spans="1:10" x14ac:dyDescent="0.3">
      <c r="A693" t="s">
        <v>6</v>
      </c>
      <c r="B693" t="str">
        <f>"08/22/2014 00:00"</f>
        <v>08/22/2014 00:00</v>
      </c>
      <c r="C693">
        <v>1.92</v>
      </c>
      <c r="D693" t="s">
        <v>7</v>
      </c>
      <c r="E693" s="2" t="s">
        <v>12</v>
      </c>
      <c r="F693">
        <f t="shared" si="10"/>
        <v>3.8073600000000001</v>
      </c>
      <c r="G693" t="s">
        <v>16</v>
      </c>
      <c r="J693" t="str">
        <f>"08/22/2014 23:45"</f>
        <v>08/22/2014 23:45</v>
      </c>
    </row>
    <row r="694" spans="1:10" x14ac:dyDescent="0.3">
      <c r="A694" t="s">
        <v>6</v>
      </c>
      <c r="B694" t="str">
        <f>"08/23/2014 00:00"</f>
        <v>08/23/2014 00:00</v>
      </c>
      <c r="C694">
        <v>1.92</v>
      </c>
      <c r="D694" t="s">
        <v>7</v>
      </c>
      <c r="E694" s="2" t="s">
        <v>12</v>
      </c>
      <c r="F694">
        <f t="shared" si="10"/>
        <v>3.8073600000000001</v>
      </c>
      <c r="G694" t="s">
        <v>16</v>
      </c>
      <c r="J694" t="str">
        <f>"08/23/2014 23:45"</f>
        <v>08/23/2014 23:45</v>
      </c>
    </row>
    <row r="695" spans="1:10" x14ac:dyDescent="0.3">
      <c r="A695" t="s">
        <v>6</v>
      </c>
      <c r="B695" t="str">
        <f>"08/24/2014 00:00"</f>
        <v>08/24/2014 00:00</v>
      </c>
      <c r="C695">
        <v>1.92</v>
      </c>
      <c r="D695" t="s">
        <v>7</v>
      </c>
      <c r="E695" s="2" t="s">
        <v>12</v>
      </c>
      <c r="F695">
        <f t="shared" si="10"/>
        <v>3.8073600000000001</v>
      </c>
      <c r="G695" t="s">
        <v>16</v>
      </c>
      <c r="J695" t="str">
        <f>"08/24/2014 23:45"</f>
        <v>08/24/2014 23:45</v>
      </c>
    </row>
    <row r="696" spans="1:10" x14ac:dyDescent="0.3">
      <c r="A696" t="s">
        <v>6</v>
      </c>
      <c r="B696" t="str">
        <f>"08/25/2014 00:00"</f>
        <v>08/25/2014 00:00</v>
      </c>
      <c r="C696">
        <v>1.92</v>
      </c>
      <c r="D696" t="s">
        <v>7</v>
      </c>
      <c r="E696" s="2" t="s">
        <v>12</v>
      </c>
      <c r="F696">
        <f t="shared" si="10"/>
        <v>3.8073600000000001</v>
      </c>
      <c r="G696" t="s">
        <v>16</v>
      </c>
      <c r="J696" t="str">
        <f>"08/25/2014 23:45"</f>
        <v>08/25/2014 23:45</v>
      </c>
    </row>
    <row r="697" spans="1:10" x14ac:dyDescent="0.3">
      <c r="A697" t="s">
        <v>6</v>
      </c>
      <c r="B697" t="str">
        <f>"08/26/2014 00:00"</f>
        <v>08/26/2014 00:00</v>
      </c>
      <c r="C697">
        <v>1.92</v>
      </c>
      <c r="D697" t="s">
        <v>7</v>
      </c>
      <c r="E697" s="2" t="s">
        <v>12</v>
      </c>
      <c r="F697">
        <f t="shared" si="10"/>
        <v>3.8073600000000001</v>
      </c>
      <c r="G697" t="s">
        <v>16</v>
      </c>
      <c r="J697" t="str">
        <f>"08/26/2014 23:45"</f>
        <v>08/26/2014 23:45</v>
      </c>
    </row>
    <row r="698" spans="1:10" x14ac:dyDescent="0.3">
      <c r="A698" t="s">
        <v>6</v>
      </c>
      <c r="B698" t="str">
        <f>"08/27/2014 00:00"</f>
        <v>08/27/2014 00:00</v>
      </c>
      <c r="C698">
        <v>1.92</v>
      </c>
      <c r="D698" t="s">
        <v>7</v>
      </c>
      <c r="E698" s="2" t="s">
        <v>12</v>
      </c>
      <c r="F698">
        <f t="shared" si="10"/>
        <v>3.8073600000000001</v>
      </c>
      <c r="G698" t="s">
        <v>16</v>
      </c>
      <c r="J698" t="str">
        <f>"08/27/2014 23:45"</f>
        <v>08/27/2014 23:45</v>
      </c>
    </row>
    <row r="699" spans="1:10" x14ac:dyDescent="0.3">
      <c r="A699" t="s">
        <v>6</v>
      </c>
      <c r="B699" t="str">
        <f>"08/28/2014 00:00"</f>
        <v>08/28/2014 00:00</v>
      </c>
      <c r="C699">
        <v>1.92</v>
      </c>
      <c r="D699" t="s">
        <v>7</v>
      </c>
      <c r="E699" s="2" t="s">
        <v>12</v>
      </c>
      <c r="F699">
        <f t="shared" si="10"/>
        <v>3.8073600000000001</v>
      </c>
      <c r="G699" t="s">
        <v>16</v>
      </c>
      <c r="J699" t="str">
        <f>"08/28/2014 23:45"</f>
        <v>08/28/2014 23:45</v>
      </c>
    </row>
    <row r="700" spans="1:10" x14ac:dyDescent="0.3">
      <c r="A700" t="s">
        <v>6</v>
      </c>
      <c r="B700" t="str">
        <f>"08/29/2014 00:00"</f>
        <v>08/29/2014 00:00</v>
      </c>
      <c r="C700">
        <v>1.92</v>
      </c>
      <c r="D700" t="s">
        <v>7</v>
      </c>
      <c r="E700" s="2" t="s">
        <v>12</v>
      </c>
      <c r="F700">
        <f t="shared" si="10"/>
        <v>3.8073600000000001</v>
      </c>
      <c r="G700" t="s">
        <v>16</v>
      </c>
      <c r="J700" t="str">
        <f>"08/29/2014 23:45"</f>
        <v>08/29/2014 23:45</v>
      </c>
    </row>
    <row r="701" spans="1:10" x14ac:dyDescent="0.3">
      <c r="A701" t="s">
        <v>6</v>
      </c>
      <c r="B701" t="str">
        <f>"08/30/2014 00:00"</f>
        <v>08/30/2014 00:00</v>
      </c>
      <c r="C701">
        <v>1.92</v>
      </c>
      <c r="D701" t="s">
        <v>7</v>
      </c>
      <c r="E701" s="2" t="s">
        <v>12</v>
      </c>
      <c r="F701">
        <f t="shared" si="10"/>
        <v>3.8073600000000001</v>
      </c>
      <c r="G701" t="s">
        <v>16</v>
      </c>
      <c r="J701" t="str">
        <f>"08/30/2014 23:45"</f>
        <v>08/30/2014 23:45</v>
      </c>
    </row>
    <row r="702" spans="1:10" x14ac:dyDescent="0.3">
      <c r="A702" t="s">
        <v>6</v>
      </c>
      <c r="B702" t="str">
        <f>"08/31/2014 00:00"</f>
        <v>08/31/2014 00:00</v>
      </c>
      <c r="C702">
        <v>1.7</v>
      </c>
      <c r="D702" t="s">
        <v>7</v>
      </c>
      <c r="E702" s="2" t="s">
        <v>12</v>
      </c>
      <c r="F702">
        <f t="shared" si="10"/>
        <v>3.3711000000000002</v>
      </c>
      <c r="G702" t="s">
        <v>16</v>
      </c>
      <c r="J702" t="str">
        <f>"08/31/2014 23:45"</f>
        <v>08/31/2014 23:45</v>
      </c>
    </row>
    <row r="703" spans="1:10" x14ac:dyDescent="0.3">
      <c r="A703" t="s">
        <v>6</v>
      </c>
      <c r="B703" t="str">
        <f>"09/01/2014 00:00"</f>
        <v>09/01/2014 00:00</v>
      </c>
      <c r="C703">
        <v>1.62</v>
      </c>
      <c r="D703" t="s">
        <v>7</v>
      </c>
      <c r="E703" s="2" t="s">
        <v>12</v>
      </c>
      <c r="F703">
        <f t="shared" si="10"/>
        <v>3.2124600000000005</v>
      </c>
      <c r="G703" t="s">
        <v>16</v>
      </c>
      <c r="J703" t="str">
        <f>"09/01/2014 23:45"</f>
        <v>09/01/2014 23:45</v>
      </c>
    </row>
    <row r="704" spans="1:10" x14ac:dyDescent="0.3">
      <c r="A704" t="s">
        <v>6</v>
      </c>
      <c r="B704" t="str">
        <f>"09/02/2014 00:00"</f>
        <v>09/02/2014 00:00</v>
      </c>
      <c r="C704">
        <v>1.62</v>
      </c>
      <c r="D704" t="s">
        <v>7</v>
      </c>
      <c r="E704" s="2" t="s">
        <v>12</v>
      </c>
      <c r="F704">
        <f t="shared" si="10"/>
        <v>3.2124600000000005</v>
      </c>
      <c r="G704" t="s">
        <v>16</v>
      </c>
      <c r="J704" t="str">
        <f>"09/02/2014 23:45"</f>
        <v>09/02/2014 23:45</v>
      </c>
    </row>
    <row r="705" spans="1:10" x14ac:dyDescent="0.3">
      <c r="A705" t="s">
        <v>6</v>
      </c>
      <c r="B705" t="str">
        <f>"09/03/2014 00:00"</f>
        <v>09/03/2014 00:00</v>
      </c>
      <c r="C705">
        <v>51.4</v>
      </c>
      <c r="D705" t="s">
        <v>7</v>
      </c>
      <c r="E705" s="2" t="s">
        <v>12</v>
      </c>
      <c r="F705">
        <f t="shared" si="10"/>
        <v>101.92620000000001</v>
      </c>
      <c r="G705" t="s">
        <v>16</v>
      </c>
      <c r="J705" t="str">
        <f>"09/03/2014 23:45"</f>
        <v>09/03/2014 23:45</v>
      </c>
    </row>
    <row r="706" spans="1:10" x14ac:dyDescent="0.3">
      <c r="A706" t="s">
        <v>6</v>
      </c>
      <c r="B706" t="str">
        <f>"09/04/2014 00:00"</f>
        <v>09/04/2014 00:00</v>
      </c>
      <c r="C706">
        <v>99.1</v>
      </c>
      <c r="D706" t="s">
        <v>7</v>
      </c>
      <c r="E706" s="2" t="s">
        <v>12</v>
      </c>
      <c r="F706">
        <f t="shared" si="10"/>
        <v>196.5153</v>
      </c>
      <c r="G706" t="s">
        <v>16</v>
      </c>
      <c r="J706" t="str">
        <f>"09/04/2014 23:45"</f>
        <v>09/04/2014 23:45</v>
      </c>
    </row>
    <row r="707" spans="1:10" x14ac:dyDescent="0.3">
      <c r="A707" t="s">
        <v>6</v>
      </c>
      <c r="B707" t="str">
        <f>"09/05/2014 00:00"</f>
        <v>09/05/2014 00:00</v>
      </c>
      <c r="C707">
        <v>79.400000000000006</v>
      </c>
      <c r="D707" t="s">
        <v>7</v>
      </c>
      <c r="E707" s="2" t="s">
        <v>12</v>
      </c>
      <c r="F707">
        <f t="shared" si="10"/>
        <v>157.45020000000002</v>
      </c>
      <c r="G707" t="s">
        <v>16</v>
      </c>
      <c r="J707" t="str">
        <f>"09/05/2014 23:45"</f>
        <v>09/05/2014 23:45</v>
      </c>
    </row>
    <row r="708" spans="1:10" x14ac:dyDescent="0.3">
      <c r="A708" t="s">
        <v>6</v>
      </c>
      <c r="B708" t="str">
        <f>"09/06/2014 00:00"</f>
        <v>09/06/2014 00:00</v>
      </c>
      <c r="C708">
        <v>50</v>
      </c>
      <c r="D708" t="s">
        <v>7</v>
      </c>
      <c r="E708" s="2" t="s">
        <v>12</v>
      </c>
      <c r="F708">
        <f t="shared" ref="F708:F772" si="11">C708*1.983</f>
        <v>99.15</v>
      </c>
      <c r="G708" t="s">
        <v>16</v>
      </c>
      <c r="J708" t="str">
        <f>"09/06/2014 23:45"</f>
        <v>09/06/2014 23:45</v>
      </c>
    </row>
    <row r="709" spans="1:10" x14ac:dyDescent="0.3">
      <c r="A709" t="s">
        <v>6</v>
      </c>
      <c r="B709" t="str">
        <f>"09/07/2014 00:00"</f>
        <v>09/07/2014 00:00</v>
      </c>
      <c r="C709">
        <v>36.4</v>
      </c>
      <c r="D709" t="s">
        <v>7</v>
      </c>
      <c r="E709" s="2" t="s">
        <v>12</v>
      </c>
      <c r="F709">
        <f t="shared" si="11"/>
        <v>72.181200000000004</v>
      </c>
      <c r="G709" t="s">
        <v>16</v>
      </c>
      <c r="J709" t="str">
        <f>"09/07/2014 23:45"</f>
        <v>09/07/2014 23:45</v>
      </c>
    </row>
    <row r="710" spans="1:10" x14ac:dyDescent="0.3">
      <c r="A710" t="s">
        <v>6</v>
      </c>
      <c r="B710" t="str">
        <f>"09/08/2014 00:00"</f>
        <v>09/08/2014 00:00</v>
      </c>
      <c r="C710">
        <v>25.5</v>
      </c>
      <c r="D710" t="s">
        <v>7</v>
      </c>
      <c r="E710" s="2" t="s">
        <v>12</v>
      </c>
      <c r="F710">
        <f t="shared" si="11"/>
        <v>50.566500000000005</v>
      </c>
      <c r="G710" t="s">
        <v>16</v>
      </c>
      <c r="J710" t="str">
        <f>"09/08/2014 23:45"</f>
        <v>09/08/2014 23:45</v>
      </c>
    </row>
    <row r="711" spans="1:10" x14ac:dyDescent="0.3">
      <c r="A711" t="s">
        <v>6</v>
      </c>
      <c r="B711" t="str">
        <f>"09/09/2014 00:00"</f>
        <v>09/09/2014 00:00</v>
      </c>
      <c r="C711">
        <v>77.3</v>
      </c>
      <c r="D711" t="s">
        <v>7</v>
      </c>
      <c r="E711" s="2" t="s">
        <v>12</v>
      </c>
      <c r="F711">
        <f t="shared" si="11"/>
        <v>153.2859</v>
      </c>
      <c r="G711" t="s">
        <v>16</v>
      </c>
      <c r="J711" t="str">
        <f>"09/09/2014 23:45"</f>
        <v>09/09/2014 23:45</v>
      </c>
    </row>
    <row r="712" spans="1:10" x14ac:dyDescent="0.3">
      <c r="A712" t="s">
        <v>6</v>
      </c>
      <c r="B712" t="str">
        <f>"09/10/2014 00:00"</f>
        <v>09/10/2014 00:00</v>
      </c>
      <c r="C712">
        <v>123</v>
      </c>
      <c r="D712" t="s">
        <v>7</v>
      </c>
      <c r="E712" s="2" t="s">
        <v>12</v>
      </c>
      <c r="F712">
        <f t="shared" si="11"/>
        <v>243.90900000000002</v>
      </c>
      <c r="G712" t="s">
        <v>16</v>
      </c>
      <c r="J712" t="str">
        <f>"09/10/2014 23:45"</f>
        <v>09/10/2014 23:45</v>
      </c>
    </row>
    <row r="713" spans="1:10" x14ac:dyDescent="0.3">
      <c r="A713" t="s">
        <v>6</v>
      </c>
      <c r="B713" t="str">
        <f>"09/11/2014 00:00"</f>
        <v>09/11/2014 00:00</v>
      </c>
      <c r="C713">
        <v>110</v>
      </c>
      <c r="D713" t="s">
        <v>7</v>
      </c>
      <c r="E713" s="2" t="s">
        <v>12</v>
      </c>
      <c r="F713">
        <f t="shared" si="11"/>
        <v>218.13000000000002</v>
      </c>
      <c r="G713" t="s">
        <v>16</v>
      </c>
      <c r="J713" t="str">
        <f>"09/11/2014 23:45"</f>
        <v>09/11/2014 23:45</v>
      </c>
    </row>
    <row r="714" spans="1:10" x14ac:dyDescent="0.3">
      <c r="A714" t="s">
        <v>6</v>
      </c>
      <c r="B714" t="str">
        <f>"09/12/2014 00:00"</f>
        <v>09/12/2014 00:00</v>
      </c>
      <c r="C714">
        <v>94.4</v>
      </c>
      <c r="D714" t="s">
        <v>7</v>
      </c>
      <c r="E714" s="2" t="s">
        <v>12</v>
      </c>
      <c r="F714">
        <f t="shared" si="11"/>
        <v>187.19520000000003</v>
      </c>
      <c r="G714" t="s">
        <v>16</v>
      </c>
      <c r="J714" t="str">
        <f>"09/12/2014 23:45"</f>
        <v>09/12/2014 23:45</v>
      </c>
    </row>
    <row r="715" spans="1:10" x14ac:dyDescent="0.3">
      <c r="A715" t="s">
        <v>6</v>
      </c>
      <c r="B715" t="str">
        <f>"09/13/2014 00:00"</f>
        <v>09/13/2014 00:00</v>
      </c>
      <c r="C715">
        <v>117</v>
      </c>
      <c r="D715" t="s">
        <v>7</v>
      </c>
      <c r="E715" s="2" t="s">
        <v>12</v>
      </c>
      <c r="F715">
        <f t="shared" si="11"/>
        <v>232.01100000000002</v>
      </c>
      <c r="G715" t="s">
        <v>16</v>
      </c>
      <c r="J715" t="str">
        <f>"09/13/2014 23:45"</f>
        <v>09/13/2014 23:45</v>
      </c>
    </row>
    <row r="716" spans="1:10" x14ac:dyDescent="0.3">
      <c r="A716" t="s">
        <v>6</v>
      </c>
      <c r="B716" t="str">
        <f>"09/14/2014 00:00"</f>
        <v>09/14/2014 00:00</v>
      </c>
      <c r="C716">
        <v>125</v>
      </c>
      <c r="D716" t="s">
        <v>7</v>
      </c>
      <c r="E716" s="2" t="s">
        <v>12</v>
      </c>
      <c r="F716">
        <f t="shared" si="11"/>
        <v>247.875</v>
      </c>
      <c r="G716" t="s">
        <v>16</v>
      </c>
      <c r="J716" t="str">
        <f>"09/14/2014 23:45"</f>
        <v>09/14/2014 23:45</v>
      </c>
    </row>
    <row r="717" spans="1:10" x14ac:dyDescent="0.3">
      <c r="A717" t="s">
        <v>6</v>
      </c>
      <c r="B717" t="str">
        <f>"09/15/2014 00:00"</f>
        <v>09/15/2014 00:00</v>
      </c>
      <c r="C717">
        <v>157</v>
      </c>
      <c r="D717" t="s">
        <v>7</v>
      </c>
      <c r="E717" s="2" t="s">
        <v>12</v>
      </c>
      <c r="F717">
        <f t="shared" si="11"/>
        <v>311.33100000000002</v>
      </c>
      <c r="G717" t="s">
        <v>16</v>
      </c>
      <c r="J717" t="str">
        <f>"09/15/2014 23:45"</f>
        <v>09/15/2014 23:45</v>
      </c>
    </row>
    <row r="718" spans="1:10" x14ac:dyDescent="0.3">
      <c r="A718" t="s">
        <v>6</v>
      </c>
      <c r="B718" t="str">
        <f>"09/16/2014 00:00"</f>
        <v>09/16/2014 00:00</v>
      </c>
      <c r="C718">
        <v>241</v>
      </c>
      <c r="D718" t="s">
        <v>7</v>
      </c>
      <c r="E718" s="2" t="s">
        <v>12</v>
      </c>
      <c r="F718">
        <f t="shared" si="11"/>
        <v>477.90300000000002</v>
      </c>
      <c r="G718" t="s">
        <v>16</v>
      </c>
      <c r="J718" t="str">
        <f>"09/16/2014 23:45"</f>
        <v>09/16/2014 23:45</v>
      </c>
    </row>
    <row r="719" spans="1:10" x14ac:dyDescent="0.3">
      <c r="A719" t="s">
        <v>6</v>
      </c>
      <c r="B719" t="str">
        <f>"09/17/2014 00:00"</f>
        <v>09/17/2014 00:00</v>
      </c>
      <c r="C719">
        <v>284</v>
      </c>
      <c r="D719" t="s">
        <v>7</v>
      </c>
      <c r="E719" s="2" t="s">
        <v>12</v>
      </c>
      <c r="F719">
        <f t="shared" si="11"/>
        <v>563.17200000000003</v>
      </c>
      <c r="G719" t="s">
        <v>16</v>
      </c>
      <c r="J719" t="str">
        <f>"09/17/2014 23:45"</f>
        <v>09/17/2014 23:45</v>
      </c>
    </row>
    <row r="720" spans="1:10" x14ac:dyDescent="0.3">
      <c r="A720" t="s">
        <v>6</v>
      </c>
      <c r="B720" t="str">
        <f>"09/18/2014 00:00"</f>
        <v>09/18/2014 00:00</v>
      </c>
      <c r="C720">
        <v>316</v>
      </c>
      <c r="D720" t="s">
        <v>7</v>
      </c>
      <c r="E720" s="2" t="s">
        <v>12</v>
      </c>
      <c r="F720">
        <f t="shared" si="11"/>
        <v>626.62800000000004</v>
      </c>
      <c r="G720" t="s">
        <v>16</v>
      </c>
      <c r="J720" t="str">
        <f>"09/18/2014 23:45"</f>
        <v>09/18/2014 23:45</v>
      </c>
    </row>
    <row r="721" spans="1:10" x14ac:dyDescent="0.3">
      <c r="A721" t="s">
        <v>6</v>
      </c>
      <c r="B721" t="str">
        <f>"09/19/2014 00:00"</f>
        <v>09/19/2014 00:00</v>
      </c>
      <c r="C721">
        <v>337</v>
      </c>
      <c r="D721" t="s">
        <v>7</v>
      </c>
      <c r="E721" s="2" t="s">
        <v>12</v>
      </c>
      <c r="F721">
        <f t="shared" si="11"/>
        <v>668.27100000000007</v>
      </c>
      <c r="G721" t="s">
        <v>16</v>
      </c>
      <c r="J721" t="str">
        <f>"09/19/2014 23:45"</f>
        <v>09/19/2014 23:45</v>
      </c>
    </row>
    <row r="722" spans="1:10" x14ac:dyDescent="0.3">
      <c r="A722" t="s">
        <v>6</v>
      </c>
      <c r="B722" t="str">
        <f>"09/20/2014 00:00"</f>
        <v>09/20/2014 00:00</v>
      </c>
      <c r="C722">
        <v>337</v>
      </c>
      <c r="D722" t="s">
        <v>7</v>
      </c>
      <c r="E722" s="2" t="s">
        <v>12</v>
      </c>
      <c r="F722">
        <f t="shared" si="11"/>
        <v>668.27100000000007</v>
      </c>
      <c r="G722" t="s">
        <v>16</v>
      </c>
      <c r="J722" t="str">
        <f>"09/20/2014 23:45"</f>
        <v>09/20/2014 23:45</v>
      </c>
    </row>
    <row r="723" spans="1:10" x14ac:dyDescent="0.3">
      <c r="A723" t="s">
        <v>6</v>
      </c>
      <c r="B723" t="str">
        <f>"09/21/2014 00:00"</f>
        <v>09/21/2014 00:00</v>
      </c>
      <c r="C723">
        <v>312</v>
      </c>
      <c r="D723" t="s">
        <v>7</v>
      </c>
      <c r="E723" s="2" t="s">
        <v>12</v>
      </c>
      <c r="F723">
        <f t="shared" si="11"/>
        <v>618.69600000000003</v>
      </c>
      <c r="G723" t="s">
        <v>16</v>
      </c>
      <c r="J723" t="str">
        <f>"09/21/2014 23:45"</f>
        <v>09/21/2014 23:45</v>
      </c>
    </row>
    <row r="724" spans="1:10" x14ac:dyDescent="0.3">
      <c r="A724" t="s">
        <v>6</v>
      </c>
      <c r="B724" t="str">
        <f>"09/22/2014 00:00"</f>
        <v>09/22/2014 00:00</v>
      </c>
      <c r="C724">
        <v>218</v>
      </c>
      <c r="D724" t="s">
        <v>7</v>
      </c>
      <c r="E724" s="2" t="s">
        <v>12</v>
      </c>
      <c r="F724">
        <f t="shared" si="11"/>
        <v>432.29400000000004</v>
      </c>
      <c r="G724" t="s">
        <v>16</v>
      </c>
      <c r="J724" t="str">
        <f>"09/22/2014 23:45"</f>
        <v>09/22/2014 23:45</v>
      </c>
    </row>
    <row r="725" spans="1:10" x14ac:dyDescent="0.3">
      <c r="A725" t="s">
        <v>6</v>
      </c>
      <c r="B725" t="str">
        <f>"09/23/2014 00:00"</f>
        <v>09/23/2014 00:00</v>
      </c>
      <c r="C725">
        <v>112</v>
      </c>
      <c r="D725" t="s">
        <v>7</v>
      </c>
      <c r="E725" s="2" t="s">
        <v>12</v>
      </c>
      <c r="F725">
        <f t="shared" si="11"/>
        <v>222.096</v>
      </c>
      <c r="G725" t="s">
        <v>16</v>
      </c>
      <c r="J725" t="str">
        <f>"09/23/2014 23:45"</f>
        <v>09/23/2014 23:45</v>
      </c>
    </row>
    <row r="726" spans="1:10" x14ac:dyDescent="0.3">
      <c r="A726" t="s">
        <v>6</v>
      </c>
      <c r="B726" t="str">
        <f>"09/24/2014 00:00"</f>
        <v>09/24/2014 00:00</v>
      </c>
      <c r="C726">
        <v>175</v>
      </c>
      <c r="D726" t="s">
        <v>7</v>
      </c>
      <c r="E726" s="2" t="s">
        <v>12</v>
      </c>
      <c r="F726">
        <f t="shared" si="11"/>
        <v>347.02500000000003</v>
      </c>
      <c r="G726" t="s">
        <v>16</v>
      </c>
      <c r="J726" t="str">
        <f>"09/24/2014 23:45"</f>
        <v>09/24/2014 23:45</v>
      </c>
    </row>
    <row r="727" spans="1:10" x14ac:dyDescent="0.3">
      <c r="A727" t="s">
        <v>6</v>
      </c>
      <c r="B727" t="str">
        <f>"09/25/2014 00:00"</f>
        <v>09/25/2014 00:00</v>
      </c>
      <c r="C727">
        <v>241</v>
      </c>
      <c r="D727" t="s">
        <v>7</v>
      </c>
      <c r="E727" s="2" t="s">
        <v>12</v>
      </c>
      <c r="F727">
        <f t="shared" si="11"/>
        <v>477.90300000000002</v>
      </c>
      <c r="G727" t="s">
        <v>16</v>
      </c>
      <c r="J727" t="str">
        <f>"09/25/2014 23:45"</f>
        <v>09/25/2014 23:45</v>
      </c>
    </row>
    <row r="728" spans="1:10" x14ac:dyDescent="0.3">
      <c r="A728" t="s">
        <v>6</v>
      </c>
      <c r="B728" t="str">
        <f>"09/26/2014 00:00"</f>
        <v>09/26/2014 00:00</v>
      </c>
      <c r="C728">
        <v>266</v>
      </c>
      <c r="D728" t="s">
        <v>7</v>
      </c>
      <c r="E728" s="2" t="s">
        <v>12</v>
      </c>
      <c r="F728">
        <f t="shared" si="11"/>
        <v>527.47800000000007</v>
      </c>
      <c r="G728" t="s">
        <v>16</v>
      </c>
      <c r="J728" t="str">
        <f>"09/26/2014 23:45"</f>
        <v>09/26/2014 23:45</v>
      </c>
    </row>
    <row r="729" spans="1:10" x14ac:dyDescent="0.3">
      <c r="A729" t="s">
        <v>6</v>
      </c>
      <c r="B729" t="str">
        <f>"09/27/2014 00:00"</f>
        <v>09/27/2014 00:00</v>
      </c>
      <c r="C729">
        <v>307</v>
      </c>
      <c r="D729" t="s">
        <v>7</v>
      </c>
      <c r="E729" s="2" t="s">
        <v>12</v>
      </c>
      <c r="F729">
        <f t="shared" si="11"/>
        <v>608.78100000000006</v>
      </c>
      <c r="G729" t="s">
        <v>16</v>
      </c>
      <c r="J729" t="str">
        <f>"09/27/2014 23:45"</f>
        <v>09/27/2014 23:45</v>
      </c>
    </row>
    <row r="730" spans="1:10" x14ac:dyDescent="0.3">
      <c r="A730" t="s">
        <v>6</v>
      </c>
      <c r="B730" t="str">
        <f>"09/28/2014 00:00"</f>
        <v>09/28/2014 00:00</v>
      </c>
      <c r="C730">
        <v>325</v>
      </c>
      <c r="D730" t="s">
        <v>7</v>
      </c>
      <c r="E730" s="2" t="s">
        <v>12</v>
      </c>
      <c r="F730">
        <f t="shared" si="11"/>
        <v>644.47500000000002</v>
      </c>
      <c r="G730" t="s">
        <v>16</v>
      </c>
      <c r="J730" t="str">
        <f>"09/28/2014 23:45"</f>
        <v>09/28/2014 23:45</v>
      </c>
    </row>
    <row r="731" spans="1:10" x14ac:dyDescent="0.3">
      <c r="A731" t="s">
        <v>6</v>
      </c>
      <c r="B731" t="str">
        <f>"09/29/2014 00:00"</f>
        <v>09/29/2014 00:00</v>
      </c>
      <c r="C731">
        <v>233</v>
      </c>
      <c r="D731" t="s">
        <v>7</v>
      </c>
      <c r="E731" s="2" t="s">
        <v>12</v>
      </c>
      <c r="F731">
        <f t="shared" si="11"/>
        <v>462.03900000000004</v>
      </c>
      <c r="G731" t="s">
        <v>16</v>
      </c>
      <c r="J731" t="str">
        <f>"09/29/2014 23:45"</f>
        <v>09/29/2014 23:45</v>
      </c>
    </row>
    <row r="732" spans="1:10" x14ac:dyDescent="0.3">
      <c r="A732" t="s">
        <v>6</v>
      </c>
      <c r="B732" t="str">
        <f>"09/30/2014 00:00"</f>
        <v>09/30/2014 00:00</v>
      </c>
      <c r="C732">
        <v>127</v>
      </c>
      <c r="D732" t="s">
        <v>7</v>
      </c>
      <c r="E732" s="2" t="s">
        <v>12</v>
      </c>
      <c r="F732">
        <f t="shared" si="11"/>
        <v>251.84100000000001</v>
      </c>
      <c r="G732" t="s">
        <v>16</v>
      </c>
      <c r="J732" t="str">
        <f>"09/30/2014 23:45"</f>
        <v>09/30/2014 23:45</v>
      </c>
    </row>
    <row r="733" spans="1:10" s="4" customFormat="1" x14ac:dyDescent="0.3">
      <c r="B733" s="4" t="s">
        <v>26</v>
      </c>
      <c r="E733" s="2" t="s">
        <v>12</v>
      </c>
      <c r="F733" s="5">
        <f>SUM(F368:F732)</f>
        <v>14640.568320000006</v>
      </c>
      <c r="G733" s="4" t="s">
        <v>19</v>
      </c>
    </row>
    <row r="734" spans="1:10" x14ac:dyDescent="0.3">
      <c r="A734" t="s">
        <v>6</v>
      </c>
      <c r="B734" t="str">
        <f>"10/01/2014 00:00"</f>
        <v>10/01/2014 00:00</v>
      </c>
      <c r="C734">
        <v>38.799999999999997</v>
      </c>
      <c r="D734" t="s">
        <v>7</v>
      </c>
      <c r="E734" s="2" t="s">
        <v>12</v>
      </c>
      <c r="F734">
        <f t="shared" si="11"/>
        <v>76.940399999999997</v>
      </c>
      <c r="G734" t="s">
        <v>16</v>
      </c>
      <c r="J734" t="str">
        <f>"10/01/2014 23:45"</f>
        <v>10/01/2014 23:45</v>
      </c>
    </row>
    <row r="735" spans="1:10" x14ac:dyDescent="0.3">
      <c r="A735" t="s">
        <v>6</v>
      </c>
      <c r="B735" t="str">
        <f>"10/02/2014 00:00"</f>
        <v>10/02/2014 00:00</v>
      </c>
      <c r="C735">
        <v>2.56</v>
      </c>
      <c r="D735" t="s">
        <v>7</v>
      </c>
      <c r="E735" s="2" t="s">
        <v>12</v>
      </c>
      <c r="F735">
        <f t="shared" si="11"/>
        <v>5.0764800000000001</v>
      </c>
      <c r="G735" t="s">
        <v>16</v>
      </c>
      <c r="J735" t="str">
        <f>"10/02/2014 23:45"</f>
        <v>10/02/2014 23:45</v>
      </c>
    </row>
    <row r="736" spans="1:10" x14ac:dyDescent="0.3">
      <c r="A736" t="s">
        <v>6</v>
      </c>
      <c r="B736" t="str">
        <f>"10/03/2014 00:00"</f>
        <v>10/03/2014 00:00</v>
      </c>
      <c r="C736">
        <v>2.56</v>
      </c>
      <c r="D736" t="s">
        <v>7</v>
      </c>
      <c r="E736" s="2" t="s">
        <v>12</v>
      </c>
      <c r="F736">
        <f t="shared" si="11"/>
        <v>5.0764800000000001</v>
      </c>
      <c r="G736" t="s">
        <v>16</v>
      </c>
      <c r="J736" t="str">
        <f>"10/03/2014 23:45"</f>
        <v>10/03/2014 23:45</v>
      </c>
    </row>
    <row r="737" spans="1:10" x14ac:dyDescent="0.3">
      <c r="A737" t="s">
        <v>6</v>
      </c>
      <c r="B737" t="str">
        <f>"10/04/2014 00:00"</f>
        <v>10/04/2014 00:00</v>
      </c>
      <c r="C737">
        <v>2.56</v>
      </c>
      <c r="D737" t="s">
        <v>7</v>
      </c>
      <c r="E737" s="2" t="s">
        <v>12</v>
      </c>
      <c r="F737">
        <f t="shared" si="11"/>
        <v>5.0764800000000001</v>
      </c>
      <c r="G737" t="s">
        <v>16</v>
      </c>
      <c r="J737" t="str">
        <f>"10/04/2014 23:45"</f>
        <v>10/04/2014 23:45</v>
      </c>
    </row>
    <row r="738" spans="1:10" x14ac:dyDescent="0.3">
      <c r="A738" t="s">
        <v>6</v>
      </c>
      <c r="B738" t="str">
        <f>"10/05/2014 00:00"</f>
        <v>10/05/2014 00:00</v>
      </c>
      <c r="C738">
        <v>2.56</v>
      </c>
      <c r="D738" t="s">
        <v>7</v>
      </c>
      <c r="E738" s="2" t="s">
        <v>12</v>
      </c>
      <c r="F738">
        <f t="shared" si="11"/>
        <v>5.0764800000000001</v>
      </c>
      <c r="G738" t="s">
        <v>16</v>
      </c>
      <c r="J738" t="str">
        <f>"10/05/2014 23:45"</f>
        <v>10/05/2014 23:45</v>
      </c>
    </row>
    <row r="739" spans="1:10" x14ac:dyDescent="0.3">
      <c r="A739" t="s">
        <v>6</v>
      </c>
      <c r="B739" t="str">
        <f>"10/06/2014 00:00"</f>
        <v>10/06/2014 00:00</v>
      </c>
      <c r="C739">
        <v>2.56</v>
      </c>
      <c r="D739" t="s">
        <v>7</v>
      </c>
      <c r="E739" s="2" t="s">
        <v>12</v>
      </c>
      <c r="F739">
        <f t="shared" si="11"/>
        <v>5.0764800000000001</v>
      </c>
      <c r="G739" t="s">
        <v>16</v>
      </c>
      <c r="J739" t="str">
        <f>"10/06/2014 23:45"</f>
        <v>10/06/2014 23:45</v>
      </c>
    </row>
    <row r="740" spans="1:10" x14ac:dyDescent="0.3">
      <c r="A740" t="s">
        <v>6</v>
      </c>
      <c r="B740" t="str">
        <f>"10/07/2014 00:00"</f>
        <v>10/07/2014 00:00</v>
      </c>
      <c r="C740">
        <v>2.4300000000000002</v>
      </c>
      <c r="D740" t="s">
        <v>7</v>
      </c>
      <c r="E740" s="2" t="s">
        <v>12</v>
      </c>
      <c r="F740">
        <f t="shared" si="11"/>
        <v>4.8186900000000001</v>
      </c>
      <c r="G740" t="s">
        <v>16</v>
      </c>
      <c r="J740" t="str">
        <f>"10/07/2014 23:45"</f>
        <v>10/07/2014 23:45</v>
      </c>
    </row>
    <row r="741" spans="1:10" x14ac:dyDescent="0.3">
      <c r="A741" t="s">
        <v>6</v>
      </c>
      <c r="B741" t="str">
        <f>"10/08/2014 00:00"</f>
        <v>10/08/2014 00:00</v>
      </c>
      <c r="C741">
        <v>2.2599999999999998</v>
      </c>
      <c r="D741" t="s">
        <v>7</v>
      </c>
      <c r="E741" s="2" t="s">
        <v>12</v>
      </c>
      <c r="F741">
        <f t="shared" si="11"/>
        <v>4.4815800000000001</v>
      </c>
      <c r="G741" t="s">
        <v>16</v>
      </c>
      <c r="J741" t="str">
        <f>"10/08/2014 23:45"</f>
        <v>10/08/2014 23:45</v>
      </c>
    </row>
    <row r="742" spans="1:10" x14ac:dyDescent="0.3">
      <c r="A742" t="s">
        <v>6</v>
      </c>
      <c r="B742" t="str">
        <f>"10/09/2014 00:00"</f>
        <v>10/09/2014 00:00</v>
      </c>
      <c r="C742">
        <v>2.23</v>
      </c>
      <c r="D742" t="s">
        <v>7</v>
      </c>
      <c r="E742" s="2" t="s">
        <v>12</v>
      </c>
      <c r="F742">
        <f t="shared" si="11"/>
        <v>4.4220899999999999</v>
      </c>
      <c r="G742" t="s">
        <v>16</v>
      </c>
      <c r="J742" t="str">
        <f>"10/09/2014 23:45"</f>
        <v>10/09/2014 23:45</v>
      </c>
    </row>
    <row r="743" spans="1:10" x14ac:dyDescent="0.3">
      <c r="A743" t="s">
        <v>6</v>
      </c>
      <c r="B743" t="str">
        <f>"10/10/2014 00:00"</f>
        <v>10/10/2014 00:00</v>
      </c>
      <c r="C743">
        <v>2.23</v>
      </c>
      <c r="D743" t="s">
        <v>7</v>
      </c>
      <c r="E743" s="2" t="s">
        <v>12</v>
      </c>
      <c r="F743">
        <f t="shared" si="11"/>
        <v>4.4220899999999999</v>
      </c>
      <c r="G743" t="s">
        <v>16</v>
      </c>
      <c r="J743" t="str">
        <f>"10/10/2014 23:45"</f>
        <v>10/10/2014 23:45</v>
      </c>
    </row>
    <row r="744" spans="1:10" x14ac:dyDescent="0.3">
      <c r="A744" t="s">
        <v>6</v>
      </c>
      <c r="B744" t="str">
        <f>"10/11/2014 00:00"</f>
        <v>10/11/2014 00:00</v>
      </c>
      <c r="C744">
        <v>2.23</v>
      </c>
      <c r="D744" t="s">
        <v>7</v>
      </c>
      <c r="E744" s="2" t="s">
        <v>12</v>
      </c>
      <c r="F744">
        <f t="shared" si="11"/>
        <v>4.4220899999999999</v>
      </c>
      <c r="G744" t="s">
        <v>16</v>
      </c>
      <c r="J744" t="str">
        <f>"10/11/2014 23:45"</f>
        <v>10/11/2014 23:45</v>
      </c>
    </row>
    <row r="745" spans="1:10" x14ac:dyDescent="0.3">
      <c r="A745" t="s">
        <v>6</v>
      </c>
      <c r="B745" t="str">
        <f>"10/12/2014 00:00"</f>
        <v>10/12/2014 00:00</v>
      </c>
      <c r="C745">
        <v>2.23</v>
      </c>
      <c r="D745" t="s">
        <v>7</v>
      </c>
      <c r="E745" s="2" t="s">
        <v>12</v>
      </c>
      <c r="F745">
        <f t="shared" si="11"/>
        <v>4.4220899999999999</v>
      </c>
      <c r="G745" t="s">
        <v>16</v>
      </c>
      <c r="J745" t="str">
        <f>"10/12/2014 23:45"</f>
        <v>10/12/2014 23:45</v>
      </c>
    </row>
    <row r="746" spans="1:10" x14ac:dyDescent="0.3">
      <c r="A746" t="s">
        <v>6</v>
      </c>
      <c r="B746" t="str">
        <f>"10/13/2014 00:00"</f>
        <v>10/13/2014 00:00</v>
      </c>
      <c r="C746">
        <v>2.23</v>
      </c>
      <c r="D746" t="s">
        <v>7</v>
      </c>
      <c r="E746" s="2" t="s">
        <v>12</v>
      </c>
      <c r="F746">
        <f t="shared" si="11"/>
        <v>4.4220899999999999</v>
      </c>
      <c r="G746" t="s">
        <v>16</v>
      </c>
      <c r="J746" t="str">
        <f>"10/13/2014 23:45"</f>
        <v>10/13/2014 23:45</v>
      </c>
    </row>
    <row r="747" spans="1:10" x14ac:dyDescent="0.3">
      <c r="A747" t="s">
        <v>6</v>
      </c>
      <c r="B747" t="str">
        <f>"10/14/2014 00:00"</f>
        <v>10/14/2014 00:00</v>
      </c>
      <c r="C747">
        <v>2.23</v>
      </c>
      <c r="D747" t="s">
        <v>7</v>
      </c>
      <c r="E747" s="2" t="s">
        <v>12</v>
      </c>
      <c r="F747">
        <f t="shared" si="11"/>
        <v>4.4220899999999999</v>
      </c>
      <c r="G747" t="s">
        <v>16</v>
      </c>
      <c r="J747" t="str">
        <f>"10/14/2014 23:45"</f>
        <v>10/14/2014 23:45</v>
      </c>
    </row>
    <row r="748" spans="1:10" x14ac:dyDescent="0.3">
      <c r="A748" t="s">
        <v>6</v>
      </c>
      <c r="B748" t="str">
        <f>"10/15/2014 00:00"</f>
        <v>10/15/2014 00:00</v>
      </c>
      <c r="C748">
        <v>2.23</v>
      </c>
      <c r="D748" t="s">
        <v>7</v>
      </c>
      <c r="E748" s="2" t="s">
        <v>12</v>
      </c>
      <c r="F748">
        <f t="shared" si="11"/>
        <v>4.4220899999999999</v>
      </c>
      <c r="G748" t="s">
        <v>16</v>
      </c>
      <c r="J748" t="str">
        <f>"10/15/2014 23:45"</f>
        <v>10/15/2014 23:45</v>
      </c>
    </row>
    <row r="749" spans="1:10" x14ac:dyDescent="0.3">
      <c r="A749" t="s">
        <v>6</v>
      </c>
      <c r="B749" t="str">
        <f>"10/16/2014 00:00"</f>
        <v>10/16/2014 00:00</v>
      </c>
      <c r="C749">
        <v>2.23</v>
      </c>
      <c r="D749" t="s">
        <v>7</v>
      </c>
      <c r="E749" s="2" t="s">
        <v>12</v>
      </c>
      <c r="F749">
        <f t="shared" si="11"/>
        <v>4.4220899999999999</v>
      </c>
      <c r="G749" t="s">
        <v>16</v>
      </c>
      <c r="J749" t="str">
        <f>"10/16/2014 23:45"</f>
        <v>10/16/2014 23:45</v>
      </c>
    </row>
    <row r="750" spans="1:10" x14ac:dyDescent="0.3">
      <c r="A750" t="s">
        <v>6</v>
      </c>
      <c r="B750" t="str">
        <f>"10/17/2014 00:00"</f>
        <v>10/17/2014 00:00</v>
      </c>
      <c r="C750">
        <v>2.23</v>
      </c>
      <c r="D750" t="s">
        <v>7</v>
      </c>
      <c r="E750" s="2" t="s">
        <v>12</v>
      </c>
      <c r="F750">
        <f t="shared" si="11"/>
        <v>4.4220899999999999</v>
      </c>
      <c r="G750" t="s">
        <v>16</v>
      </c>
      <c r="J750" t="str">
        <f>"10/17/2014 23:45"</f>
        <v>10/17/2014 23:45</v>
      </c>
    </row>
    <row r="751" spans="1:10" x14ac:dyDescent="0.3">
      <c r="A751" t="s">
        <v>6</v>
      </c>
      <c r="B751" t="str">
        <f>"10/18/2014 00:00"</f>
        <v>10/18/2014 00:00</v>
      </c>
      <c r="C751">
        <v>2.23</v>
      </c>
      <c r="D751" t="s">
        <v>7</v>
      </c>
      <c r="E751" s="2" t="s">
        <v>12</v>
      </c>
      <c r="F751">
        <f t="shared" si="11"/>
        <v>4.4220899999999999</v>
      </c>
      <c r="G751" t="s">
        <v>16</v>
      </c>
      <c r="J751" t="str">
        <f>"10/18/2014 23:45"</f>
        <v>10/18/2014 23:45</v>
      </c>
    </row>
    <row r="752" spans="1:10" x14ac:dyDescent="0.3">
      <c r="A752" t="s">
        <v>6</v>
      </c>
      <c r="B752" t="str">
        <f>"10/19/2014 00:00"</f>
        <v>10/19/2014 00:00</v>
      </c>
      <c r="C752">
        <v>2.23</v>
      </c>
      <c r="D752" t="s">
        <v>7</v>
      </c>
      <c r="E752" s="2" t="s">
        <v>12</v>
      </c>
      <c r="F752">
        <f t="shared" si="11"/>
        <v>4.4220899999999999</v>
      </c>
      <c r="G752" t="s">
        <v>16</v>
      </c>
      <c r="J752" t="str">
        <f>"10/19/2014 23:45"</f>
        <v>10/19/2014 23:45</v>
      </c>
    </row>
    <row r="753" spans="1:10" x14ac:dyDescent="0.3">
      <c r="A753" t="s">
        <v>6</v>
      </c>
      <c r="B753" t="str">
        <f>"10/20/2014 00:00"</f>
        <v>10/20/2014 00:00</v>
      </c>
      <c r="C753">
        <v>2.23</v>
      </c>
      <c r="D753" t="s">
        <v>7</v>
      </c>
      <c r="E753" s="2" t="s">
        <v>12</v>
      </c>
      <c r="F753">
        <f t="shared" si="11"/>
        <v>4.4220899999999999</v>
      </c>
      <c r="G753" t="s">
        <v>16</v>
      </c>
      <c r="J753" t="str">
        <f>"10/20/2014 23:45"</f>
        <v>10/20/2014 23:45</v>
      </c>
    </row>
    <row r="754" spans="1:10" x14ac:dyDescent="0.3">
      <c r="A754" t="s">
        <v>6</v>
      </c>
      <c r="B754" t="str">
        <f>"10/21/2014 00:00"</f>
        <v>10/21/2014 00:00</v>
      </c>
      <c r="C754">
        <v>2.23</v>
      </c>
      <c r="D754" t="s">
        <v>7</v>
      </c>
      <c r="E754" s="2" t="s">
        <v>12</v>
      </c>
      <c r="F754">
        <f t="shared" si="11"/>
        <v>4.4220899999999999</v>
      </c>
      <c r="G754" t="s">
        <v>16</v>
      </c>
      <c r="J754" t="str">
        <f>"10/21/2014 23:45"</f>
        <v>10/21/2014 23:45</v>
      </c>
    </row>
    <row r="755" spans="1:10" x14ac:dyDescent="0.3">
      <c r="A755" t="s">
        <v>6</v>
      </c>
      <c r="B755" t="str">
        <f>"10/22/2014 00:00"</f>
        <v>10/22/2014 00:00</v>
      </c>
      <c r="C755">
        <v>2.15</v>
      </c>
      <c r="D755" t="s">
        <v>7</v>
      </c>
      <c r="E755" s="2" t="s">
        <v>12</v>
      </c>
      <c r="F755">
        <f t="shared" si="11"/>
        <v>4.2634499999999997</v>
      </c>
      <c r="G755" t="s">
        <v>16</v>
      </c>
      <c r="J755" t="str">
        <f>"10/22/2014 23:45"</f>
        <v>10/22/2014 23:45</v>
      </c>
    </row>
    <row r="756" spans="1:10" x14ac:dyDescent="0.3">
      <c r="A756" t="s">
        <v>6</v>
      </c>
      <c r="B756" t="str">
        <f>"10/23/2014 00:00"</f>
        <v>10/23/2014 00:00</v>
      </c>
      <c r="C756">
        <v>1.97</v>
      </c>
      <c r="D756" t="s">
        <v>7</v>
      </c>
      <c r="E756" s="2" t="s">
        <v>12</v>
      </c>
      <c r="F756">
        <f t="shared" si="11"/>
        <v>3.9065099999999999</v>
      </c>
      <c r="G756" t="s">
        <v>16</v>
      </c>
      <c r="J756" t="str">
        <f>"10/23/2014 23:45"</f>
        <v>10/23/2014 23:45</v>
      </c>
    </row>
    <row r="757" spans="1:10" x14ac:dyDescent="0.3">
      <c r="A757" t="s">
        <v>6</v>
      </c>
      <c r="B757" t="str">
        <f>"10/24/2014 00:00"</f>
        <v>10/24/2014 00:00</v>
      </c>
      <c r="C757">
        <v>1.92</v>
      </c>
      <c r="D757" t="s">
        <v>7</v>
      </c>
      <c r="E757" s="2" t="s">
        <v>12</v>
      </c>
      <c r="F757">
        <f t="shared" si="11"/>
        <v>3.8073600000000001</v>
      </c>
      <c r="G757" t="s">
        <v>16</v>
      </c>
      <c r="J757" t="str">
        <f>"10/24/2014 23:45"</f>
        <v>10/24/2014 23:45</v>
      </c>
    </row>
    <row r="758" spans="1:10" x14ac:dyDescent="0.3">
      <c r="A758" t="s">
        <v>6</v>
      </c>
      <c r="B758" t="str">
        <f>"10/25/2014 00:00"</f>
        <v>10/25/2014 00:00</v>
      </c>
      <c r="C758">
        <v>1.92</v>
      </c>
      <c r="D758" t="s">
        <v>7</v>
      </c>
      <c r="E758" s="2" t="s">
        <v>12</v>
      </c>
      <c r="F758">
        <f t="shared" si="11"/>
        <v>3.8073600000000001</v>
      </c>
      <c r="G758" t="s">
        <v>16</v>
      </c>
      <c r="J758" t="str">
        <f>"10/25/2014 23:45"</f>
        <v>10/25/2014 23:45</v>
      </c>
    </row>
    <row r="759" spans="1:10" x14ac:dyDescent="0.3">
      <c r="A759" t="s">
        <v>6</v>
      </c>
      <c r="B759" t="str">
        <f>"10/26/2014 00:00"</f>
        <v>10/26/2014 00:00</v>
      </c>
      <c r="C759">
        <v>1.92</v>
      </c>
      <c r="D759" t="s">
        <v>7</v>
      </c>
      <c r="E759" s="2" t="s">
        <v>12</v>
      </c>
      <c r="F759">
        <f t="shared" si="11"/>
        <v>3.8073600000000001</v>
      </c>
      <c r="G759" t="s">
        <v>16</v>
      </c>
      <c r="J759" t="str">
        <f>"10/26/2014 23:45"</f>
        <v>10/26/2014 23:45</v>
      </c>
    </row>
    <row r="760" spans="1:10" x14ac:dyDescent="0.3">
      <c r="A760" t="s">
        <v>6</v>
      </c>
      <c r="B760" t="str">
        <f>"10/27/2014 00:00"</f>
        <v>10/27/2014 00:00</v>
      </c>
      <c r="C760">
        <v>1.92</v>
      </c>
      <c r="D760" t="s">
        <v>7</v>
      </c>
      <c r="E760" s="2" t="s">
        <v>12</v>
      </c>
      <c r="F760">
        <f t="shared" si="11"/>
        <v>3.8073600000000001</v>
      </c>
      <c r="G760" t="s">
        <v>16</v>
      </c>
      <c r="J760" t="str">
        <f>"10/27/2014 23:45"</f>
        <v>10/27/2014 23:45</v>
      </c>
    </row>
    <row r="761" spans="1:10" x14ac:dyDescent="0.3">
      <c r="A761" t="s">
        <v>6</v>
      </c>
      <c r="B761" t="str">
        <f>"10/28/2014 00:00"</f>
        <v>10/28/2014 00:00</v>
      </c>
      <c r="C761">
        <v>1.92</v>
      </c>
      <c r="D761" t="s">
        <v>7</v>
      </c>
      <c r="E761" s="2" t="s">
        <v>12</v>
      </c>
      <c r="F761">
        <f t="shared" si="11"/>
        <v>3.8073600000000001</v>
      </c>
      <c r="G761" t="s">
        <v>16</v>
      </c>
      <c r="J761" t="str">
        <f>"10/28/2014 23:45"</f>
        <v>10/28/2014 23:45</v>
      </c>
    </row>
    <row r="762" spans="1:10" x14ac:dyDescent="0.3">
      <c r="A762" t="s">
        <v>6</v>
      </c>
      <c r="B762" t="str">
        <f>"10/29/2014 00:00"</f>
        <v>10/29/2014 00:00</v>
      </c>
      <c r="C762">
        <v>1.92</v>
      </c>
      <c r="D762" t="s">
        <v>7</v>
      </c>
      <c r="E762" s="2" t="s">
        <v>12</v>
      </c>
      <c r="F762">
        <f t="shared" si="11"/>
        <v>3.8073600000000001</v>
      </c>
      <c r="G762" t="s">
        <v>16</v>
      </c>
      <c r="J762" t="str">
        <f>"10/29/2014 23:45"</f>
        <v>10/29/2014 23:45</v>
      </c>
    </row>
    <row r="763" spans="1:10" x14ac:dyDescent="0.3">
      <c r="A763" t="s">
        <v>6</v>
      </c>
      <c r="B763" t="str">
        <f>"10/30/2014 00:00"</f>
        <v>10/30/2014 00:00</v>
      </c>
      <c r="C763">
        <v>1.92</v>
      </c>
      <c r="D763" t="s">
        <v>7</v>
      </c>
      <c r="E763" s="2" t="s">
        <v>12</v>
      </c>
      <c r="F763">
        <f t="shared" si="11"/>
        <v>3.8073600000000001</v>
      </c>
      <c r="G763" t="s">
        <v>16</v>
      </c>
      <c r="J763" t="str">
        <f>"10/30/2014 23:45"</f>
        <v>10/30/2014 23:45</v>
      </c>
    </row>
    <row r="764" spans="1:10" x14ac:dyDescent="0.3">
      <c r="A764" t="s">
        <v>6</v>
      </c>
      <c r="B764" t="str">
        <f>"10/31/2014 00:00"</f>
        <v>10/31/2014 00:00</v>
      </c>
      <c r="C764">
        <v>1.92</v>
      </c>
      <c r="D764" t="s">
        <v>7</v>
      </c>
      <c r="E764" s="2" t="s">
        <v>12</v>
      </c>
      <c r="F764">
        <f t="shared" si="11"/>
        <v>3.8073600000000001</v>
      </c>
      <c r="G764" t="s">
        <v>16</v>
      </c>
      <c r="J764" t="str">
        <f>"10/31/2014 23:45"</f>
        <v>10/31/2014 23:45</v>
      </c>
    </row>
    <row r="765" spans="1:10" x14ac:dyDescent="0.3">
      <c r="A765" t="s">
        <v>6</v>
      </c>
      <c r="B765" t="str">
        <f>"11/01/2014 00:00"</f>
        <v>11/01/2014 00:00</v>
      </c>
      <c r="C765">
        <v>1.92</v>
      </c>
      <c r="D765" t="s">
        <v>7</v>
      </c>
      <c r="E765" s="2" t="s">
        <v>12</v>
      </c>
      <c r="F765">
        <f t="shared" si="11"/>
        <v>3.8073600000000001</v>
      </c>
      <c r="G765" t="s">
        <v>16</v>
      </c>
      <c r="J765" t="str">
        <f>"11/01/2014 23:45"</f>
        <v>11/01/2014 23:45</v>
      </c>
    </row>
    <row r="766" spans="1:10" x14ac:dyDescent="0.3">
      <c r="A766" t="s">
        <v>6</v>
      </c>
      <c r="B766" t="str">
        <f>"11/02/2014 00:00"</f>
        <v>11/02/2014 00:00</v>
      </c>
      <c r="C766">
        <v>1.92</v>
      </c>
      <c r="D766" t="s">
        <v>7</v>
      </c>
      <c r="E766" s="2" t="s">
        <v>12</v>
      </c>
      <c r="F766">
        <f t="shared" si="11"/>
        <v>3.8073600000000001</v>
      </c>
      <c r="G766" t="s">
        <v>16</v>
      </c>
      <c r="J766" t="str">
        <f>"11/02/2014 23:45"</f>
        <v>11/02/2014 23:45</v>
      </c>
    </row>
    <row r="767" spans="1:10" x14ac:dyDescent="0.3">
      <c r="A767" t="s">
        <v>6</v>
      </c>
      <c r="B767" t="str">
        <f>"11/03/2014 00:00"</f>
        <v>11/03/2014 00:00</v>
      </c>
      <c r="C767">
        <v>1.92</v>
      </c>
      <c r="D767" t="s">
        <v>7</v>
      </c>
      <c r="E767" s="2" t="s">
        <v>12</v>
      </c>
      <c r="F767">
        <f t="shared" si="11"/>
        <v>3.8073600000000001</v>
      </c>
      <c r="G767" t="s">
        <v>16</v>
      </c>
      <c r="J767" t="str">
        <f>"11/03/2014 23:45"</f>
        <v>11/03/2014 23:45</v>
      </c>
    </row>
    <row r="768" spans="1:10" x14ac:dyDescent="0.3">
      <c r="A768" t="s">
        <v>6</v>
      </c>
      <c r="B768" t="str">
        <f>"11/04/2014 00:00"</f>
        <v>11/04/2014 00:00</v>
      </c>
      <c r="C768">
        <v>1.92</v>
      </c>
      <c r="D768" t="s">
        <v>7</v>
      </c>
      <c r="E768" s="2" t="s">
        <v>12</v>
      </c>
      <c r="F768">
        <f t="shared" si="11"/>
        <v>3.8073600000000001</v>
      </c>
      <c r="G768" t="s">
        <v>16</v>
      </c>
      <c r="J768" t="str">
        <f>"11/04/2014 23:45"</f>
        <v>11/04/2014 23:45</v>
      </c>
    </row>
    <row r="769" spans="1:10" x14ac:dyDescent="0.3">
      <c r="A769" t="s">
        <v>6</v>
      </c>
      <c r="B769" t="str">
        <f>"11/05/2014 00:00"</f>
        <v>11/05/2014 00:00</v>
      </c>
      <c r="C769">
        <v>1.92</v>
      </c>
      <c r="D769" t="s">
        <v>7</v>
      </c>
      <c r="E769" s="2" t="s">
        <v>12</v>
      </c>
      <c r="F769">
        <f t="shared" si="11"/>
        <v>3.8073600000000001</v>
      </c>
      <c r="G769" t="s">
        <v>16</v>
      </c>
      <c r="J769" t="str">
        <f>"11/05/2014 23:45"</f>
        <v>11/05/2014 23:45</v>
      </c>
    </row>
    <row r="770" spans="1:10" x14ac:dyDescent="0.3">
      <c r="A770" t="s">
        <v>6</v>
      </c>
      <c r="B770" t="str">
        <f>"11/06/2014 00:00"</f>
        <v>11/06/2014 00:00</v>
      </c>
      <c r="C770">
        <v>1.8</v>
      </c>
      <c r="D770" t="s">
        <v>7</v>
      </c>
      <c r="E770" s="2" t="s">
        <v>12</v>
      </c>
      <c r="F770">
        <f t="shared" si="11"/>
        <v>3.5694000000000004</v>
      </c>
      <c r="G770" t="s">
        <v>16</v>
      </c>
      <c r="J770" t="str">
        <f>"11/06/2014 23:45"</f>
        <v>11/06/2014 23:45</v>
      </c>
    </row>
    <row r="771" spans="1:10" x14ac:dyDescent="0.3">
      <c r="A771" t="s">
        <v>6</v>
      </c>
      <c r="B771" t="str">
        <f>"11/07/2014 00:00"</f>
        <v>11/07/2014 00:00</v>
      </c>
      <c r="C771">
        <v>1.59</v>
      </c>
      <c r="D771" t="s">
        <v>7</v>
      </c>
      <c r="E771" s="2" t="s">
        <v>12</v>
      </c>
      <c r="F771">
        <f t="shared" si="11"/>
        <v>3.1529700000000003</v>
      </c>
      <c r="G771" t="s">
        <v>16</v>
      </c>
      <c r="J771" t="str">
        <f>"11/07/2014 23:45"</f>
        <v>11/07/2014 23:45</v>
      </c>
    </row>
    <row r="772" spans="1:10" x14ac:dyDescent="0.3">
      <c r="A772" t="s">
        <v>6</v>
      </c>
      <c r="B772" t="str">
        <f>"11/08/2014 00:00"</f>
        <v>11/08/2014 00:00</v>
      </c>
      <c r="C772">
        <v>1.92</v>
      </c>
      <c r="D772" t="s">
        <v>7</v>
      </c>
      <c r="E772" s="2" t="s">
        <v>12</v>
      </c>
      <c r="F772">
        <f t="shared" si="11"/>
        <v>3.8073600000000001</v>
      </c>
      <c r="G772" t="s">
        <v>16</v>
      </c>
      <c r="J772" t="str">
        <f>"11/08/2014 23:45"</f>
        <v>11/08/2014 23:45</v>
      </c>
    </row>
    <row r="773" spans="1:10" x14ac:dyDescent="0.3">
      <c r="A773" t="s">
        <v>6</v>
      </c>
      <c r="B773" t="str">
        <f>"11/09/2014 00:00"</f>
        <v>11/09/2014 00:00</v>
      </c>
      <c r="C773">
        <v>1.92</v>
      </c>
      <c r="D773" t="s">
        <v>7</v>
      </c>
      <c r="E773" s="2" t="s">
        <v>12</v>
      </c>
      <c r="F773">
        <f t="shared" ref="F773:F836" si="12">C773*1.983</f>
        <v>3.8073600000000001</v>
      </c>
      <c r="G773" t="s">
        <v>16</v>
      </c>
      <c r="J773" t="str">
        <f>"11/09/2014 23:45"</f>
        <v>11/09/2014 23:45</v>
      </c>
    </row>
    <row r="774" spans="1:10" x14ac:dyDescent="0.3">
      <c r="A774" t="s">
        <v>6</v>
      </c>
      <c r="B774" t="str">
        <f>"11/10/2014 00:00"</f>
        <v>11/10/2014 00:00</v>
      </c>
      <c r="C774">
        <v>1.92</v>
      </c>
      <c r="D774" t="s">
        <v>7</v>
      </c>
      <c r="E774" s="2" t="s">
        <v>12</v>
      </c>
      <c r="F774">
        <f t="shared" si="12"/>
        <v>3.8073600000000001</v>
      </c>
      <c r="G774" t="s">
        <v>16</v>
      </c>
      <c r="J774" t="str">
        <f>"11/10/2014 23:45"</f>
        <v>11/10/2014 23:45</v>
      </c>
    </row>
    <row r="775" spans="1:10" x14ac:dyDescent="0.3">
      <c r="A775" t="s">
        <v>6</v>
      </c>
      <c r="B775" t="str">
        <f>"11/11/2014 00:00"</f>
        <v>11/11/2014 00:00</v>
      </c>
      <c r="C775">
        <v>1.92</v>
      </c>
      <c r="D775" t="s">
        <v>7</v>
      </c>
      <c r="E775" s="2" t="s">
        <v>12</v>
      </c>
      <c r="F775">
        <f t="shared" si="12"/>
        <v>3.8073600000000001</v>
      </c>
      <c r="G775" t="s">
        <v>16</v>
      </c>
      <c r="J775" t="str">
        <f>"11/11/2014 23:45"</f>
        <v>11/11/2014 23:45</v>
      </c>
    </row>
    <row r="776" spans="1:10" x14ac:dyDescent="0.3">
      <c r="A776" t="s">
        <v>6</v>
      </c>
      <c r="B776" t="str">
        <f>"11/12/2014 00:00"</f>
        <v>11/12/2014 00:00</v>
      </c>
      <c r="C776">
        <v>1.62</v>
      </c>
      <c r="D776" t="s">
        <v>7</v>
      </c>
      <c r="E776" s="2" t="s">
        <v>12</v>
      </c>
      <c r="F776">
        <f t="shared" si="12"/>
        <v>3.2124600000000005</v>
      </c>
      <c r="G776" t="s">
        <v>16</v>
      </c>
      <c r="J776" t="str">
        <f>"11/12/2014 23:45"</f>
        <v>11/12/2014 23:45</v>
      </c>
    </row>
    <row r="777" spans="1:10" x14ac:dyDescent="0.3">
      <c r="A777" t="s">
        <v>6</v>
      </c>
      <c r="B777" t="str">
        <f>"11/13/2014 00:00"</f>
        <v>11/13/2014 00:00</v>
      </c>
      <c r="C777">
        <v>1.62</v>
      </c>
      <c r="D777" t="s">
        <v>7</v>
      </c>
      <c r="E777" s="2" t="s">
        <v>12</v>
      </c>
      <c r="F777">
        <f t="shared" si="12"/>
        <v>3.2124600000000005</v>
      </c>
      <c r="G777" t="s">
        <v>16</v>
      </c>
      <c r="J777" t="str">
        <f>"11/13/2014 23:45"</f>
        <v>11/13/2014 23:45</v>
      </c>
    </row>
    <row r="778" spans="1:10" x14ac:dyDescent="0.3">
      <c r="A778" t="s">
        <v>6</v>
      </c>
      <c r="B778" t="str">
        <f>"11/14/2014 00:00"</f>
        <v>11/14/2014 00:00</v>
      </c>
      <c r="C778">
        <v>2.0299999999999998</v>
      </c>
      <c r="D778" t="s">
        <v>7</v>
      </c>
      <c r="E778" s="2" t="s">
        <v>12</v>
      </c>
      <c r="F778">
        <f t="shared" si="12"/>
        <v>4.0254899999999996</v>
      </c>
      <c r="G778" t="s">
        <v>16</v>
      </c>
      <c r="J778" t="str">
        <f>"11/14/2014 23:45"</f>
        <v>11/14/2014 23:45</v>
      </c>
    </row>
    <row r="779" spans="1:10" x14ac:dyDescent="0.3">
      <c r="A779" t="s">
        <v>6</v>
      </c>
      <c r="B779" t="str">
        <f>"11/15/2014 00:00"</f>
        <v>11/15/2014 00:00</v>
      </c>
      <c r="C779">
        <v>2.57</v>
      </c>
      <c r="D779" t="s">
        <v>7</v>
      </c>
      <c r="E779" s="2" t="s">
        <v>12</v>
      </c>
      <c r="F779">
        <f t="shared" si="12"/>
        <v>5.0963099999999999</v>
      </c>
      <c r="G779" t="s">
        <v>16</v>
      </c>
      <c r="J779" t="str">
        <f>"11/15/2014 23:45"</f>
        <v>11/15/2014 23:45</v>
      </c>
    </row>
    <row r="780" spans="1:10" x14ac:dyDescent="0.3">
      <c r="A780" t="s">
        <v>6</v>
      </c>
      <c r="B780" t="str">
        <f>"11/16/2014 00:00"</f>
        <v>11/16/2014 00:00</v>
      </c>
      <c r="C780">
        <v>2.56</v>
      </c>
      <c r="D780" t="s">
        <v>7</v>
      </c>
      <c r="E780" s="2" t="s">
        <v>12</v>
      </c>
      <c r="F780">
        <f t="shared" si="12"/>
        <v>5.0764800000000001</v>
      </c>
      <c r="G780" t="s">
        <v>16</v>
      </c>
      <c r="J780" t="str">
        <f>"11/16/2014 23:45"</f>
        <v>11/16/2014 23:45</v>
      </c>
    </row>
    <row r="781" spans="1:10" x14ac:dyDescent="0.3">
      <c r="A781" t="s">
        <v>6</v>
      </c>
      <c r="B781" t="str">
        <f>"11/17/2014 00:00"</f>
        <v>11/17/2014 00:00</v>
      </c>
      <c r="C781">
        <v>2.56</v>
      </c>
      <c r="D781" t="s">
        <v>7</v>
      </c>
      <c r="E781" s="2" t="s">
        <v>12</v>
      </c>
      <c r="F781">
        <f t="shared" si="12"/>
        <v>5.0764800000000001</v>
      </c>
      <c r="G781" t="s">
        <v>16</v>
      </c>
      <c r="J781" t="str">
        <f>"11/17/2014 23:45"</f>
        <v>11/17/2014 23:45</v>
      </c>
    </row>
    <row r="782" spans="1:10" x14ac:dyDescent="0.3">
      <c r="A782" t="s">
        <v>6</v>
      </c>
      <c r="B782" t="str">
        <f>"11/18/2014 00:00"</f>
        <v>11/18/2014 00:00</v>
      </c>
      <c r="C782">
        <v>2.56</v>
      </c>
      <c r="D782" t="s">
        <v>7</v>
      </c>
      <c r="E782" s="2" t="s">
        <v>12</v>
      </c>
      <c r="F782">
        <f t="shared" si="12"/>
        <v>5.0764800000000001</v>
      </c>
      <c r="G782" t="s">
        <v>16</v>
      </c>
      <c r="J782" t="str">
        <f>"11/18/2014 23:45"</f>
        <v>11/18/2014 23:45</v>
      </c>
    </row>
    <row r="783" spans="1:10" x14ac:dyDescent="0.3">
      <c r="A783" t="s">
        <v>6</v>
      </c>
      <c r="B783" t="str">
        <f>"11/19/2014 00:00"</f>
        <v>11/19/2014 00:00</v>
      </c>
      <c r="C783">
        <v>2.56</v>
      </c>
      <c r="D783" t="s">
        <v>7</v>
      </c>
      <c r="E783" s="2" t="s">
        <v>12</v>
      </c>
      <c r="F783">
        <f t="shared" si="12"/>
        <v>5.0764800000000001</v>
      </c>
      <c r="G783" t="s">
        <v>16</v>
      </c>
      <c r="J783" t="str">
        <f>"11/19/2014 23:45"</f>
        <v>11/19/2014 23:45</v>
      </c>
    </row>
    <row r="784" spans="1:10" x14ac:dyDescent="0.3">
      <c r="A784" t="s">
        <v>6</v>
      </c>
      <c r="B784" t="str">
        <f>"11/20/2014 00:00"</f>
        <v>11/20/2014 00:00</v>
      </c>
      <c r="C784">
        <v>2.56</v>
      </c>
      <c r="D784" t="s">
        <v>7</v>
      </c>
      <c r="E784" s="2" t="s">
        <v>12</v>
      </c>
      <c r="F784">
        <f t="shared" si="12"/>
        <v>5.0764800000000001</v>
      </c>
      <c r="G784" t="s">
        <v>16</v>
      </c>
      <c r="J784" t="str">
        <f>"11/20/2014 23:45"</f>
        <v>11/20/2014 23:45</v>
      </c>
    </row>
    <row r="785" spans="1:10" x14ac:dyDescent="0.3">
      <c r="A785" t="s">
        <v>6</v>
      </c>
      <c r="B785" t="str">
        <f>"11/21/2014 00:00"</f>
        <v>11/21/2014 00:00</v>
      </c>
      <c r="C785">
        <v>2.56</v>
      </c>
      <c r="D785" t="s">
        <v>7</v>
      </c>
      <c r="E785" s="2" t="s">
        <v>12</v>
      </c>
      <c r="F785">
        <f t="shared" si="12"/>
        <v>5.0764800000000001</v>
      </c>
      <c r="G785" t="s">
        <v>16</v>
      </c>
      <c r="J785" t="str">
        <f>"11/21/2014 23:45"</f>
        <v>11/21/2014 23:45</v>
      </c>
    </row>
    <row r="786" spans="1:10" x14ac:dyDescent="0.3">
      <c r="A786" t="s">
        <v>6</v>
      </c>
      <c r="B786" t="str">
        <f>"11/22/2014 00:00"</f>
        <v>11/22/2014 00:00</v>
      </c>
      <c r="C786">
        <v>2.56</v>
      </c>
      <c r="D786" t="s">
        <v>7</v>
      </c>
      <c r="E786" s="2" t="s">
        <v>12</v>
      </c>
      <c r="F786">
        <f t="shared" si="12"/>
        <v>5.0764800000000001</v>
      </c>
      <c r="G786" t="s">
        <v>16</v>
      </c>
      <c r="J786" t="str">
        <f>"11/22/2014 23:45"</f>
        <v>11/22/2014 23:45</v>
      </c>
    </row>
    <row r="787" spans="1:10" x14ac:dyDescent="0.3">
      <c r="A787" t="s">
        <v>6</v>
      </c>
      <c r="B787" t="str">
        <f>"11/23/2014 00:00"</f>
        <v>11/23/2014 00:00</v>
      </c>
      <c r="C787">
        <v>2.64</v>
      </c>
      <c r="D787" t="s">
        <v>7</v>
      </c>
      <c r="E787" s="2" t="s">
        <v>12</v>
      </c>
      <c r="F787">
        <f t="shared" si="12"/>
        <v>5.2351200000000002</v>
      </c>
      <c r="G787" t="s">
        <v>16</v>
      </c>
      <c r="J787" t="str">
        <f>"11/23/2014 23:45"</f>
        <v>11/23/2014 23:45</v>
      </c>
    </row>
    <row r="788" spans="1:10" x14ac:dyDescent="0.3">
      <c r="A788" t="s">
        <v>6</v>
      </c>
      <c r="B788" t="str">
        <f>"11/24/2014 00:00"</f>
        <v>11/24/2014 00:00</v>
      </c>
      <c r="C788">
        <v>2.56</v>
      </c>
      <c r="D788" t="s">
        <v>7</v>
      </c>
      <c r="E788" s="2" t="s">
        <v>12</v>
      </c>
      <c r="F788">
        <f t="shared" si="12"/>
        <v>5.0764800000000001</v>
      </c>
      <c r="G788" t="s">
        <v>16</v>
      </c>
      <c r="J788" t="str">
        <f>"11/24/2014 23:45"</f>
        <v>11/24/2014 23:45</v>
      </c>
    </row>
    <row r="789" spans="1:10" x14ac:dyDescent="0.3">
      <c r="A789" t="s">
        <v>6</v>
      </c>
      <c r="B789" t="str">
        <f>"11/25/2014 00:00"</f>
        <v>11/25/2014 00:00</v>
      </c>
      <c r="C789">
        <v>2.56</v>
      </c>
      <c r="D789" t="s">
        <v>7</v>
      </c>
      <c r="E789" s="2" t="s">
        <v>12</v>
      </c>
      <c r="F789">
        <f t="shared" si="12"/>
        <v>5.0764800000000001</v>
      </c>
      <c r="G789" t="s">
        <v>16</v>
      </c>
      <c r="J789" t="str">
        <f>"11/25/2014 23:45"</f>
        <v>11/25/2014 23:45</v>
      </c>
    </row>
    <row r="790" spans="1:10" x14ac:dyDescent="0.3">
      <c r="A790" t="s">
        <v>6</v>
      </c>
      <c r="B790" t="str">
        <f>"11/26/2014 00:00"</f>
        <v>11/26/2014 00:00</v>
      </c>
      <c r="C790">
        <v>2.56</v>
      </c>
      <c r="D790" t="s">
        <v>7</v>
      </c>
      <c r="E790" s="2" t="s">
        <v>12</v>
      </c>
      <c r="F790">
        <f t="shared" si="12"/>
        <v>5.0764800000000001</v>
      </c>
      <c r="G790" t="s">
        <v>16</v>
      </c>
      <c r="J790" t="str">
        <f>"11/26/2014 23:45"</f>
        <v>11/26/2014 23:45</v>
      </c>
    </row>
    <row r="791" spans="1:10" x14ac:dyDescent="0.3">
      <c r="A791" t="s">
        <v>6</v>
      </c>
      <c r="B791" t="str">
        <f>"11/27/2014 00:00"</f>
        <v>11/27/2014 00:00</v>
      </c>
      <c r="C791">
        <v>2.56</v>
      </c>
      <c r="D791" t="s">
        <v>7</v>
      </c>
      <c r="E791" s="2" t="s">
        <v>12</v>
      </c>
      <c r="F791">
        <f t="shared" si="12"/>
        <v>5.0764800000000001</v>
      </c>
      <c r="G791" t="s">
        <v>16</v>
      </c>
      <c r="J791" t="str">
        <f>"11/27/2014 23:45"</f>
        <v>11/27/2014 23:45</v>
      </c>
    </row>
    <row r="792" spans="1:10" x14ac:dyDescent="0.3">
      <c r="A792" t="s">
        <v>6</v>
      </c>
      <c r="B792" t="str">
        <f>"11/28/2014 00:00"</f>
        <v>11/28/2014 00:00</v>
      </c>
      <c r="C792">
        <v>2.6</v>
      </c>
      <c r="D792" t="s">
        <v>7</v>
      </c>
      <c r="E792" s="2" t="s">
        <v>12</v>
      </c>
      <c r="F792">
        <f t="shared" si="12"/>
        <v>5.1558000000000002</v>
      </c>
      <c r="G792" t="s">
        <v>16</v>
      </c>
      <c r="J792" t="str">
        <f>"11/28/2014 23:45"</f>
        <v>11/28/2014 23:45</v>
      </c>
    </row>
    <row r="793" spans="1:10" x14ac:dyDescent="0.3">
      <c r="A793" t="s">
        <v>6</v>
      </c>
      <c r="B793" t="str">
        <f>"11/29/2014 00:00"</f>
        <v>11/29/2014 00:00</v>
      </c>
      <c r="C793">
        <v>2.56</v>
      </c>
      <c r="D793" t="s">
        <v>7</v>
      </c>
      <c r="E793" s="2" t="s">
        <v>12</v>
      </c>
      <c r="F793">
        <f t="shared" si="12"/>
        <v>5.0764800000000001</v>
      </c>
      <c r="G793" t="s">
        <v>16</v>
      </c>
      <c r="J793" t="str">
        <f>"11/29/2014 23:45"</f>
        <v>11/29/2014 23:45</v>
      </c>
    </row>
    <row r="794" spans="1:10" x14ac:dyDescent="0.3">
      <c r="A794" t="s">
        <v>6</v>
      </c>
      <c r="B794" t="str">
        <f>"11/30/2014 00:00"</f>
        <v>11/30/2014 00:00</v>
      </c>
      <c r="C794">
        <v>2.56</v>
      </c>
      <c r="D794" t="s">
        <v>7</v>
      </c>
      <c r="E794" s="2" t="s">
        <v>12</v>
      </c>
      <c r="F794">
        <f t="shared" si="12"/>
        <v>5.0764800000000001</v>
      </c>
      <c r="G794" t="s">
        <v>16</v>
      </c>
      <c r="J794" t="str">
        <f>"11/30/2014 23:45"</f>
        <v>11/30/2014 23:45</v>
      </c>
    </row>
    <row r="795" spans="1:10" x14ac:dyDescent="0.3">
      <c r="A795" t="s">
        <v>6</v>
      </c>
      <c r="B795" t="str">
        <f>"12/01/2014 00:00"</f>
        <v>12/01/2014 00:00</v>
      </c>
      <c r="C795">
        <v>2.38</v>
      </c>
      <c r="D795" t="s">
        <v>7</v>
      </c>
      <c r="E795" s="2" t="s">
        <v>12</v>
      </c>
      <c r="F795">
        <f t="shared" si="12"/>
        <v>4.7195400000000003</v>
      </c>
      <c r="G795" t="s">
        <v>16</v>
      </c>
      <c r="J795" t="str">
        <f>"12/01/2014 23:45"</f>
        <v>12/01/2014 23:45</v>
      </c>
    </row>
    <row r="796" spans="1:10" x14ac:dyDescent="0.3">
      <c r="A796" t="s">
        <v>6</v>
      </c>
      <c r="B796" t="str">
        <f>"12/02/2014 00:00"</f>
        <v>12/02/2014 00:00</v>
      </c>
      <c r="C796">
        <v>2.23</v>
      </c>
      <c r="D796" t="s">
        <v>7</v>
      </c>
      <c r="E796" s="2" t="s">
        <v>12</v>
      </c>
      <c r="F796">
        <f t="shared" si="12"/>
        <v>4.4220899999999999</v>
      </c>
      <c r="G796" t="s">
        <v>16</v>
      </c>
      <c r="J796" t="str">
        <f>"12/02/2014 23:45"</f>
        <v>12/02/2014 23:45</v>
      </c>
    </row>
    <row r="797" spans="1:10" x14ac:dyDescent="0.3">
      <c r="A797" t="s">
        <v>6</v>
      </c>
      <c r="B797" t="str">
        <f>"12/03/2014 00:00"</f>
        <v>12/03/2014 00:00</v>
      </c>
      <c r="C797">
        <v>2.23</v>
      </c>
      <c r="D797" t="s">
        <v>7</v>
      </c>
      <c r="E797" s="2" t="s">
        <v>12</v>
      </c>
      <c r="F797">
        <f t="shared" si="12"/>
        <v>4.4220899999999999</v>
      </c>
      <c r="G797" t="s">
        <v>16</v>
      </c>
      <c r="J797" t="str">
        <f>"12/03/2014 23:45"</f>
        <v>12/03/2014 23:45</v>
      </c>
    </row>
    <row r="798" spans="1:10" x14ac:dyDescent="0.3">
      <c r="A798" t="s">
        <v>6</v>
      </c>
      <c r="B798" t="str">
        <f>"12/04/2014 00:00"</f>
        <v>12/04/2014 00:00</v>
      </c>
      <c r="C798">
        <v>2.35</v>
      </c>
      <c r="D798" t="s">
        <v>7</v>
      </c>
      <c r="E798" s="2" t="s">
        <v>12</v>
      </c>
      <c r="F798">
        <f t="shared" si="12"/>
        <v>4.66005</v>
      </c>
      <c r="G798" t="s">
        <v>16</v>
      </c>
      <c r="J798" t="str">
        <f>"12/04/2014 23:45"</f>
        <v>12/04/2014 23:45</v>
      </c>
    </row>
    <row r="799" spans="1:10" x14ac:dyDescent="0.3">
      <c r="A799" t="s">
        <v>6</v>
      </c>
      <c r="B799" t="str">
        <f>"12/05/2014 00:00"</f>
        <v>12/05/2014 00:00</v>
      </c>
      <c r="C799">
        <v>2.25</v>
      </c>
      <c r="D799" t="s">
        <v>7</v>
      </c>
      <c r="E799" s="2" t="s">
        <v>12</v>
      </c>
      <c r="F799">
        <f t="shared" si="12"/>
        <v>4.4617500000000003</v>
      </c>
      <c r="G799" t="s">
        <v>16</v>
      </c>
      <c r="J799" t="str">
        <f>"12/05/2014 23:45"</f>
        <v>12/05/2014 23:45</v>
      </c>
    </row>
    <row r="800" spans="1:10" x14ac:dyDescent="0.3">
      <c r="A800" t="s">
        <v>6</v>
      </c>
      <c r="B800" t="str">
        <f>"12/06/2014 00:00"</f>
        <v>12/06/2014 00:00</v>
      </c>
      <c r="C800">
        <v>2.4900000000000002</v>
      </c>
      <c r="D800" t="s">
        <v>7</v>
      </c>
      <c r="E800" s="2" t="s">
        <v>12</v>
      </c>
      <c r="F800">
        <f t="shared" si="12"/>
        <v>4.9376700000000007</v>
      </c>
      <c r="G800" t="s">
        <v>16</v>
      </c>
      <c r="J800" t="str">
        <f>"12/06/2014 23:45"</f>
        <v>12/06/2014 23:45</v>
      </c>
    </row>
    <row r="801" spans="1:10" x14ac:dyDescent="0.3">
      <c r="A801" t="s">
        <v>6</v>
      </c>
      <c r="B801" t="str">
        <f>"12/07/2014 00:00"</f>
        <v>12/07/2014 00:00</v>
      </c>
      <c r="C801">
        <v>2.56</v>
      </c>
      <c r="D801" t="s">
        <v>7</v>
      </c>
      <c r="E801" s="2" t="s">
        <v>12</v>
      </c>
      <c r="F801">
        <f t="shared" si="12"/>
        <v>5.0764800000000001</v>
      </c>
      <c r="G801" t="s">
        <v>16</v>
      </c>
      <c r="J801" t="str">
        <f>"12/07/2014 23:45"</f>
        <v>12/07/2014 23:45</v>
      </c>
    </row>
    <row r="802" spans="1:10" x14ac:dyDescent="0.3">
      <c r="A802" t="s">
        <v>6</v>
      </c>
      <c r="B802" t="str">
        <f>"12/08/2014 00:00"</f>
        <v>12/08/2014 00:00</v>
      </c>
      <c r="C802">
        <v>2.56</v>
      </c>
      <c r="D802" t="s">
        <v>7</v>
      </c>
      <c r="E802" s="2" t="s">
        <v>12</v>
      </c>
      <c r="F802">
        <f t="shared" si="12"/>
        <v>5.0764800000000001</v>
      </c>
      <c r="G802" t="s">
        <v>16</v>
      </c>
      <c r="J802" t="str">
        <f>"12/08/2014 23:45"</f>
        <v>12/08/2014 23:45</v>
      </c>
    </row>
    <row r="803" spans="1:10" x14ac:dyDescent="0.3">
      <c r="A803" t="s">
        <v>6</v>
      </c>
      <c r="B803" t="str">
        <f>"12/09/2014 00:00"</f>
        <v>12/09/2014 00:00</v>
      </c>
      <c r="C803">
        <v>2.56</v>
      </c>
      <c r="D803" t="s">
        <v>7</v>
      </c>
      <c r="E803" s="2" t="s">
        <v>12</v>
      </c>
      <c r="F803">
        <f t="shared" si="12"/>
        <v>5.0764800000000001</v>
      </c>
      <c r="G803" t="s">
        <v>16</v>
      </c>
      <c r="J803" t="str">
        <f>"12/09/2014 23:45"</f>
        <v>12/09/2014 23:45</v>
      </c>
    </row>
    <row r="804" spans="1:10" x14ac:dyDescent="0.3">
      <c r="A804" t="s">
        <v>6</v>
      </c>
      <c r="B804" t="str">
        <f>"12/10/2014 00:00"</f>
        <v>12/10/2014 00:00</v>
      </c>
      <c r="C804">
        <v>2.56</v>
      </c>
      <c r="D804" t="s">
        <v>7</v>
      </c>
      <c r="E804" s="2" t="s">
        <v>12</v>
      </c>
      <c r="F804">
        <f t="shared" si="12"/>
        <v>5.0764800000000001</v>
      </c>
      <c r="G804" t="s">
        <v>16</v>
      </c>
      <c r="J804" t="str">
        <f>"12/10/2014 23:45"</f>
        <v>12/10/2014 23:45</v>
      </c>
    </row>
    <row r="805" spans="1:10" x14ac:dyDescent="0.3">
      <c r="A805" t="s">
        <v>6</v>
      </c>
      <c r="B805" t="str">
        <f>"12/11/2014 00:00"</f>
        <v>12/11/2014 00:00</v>
      </c>
      <c r="C805">
        <v>2.56</v>
      </c>
      <c r="D805" t="s">
        <v>7</v>
      </c>
      <c r="E805" s="2" t="s">
        <v>12</v>
      </c>
      <c r="F805">
        <f t="shared" si="12"/>
        <v>5.0764800000000001</v>
      </c>
      <c r="G805" t="s">
        <v>16</v>
      </c>
      <c r="J805" t="str">
        <f>"12/11/2014 23:45"</f>
        <v>12/11/2014 23:45</v>
      </c>
    </row>
    <row r="806" spans="1:10" x14ac:dyDescent="0.3">
      <c r="A806" t="s">
        <v>6</v>
      </c>
      <c r="B806" t="str">
        <f>"12/12/2014 00:00"</f>
        <v>12/12/2014 00:00</v>
      </c>
      <c r="C806">
        <v>2.56</v>
      </c>
      <c r="D806" t="s">
        <v>7</v>
      </c>
      <c r="E806" s="2" t="s">
        <v>12</v>
      </c>
      <c r="F806">
        <f t="shared" si="12"/>
        <v>5.0764800000000001</v>
      </c>
      <c r="G806" t="s">
        <v>16</v>
      </c>
      <c r="J806" t="str">
        <f>"12/12/2014 23:45"</f>
        <v>12/12/2014 23:45</v>
      </c>
    </row>
    <row r="807" spans="1:10" x14ac:dyDescent="0.3">
      <c r="A807" t="s">
        <v>6</v>
      </c>
      <c r="B807" t="str">
        <f>"12/13/2014 00:00"</f>
        <v>12/13/2014 00:00</v>
      </c>
      <c r="C807">
        <v>2.41</v>
      </c>
      <c r="D807" t="s">
        <v>7</v>
      </c>
      <c r="E807" s="2" t="s">
        <v>12</v>
      </c>
      <c r="F807">
        <f t="shared" si="12"/>
        <v>4.7790300000000006</v>
      </c>
      <c r="G807" t="s">
        <v>16</v>
      </c>
      <c r="J807" t="str">
        <f>"12/13/2014 23:45"</f>
        <v>12/13/2014 23:45</v>
      </c>
    </row>
    <row r="808" spans="1:10" x14ac:dyDescent="0.3">
      <c r="A808" t="s">
        <v>6</v>
      </c>
      <c r="B808" t="str">
        <f>"12/14/2014 00:00"</f>
        <v>12/14/2014 00:00</v>
      </c>
      <c r="C808">
        <v>2.33</v>
      </c>
      <c r="D808" t="s">
        <v>7</v>
      </c>
      <c r="E808" s="2" t="s">
        <v>12</v>
      </c>
      <c r="F808">
        <f t="shared" si="12"/>
        <v>4.6203900000000004</v>
      </c>
      <c r="G808" t="s">
        <v>16</v>
      </c>
      <c r="J808" t="str">
        <f>"12/14/2014 23:45"</f>
        <v>12/14/2014 23:45</v>
      </c>
    </row>
    <row r="809" spans="1:10" x14ac:dyDescent="0.3">
      <c r="A809" t="s">
        <v>6</v>
      </c>
      <c r="B809" t="str">
        <f>"12/15/2014 00:00"</f>
        <v>12/15/2014 00:00</v>
      </c>
      <c r="C809">
        <v>2.56</v>
      </c>
      <c r="D809" t="s">
        <v>7</v>
      </c>
      <c r="E809" s="2" t="s">
        <v>12</v>
      </c>
      <c r="F809">
        <f t="shared" si="12"/>
        <v>5.0764800000000001</v>
      </c>
      <c r="G809" t="s">
        <v>16</v>
      </c>
      <c r="J809" t="str">
        <f>"12/15/2014 23:45"</f>
        <v>12/15/2014 23:45</v>
      </c>
    </row>
    <row r="810" spans="1:10" x14ac:dyDescent="0.3">
      <c r="A810" t="s">
        <v>6</v>
      </c>
      <c r="B810" t="str">
        <f>"12/16/2014 00:00"</f>
        <v>12/16/2014 00:00</v>
      </c>
      <c r="C810">
        <v>2.56</v>
      </c>
      <c r="D810" t="s">
        <v>7</v>
      </c>
      <c r="E810" s="2" t="s">
        <v>12</v>
      </c>
      <c r="F810">
        <f t="shared" si="12"/>
        <v>5.0764800000000001</v>
      </c>
      <c r="G810" t="s">
        <v>16</v>
      </c>
      <c r="J810" t="str">
        <f>"12/16/2014 23:45"</f>
        <v>12/16/2014 23:45</v>
      </c>
    </row>
    <row r="811" spans="1:10" x14ac:dyDescent="0.3">
      <c r="A811" t="s">
        <v>6</v>
      </c>
      <c r="B811" t="str">
        <f>"12/17/2014 00:00"</f>
        <v>12/17/2014 00:00</v>
      </c>
      <c r="C811">
        <v>2.56</v>
      </c>
      <c r="D811" t="s">
        <v>7</v>
      </c>
      <c r="E811" s="2" t="s">
        <v>12</v>
      </c>
      <c r="F811">
        <f t="shared" si="12"/>
        <v>5.0764800000000001</v>
      </c>
      <c r="G811" t="s">
        <v>16</v>
      </c>
      <c r="J811" t="str">
        <f>"12/17/2014 23:45"</f>
        <v>12/17/2014 23:45</v>
      </c>
    </row>
    <row r="812" spans="1:10" x14ac:dyDescent="0.3">
      <c r="A812" t="s">
        <v>6</v>
      </c>
      <c r="B812" t="str">
        <f>"12/18/2014 00:00"</f>
        <v>12/18/2014 00:00</v>
      </c>
      <c r="C812">
        <v>2.56</v>
      </c>
      <c r="D812" t="s">
        <v>7</v>
      </c>
      <c r="E812" s="2" t="s">
        <v>12</v>
      </c>
      <c r="F812">
        <f t="shared" si="12"/>
        <v>5.0764800000000001</v>
      </c>
      <c r="G812" t="s">
        <v>16</v>
      </c>
      <c r="J812" t="str">
        <f>"12/18/2014 23:45"</f>
        <v>12/18/2014 23:45</v>
      </c>
    </row>
    <row r="813" spans="1:10" x14ac:dyDescent="0.3">
      <c r="A813" t="s">
        <v>6</v>
      </c>
      <c r="B813" t="str">
        <f>"12/19/2014 00:00"</f>
        <v>12/19/2014 00:00</v>
      </c>
      <c r="C813">
        <v>2.56</v>
      </c>
      <c r="D813" t="s">
        <v>7</v>
      </c>
      <c r="E813" s="2" t="s">
        <v>12</v>
      </c>
      <c r="F813">
        <f t="shared" si="12"/>
        <v>5.0764800000000001</v>
      </c>
      <c r="G813" t="s">
        <v>16</v>
      </c>
      <c r="J813" t="str">
        <f>"12/19/2014 23:45"</f>
        <v>12/19/2014 23:45</v>
      </c>
    </row>
    <row r="814" spans="1:10" x14ac:dyDescent="0.3">
      <c r="A814" t="s">
        <v>6</v>
      </c>
      <c r="B814" t="str">
        <f>"12/20/2014 00:00"</f>
        <v>12/20/2014 00:00</v>
      </c>
      <c r="C814">
        <v>2.56</v>
      </c>
      <c r="D814" t="s">
        <v>7</v>
      </c>
      <c r="E814" s="2" t="s">
        <v>12</v>
      </c>
      <c r="F814">
        <f t="shared" si="12"/>
        <v>5.0764800000000001</v>
      </c>
      <c r="G814" t="s">
        <v>16</v>
      </c>
      <c r="J814" t="str">
        <f>"12/20/2014 23:45"</f>
        <v>12/20/2014 23:45</v>
      </c>
    </row>
    <row r="815" spans="1:10" x14ac:dyDescent="0.3">
      <c r="A815" t="s">
        <v>6</v>
      </c>
      <c r="B815" t="str">
        <f>"12/21/2014 00:00"</f>
        <v>12/21/2014 00:00</v>
      </c>
      <c r="C815">
        <v>2.5099999999999998</v>
      </c>
      <c r="D815" t="s">
        <v>7</v>
      </c>
      <c r="E815" s="2" t="s">
        <v>12</v>
      </c>
      <c r="F815">
        <f t="shared" si="12"/>
        <v>4.9773300000000003</v>
      </c>
      <c r="G815" t="s">
        <v>16</v>
      </c>
      <c r="J815" t="str">
        <f>"12/21/2014 23:45"</f>
        <v>12/21/2014 23:45</v>
      </c>
    </row>
    <row r="816" spans="1:10" x14ac:dyDescent="0.3">
      <c r="A816" t="s">
        <v>6</v>
      </c>
      <c r="B816" t="str">
        <f>"12/22/2014 00:00"</f>
        <v>12/22/2014 00:00</v>
      </c>
      <c r="C816">
        <v>2.23</v>
      </c>
      <c r="D816" t="s">
        <v>7</v>
      </c>
      <c r="E816" s="2" t="s">
        <v>12</v>
      </c>
      <c r="F816">
        <f t="shared" si="12"/>
        <v>4.4220899999999999</v>
      </c>
      <c r="G816" t="s">
        <v>16</v>
      </c>
      <c r="J816" t="str">
        <f>"12/22/2014 23:45"</f>
        <v>12/22/2014 23:45</v>
      </c>
    </row>
    <row r="817" spans="1:10" x14ac:dyDescent="0.3">
      <c r="A817" t="s">
        <v>6</v>
      </c>
      <c r="B817" t="str">
        <f>"12/23/2014 00:00"</f>
        <v>12/23/2014 00:00</v>
      </c>
      <c r="C817">
        <v>2.23</v>
      </c>
      <c r="D817" t="s">
        <v>7</v>
      </c>
      <c r="E817" s="2" t="s">
        <v>12</v>
      </c>
      <c r="F817">
        <f t="shared" si="12"/>
        <v>4.4220899999999999</v>
      </c>
      <c r="G817" t="s">
        <v>16</v>
      </c>
      <c r="J817" t="str">
        <f>"12/23/2014 23:45"</f>
        <v>12/23/2014 23:45</v>
      </c>
    </row>
    <row r="818" spans="1:10" x14ac:dyDescent="0.3">
      <c r="A818" t="s">
        <v>6</v>
      </c>
      <c r="B818" t="str">
        <f>"12/24/2014 00:00"</f>
        <v>12/24/2014 00:00</v>
      </c>
      <c r="C818">
        <v>2.23</v>
      </c>
      <c r="D818" t="s">
        <v>7</v>
      </c>
      <c r="E818" s="2" t="s">
        <v>12</v>
      </c>
      <c r="F818">
        <f t="shared" si="12"/>
        <v>4.4220899999999999</v>
      </c>
      <c r="G818" t="s">
        <v>16</v>
      </c>
      <c r="J818" t="str">
        <f>"12/24/2014 23:45"</f>
        <v>12/24/2014 23:45</v>
      </c>
    </row>
    <row r="819" spans="1:10" x14ac:dyDescent="0.3">
      <c r="A819" t="s">
        <v>6</v>
      </c>
      <c r="B819" t="str">
        <f>"12/25/2014 00:00"</f>
        <v>12/25/2014 00:00</v>
      </c>
      <c r="C819">
        <v>2.23</v>
      </c>
      <c r="D819" t="s">
        <v>7</v>
      </c>
      <c r="E819" s="2" t="s">
        <v>12</v>
      </c>
      <c r="F819">
        <f t="shared" si="12"/>
        <v>4.4220899999999999</v>
      </c>
      <c r="G819" t="s">
        <v>16</v>
      </c>
      <c r="J819" t="str">
        <f>"12/25/2014 23:45"</f>
        <v>12/25/2014 23:45</v>
      </c>
    </row>
    <row r="820" spans="1:10" x14ac:dyDescent="0.3">
      <c r="A820" t="s">
        <v>6</v>
      </c>
      <c r="B820" t="str">
        <f>"12/26/2014 00:00"</f>
        <v>12/26/2014 00:00</v>
      </c>
      <c r="C820">
        <v>2.08</v>
      </c>
      <c r="D820" t="s">
        <v>7</v>
      </c>
      <c r="E820" s="2" t="s">
        <v>12</v>
      </c>
      <c r="F820">
        <f t="shared" si="12"/>
        <v>4.1246400000000003</v>
      </c>
      <c r="G820" t="s">
        <v>16</v>
      </c>
      <c r="J820" t="str">
        <f>"12/26/2014 23:45"</f>
        <v>12/26/2014 23:45</v>
      </c>
    </row>
    <row r="821" spans="1:10" x14ac:dyDescent="0.3">
      <c r="A821" t="s">
        <v>6</v>
      </c>
      <c r="B821" t="str">
        <f>"12/27/2014 00:00"</f>
        <v>12/27/2014 00:00</v>
      </c>
      <c r="C821">
        <v>1.92</v>
      </c>
      <c r="D821" t="s">
        <v>7</v>
      </c>
      <c r="E821" s="2" t="s">
        <v>12</v>
      </c>
      <c r="F821">
        <f t="shared" si="12"/>
        <v>3.8073600000000001</v>
      </c>
      <c r="G821" t="s">
        <v>16</v>
      </c>
      <c r="J821" t="str">
        <f>"12/27/2014 23:45"</f>
        <v>12/27/2014 23:45</v>
      </c>
    </row>
    <row r="822" spans="1:10" x14ac:dyDescent="0.3">
      <c r="A822" t="s">
        <v>6</v>
      </c>
      <c r="B822" t="str">
        <f>"12/28/2014 00:00"</f>
        <v>12/28/2014 00:00</v>
      </c>
      <c r="C822">
        <v>1.92</v>
      </c>
      <c r="D822" t="s">
        <v>7</v>
      </c>
      <c r="E822" s="2" t="s">
        <v>12</v>
      </c>
      <c r="F822">
        <f t="shared" si="12"/>
        <v>3.8073600000000001</v>
      </c>
      <c r="G822" t="s">
        <v>16</v>
      </c>
      <c r="J822" t="str">
        <f>"12/28/2014 23:45"</f>
        <v>12/28/2014 23:45</v>
      </c>
    </row>
    <row r="823" spans="1:10" x14ac:dyDescent="0.3">
      <c r="A823" t="s">
        <v>6</v>
      </c>
      <c r="B823" t="str">
        <f>"12/29/2014 00:00"</f>
        <v>12/29/2014 00:00</v>
      </c>
      <c r="C823">
        <v>1.92</v>
      </c>
      <c r="D823" t="s">
        <v>7</v>
      </c>
      <c r="E823" s="2" t="s">
        <v>12</v>
      </c>
      <c r="F823">
        <f t="shared" si="12"/>
        <v>3.8073600000000001</v>
      </c>
      <c r="G823" t="s">
        <v>16</v>
      </c>
      <c r="J823" t="str">
        <f>"12/29/2014 23:45"</f>
        <v>12/29/2014 23:45</v>
      </c>
    </row>
    <row r="824" spans="1:10" x14ac:dyDescent="0.3">
      <c r="A824" t="s">
        <v>6</v>
      </c>
      <c r="B824" t="str">
        <f>"12/30/2014 00:00"</f>
        <v>12/30/2014 00:00</v>
      </c>
      <c r="C824">
        <v>1.92</v>
      </c>
      <c r="D824" t="s">
        <v>7</v>
      </c>
      <c r="E824" s="2" t="s">
        <v>12</v>
      </c>
      <c r="F824">
        <f t="shared" si="12"/>
        <v>3.8073600000000001</v>
      </c>
      <c r="G824" t="s">
        <v>16</v>
      </c>
      <c r="J824" t="str">
        <f>"12/30/2014 23:45"</f>
        <v>12/30/2014 23:45</v>
      </c>
    </row>
    <row r="825" spans="1:10" x14ac:dyDescent="0.3">
      <c r="A825" t="s">
        <v>6</v>
      </c>
      <c r="B825" t="str">
        <f>"12/31/2014 00:00"</f>
        <v>12/31/2014 00:00</v>
      </c>
      <c r="C825">
        <v>1.92</v>
      </c>
      <c r="D825" t="s">
        <v>7</v>
      </c>
      <c r="E825" s="2" t="s">
        <v>12</v>
      </c>
      <c r="F825">
        <f t="shared" si="12"/>
        <v>3.8073600000000001</v>
      </c>
      <c r="G825" t="s">
        <v>16</v>
      </c>
      <c r="J825" t="str">
        <f>"12/31/2014 23:45"</f>
        <v>12/31/2014 23:45</v>
      </c>
    </row>
    <row r="826" spans="1:10" x14ac:dyDescent="0.3">
      <c r="A826" t="s">
        <v>6</v>
      </c>
      <c r="B826" t="str">
        <f>"01/01/2015 00:00"</f>
        <v>01/01/2015 00:00</v>
      </c>
      <c r="C826">
        <v>1.92</v>
      </c>
      <c r="D826" t="s">
        <v>7</v>
      </c>
      <c r="E826" s="2" t="s">
        <v>12</v>
      </c>
      <c r="F826">
        <f t="shared" si="12"/>
        <v>3.8073600000000001</v>
      </c>
      <c r="G826" t="s">
        <v>16</v>
      </c>
      <c r="J826" t="str">
        <f>"01/01/2015 23:45"</f>
        <v>01/01/2015 23:45</v>
      </c>
    </row>
    <row r="827" spans="1:10" x14ac:dyDescent="0.3">
      <c r="A827" t="s">
        <v>6</v>
      </c>
      <c r="B827" t="str">
        <f>"01/02/2015 00:00"</f>
        <v>01/02/2015 00:00</v>
      </c>
      <c r="C827">
        <v>1.93</v>
      </c>
      <c r="D827" t="s">
        <v>7</v>
      </c>
      <c r="E827" s="2" t="s">
        <v>12</v>
      </c>
      <c r="F827">
        <f t="shared" si="12"/>
        <v>3.8271899999999999</v>
      </c>
      <c r="G827" t="s">
        <v>16</v>
      </c>
      <c r="J827" t="str">
        <f>"01/02/2015 23:45"</f>
        <v>01/02/2015 23:45</v>
      </c>
    </row>
    <row r="828" spans="1:10" x14ac:dyDescent="0.3">
      <c r="A828" t="s">
        <v>6</v>
      </c>
      <c r="B828" t="str">
        <f>"01/03/2015 00:00"</f>
        <v>01/03/2015 00:00</v>
      </c>
      <c r="C828">
        <v>1.96</v>
      </c>
      <c r="D828" t="s">
        <v>7</v>
      </c>
      <c r="E828" s="2" t="s">
        <v>12</v>
      </c>
      <c r="F828">
        <f t="shared" si="12"/>
        <v>3.8866800000000001</v>
      </c>
      <c r="G828" t="s">
        <v>16</v>
      </c>
      <c r="J828" t="str">
        <f>"01/03/2015 23:45"</f>
        <v>01/03/2015 23:45</v>
      </c>
    </row>
    <row r="829" spans="1:10" x14ac:dyDescent="0.3">
      <c r="A829" t="s">
        <v>6</v>
      </c>
      <c r="B829" t="str">
        <f>"01/04/2015 00:00"</f>
        <v>01/04/2015 00:00</v>
      </c>
      <c r="C829">
        <v>1.92</v>
      </c>
      <c r="D829" t="s">
        <v>7</v>
      </c>
      <c r="E829" s="2" t="s">
        <v>12</v>
      </c>
      <c r="F829">
        <f t="shared" si="12"/>
        <v>3.8073600000000001</v>
      </c>
      <c r="G829" t="s">
        <v>16</v>
      </c>
      <c r="J829" t="str">
        <f>"01/04/2015 23:45"</f>
        <v>01/04/2015 23:45</v>
      </c>
    </row>
    <row r="830" spans="1:10" x14ac:dyDescent="0.3">
      <c r="A830" t="s">
        <v>6</v>
      </c>
      <c r="B830" t="str">
        <f>"01/05/2015 00:00"</f>
        <v>01/05/2015 00:00</v>
      </c>
      <c r="C830">
        <v>1.98</v>
      </c>
      <c r="D830" t="s">
        <v>7</v>
      </c>
      <c r="E830" s="2" t="s">
        <v>12</v>
      </c>
      <c r="F830">
        <f t="shared" si="12"/>
        <v>3.9263400000000002</v>
      </c>
      <c r="G830" t="s">
        <v>16</v>
      </c>
      <c r="J830" t="str">
        <f>"01/05/2015 23:45"</f>
        <v>01/05/2015 23:45</v>
      </c>
    </row>
    <row r="831" spans="1:10" x14ac:dyDescent="0.3">
      <c r="A831" t="s">
        <v>6</v>
      </c>
      <c r="B831" t="str">
        <f>"01/06/2015 00:00"</f>
        <v>01/06/2015 00:00</v>
      </c>
      <c r="C831">
        <v>3.16</v>
      </c>
      <c r="D831" t="s">
        <v>7</v>
      </c>
      <c r="E831" s="2" t="s">
        <v>12</v>
      </c>
      <c r="F831">
        <f t="shared" si="12"/>
        <v>6.266280000000001</v>
      </c>
      <c r="G831" t="s">
        <v>16</v>
      </c>
      <c r="J831" t="str">
        <f>"01/06/2015 23:45"</f>
        <v>01/06/2015 23:45</v>
      </c>
    </row>
    <row r="832" spans="1:10" x14ac:dyDescent="0.3">
      <c r="A832" t="s">
        <v>6</v>
      </c>
      <c r="B832" t="str">
        <f>"01/07/2015 00:00"</f>
        <v>01/07/2015 00:00</v>
      </c>
      <c r="C832">
        <v>3.1</v>
      </c>
      <c r="D832" t="s">
        <v>7</v>
      </c>
      <c r="E832" s="2" t="s">
        <v>12</v>
      </c>
      <c r="F832">
        <f t="shared" si="12"/>
        <v>6.1473000000000004</v>
      </c>
      <c r="G832" t="s">
        <v>16</v>
      </c>
      <c r="J832" t="str">
        <f>"01/07/2015 23:45"</f>
        <v>01/07/2015 23:45</v>
      </c>
    </row>
    <row r="833" spans="1:10" x14ac:dyDescent="0.3">
      <c r="A833" t="s">
        <v>6</v>
      </c>
      <c r="B833" t="str">
        <f>"01/08/2015 00:00"</f>
        <v>01/08/2015 00:00</v>
      </c>
      <c r="C833">
        <v>2.91</v>
      </c>
      <c r="D833" t="s">
        <v>7</v>
      </c>
      <c r="E833" s="2" t="s">
        <v>12</v>
      </c>
      <c r="F833">
        <f t="shared" si="12"/>
        <v>5.7705300000000008</v>
      </c>
      <c r="G833" t="s">
        <v>16</v>
      </c>
      <c r="J833" t="str">
        <f>"01/08/2015 23:45"</f>
        <v>01/08/2015 23:45</v>
      </c>
    </row>
    <row r="834" spans="1:10" x14ac:dyDescent="0.3">
      <c r="A834" t="s">
        <v>6</v>
      </c>
      <c r="B834" t="str">
        <f>"01/09/2015 00:00"</f>
        <v>01/09/2015 00:00</v>
      </c>
      <c r="C834">
        <v>2.91</v>
      </c>
      <c r="D834" t="s">
        <v>7</v>
      </c>
      <c r="E834" s="2" t="s">
        <v>12</v>
      </c>
      <c r="F834">
        <f t="shared" si="12"/>
        <v>5.7705300000000008</v>
      </c>
      <c r="G834" t="s">
        <v>16</v>
      </c>
      <c r="J834" t="str">
        <f>"01/09/2015 23:45"</f>
        <v>01/09/2015 23:45</v>
      </c>
    </row>
    <row r="835" spans="1:10" x14ac:dyDescent="0.3">
      <c r="A835" t="s">
        <v>6</v>
      </c>
      <c r="B835" t="str">
        <f>"01/10/2015 00:00"</f>
        <v>01/10/2015 00:00</v>
      </c>
      <c r="C835">
        <v>2.84</v>
      </c>
      <c r="D835" t="s">
        <v>7</v>
      </c>
      <c r="E835" s="2" t="s">
        <v>12</v>
      </c>
      <c r="F835">
        <f t="shared" si="12"/>
        <v>5.6317199999999996</v>
      </c>
      <c r="G835" t="s">
        <v>16</v>
      </c>
      <c r="J835" t="str">
        <f>"01/10/2015 23:45"</f>
        <v>01/10/2015 23:45</v>
      </c>
    </row>
    <row r="836" spans="1:10" x14ac:dyDescent="0.3">
      <c r="A836" t="s">
        <v>6</v>
      </c>
      <c r="B836" t="str">
        <f>"01/11/2015 00:00"</f>
        <v>01/11/2015 00:00</v>
      </c>
      <c r="C836">
        <v>2.56</v>
      </c>
      <c r="D836" t="s">
        <v>7</v>
      </c>
      <c r="E836" s="2" t="s">
        <v>12</v>
      </c>
      <c r="F836">
        <f t="shared" si="12"/>
        <v>5.0764800000000001</v>
      </c>
      <c r="G836" t="s">
        <v>16</v>
      </c>
      <c r="J836" t="str">
        <f>"01/11/2015 23:45"</f>
        <v>01/11/2015 23:45</v>
      </c>
    </row>
    <row r="837" spans="1:10" x14ac:dyDescent="0.3">
      <c r="A837" t="s">
        <v>6</v>
      </c>
      <c r="B837" t="str">
        <f>"01/12/2015 00:00"</f>
        <v>01/12/2015 00:00</v>
      </c>
      <c r="C837">
        <v>2.56</v>
      </c>
      <c r="D837" t="s">
        <v>7</v>
      </c>
      <c r="E837" s="2" t="s">
        <v>12</v>
      </c>
      <c r="F837">
        <f t="shared" ref="F837:F900" si="13">C837*1.983</f>
        <v>5.0764800000000001</v>
      </c>
      <c r="G837" t="s">
        <v>16</v>
      </c>
      <c r="J837" t="str">
        <f>"01/12/2015 23:45"</f>
        <v>01/12/2015 23:45</v>
      </c>
    </row>
    <row r="838" spans="1:10" x14ac:dyDescent="0.3">
      <c r="A838" t="s">
        <v>6</v>
      </c>
      <c r="B838" t="str">
        <f>"01/13/2015 00:00"</f>
        <v>01/13/2015 00:00</v>
      </c>
      <c r="C838">
        <v>2.56</v>
      </c>
      <c r="D838" t="s">
        <v>7</v>
      </c>
      <c r="E838" s="2" t="s">
        <v>12</v>
      </c>
      <c r="F838">
        <f t="shared" si="13"/>
        <v>5.0764800000000001</v>
      </c>
      <c r="G838" t="s">
        <v>16</v>
      </c>
      <c r="J838" t="str">
        <f>"01/13/2015 23:45"</f>
        <v>01/13/2015 23:45</v>
      </c>
    </row>
    <row r="839" spans="1:10" x14ac:dyDescent="0.3">
      <c r="A839" t="s">
        <v>6</v>
      </c>
      <c r="B839" t="str">
        <f>"01/14/2015 00:00"</f>
        <v>01/14/2015 00:00</v>
      </c>
      <c r="C839">
        <v>2.56</v>
      </c>
      <c r="D839" t="s">
        <v>7</v>
      </c>
      <c r="E839" s="2" t="s">
        <v>12</v>
      </c>
      <c r="F839">
        <f t="shared" si="13"/>
        <v>5.0764800000000001</v>
      </c>
      <c r="G839" t="s">
        <v>16</v>
      </c>
      <c r="J839" t="str">
        <f>"01/14/2015 23:45"</f>
        <v>01/14/2015 23:45</v>
      </c>
    </row>
    <row r="840" spans="1:10" x14ac:dyDescent="0.3">
      <c r="A840" t="s">
        <v>6</v>
      </c>
      <c r="B840" t="str">
        <f>"01/15/2015 00:00"</f>
        <v>01/15/2015 00:00</v>
      </c>
      <c r="C840">
        <v>2.56</v>
      </c>
      <c r="D840" t="s">
        <v>7</v>
      </c>
      <c r="E840" s="2" t="s">
        <v>12</v>
      </c>
      <c r="F840">
        <f t="shared" si="13"/>
        <v>5.0764800000000001</v>
      </c>
      <c r="G840" t="s">
        <v>16</v>
      </c>
      <c r="J840" t="str">
        <f>"01/15/2015 23:45"</f>
        <v>01/15/2015 23:45</v>
      </c>
    </row>
    <row r="841" spans="1:10" x14ac:dyDescent="0.3">
      <c r="A841" t="s">
        <v>6</v>
      </c>
      <c r="B841" t="str">
        <f>"01/16/2015 00:00"</f>
        <v>01/16/2015 00:00</v>
      </c>
      <c r="C841">
        <v>2.56</v>
      </c>
      <c r="D841" t="s">
        <v>7</v>
      </c>
      <c r="E841" s="2" t="s">
        <v>12</v>
      </c>
      <c r="F841">
        <f t="shared" si="13"/>
        <v>5.0764800000000001</v>
      </c>
      <c r="G841" t="s">
        <v>16</v>
      </c>
      <c r="J841" t="str">
        <f>"01/16/2015 23:45"</f>
        <v>01/16/2015 23:45</v>
      </c>
    </row>
    <row r="842" spans="1:10" x14ac:dyDescent="0.3">
      <c r="A842" t="s">
        <v>6</v>
      </c>
      <c r="B842" t="str">
        <f>"01/17/2015 00:00"</f>
        <v>01/17/2015 00:00</v>
      </c>
      <c r="C842">
        <v>2.56</v>
      </c>
      <c r="D842" t="s">
        <v>7</v>
      </c>
      <c r="E842" s="2" t="s">
        <v>12</v>
      </c>
      <c r="F842">
        <f t="shared" si="13"/>
        <v>5.0764800000000001</v>
      </c>
      <c r="G842" t="s">
        <v>16</v>
      </c>
      <c r="J842" t="str">
        <f>"01/17/2015 23:45"</f>
        <v>01/17/2015 23:45</v>
      </c>
    </row>
    <row r="843" spans="1:10" x14ac:dyDescent="0.3">
      <c r="A843" t="s">
        <v>6</v>
      </c>
      <c r="B843" t="str">
        <f>"01/18/2015 00:00"</f>
        <v>01/18/2015 00:00</v>
      </c>
      <c r="C843">
        <v>2.56</v>
      </c>
      <c r="D843" t="s">
        <v>7</v>
      </c>
      <c r="E843" s="2" t="s">
        <v>12</v>
      </c>
      <c r="F843">
        <f t="shared" si="13"/>
        <v>5.0764800000000001</v>
      </c>
      <c r="G843" t="s">
        <v>16</v>
      </c>
      <c r="J843" t="str">
        <f>"01/18/2015 23:45"</f>
        <v>01/18/2015 23:45</v>
      </c>
    </row>
    <row r="844" spans="1:10" x14ac:dyDescent="0.3">
      <c r="A844" t="s">
        <v>6</v>
      </c>
      <c r="B844" t="str">
        <f>"01/19/2015 00:00"</f>
        <v>01/19/2015 00:00</v>
      </c>
      <c r="C844">
        <v>2.56</v>
      </c>
      <c r="D844" t="s">
        <v>7</v>
      </c>
      <c r="E844" s="2" t="s">
        <v>12</v>
      </c>
      <c r="F844">
        <f t="shared" si="13"/>
        <v>5.0764800000000001</v>
      </c>
      <c r="G844" t="s">
        <v>16</v>
      </c>
      <c r="J844" t="str">
        <f>"01/19/2015 23:45"</f>
        <v>01/19/2015 23:45</v>
      </c>
    </row>
    <row r="845" spans="1:10" x14ac:dyDescent="0.3">
      <c r="A845" t="s">
        <v>6</v>
      </c>
      <c r="B845" t="str">
        <f>"01/20/2015 00:00"</f>
        <v>01/20/2015 00:00</v>
      </c>
      <c r="C845">
        <v>2.56</v>
      </c>
      <c r="D845" t="s">
        <v>7</v>
      </c>
      <c r="E845" s="2" t="s">
        <v>12</v>
      </c>
      <c r="F845">
        <f t="shared" si="13"/>
        <v>5.0764800000000001</v>
      </c>
      <c r="G845" t="s">
        <v>16</v>
      </c>
      <c r="J845" t="str">
        <f>"01/20/2015 23:45"</f>
        <v>01/20/2015 23:45</v>
      </c>
    </row>
    <row r="846" spans="1:10" x14ac:dyDescent="0.3">
      <c r="A846" t="s">
        <v>6</v>
      </c>
      <c r="B846" t="str">
        <f>"01/21/2015 00:00"</f>
        <v>01/21/2015 00:00</v>
      </c>
      <c r="C846">
        <v>2.56</v>
      </c>
      <c r="D846" t="s">
        <v>7</v>
      </c>
      <c r="E846" s="2" t="s">
        <v>12</v>
      </c>
      <c r="F846">
        <f t="shared" si="13"/>
        <v>5.0764800000000001</v>
      </c>
      <c r="G846" t="s">
        <v>16</v>
      </c>
      <c r="J846" t="str">
        <f>"01/21/2015 23:45"</f>
        <v>01/21/2015 23:45</v>
      </c>
    </row>
    <row r="847" spans="1:10" x14ac:dyDescent="0.3">
      <c r="A847" t="s">
        <v>6</v>
      </c>
      <c r="B847" t="str">
        <f>"01/22/2015 00:00"</f>
        <v>01/22/2015 00:00</v>
      </c>
      <c r="C847">
        <v>2.56</v>
      </c>
      <c r="D847" t="s">
        <v>7</v>
      </c>
      <c r="E847" s="2" t="s">
        <v>12</v>
      </c>
      <c r="F847">
        <f t="shared" si="13"/>
        <v>5.0764800000000001</v>
      </c>
      <c r="G847" t="s">
        <v>16</v>
      </c>
      <c r="J847" t="str">
        <f>"01/22/2015 23:45"</f>
        <v>01/22/2015 23:45</v>
      </c>
    </row>
    <row r="848" spans="1:10" x14ac:dyDescent="0.3">
      <c r="A848" t="s">
        <v>6</v>
      </c>
      <c r="B848" t="str">
        <f>"01/23/2015 00:00"</f>
        <v>01/23/2015 00:00</v>
      </c>
      <c r="C848">
        <v>2.56</v>
      </c>
      <c r="D848" t="s">
        <v>7</v>
      </c>
      <c r="E848" s="2" t="s">
        <v>12</v>
      </c>
      <c r="F848">
        <f t="shared" si="13"/>
        <v>5.0764800000000001</v>
      </c>
      <c r="G848" t="s">
        <v>16</v>
      </c>
      <c r="J848" t="str">
        <f>"01/23/2015 23:45"</f>
        <v>01/23/2015 23:45</v>
      </c>
    </row>
    <row r="849" spans="1:10" x14ac:dyDescent="0.3">
      <c r="A849" t="s">
        <v>6</v>
      </c>
      <c r="B849" t="str">
        <f>"01/24/2015 00:00"</f>
        <v>01/24/2015 00:00</v>
      </c>
      <c r="C849">
        <v>2.5499999999999998</v>
      </c>
      <c r="D849" t="s">
        <v>7</v>
      </c>
      <c r="E849" s="2" t="s">
        <v>12</v>
      </c>
      <c r="F849">
        <f t="shared" si="13"/>
        <v>5.0566500000000003</v>
      </c>
      <c r="G849" t="s">
        <v>16</v>
      </c>
      <c r="J849" t="str">
        <f>"01/24/2015 23:45"</f>
        <v>01/24/2015 23:45</v>
      </c>
    </row>
    <row r="850" spans="1:10" x14ac:dyDescent="0.3">
      <c r="A850" t="s">
        <v>6</v>
      </c>
      <c r="B850" t="str">
        <f>"01/25/2015 00:00"</f>
        <v>01/25/2015 00:00</v>
      </c>
      <c r="C850">
        <v>2.23</v>
      </c>
      <c r="D850" t="s">
        <v>7</v>
      </c>
      <c r="E850" s="2" t="s">
        <v>12</v>
      </c>
      <c r="F850">
        <f t="shared" si="13"/>
        <v>4.4220899999999999</v>
      </c>
      <c r="G850" t="s">
        <v>16</v>
      </c>
      <c r="J850" t="str">
        <f>"01/25/2015 23:45"</f>
        <v>01/25/2015 23:45</v>
      </c>
    </row>
    <row r="851" spans="1:10" x14ac:dyDescent="0.3">
      <c r="A851" t="s">
        <v>6</v>
      </c>
      <c r="B851" t="str">
        <f>"01/26/2015 00:00"</f>
        <v>01/26/2015 00:00</v>
      </c>
      <c r="C851">
        <v>2.23</v>
      </c>
      <c r="D851" t="s">
        <v>7</v>
      </c>
      <c r="E851" s="2" t="s">
        <v>12</v>
      </c>
      <c r="F851">
        <f t="shared" si="13"/>
        <v>4.4220899999999999</v>
      </c>
      <c r="G851" t="s">
        <v>16</v>
      </c>
      <c r="J851" t="str">
        <f>"01/26/2015 23:45"</f>
        <v>01/26/2015 23:45</v>
      </c>
    </row>
    <row r="852" spans="1:10" x14ac:dyDescent="0.3">
      <c r="A852" t="s">
        <v>6</v>
      </c>
      <c r="B852" t="str">
        <f>"01/27/2015 00:00"</f>
        <v>01/27/2015 00:00</v>
      </c>
      <c r="C852">
        <v>2.33</v>
      </c>
      <c r="D852" t="s">
        <v>7</v>
      </c>
      <c r="E852" s="2" t="s">
        <v>12</v>
      </c>
      <c r="F852">
        <f t="shared" si="13"/>
        <v>4.6203900000000004</v>
      </c>
      <c r="G852" t="s">
        <v>16</v>
      </c>
      <c r="J852" t="str">
        <f>"01/27/2015 23:45"</f>
        <v>01/27/2015 23:45</v>
      </c>
    </row>
    <row r="853" spans="1:10" x14ac:dyDescent="0.3">
      <c r="A853" t="s">
        <v>6</v>
      </c>
      <c r="B853" t="str">
        <f>"01/28/2015 00:00"</f>
        <v>01/28/2015 00:00</v>
      </c>
      <c r="C853">
        <v>2.56</v>
      </c>
      <c r="D853" t="s">
        <v>7</v>
      </c>
      <c r="E853" s="2" t="s">
        <v>12</v>
      </c>
      <c r="F853">
        <f t="shared" si="13"/>
        <v>5.0764800000000001</v>
      </c>
      <c r="G853" t="s">
        <v>16</v>
      </c>
      <c r="J853" t="str">
        <f>"01/28/2015 23:45"</f>
        <v>01/28/2015 23:45</v>
      </c>
    </row>
    <row r="854" spans="1:10" x14ac:dyDescent="0.3">
      <c r="A854" t="s">
        <v>6</v>
      </c>
      <c r="B854" t="str">
        <f>"01/29/2015 00:00"</f>
        <v>01/29/2015 00:00</v>
      </c>
      <c r="C854">
        <v>2.56</v>
      </c>
      <c r="D854" t="s">
        <v>7</v>
      </c>
      <c r="E854" s="2" t="s">
        <v>12</v>
      </c>
      <c r="F854">
        <f t="shared" si="13"/>
        <v>5.0764800000000001</v>
      </c>
      <c r="G854" t="s">
        <v>16</v>
      </c>
      <c r="J854" t="str">
        <f>"01/29/2015 23:45"</f>
        <v>01/29/2015 23:45</v>
      </c>
    </row>
    <row r="855" spans="1:10" x14ac:dyDescent="0.3">
      <c r="A855" t="s">
        <v>6</v>
      </c>
      <c r="B855" t="str">
        <f>"01/30/2015 00:00"</f>
        <v>01/30/2015 00:00</v>
      </c>
      <c r="C855">
        <v>2.54</v>
      </c>
      <c r="D855" t="s">
        <v>7</v>
      </c>
      <c r="E855" s="2" t="s">
        <v>12</v>
      </c>
      <c r="F855">
        <f t="shared" si="13"/>
        <v>5.0368200000000005</v>
      </c>
      <c r="G855" t="s">
        <v>16</v>
      </c>
      <c r="J855" t="str">
        <f>"01/30/2015 23:45"</f>
        <v>01/30/2015 23:45</v>
      </c>
    </row>
    <row r="856" spans="1:10" x14ac:dyDescent="0.3">
      <c r="A856" t="s">
        <v>6</v>
      </c>
      <c r="B856" t="str">
        <f>"01/31/2015 00:00"</f>
        <v>01/31/2015 00:00</v>
      </c>
      <c r="C856">
        <v>2.36</v>
      </c>
      <c r="D856" t="s">
        <v>7</v>
      </c>
      <c r="E856" s="2" t="s">
        <v>12</v>
      </c>
      <c r="F856">
        <f t="shared" si="13"/>
        <v>4.6798799999999998</v>
      </c>
      <c r="G856" t="s">
        <v>16</v>
      </c>
      <c r="J856" t="str">
        <f>"01/31/2015 23:45"</f>
        <v>01/31/2015 23:45</v>
      </c>
    </row>
    <row r="857" spans="1:10" x14ac:dyDescent="0.3">
      <c r="A857" t="s">
        <v>6</v>
      </c>
      <c r="B857" t="str">
        <f>"02/01/2015 00:00"</f>
        <v>02/01/2015 00:00</v>
      </c>
      <c r="C857">
        <v>2.56</v>
      </c>
      <c r="D857" t="s">
        <v>7</v>
      </c>
      <c r="E857" s="2" t="s">
        <v>12</v>
      </c>
      <c r="F857">
        <f t="shared" si="13"/>
        <v>5.0764800000000001</v>
      </c>
      <c r="G857" t="s">
        <v>16</v>
      </c>
      <c r="J857" t="str">
        <f>"02/01/2015 23:45"</f>
        <v>02/01/2015 23:45</v>
      </c>
    </row>
    <row r="858" spans="1:10" x14ac:dyDescent="0.3">
      <c r="A858" t="s">
        <v>6</v>
      </c>
      <c r="B858" t="str">
        <f>"02/02/2015 00:00"</f>
        <v>02/02/2015 00:00</v>
      </c>
      <c r="C858">
        <v>2.56</v>
      </c>
      <c r="D858" t="s">
        <v>7</v>
      </c>
      <c r="E858" s="2" t="s">
        <v>12</v>
      </c>
      <c r="F858">
        <f t="shared" si="13"/>
        <v>5.0764800000000001</v>
      </c>
      <c r="G858" t="s">
        <v>16</v>
      </c>
      <c r="J858" t="str">
        <f>"02/02/2015 23:45"</f>
        <v>02/02/2015 23:45</v>
      </c>
    </row>
    <row r="859" spans="1:10" x14ac:dyDescent="0.3">
      <c r="A859" t="s">
        <v>6</v>
      </c>
      <c r="B859" t="str">
        <f>"02/03/2015 00:00"</f>
        <v>02/03/2015 00:00</v>
      </c>
      <c r="C859">
        <v>2.56</v>
      </c>
      <c r="D859" t="s">
        <v>7</v>
      </c>
      <c r="E859" s="2" t="s">
        <v>12</v>
      </c>
      <c r="F859">
        <f t="shared" si="13"/>
        <v>5.0764800000000001</v>
      </c>
      <c r="G859" t="s">
        <v>16</v>
      </c>
      <c r="J859" t="str">
        <f>"02/03/2015 23:45"</f>
        <v>02/03/2015 23:45</v>
      </c>
    </row>
    <row r="860" spans="1:10" x14ac:dyDescent="0.3">
      <c r="A860" t="s">
        <v>6</v>
      </c>
      <c r="B860" t="str">
        <f>"02/04/2015 00:00"</f>
        <v>02/04/2015 00:00</v>
      </c>
      <c r="C860">
        <v>2.56</v>
      </c>
      <c r="D860" t="s">
        <v>7</v>
      </c>
      <c r="E860" s="2" t="s">
        <v>12</v>
      </c>
      <c r="F860">
        <f t="shared" si="13"/>
        <v>5.0764800000000001</v>
      </c>
      <c r="G860" t="s">
        <v>16</v>
      </c>
      <c r="J860" t="str">
        <f>"02/04/2015 23:45"</f>
        <v>02/04/2015 23:45</v>
      </c>
    </row>
    <row r="861" spans="1:10" x14ac:dyDescent="0.3">
      <c r="A861" t="s">
        <v>6</v>
      </c>
      <c r="B861" t="str">
        <f>"02/05/2015 00:00"</f>
        <v>02/05/2015 00:00</v>
      </c>
      <c r="C861">
        <v>2.56</v>
      </c>
      <c r="D861" t="s">
        <v>7</v>
      </c>
      <c r="E861" s="2" t="s">
        <v>12</v>
      </c>
      <c r="F861">
        <f t="shared" si="13"/>
        <v>5.0764800000000001</v>
      </c>
      <c r="G861" t="s">
        <v>16</v>
      </c>
      <c r="J861" t="str">
        <f>"02/05/2015 23:45"</f>
        <v>02/05/2015 23:45</v>
      </c>
    </row>
    <row r="862" spans="1:10" x14ac:dyDescent="0.3">
      <c r="A862" t="s">
        <v>6</v>
      </c>
      <c r="B862" t="str">
        <f>"02/06/2015 00:00"</f>
        <v>02/06/2015 00:00</v>
      </c>
      <c r="C862">
        <v>2.35</v>
      </c>
      <c r="D862" t="s">
        <v>7</v>
      </c>
      <c r="E862" s="2" t="s">
        <v>12</v>
      </c>
      <c r="F862">
        <f t="shared" si="13"/>
        <v>4.66005</v>
      </c>
      <c r="G862" t="s">
        <v>16</v>
      </c>
      <c r="J862" t="str">
        <f>"02/06/2015 23:45"</f>
        <v>02/06/2015 23:45</v>
      </c>
    </row>
    <row r="863" spans="1:10" x14ac:dyDescent="0.3">
      <c r="A863" t="s">
        <v>6</v>
      </c>
      <c r="B863" t="str">
        <f>"02/07/2015 00:00"</f>
        <v>02/07/2015 00:00</v>
      </c>
      <c r="C863">
        <v>2.23</v>
      </c>
      <c r="D863" t="s">
        <v>7</v>
      </c>
      <c r="E863" s="2" t="s">
        <v>12</v>
      </c>
      <c r="F863">
        <f t="shared" si="13"/>
        <v>4.4220899999999999</v>
      </c>
      <c r="G863" t="s">
        <v>16</v>
      </c>
      <c r="J863" t="str">
        <f>"02/07/2015 23:45"</f>
        <v>02/07/2015 23:45</v>
      </c>
    </row>
    <row r="864" spans="1:10" x14ac:dyDescent="0.3">
      <c r="A864" t="s">
        <v>6</v>
      </c>
      <c r="B864" t="str">
        <f>"02/08/2015 00:00"</f>
        <v>02/08/2015 00:00</v>
      </c>
      <c r="C864">
        <v>2.38</v>
      </c>
      <c r="D864" t="s">
        <v>7</v>
      </c>
      <c r="E864" s="2" t="s">
        <v>12</v>
      </c>
      <c r="F864">
        <f t="shared" si="13"/>
        <v>4.7195400000000003</v>
      </c>
      <c r="G864" t="s">
        <v>16</v>
      </c>
      <c r="J864" t="str">
        <f>"02/08/2015 23:45"</f>
        <v>02/08/2015 23:45</v>
      </c>
    </row>
    <row r="865" spans="1:10" x14ac:dyDescent="0.3">
      <c r="A865" t="s">
        <v>6</v>
      </c>
      <c r="B865" t="str">
        <f>"02/09/2015 00:00"</f>
        <v>02/09/2015 00:00</v>
      </c>
      <c r="C865">
        <v>2.4</v>
      </c>
      <c r="D865" t="s">
        <v>7</v>
      </c>
      <c r="E865" s="2" t="s">
        <v>12</v>
      </c>
      <c r="F865">
        <f t="shared" si="13"/>
        <v>4.7591999999999999</v>
      </c>
      <c r="G865" t="s">
        <v>16</v>
      </c>
      <c r="J865" t="str">
        <f>"02/09/2015 23:45"</f>
        <v>02/09/2015 23:45</v>
      </c>
    </row>
    <row r="866" spans="1:10" x14ac:dyDescent="0.3">
      <c r="A866" t="s">
        <v>6</v>
      </c>
      <c r="B866" t="str">
        <f>"02/10/2015 00:00"</f>
        <v>02/10/2015 00:00</v>
      </c>
      <c r="C866">
        <v>2.23</v>
      </c>
      <c r="D866" t="s">
        <v>7</v>
      </c>
      <c r="E866" s="2" t="s">
        <v>12</v>
      </c>
      <c r="F866">
        <f t="shared" si="13"/>
        <v>4.4220899999999999</v>
      </c>
      <c r="G866" t="s">
        <v>16</v>
      </c>
      <c r="J866" t="str">
        <f>"02/10/2015 23:45"</f>
        <v>02/10/2015 23:45</v>
      </c>
    </row>
    <row r="867" spans="1:10" x14ac:dyDescent="0.3">
      <c r="A867" t="s">
        <v>6</v>
      </c>
      <c r="B867" t="str">
        <f>"02/11/2015 00:00"</f>
        <v>02/11/2015 00:00</v>
      </c>
      <c r="C867">
        <v>2.23</v>
      </c>
      <c r="D867" t="s">
        <v>7</v>
      </c>
      <c r="E867" s="2" t="s">
        <v>12</v>
      </c>
      <c r="F867">
        <f t="shared" si="13"/>
        <v>4.4220899999999999</v>
      </c>
      <c r="G867" t="s">
        <v>16</v>
      </c>
      <c r="J867" t="str">
        <f>"02/11/2015 23:45"</f>
        <v>02/11/2015 23:45</v>
      </c>
    </row>
    <row r="868" spans="1:10" x14ac:dyDescent="0.3">
      <c r="A868" t="s">
        <v>6</v>
      </c>
      <c r="B868" t="str">
        <f>"02/12/2015 00:00"</f>
        <v>02/12/2015 00:00</v>
      </c>
      <c r="C868">
        <v>2.15</v>
      </c>
      <c r="D868" t="s">
        <v>7</v>
      </c>
      <c r="E868" s="2" t="s">
        <v>12</v>
      </c>
      <c r="F868">
        <f t="shared" si="13"/>
        <v>4.2634499999999997</v>
      </c>
      <c r="G868" t="s">
        <v>16</v>
      </c>
      <c r="J868" t="str">
        <f>"02/12/2015 23:45"</f>
        <v>02/12/2015 23:45</v>
      </c>
    </row>
    <row r="869" spans="1:10" x14ac:dyDescent="0.3">
      <c r="A869" t="s">
        <v>6</v>
      </c>
      <c r="B869" t="str">
        <f>"02/13/2015 00:00"</f>
        <v>02/13/2015 00:00</v>
      </c>
      <c r="C869">
        <v>1.92</v>
      </c>
      <c r="D869" t="s">
        <v>7</v>
      </c>
      <c r="E869" s="2" t="s">
        <v>12</v>
      </c>
      <c r="F869">
        <f t="shared" si="13"/>
        <v>3.8073600000000001</v>
      </c>
      <c r="G869" t="s">
        <v>16</v>
      </c>
      <c r="J869" t="str">
        <f>"02/13/2015 23:45"</f>
        <v>02/13/2015 23:45</v>
      </c>
    </row>
    <row r="870" spans="1:10" x14ac:dyDescent="0.3">
      <c r="A870" t="s">
        <v>6</v>
      </c>
      <c r="B870" t="str">
        <f>"02/14/2015 00:00"</f>
        <v>02/14/2015 00:00</v>
      </c>
      <c r="C870">
        <v>1.92</v>
      </c>
      <c r="D870" t="s">
        <v>7</v>
      </c>
      <c r="E870" s="2" t="s">
        <v>12</v>
      </c>
      <c r="F870">
        <f t="shared" si="13"/>
        <v>3.8073600000000001</v>
      </c>
      <c r="G870" t="s">
        <v>16</v>
      </c>
      <c r="J870" t="str">
        <f>"02/14/2015 23:45"</f>
        <v>02/14/2015 23:45</v>
      </c>
    </row>
    <row r="871" spans="1:10" x14ac:dyDescent="0.3">
      <c r="A871" t="s">
        <v>6</v>
      </c>
      <c r="B871" t="str">
        <f>"02/15/2015 00:00"</f>
        <v>02/15/2015 00:00</v>
      </c>
      <c r="C871">
        <v>2.08</v>
      </c>
      <c r="D871" t="s">
        <v>7</v>
      </c>
      <c r="E871" s="2" t="s">
        <v>12</v>
      </c>
      <c r="F871">
        <f t="shared" si="13"/>
        <v>4.1246400000000003</v>
      </c>
      <c r="G871" t="s">
        <v>16</v>
      </c>
      <c r="J871" t="str">
        <f>"02/15/2015 23:45"</f>
        <v>02/15/2015 23:45</v>
      </c>
    </row>
    <row r="872" spans="1:10" x14ac:dyDescent="0.3">
      <c r="A872" t="s">
        <v>6</v>
      </c>
      <c r="B872" t="str">
        <f>"02/16/2015 00:00"</f>
        <v>02/16/2015 00:00</v>
      </c>
      <c r="C872">
        <v>2.23</v>
      </c>
      <c r="D872" t="s">
        <v>7</v>
      </c>
      <c r="E872" s="2" t="s">
        <v>12</v>
      </c>
      <c r="F872">
        <f t="shared" si="13"/>
        <v>4.4220899999999999</v>
      </c>
      <c r="G872" t="s">
        <v>16</v>
      </c>
      <c r="J872" t="str">
        <f>"02/16/2015 23:45"</f>
        <v>02/16/2015 23:45</v>
      </c>
    </row>
    <row r="873" spans="1:10" x14ac:dyDescent="0.3">
      <c r="A873" t="s">
        <v>6</v>
      </c>
      <c r="B873" t="str">
        <f>"02/17/2015 00:00"</f>
        <v>02/17/2015 00:00</v>
      </c>
      <c r="C873">
        <v>2.16</v>
      </c>
      <c r="D873" t="s">
        <v>7</v>
      </c>
      <c r="E873" s="2" t="s">
        <v>12</v>
      </c>
      <c r="F873">
        <f t="shared" si="13"/>
        <v>4.2832800000000004</v>
      </c>
      <c r="G873" t="s">
        <v>16</v>
      </c>
      <c r="J873" t="str">
        <f>"02/17/2015 23:45"</f>
        <v>02/17/2015 23:45</v>
      </c>
    </row>
    <row r="874" spans="1:10" x14ac:dyDescent="0.3">
      <c r="A874" t="s">
        <v>6</v>
      </c>
      <c r="B874" t="str">
        <f>"02/18/2015 00:00"</f>
        <v>02/18/2015 00:00</v>
      </c>
      <c r="C874">
        <v>2.2000000000000002</v>
      </c>
      <c r="D874" t="s">
        <v>7</v>
      </c>
      <c r="E874" s="2" t="s">
        <v>12</v>
      </c>
      <c r="F874">
        <f t="shared" si="13"/>
        <v>4.3626000000000005</v>
      </c>
      <c r="G874" t="s">
        <v>16</v>
      </c>
      <c r="J874" t="str">
        <f>"02/18/2015 23:45"</f>
        <v>02/18/2015 23:45</v>
      </c>
    </row>
    <row r="875" spans="1:10" x14ac:dyDescent="0.3">
      <c r="A875" t="s">
        <v>6</v>
      </c>
      <c r="B875" t="str">
        <f>"02/19/2015 00:00"</f>
        <v>02/19/2015 00:00</v>
      </c>
      <c r="C875">
        <v>2.5099999999999998</v>
      </c>
      <c r="D875" t="s">
        <v>7</v>
      </c>
      <c r="E875" s="2" t="s">
        <v>12</v>
      </c>
      <c r="F875">
        <f t="shared" si="13"/>
        <v>4.9773300000000003</v>
      </c>
      <c r="G875" t="s">
        <v>16</v>
      </c>
      <c r="J875" t="str">
        <f>"02/19/2015 23:45"</f>
        <v>02/19/2015 23:45</v>
      </c>
    </row>
    <row r="876" spans="1:10" x14ac:dyDescent="0.3">
      <c r="A876" t="s">
        <v>6</v>
      </c>
      <c r="B876" t="str">
        <f>"02/20/2015 00:00"</f>
        <v>02/20/2015 00:00</v>
      </c>
      <c r="C876">
        <v>2.31</v>
      </c>
      <c r="D876" t="s">
        <v>7</v>
      </c>
      <c r="E876" s="2" t="s">
        <v>12</v>
      </c>
      <c r="F876">
        <f t="shared" si="13"/>
        <v>4.58073</v>
      </c>
      <c r="G876" t="s">
        <v>16</v>
      </c>
      <c r="J876" t="str">
        <f>"02/20/2015 23:45"</f>
        <v>02/20/2015 23:45</v>
      </c>
    </row>
    <row r="877" spans="1:10" x14ac:dyDescent="0.3">
      <c r="A877" t="s">
        <v>6</v>
      </c>
      <c r="B877" t="str">
        <f>"02/21/2015 00:00"</f>
        <v>02/21/2015 00:00</v>
      </c>
      <c r="C877">
        <v>2.2400000000000002</v>
      </c>
      <c r="D877" t="s">
        <v>7</v>
      </c>
      <c r="E877" s="2" t="s">
        <v>12</v>
      </c>
      <c r="F877">
        <f t="shared" si="13"/>
        <v>4.4419200000000005</v>
      </c>
      <c r="G877" t="s">
        <v>16</v>
      </c>
      <c r="J877" t="str">
        <f>"02/21/2015 23:45"</f>
        <v>02/21/2015 23:45</v>
      </c>
    </row>
    <row r="878" spans="1:10" x14ac:dyDescent="0.3">
      <c r="A878" t="s">
        <v>6</v>
      </c>
      <c r="B878" t="str">
        <f>"02/22/2015 00:00"</f>
        <v>02/22/2015 00:00</v>
      </c>
      <c r="C878">
        <v>2.9</v>
      </c>
      <c r="D878" t="s">
        <v>7</v>
      </c>
      <c r="E878" s="2" t="s">
        <v>12</v>
      </c>
      <c r="F878">
        <f t="shared" si="13"/>
        <v>5.7507000000000001</v>
      </c>
      <c r="G878" t="s">
        <v>16</v>
      </c>
      <c r="J878" t="str">
        <f>"02/22/2015 23:45"</f>
        <v>02/22/2015 23:45</v>
      </c>
    </row>
    <row r="879" spans="1:10" x14ac:dyDescent="0.3">
      <c r="A879" t="s">
        <v>6</v>
      </c>
      <c r="B879" t="str">
        <f>"02/23/2015 00:00"</f>
        <v>02/23/2015 00:00</v>
      </c>
      <c r="C879">
        <v>2.91</v>
      </c>
      <c r="D879" t="s">
        <v>7</v>
      </c>
      <c r="E879" s="2" t="s">
        <v>12</v>
      </c>
      <c r="F879">
        <f t="shared" si="13"/>
        <v>5.7705300000000008</v>
      </c>
      <c r="G879" t="s">
        <v>16</v>
      </c>
      <c r="J879" t="str">
        <f>"02/23/2015 23:45"</f>
        <v>02/23/2015 23:45</v>
      </c>
    </row>
    <row r="880" spans="1:10" x14ac:dyDescent="0.3">
      <c r="A880" t="s">
        <v>6</v>
      </c>
      <c r="B880" t="str">
        <f>"02/24/2015 00:00"</f>
        <v>02/24/2015 00:00</v>
      </c>
      <c r="C880">
        <v>2.91</v>
      </c>
      <c r="D880" t="s">
        <v>7</v>
      </c>
      <c r="E880" s="2" t="s">
        <v>12</v>
      </c>
      <c r="F880">
        <f t="shared" si="13"/>
        <v>5.7705300000000008</v>
      </c>
      <c r="G880" t="s">
        <v>16</v>
      </c>
      <c r="J880" t="str">
        <f>"02/24/2015 23:45"</f>
        <v>02/24/2015 23:45</v>
      </c>
    </row>
    <row r="881" spans="1:10" x14ac:dyDescent="0.3">
      <c r="A881" t="s">
        <v>6</v>
      </c>
      <c r="B881" t="str">
        <f>"02/25/2015 00:00"</f>
        <v>02/25/2015 00:00</v>
      </c>
      <c r="C881">
        <v>2.91</v>
      </c>
      <c r="D881" t="s">
        <v>7</v>
      </c>
      <c r="E881" s="2" t="s">
        <v>12</v>
      </c>
      <c r="F881">
        <f t="shared" si="13"/>
        <v>5.7705300000000008</v>
      </c>
      <c r="G881" t="s">
        <v>16</v>
      </c>
      <c r="J881" t="str">
        <f>"02/25/2015 23:45"</f>
        <v>02/25/2015 23:45</v>
      </c>
    </row>
    <row r="882" spans="1:10" x14ac:dyDescent="0.3">
      <c r="A882" t="s">
        <v>6</v>
      </c>
      <c r="B882" t="str">
        <f>"02/26/2015 00:00"</f>
        <v>02/26/2015 00:00</v>
      </c>
      <c r="C882">
        <v>2.91</v>
      </c>
      <c r="D882" t="s">
        <v>7</v>
      </c>
      <c r="E882" s="2" t="s">
        <v>12</v>
      </c>
      <c r="F882">
        <f t="shared" si="13"/>
        <v>5.7705300000000008</v>
      </c>
      <c r="G882" t="s">
        <v>16</v>
      </c>
      <c r="J882" t="str">
        <f>"02/26/2015 23:45"</f>
        <v>02/26/2015 23:45</v>
      </c>
    </row>
    <row r="883" spans="1:10" x14ac:dyDescent="0.3">
      <c r="A883" t="s">
        <v>6</v>
      </c>
      <c r="B883" t="str">
        <f>"02/27/2015 00:00"</f>
        <v>02/27/2015 00:00</v>
      </c>
      <c r="C883">
        <v>2.91</v>
      </c>
      <c r="D883" t="s">
        <v>7</v>
      </c>
      <c r="E883" s="2" t="s">
        <v>12</v>
      </c>
      <c r="F883">
        <f t="shared" si="13"/>
        <v>5.7705300000000008</v>
      </c>
      <c r="G883" t="s">
        <v>16</v>
      </c>
      <c r="J883" t="str">
        <f>"02/27/2015 23:45"</f>
        <v>02/27/2015 23:45</v>
      </c>
    </row>
    <row r="884" spans="1:10" x14ac:dyDescent="0.3">
      <c r="A884" t="s">
        <v>6</v>
      </c>
      <c r="B884" t="str">
        <f>"02/28/2015 00:00"</f>
        <v>02/28/2015 00:00</v>
      </c>
      <c r="C884">
        <v>2.91</v>
      </c>
      <c r="D884" t="s">
        <v>7</v>
      </c>
      <c r="E884" s="2" t="s">
        <v>12</v>
      </c>
      <c r="F884">
        <f t="shared" si="13"/>
        <v>5.7705300000000008</v>
      </c>
      <c r="G884" t="s">
        <v>16</v>
      </c>
      <c r="J884" t="str">
        <f>"02/28/2015 23:45"</f>
        <v>02/28/2015 23:45</v>
      </c>
    </row>
    <row r="885" spans="1:10" x14ac:dyDescent="0.3">
      <c r="A885" t="s">
        <v>6</v>
      </c>
      <c r="B885" t="str">
        <f>"03/01/2015 00:00"</f>
        <v>03/01/2015 00:00</v>
      </c>
      <c r="C885">
        <v>2.91</v>
      </c>
      <c r="D885" t="s">
        <v>7</v>
      </c>
      <c r="E885" s="2" t="s">
        <v>12</v>
      </c>
      <c r="F885">
        <f t="shared" si="13"/>
        <v>5.7705300000000008</v>
      </c>
      <c r="G885" t="s">
        <v>16</v>
      </c>
      <c r="J885" t="str">
        <f>"03/01/2015 23:45"</f>
        <v>03/01/2015 23:45</v>
      </c>
    </row>
    <row r="886" spans="1:10" x14ac:dyDescent="0.3">
      <c r="A886" t="s">
        <v>6</v>
      </c>
      <c r="B886" t="str">
        <f>"03/02/2015 00:00"</f>
        <v>03/02/2015 00:00</v>
      </c>
      <c r="C886">
        <v>2.91</v>
      </c>
      <c r="D886" t="s">
        <v>7</v>
      </c>
      <c r="E886" s="2" t="s">
        <v>12</v>
      </c>
      <c r="F886">
        <f t="shared" si="13"/>
        <v>5.7705300000000008</v>
      </c>
      <c r="G886" t="s">
        <v>16</v>
      </c>
      <c r="J886" t="str">
        <f>"03/02/2015 23:45"</f>
        <v>03/02/2015 23:45</v>
      </c>
    </row>
    <row r="887" spans="1:10" x14ac:dyDescent="0.3">
      <c r="A887" t="s">
        <v>6</v>
      </c>
      <c r="B887" t="str">
        <f>"03/03/2015 00:00"</f>
        <v>03/03/2015 00:00</v>
      </c>
      <c r="C887">
        <v>2.82</v>
      </c>
      <c r="D887" t="s">
        <v>7</v>
      </c>
      <c r="E887" s="2" t="s">
        <v>12</v>
      </c>
      <c r="F887">
        <f t="shared" si="13"/>
        <v>5.59206</v>
      </c>
      <c r="G887" t="s">
        <v>16</v>
      </c>
      <c r="J887" t="str">
        <f>"03/03/2015 23:45"</f>
        <v>03/03/2015 23:45</v>
      </c>
    </row>
    <row r="888" spans="1:10" x14ac:dyDescent="0.3">
      <c r="A888" t="s">
        <v>6</v>
      </c>
      <c r="B888" t="str">
        <f>"03/04/2015 00:00"</f>
        <v>03/04/2015 00:00</v>
      </c>
      <c r="C888">
        <v>2.56</v>
      </c>
      <c r="D888" t="s">
        <v>7</v>
      </c>
      <c r="E888" s="2" t="s">
        <v>12</v>
      </c>
      <c r="F888">
        <f t="shared" si="13"/>
        <v>5.0764800000000001</v>
      </c>
      <c r="G888" t="s">
        <v>16</v>
      </c>
      <c r="J888" t="str">
        <f>"03/04/2015 23:45"</f>
        <v>03/04/2015 23:45</v>
      </c>
    </row>
    <row r="889" spans="1:10" x14ac:dyDescent="0.3">
      <c r="A889" t="s">
        <v>6</v>
      </c>
      <c r="B889" t="str">
        <f>"03/05/2015 00:00"</f>
        <v>03/05/2015 00:00</v>
      </c>
      <c r="C889">
        <v>2.56</v>
      </c>
      <c r="D889" t="s">
        <v>7</v>
      </c>
      <c r="E889" s="2" t="s">
        <v>12</v>
      </c>
      <c r="F889">
        <f t="shared" si="13"/>
        <v>5.0764800000000001</v>
      </c>
      <c r="G889" t="s">
        <v>16</v>
      </c>
      <c r="J889" t="str">
        <f>"03/05/2015 23:45"</f>
        <v>03/05/2015 23:45</v>
      </c>
    </row>
    <row r="890" spans="1:10" x14ac:dyDescent="0.3">
      <c r="A890" t="s">
        <v>6</v>
      </c>
      <c r="B890" t="str">
        <f>"03/06/2015 00:00"</f>
        <v>03/06/2015 00:00</v>
      </c>
      <c r="C890">
        <v>2.56</v>
      </c>
      <c r="D890" t="s">
        <v>7</v>
      </c>
      <c r="E890" s="2" t="s">
        <v>12</v>
      </c>
      <c r="F890">
        <f t="shared" si="13"/>
        <v>5.0764800000000001</v>
      </c>
      <c r="G890" t="s">
        <v>16</v>
      </c>
      <c r="J890" t="str">
        <f>"03/06/2015 23:45"</f>
        <v>03/06/2015 23:45</v>
      </c>
    </row>
    <row r="891" spans="1:10" x14ac:dyDescent="0.3">
      <c r="A891" t="s">
        <v>6</v>
      </c>
      <c r="B891" t="str">
        <f>"03/07/2015 00:00"</f>
        <v>03/07/2015 00:00</v>
      </c>
      <c r="C891">
        <v>2.56</v>
      </c>
      <c r="D891" t="s">
        <v>7</v>
      </c>
      <c r="E891" s="2" t="s">
        <v>12</v>
      </c>
      <c r="F891">
        <f t="shared" si="13"/>
        <v>5.0764800000000001</v>
      </c>
      <c r="G891" t="s">
        <v>16</v>
      </c>
      <c r="J891" t="str">
        <f>"03/07/2015 23:45"</f>
        <v>03/07/2015 23:45</v>
      </c>
    </row>
    <row r="892" spans="1:10" x14ac:dyDescent="0.3">
      <c r="A892" t="s">
        <v>6</v>
      </c>
      <c r="B892" t="str">
        <f>"03/08/2015 00:00"</f>
        <v>03/08/2015 00:00</v>
      </c>
      <c r="C892">
        <v>2.5</v>
      </c>
      <c r="D892" t="s">
        <v>7</v>
      </c>
      <c r="E892" s="2" t="s">
        <v>12</v>
      </c>
      <c r="F892">
        <f t="shared" si="13"/>
        <v>4.9575000000000005</v>
      </c>
      <c r="G892" t="s">
        <v>16</v>
      </c>
      <c r="J892" t="str">
        <f>"03/08/2015 23:45"</f>
        <v>03/08/2015 23:45</v>
      </c>
    </row>
    <row r="893" spans="1:10" x14ac:dyDescent="0.3">
      <c r="A893" t="s">
        <v>6</v>
      </c>
      <c r="B893" t="str">
        <f>"03/09/2015 00:00"</f>
        <v>03/09/2015 00:00</v>
      </c>
      <c r="C893">
        <v>2.2599999999999998</v>
      </c>
      <c r="D893" t="s">
        <v>7</v>
      </c>
      <c r="E893" s="2" t="s">
        <v>12</v>
      </c>
      <c r="F893">
        <f t="shared" si="13"/>
        <v>4.4815800000000001</v>
      </c>
      <c r="G893" t="s">
        <v>16</v>
      </c>
      <c r="J893" t="str">
        <f>"03/09/2015 23:45"</f>
        <v>03/09/2015 23:45</v>
      </c>
    </row>
    <row r="894" spans="1:10" x14ac:dyDescent="0.3">
      <c r="A894" t="s">
        <v>6</v>
      </c>
      <c r="B894" t="str">
        <f>"03/10/2015 00:00"</f>
        <v>03/10/2015 00:00</v>
      </c>
      <c r="C894">
        <v>2.23</v>
      </c>
      <c r="D894" t="s">
        <v>7</v>
      </c>
      <c r="E894" s="2" t="s">
        <v>12</v>
      </c>
      <c r="F894">
        <f t="shared" si="13"/>
        <v>4.4220899999999999</v>
      </c>
      <c r="G894" t="s">
        <v>16</v>
      </c>
      <c r="J894" t="str">
        <f>"03/10/2015 23:45"</f>
        <v>03/10/2015 23:45</v>
      </c>
    </row>
    <row r="895" spans="1:10" x14ac:dyDescent="0.3">
      <c r="A895" t="s">
        <v>6</v>
      </c>
      <c r="B895" t="str">
        <f>"03/11/2015 00:00"</f>
        <v>03/11/2015 00:00</v>
      </c>
      <c r="C895">
        <v>2.23</v>
      </c>
      <c r="D895" t="s">
        <v>7</v>
      </c>
      <c r="E895" s="2" t="s">
        <v>12</v>
      </c>
      <c r="F895">
        <f t="shared" si="13"/>
        <v>4.4220899999999999</v>
      </c>
      <c r="G895" t="s">
        <v>16</v>
      </c>
      <c r="J895" t="str">
        <f>"03/11/2015 23:45"</f>
        <v>03/11/2015 23:45</v>
      </c>
    </row>
    <row r="896" spans="1:10" x14ac:dyDescent="0.3">
      <c r="A896" t="s">
        <v>6</v>
      </c>
      <c r="B896" t="str">
        <f>"03/12/2015 00:00"</f>
        <v>03/12/2015 00:00</v>
      </c>
      <c r="C896">
        <v>2.23</v>
      </c>
      <c r="D896" t="s">
        <v>7</v>
      </c>
      <c r="E896" s="2" t="s">
        <v>12</v>
      </c>
      <c r="F896">
        <f t="shared" si="13"/>
        <v>4.4220899999999999</v>
      </c>
      <c r="G896" t="s">
        <v>16</v>
      </c>
      <c r="J896" t="str">
        <f>"03/12/2015 23:45"</f>
        <v>03/12/2015 23:45</v>
      </c>
    </row>
    <row r="897" spans="1:10" x14ac:dyDescent="0.3">
      <c r="A897" t="s">
        <v>6</v>
      </c>
      <c r="B897" t="str">
        <f>"03/13/2015 00:00"</f>
        <v>03/13/2015 00:00</v>
      </c>
      <c r="C897">
        <v>2.38</v>
      </c>
      <c r="D897" t="s">
        <v>7</v>
      </c>
      <c r="E897" s="2" t="s">
        <v>12</v>
      </c>
      <c r="F897">
        <f t="shared" si="13"/>
        <v>4.7195400000000003</v>
      </c>
      <c r="G897" t="s">
        <v>16</v>
      </c>
      <c r="J897" t="str">
        <f>"03/13/2015 23:45"</f>
        <v>03/13/2015 23:45</v>
      </c>
    </row>
    <row r="898" spans="1:10" x14ac:dyDescent="0.3">
      <c r="A898" t="s">
        <v>6</v>
      </c>
      <c r="B898" t="str">
        <f>"03/14/2015 00:00"</f>
        <v>03/14/2015 00:00</v>
      </c>
      <c r="C898">
        <v>2.4500000000000002</v>
      </c>
      <c r="D898" t="s">
        <v>7</v>
      </c>
      <c r="E898" s="2" t="s">
        <v>12</v>
      </c>
      <c r="F898">
        <f t="shared" si="13"/>
        <v>4.8583500000000006</v>
      </c>
      <c r="G898" t="s">
        <v>16</v>
      </c>
      <c r="J898" t="str">
        <f>"03/14/2015 23:45"</f>
        <v>03/14/2015 23:45</v>
      </c>
    </row>
    <row r="899" spans="1:10" x14ac:dyDescent="0.3">
      <c r="A899" t="s">
        <v>6</v>
      </c>
      <c r="B899" t="str">
        <f>"03/15/2015 00:00"</f>
        <v>03/15/2015 00:00</v>
      </c>
      <c r="C899">
        <v>2.23</v>
      </c>
      <c r="D899" t="s">
        <v>7</v>
      </c>
      <c r="E899" s="2" t="s">
        <v>12</v>
      </c>
      <c r="F899">
        <f t="shared" si="13"/>
        <v>4.4220899999999999</v>
      </c>
      <c r="G899" t="s">
        <v>16</v>
      </c>
      <c r="J899" t="str">
        <f>"03/15/2015 23:45"</f>
        <v>03/15/2015 23:45</v>
      </c>
    </row>
    <row r="900" spans="1:10" x14ac:dyDescent="0.3">
      <c r="A900" t="s">
        <v>6</v>
      </c>
      <c r="B900" t="str">
        <f>"03/16/2015 00:00"</f>
        <v>03/16/2015 00:00</v>
      </c>
      <c r="C900">
        <v>2.23</v>
      </c>
      <c r="D900" t="s">
        <v>7</v>
      </c>
      <c r="E900" s="2" t="s">
        <v>12</v>
      </c>
      <c r="F900">
        <f t="shared" si="13"/>
        <v>4.4220899999999999</v>
      </c>
      <c r="G900" t="s">
        <v>16</v>
      </c>
      <c r="J900" t="str">
        <f>"03/16/2015 23:45"</f>
        <v>03/16/2015 23:45</v>
      </c>
    </row>
    <row r="901" spans="1:10" x14ac:dyDescent="0.3">
      <c r="A901" t="s">
        <v>6</v>
      </c>
      <c r="B901" t="str">
        <f>"03/17/2015 00:00"</f>
        <v>03/17/2015 00:00</v>
      </c>
      <c r="C901">
        <v>2.23</v>
      </c>
      <c r="D901" t="s">
        <v>7</v>
      </c>
      <c r="E901" s="2" t="s">
        <v>12</v>
      </c>
      <c r="F901">
        <f t="shared" ref="F901:F964" si="14">C901*1.983</f>
        <v>4.4220899999999999</v>
      </c>
      <c r="G901" t="s">
        <v>16</v>
      </c>
      <c r="J901" t="str">
        <f>"03/17/2015 23:45"</f>
        <v>03/17/2015 23:45</v>
      </c>
    </row>
    <row r="902" spans="1:10" x14ac:dyDescent="0.3">
      <c r="A902" t="s">
        <v>6</v>
      </c>
      <c r="B902" t="str">
        <f>"03/18/2015 00:00"</f>
        <v>03/18/2015 00:00</v>
      </c>
      <c r="C902">
        <v>2.11</v>
      </c>
      <c r="D902" t="s">
        <v>7</v>
      </c>
      <c r="E902" s="2" t="s">
        <v>12</v>
      </c>
      <c r="F902">
        <f t="shared" si="14"/>
        <v>4.1841299999999997</v>
      </c>
      <c r="G902" t="s">
        <v>16</v>
      </c>
      <c r="J902" t="str">
        <f>"03/18/2015 23:45"</f>
        <v>03/18/2015 23:45</v>
      </c>
    </row>
    <row r="903" spans="1:10" x14ac:dyDescent="0.3">
      <c r="A903" t="s">
        <v>6</v>
      </c>
      <c r="B903" t="str">
        <f>"03/19/2015 00:00"</f>
        <v>03/19/2015 00:00</v>
      </c>
      <c r="C903">
        <v>1.92</v>
      </c>
      <c r="D903" t="s">
        <v>7</v>
      </c>
      <c r="E903" s="2" t="s">
        <v>12</v>
      </c>
      <c r="F903">
        <f t="shared" si="14"/>
        <v>3.8073600000000001</v>
      </c>
      <c r="G903" t="s">
        <v>16</v>
      </c>
      <c r="J903" t="str">
        <f>"03/19/2015 23:45"</f>
        <v>03/19/2015 23:45</v>
      </c>
    </row>
    <row r="904" spans="1:10" x14ac:dyDescent="0.3">
      <c r="A904" t="s">
        <v>6</v>
      </c>
      <c r="B904" t="str">
        <f>"03/20/2015 00:00"</f>
        <v>03/20/2015 00:00</v>
      </c>
      <c r="C904">
        <v>1.92</v>
      </c>
      <c r="D904" t="s">
        <v>7</v>
      </c>
      <c r="E904" s="2" t="s">
        <v>12</v>
      </c>
      <c r="F904">
        <f t="shared" si="14"/>
        <v>3.8073600000000001</v>
      </c>
      <c r="G904" t="s">
        <v>16</v>
      </c>
      <c r="J904" t="str">
        <f>"03/20/2015 23:45"</f>
        <v>03/20/2015 23:45</v>
      </c>
    </row>
    <row r="905" spans="1:10" x14ac:dyDescent="0.3">
      <c r="A905" t="s">
        <v>6</v>
      </c>
      <c r="B905" t="str">
        <f>"03/21/2015 00:00"</f>
        <v>03/21/2015 00:00</v>
      </c>
      <c r="C905">
        <v>1.92</v>
      </c>
      <c r="D905" t="s">
        <v>7</v>
      </c>
      <c r="E905" s="2" t="s">
        <v>12</v>
      </c>
      <c r="F905">
        <f t="shared" si="14"/>
        <v>3.8073600000000001</v>
      </c>
      <c r="G905" t="s">
        <v>16</v>
      </c>
      <c r="J905" t="str">
        <f>"03/21/2015 23:45"</f>
        <v>03/21/2015 23:45</v>
      </c>
    </row>
    <row r="906" spans="1:10" x14ac:dyDescent="0.3">
      <c r="A906" t="s">
        <v>6</v>
      </c>
      <c r="B906" t="str">
        <f>"03/22/2015 00:00"</f>
        <v>03/22/2015 00:00</v>
      </c>
      <c r="C906">
        <v>1.92</v>
      </c>
      <c r="D906" t="s">
        <v>7</v>
      </c>
      <c r="E906" s="2" t="s">
        <v>12</v>
      </c>
      <c r="F906">
        <f t="shared" si="14"/>
        <v>3.8073600000000001</v>
      </c>
      <c r="G906" t="s">
        <v>16</v>
      </c>
      <c r="J906" t="str">
        <f>"03/22/2015 23:45"</f>
        <v>03/22/2015 23:45</v>
      </c>
    </row>
    <row r="907" spans="1:10" x14ac:dyDescent="0.3">
      <c r="A907" t="s">
        <v>6</v>
      </c>
      <c r="B907" t="str">
        <f>"03/23/2015 00:00"</f>
        <v>03/23/2015 00:00</v>
      </c>
      <c r="C907">
        <v>1.92</v>
      </c>
      <c r="D907" t="s">
        <v>7</v>
      </c>
      <c r="E907" s="2" t="s">
        <v>12</v>
      </c>
      <c r="F907">
        <f t="shared" si="14"/>
        <v>3.8073600000000001</v>
      </c>
      <c r="G907" t="s">
        <v>16</v>
      </c>
      <c r="J907" t="str">
        <f>"03/23/2015 23:45"</f>
        <v>03/23/2015 23:45</v>
      </c>
    </row>
    <row r="908" spans="1:10" x14ac:dyDescent="0.3">
      <c r="A908" t="s">
        <v>6</v>
      </c>
      <c r="B908" t="str">
        <f>"03/24/2015 00:00"</f>
        <v>03/24/2015 00:00</v>
      </c>
      <c r="C908">
        <v>1.92</v>
      </c>
      <c r="D908" t="s">
        <v>7</v>
      </c>
      <c r="E908" s="2" t="s">
        <v>12</v>
      </c>
      <c r="F908">
        <f t="shared" si="14"/>
        <v>3.8073600000000001</v>
      </c>
      <c r="G908" t="s">
        <v>16</v>
      </c>
      <c r="J908" t="str">
        <f>"03/24/2015 23:45"</f>
        <v>03/24/2015 23:45</v>
      </c>
    </row>
    <row r="909" spans="1:10" x14ac:dyDescent="0.3">
      <c r="A909" t="s">
        <v>6</v>
      </c>
      <c r="B909" t="str">
        <f>"03/25/2015 00:00"</f>
        <v>03/25/2015 00:00</v>
      </c>
      <c r="C909">
        <v>1.92</v>
      </c>
      <c r="D909" t="s">
        <v>7</v>
      </c>
      <c r="E909" s="2" t="s">
        <v>12</v>
      </c>
      <c r="F909">
        <f t="shared" si="14"/>
        <v>3.8073600000000001</v>
      </c>
      <c r="G909" t="s">
        <v>16</v>
      </c>
      <c r="J909" t="str">
        <f>"03/25/2015 23:45"</f>
        <v>03/25/2015 23:45</v>
      </c>
    </row>
    <row r="910" spans="1:10" x14ac:dyDescent="0.3">
      <c r="A910" t="s">
        <v>6</v>
      </c>
      <c r="B910" t="str">
        <f>"03/26/2015 00:00"</f>
        <v>03/26/2015 00:00</v>
      </c>
      <c r="C910">
        <v>1.92</v>
      </c>
      <c r="D910" t="s">
        <v>7</v>
      </c>
      <c r="E910" s="2" t="s">
        <v>12</v>
      </c>
      <c r="F910">
        <f t="shared" si="14"/>
        <v>3.8073600000000001</v>
      </c>
      <c r="G910" t="s">
        <v>16</v>
      </c>
      <c r="J910" t="str">
        <f>"03/26/2015 23:45"</f>
        <v>03/26/2015 23:45</v>
      </c>
    </row>
    <row r="911" spans="1:10" x14ac:dyDescent="0.3">
      <c r="A911" t="s">
        <v>6</v>
      </c>
      <c r="B911" t="str">
        <f>"03/27/2015 00:00"</f>
        <v>03/27/2015 00:00</v>
      </c>
      <c r="C911">
        <v>1.92</v>
      </c>
      <c r="D911" t="s">
        <v>7</v>
      </c>
      <c r="E911" s="2" t="s">
        <v>12</v>
      </c>
      <c r="F911">
        <f t="shared" si="14"/>
        <v>3.8073600000000001</v>
      </c>
      <c r="G911" t="s">
        <v>16</v>
      </c>
      <c r="J911" t="str">
        <f>"03/27/2015 23:45"</f>
        <v>03/27/2015 23:45</v>
      </c>
    </row>
    <row r="912" spans="1:10" x14ac:dyDescent="0.3">
      <c r="A912" t="s">
        <v>6</v>
      </c>
      <c r="B912" t="str">
        <f>"03/28/2015 00:00"</f>
        <v>03/28/2015 00:00</v>
      </c>
      <c r="C912">
        <v>1.92</v>
      </c>
      <c r="D912" t="s">
        <v>7</v>
      </c>
      <c r="E912" s="2" t="s">
        <v>12</v>
      </c>
      <c r="F912">
        <f t="shared" si="14"/>
        <v>3.8073600000000001</v>
      </c>
      <c r="G912" t="s">
        <v>16</v>
      </c>
      <c r="J912" t="str">
        <f>"03/28/2015 23:45"</f>
        <v>03/28/2015 23:45</v>
      </c>
    </row>
    <row r="913" spans="1:10" x14ac:dyDescent="0.3">
      <c r="A913" t="s">
        <v>6</v>
      </c>
      <c r="B913" t="str">
        <f>"03/29/2015 00:00"</f>
        <v>03/29/2015 00:00</v>
      </c>
      <c r="C913">
        <v>1.92</v>
      </c>
      <c r="D913" t="s">
        <v>7</v>
      </c>
      <c r="E913" s="2" t="s">
        <v>12</v>
      </c>
      <c r="F913">
        <f t="shared" si="14"/>
        <v>3.8073600000000001</v>
      </c>
      <c r="G913" t="s">
        <v>16</v>
      </c>
      <c r="J913" t="str">
        <f>"03/29/2015 23:45"</f>
        <v>03/29/2015 23:45</v>
      </c>
    </row>
    <row r="914" spans="1:10" x14ac:dyDescent="0.3">
      <c r="A914" t="s">
        <v>6</v>
      </c>
      <c r="B914" t="str">
        <f>"03/30/2015 00:00"</f>
        <v>03/30/2015 00:00</v>
      </c>
      <c r="C914">
        <v>1.92</v>
      </c>
      <c r="D914" t="s">
        <v>7</v>
      </c>
      <c r="E914" s="2" t="s">
        <v>12</v>
      </c>
      <c r="F914">
        <f t="shared" si="14"/>
        <v>3.8073600000000001</v>
      </c>
      <c r="G914" t="s">
        <v>16</v>
      </c>
      <c r="J914" t="str">
        <f>"03/30/2015 23:45"</f>
        <v>03/30/2015 23:45</v>
      </c>
    </row>
    <row r="915" spans="1:10" x14ac:dyDescent="0.3">
      <c r="A915" t="s">
        <v>6</v>
      </c>
      <c r="B915" t="str">
        <f>"03/31/2015 00:00"</f>
        <v>03/31/2015 00:00</v>
      </c>
      <c r="C915">
        <v>1.92</v>
      </c>
      <c r="D915" t="s">
        <v>7</v>
      </c>
      <c r="E915" s="2" t="s">
        <v>12</v>
      </c>
      <c r="F915">
        <f t="shared" si="14"/>
        <v>3.8073600000000001</v>
      </c>
      <c r="G915" t="s">
        <v>16</v>
      </c>
      <c r="J915" t="str">
        <f>"03/31/2015 23:45"</f>
        <v>03/31/2015 23:45</v>
      </c>
    </row>
    <row r="916" spans="1:10" x14ac:dyDescent="0.3">
      <c r="A916" t="s">
        <v>6</v>
      </c>
      <c r="B916" t="str">
        <f>"04/01/2015 00:00"</f>
        <v>04/01/2015 00:00</v>
      </c>
      <c r="C916">
        <v>1.92</v>
      </c>
      <c r="D916" t="s">
        <v>7</v>
      </c>
      <c r="E916" s="2" t="s">
        <v>12</v>
      </c>
      <c r="F916">
        <f t="shared" si="14"/>
        <v>3.8073600000000001</v>
      </c>
      <c r="G916" t="s">
        <v>16</v>
      </c>
      <c r="J916" t="str">
        <f>"04/01/2015 23:45"</f>
        <v>04/01/2015 23:45</v>
      </c>
    </row>
    <row r="917" spans="1:10" x14ac:dyDescent="0.3">
      <c r="A917" t="s">
        <v>6</v>
      </c>
      <c r="B917" t="str">
        <f>"04/02/2015 00:00"</f>
        <v>04/02/2015 00:00</v>
      </c>
      <c r="C917">
        <v>1.92</v>
      </c>
      <c r="D917" t="s">
        <v>7</v>
      </c>
      <c r="E917" s="2" t="s">
        <v>12</v>
      </c>
      <c r="F917">
        <f t="shared" si="14"/>
        <v>3.8073600000000001</v>
      </c>
      <c r="G917" t="s">
        <v>16</v>
      </c>
      <c r="J917" t="str">
        <f>"04/02/2015 23:45"</f>
        <v>04/02/2015 23:45</v>
      </c>
    </row>
    <row r="918" spans="1:10" x14ac:dyDescent="0.3">
      <c r="A918" t="s">
        <v>6</v>
      </c>
      <c r="B918" t="str">
        <f>"04/03/2015 00:00"</f>
        <v>04/03/2015 00:00</v>
      </c>
      <c r="C918">
        <v>1.92</v>
      </c>
      <c r="D918" t="s">
        <v>7</v>
      </c>
      <c r="E918" s="2" t="s">
        <v>12</v>
      </c>
      <c r="F918">
        <f t="shared" si="14"/>
        <v>3.8073600000000001</v>
      </c>
      <c r="G918" t="s">
        <v>16</v>
      </c>
      <c r="J918" t="str">
        <f>"04/03/2015 23:45"</f>
        <v>04/03/2015 23:45</v>
      </c>
    </row>
    <row r="919" spans="1:10" x14ac:dyDescent="0.3">
      <c r="A919" t="s">
        <v>6</v>
      </c>
      <c r="B919" t="str">
        <f>"04/04/2015 00:00"</f>
        <v>04/04/2015 00:00</v>
      </c>
      <c r="C919">
        <v>1.92</v>
      </c>
      <c r="D919" t="s">
        <v>7</v>
      </c>
      <c r="E919" s="2" t="s">
        <v>12</v>
      </c>
      <c r="F919">
        <f t="shared" si="14"/>
        <v>3.8073600000000001</v>
      </c>
      <c r="G919" t="s">
        <v>16</v>
      </c>
      <c r="J919" t="str">
        <f>"04/04/2015 23:45"</f>
        <v>04/04/2015 23:45</v>
      </c>
    </row>
    <row r="920" spans="1:10" x14ac:dyDescent="0.3">
      <c r="A920" t="s">
        <v>6</v>
      </c>
      <c r="B920" t="str">
        <f>"04/05/2015 00:00"</f>
        <v>04/05/2015 00:00</v>
      </c>
      <c r="C920">
        <v>1.92</v>
      </c>
      <c r="D920" t="s">
        <v>7</v>
      </c>
      <c r="E920" s="2" t="s">
        <v>12</v>
      </c>
      <c r="F920">
        <f t="shared" si="14"/>
        <v>3.8073600000000001</v>
      </c>
      <c r="G920" t="s">
        <v>16</v>
      </c>
      <c r="J920" t="str">
        <f>"04/05/2015 23:45"</f>
        <v>04/05/2015 23:45</v>
      </c>
    </row>
    <row r="921" spans="1:10" x14ac:dyDescent="0.3">
      <c r="A921" t="s">
        <v>6</v>
      </c>
      <c r="B921" t="str">
        <f>"04/06/2015 00:00"</f>
        <v>04/06/2015 00:00</v>
      </c>
      <c r="C921">
        <v>1.92</v>
      </c>
      <c r="D921" t="s">
        <v>7</v>
      </c>
      <c r="E921" s="2" t="s">
        <v>12</v>
      </c>
      <c r="F921">
        <f t="shared" si="14"/>
        <v>3.8073600000000001</v>
      </c>
      <c r="G921" t="s">
        <v>16</v>
      </c>
      <c r="J921" t="str">
        <f>"04/06/2015 23:45"</f>
        <v>04/06/2015 23:45</v>
      </c>
    </row>
    <row r="922" spans="1:10" x14ac:dyDescent="0.3">
      <c r="A922" t="s">
        <v>6</v>
      </c>
      <c r="B922" t="str">
        <f>"04/07/2015 00:00"</f>
        <v>04/07/2015 00:00</v>
      </c>
      <c r="C922">
        <v>1.92</v>
      </c>
      <c r="D922" t="s">
        <v>7</v>
      </c>
      <c r="E922" s="2" t="s">
        <v>12</v>
      </c>
      <c r="F922">
        <f t="shared" si="14"/>
        <v>3.8073600000000001</v>
      </c>
      <c r="G922" t="s">
        <v>16</v>
      </c>
      <c r="J922" t="str">
        <f>"04/07/2015 23:45"</f>
        <v>04/07/2015 23:45</v>
      </c>
    </row>
    <row r="923" spans="1:10" x14ac:dyDescent="0.3">
      <c r="A923" t="s">
        <v>6</v>
      </c>
      <c r="B923" t="str">
        <f>"04/08/2015 00:00"</f>
        <v>04/08/2015 00:00</v>
      </c>
      <c r="C923">
        <v>1.92</v>
      </c>
      <c r="D923" t="s">
        <v>7</v>
      </c>
      <c r="E923" s="2" t="s">
        <v>12</v>
      </c>
      <c r="F923">
        <f t="shared" si="14"/>
        <v>3.8073600000000001</v>
      </c>
      <c r="G923" t="s">
        <v>16</v>
      </c>
      <c r="J923" t="str">
        <f>"04/08/2015 23:45"</f>
        <v>04/08/2015 23:45</v>
      </c>
    </row>
    <row r="924" spans="1:10" x14ac:dyDescent="0.3">
      <c r="A924" t="s">
        <v>6</v>
      </c>
      <c r="B924" t="str">
        <f>"04/09/2015 00:00"</f>
        <v>04/09/2015 00:00</v>
      </c>
      <c r="C924">
        <v>1.92</v>
      </c>
      <c r="D924" t="s">
        <v>7</v>
      </c>
      <c r="E924" s="2" t="s">
        <v>12</v>
      </c>
      <c r="F924">
        <f t="shared" si="14"/>
        <v>3.8073600000000001</v>
      </c>
      <c r="G924" t="s">
        <v>16</v>
      </c>
      <c r="J924" t="str">
        <f>"04/09/2015 23:45"</f>
        <v>04/09/2015 23:45</v>
      </c>
    </row>
    <row r="925" spans="1:10" x14ac:dyDescent="0.3">
      <c r="A925" t="s">
        <v>6</v>
      </c>
      <c r="B925" t="str">
        <f>"04/10/2015 00:00"</f>
        <v>04/10/2015 00:00</v>
      </c>
      <c r="C925">
        <v>1.83</v>
      </c>
      <c r="D925" t="s">
        <v>7</v>
      </c>
      <c r="E925" s="2" t="s">
        <v>12</v>
      </c>
      <c r="F925">
        <f t="shared" si="14"/>
        <v>3.6288900000000002</v>
      </c>
      <c r="G925" t="s">
        <v>16</v>
      </c>
      <c r="J925" t="str">
        <f>"04/10/2015 23:45"</f>
        <v>04/10/2015 23:45</v>
      </c>
    </row>
    <row r="926" spans="1:10" x14ac:dyDescent="0.3">
      <c r="A926" t="s">
        <v>6</v>
      </c>
      <c r="B926" t="str">
        <f>"04/11/2015 00:00"</f>
        <v>04/11/2015 00:00</v>
      </c>
      <c r="C926">
        <v>1.62</v>
      </c>
      <c r="D926" t="s">
        <v>7</v>
      </c>
      <c r="E926" s="2" t="s">
        <v>12</v>
      </c>
      <c r="F926">
        <f t="shared" si="14"/>
        <v>3.2124600000000005</v>
      </c>
      <c r="G926" t="s">
        <v>16</v>
      </c>
      <c r="J926" t="str">
        <f>"04/11/2015 23:45"</f>
        <v>04/11/2015 23:45</v>
      </c>
    </row>
    <row r="927" spans="1:10" x14ac:dyDescent="0.3">
      <c r="A927" t="s">
        <v>6</v>
      </c>
      <c r="B927" t="str">
        <f>"04/12/2015 00:00"</f>
        <v>04/12/2015 00:00</v>
      </c>
      <c r="C927">
        <v>1.62</v>
      </c>
      <c r="D927" t="s">
        <v>7</v>
      </c>
      <c r="E927" s="2" t="s">
        <v>12</v>
      </c>
      <c r="F927">
        <f t="shared" si="14"/>
        <v>3.2124600000000005</v>
      </c>
      <c r="G927" t="s">
        <v>16</v>
      </c>
      <c r="J927" t="str">
        <f>"04/12/2015 23:45"</f>
        <v>04/12/2015 23:45</v>
      </c>
    </row>
    <row r="928" spans="1:10" x14ac:dyDescent="0.3">
      <c r="A928" t="s">
        <v>6</v>
      </c>
      <c r="B928" t="str">
        <f>"04/13/2015 00:00"</f>
        <v>04/13/2015 00:00</v>
      </c>
      <c r="C928">
        <v>1.62</v>
      </c>
      <c r="D928" t="s">
        <v>7</v>
      </c>
      <c r="E928" s="2" t="s">
        <v>12</v>
      </c>
      <c r="F928">
        <f t="shared" si="14"/>
        <v>3.2124600000000005</v>
      </c>
      <c r="G928" t="s">
        <v>16</v>
      </c>
      <c r="J928" t="str">
        <f>"04/13/2015 23:45"</f>
        <v>04/13/2015 23:45</v>
      </c>
    </row>
    <row r="929" spans="1:10" x14ac:dyDescent="0.3">
      <c r="A929" t="s">
        <v>6</v>
      </c>
      <c r="B929" t="str">
        <f>"04/14/2015 00:00"</f>
        <v>04/14/2015 00:00</v>
      </c>
      <c r="C929">
        <v>1.62</v>
      </c>
      <c r="D929" t="s">
        <v>7</v>
      </c>
      <c r="E929" s="2" t="s">
        <v>12</v>
      </c>
      <c r="F929">
        <f t="shared" si="14"/>
        <v>3.2124600000000005</v>
      </c>
      <c r="G929" t="s">
        <v>16</v>
      </c>
      <c r="J929" t="str">
        <f>"04/14/2015 23:45"</f>
        <v>04/14/2015 23:45</v>
      </c>
    </row>
    <row r="930" spans="1:10" x14ac:dyDescent="0.3">
      <c r="A930" t="s">
        <v>6</v>
      </c>
      <c r="B930" t="str">
        <f>"04/15/2015 00:00"</f>
        <v>04/15/2015 00:00</v>
      </c>
      <c r="C930">
        <v>1.62</v>
      </c>
      <c r="D930" t="s">
        <v>7</v>
      </c>
      <c r="E930" s="2" t="s">
        <v>12</v>
      </c>
      <c r="F930">
        <f t="shared" si="14"/>
        <v>3.2124600000000005</v>
      </c>
      <c r="G930" t="s">
        <v>16</v>
      </c>
      <c r="J930" t="str">
        <f>"04/15/2015 23:45"</f>
        <v>04/15/2015 23:45</v>
      </c>
    </row>
    <row r="931" spans="1:10" x14ac:dyDescent="0.3">
      <c r="A931" t="s">
        <v>6</v>
      </c>
      <c r="B931" t="str">
        <f>"04/16/2015 00:00"</f>
        <v>04/16/2015 00:00</v>
      </c>
      <c r="C931">
        <v>2.02</v>
      </c>
      <c r="D931" t="s">
        <v>7</v>
      </c>
      <c r="E931" s="2" t="s">
        <v>12</v>
      </c>
      <c r="F931">
        <f t="shared" si="14"/>
        <v>4.0056600000000007</v>
      </c>
      <c r="G931" t="s">
        <v>16</v>
      </c>
      <c r="J931" t="str">
        <f>"04/16/2015 23:45"</f>
        <v>04/16/2015 23:45</v>
      </c>
    </row>
    <row r="932" spans="1:10" x14ac:dyDescent="0.3">
      <c r="A932" t="s">
        <v>6</v>
      </c>
      <c r="B932" t="str">
        <f>"04/17/2015 00:00"</f>
        <v>04/17/2015 00:00</v>
      </c>
      <c r="C932">
        <v>2.59</v>
      </c>
      <c r="D932" t="s">
        <v>7</v>
      </c>
      <c r="E932" s="2" t="s">
        <v>12</v>
      </c>
      <c r="F932">
        <f t="shared" si="14"/>
        <v>5.1359700000000004</v>
      </c>
      <c r="G932" t="s">
        <v>16</v>
      </c>
      <c r="J932" t="str">
        <f>"04/17/2015 23:45"</f>
        <v>04/17/2015 23:45</v>
      </c>
    </row>
    <row r="933" spans="1:10" x14ac:dyDescent="0.3">
      <c r="A933" t="s">
        <v>6</v>
      </c>
      <c r="B933" t="str">
        <f>"04/18/2015 00:00"</f>
        <v>04/18/2015 00:00</v>
      </c>
      <c r="C933">
        <v>2.64</v>
      </c>
      <c r="D933" t="s">
        <v>7</v>
      </c>
      <c r="E933" s="2" t="s">
        <v>12</v>
      </c>
      <c r="F933">
        <f t="shared" si="14"/>
        <v>5.2351200000000002</v>
      </c>
      <c r="G933" t="s">
        <v>16</v>
      </c>
      <c r="J933" t="str">
        <f>"04/18/2015 23:45"</f>
        <v>04/18/2015 23:45</v>
      </c>
    </row>
    <row r="934" spans="1:10" x14ac:dyDescent="0.3">
      <c r="A934" t="s">
        <v>6</v>
      </c>
      <c r="B934" t="str">
        <f>"04/19/2015 00:00"</f>
        <v>04/19/2015 00:00</v>
      </c>
      <c r="C934">
        <v>2.5499999999999998</v>
      </c>
      <c r="D934" t="s">
        <v>7</v>
      </c>
      <c r="E934" s="2" t="s">
        <v>12</v>
      </c>
      <c r="F934">
        <f t="shared" si="14"/>
        <v>5.0566500000000003</v>
      </c>
      <c r="G934" t="s">
        <v>16</v>
      </c>
      <c r="J934" t="str">
        <f>"04/19/2015 23:45"</f>
        <v>04/19/2015 23:45</v>
      </c>
    </row>
    <row r="935" spans="1:10" x14ac:dyDescent="0.3">
      <c r="A935" t="s">
        <v>6</v>
      </c>
      <c r="B935" t="str">
        <f>"04/20/2015 00:00"</f>
        <v>04/20/2015 00:00</v>
      </c>
      <c r="C935">
        <v>2.23</v>
      </c>
      <c r="D935" t="s">
        <v>7</v>
      </c>
      <c r="E935" s="2" t="s">
        <v>12</v>
      </c>
      <c r="F935">
        <f t="shared" si="14"/>
        <v>4.4220899999999999</v>
      </c>
      <c r="G935" t="s">
        <v>16</v>
      </c>
      <c r="J935" t="str">
        <f>"04/20/2015 23:45"</f>
        <v>04/20/2015 23:45</v>
      </c>
    </row>
    <row r="936" spans="1:10" x14ac:dyDescent="0.3">
      <c r="A936" t="s">
        <v>6</v>
      </c>
      <c r="B936" t="str">
        <f>"04/21/2015 00:00"</f>
        <v>04/21/2015 00:00</v>
      </c>
      <c r="C936">
        <v>2.23</v>
      </c>
      <c r="D936" t="s">
        <v>7</v>
      </c>
      <c r="E936" s="2" t="s">
        <v>12</v>
      </c>
      <c r="F936">
        <f t="shared" si="14"/>
        <v>4.4220899999999999</v>
      </c>
      <c r="G936" t="s">
        <v>16</v>
      </c>
      <c r="J936" t="str">
        <f>"04/21/2015 23:45"</f>
        <v>04/21/2015 23:45</v>
      </c>
    </row>
    <row r="937" spans="1:10" x14ac:dyDescent="0.3">
      <c r="A937" t="s">
        <v>6</v>
      </c>
      <c r="B937" t="str">
        <f>"04/22/2015 00:00"</f>
        <v>04/22/2015 00:00</v>
      </c>
      <c r="C937">
        <v>2.23</v>
      </c>
      <c r="D937" t="s">
        <v>7</v>
      </c>
      <c r="E937" s="2" t="s">
        <v>12</v>
      </c>
      <c r="F937">
        <f t="shared" si="14"/>
        <v>4.4220899999999999</v>
      </c>
      <c r="G937" t="s">
        <v>16</v>
      </c>
      <c r="J937" t="str">
        <f>"04/22/2015 23:45"</f>
        <v>04/22/2015 23:45</v>
      </c>
    </row>
    <row r="938" spans="1:10" x14ac:dyDescent="0.3">
      <c r="A938" t="s">
        <v>6</v>
      </c>
      <c r="B938" t="str">
        <f>"04/23/2015 00:00"</f>
        <v>04/23/2015 00:00</v>
      </c>
      <c r="C938">
        <v>2.23</v>
      </c>
      <c r="D938" t="s">
        <v>7</v>
      </c>
      <c r="E938" s="2" t="s">
        <v>12</v>
      </c>
      <c r="F938">
        <f t="shared" si="14"/>
        <v>4.4220899999999999</v>
      </c>
      <c r="G938" t="s">
        <v>16</v>
      </c>
      <c r="J938" t="str">
        <f>"04/23/2015 23:45"</f>
        <v>04/23/2015 23:45</v>
      </c>
    </row>
    <row r="939" spans="1:10" x14ac:dyDescent="0.3">
      <c r="A939" t="s">
        <v>6</v>
      </c>
      <c r="B939" t="str">
        <f>"04/24/2015 00:00"</f>
        <v>04/24/2015 00:00</v>
      </c>
      <c r="C939">
        <v>1.99</v>
      </c>
      <c r="D939" t="s">
        <v>7</v>
      </c>
      <c r="E939" s="2" t="s">
        <v>12</v>
      </c>
      <c r="F939">
        <f t="shared" si="14"/>
        <v>3.94617</v>
      </c>
      <c r="G939" t="s">
        <v>16</v>
      </c>
      <c r="J939" t="str">
        <f>"04/24/2015 23:45"</f>
        <v>04/24/2015 23:45</v>
      </c>
    </row>
    <row r="940" spans="1:10" x14ac:dyDescent="0.3">
      <c r="A940" t="s">
        <v>6</v>
      </c>
      <c r="B940" t="str">
        <f>"04/25/2015 00:00"</f>
        <v>04/25/2015 00:00</v>
      </c>
      <c r="C940">
        <v>1.92</v>
      </c>
      <c r="D940" t="s">
        <v>7</v>
      </c>
      <c r="E940" s="2" t="s">
        <v>12</v>
      </c>
      <c r="F940">
        <f t="shared" si="14"/>
        <v>3.8073600000000001</v>
      </c>
      <c r="G940" t="s">
        <v>16</v>
      </c>
      <c r="J940" t="str">
        <f>"04/25/2015 23:45"</f>
        <v>04/25/2015 23:45</v>
      </c>
    </row>
    <row r="941" spans="1:10" x14ac:dyDescent="0.3">
      <c r="A941" t="s">
        <v>6</v>
      </c>
      <c r="B941" t="str">
        <f>"04/26/2015 00:00"</f>
        <v>04/26/2015 00:00</v>
      </c>
      <c r="C941">
        <v>2.2200000000000002</v>
      </c>
      <c r="D941" t="s">
        <v>7</v>
      </c>
      <c r="E941" s="2" t="s">
        <v>12</v>
      </c>
      <c r="F941">
        <f t="shared" si="14"/>
        <v>4.402260000000001</v>
      </c>
      <c r="G941" t="s">
        <v>16</v>
      </c>
      <c r="J941" t="str">
        <f>"04/26/2015 23:45"</f>
        <v>04/26/2015 23:45</v>
      </c>
    </row>
    <row r="942" spans="1:10" x14ac:dyDescent="0.3">
      <c r="A942" t="s">
        <v>6</v>
      </c>
      <c r="B942" t="str">
        <f>"04/27/2015 00:00"</f>
        <v>04/27/2015 00:00</v>
      </c>
      <c r="C942">
        <v>2.29</v>
      </c>
      <c r="D942" t="s">
        <v>7</v>
      </c>
      <c r="E942" s="2" t="s">
        <v>12</v>
      </c>
      <c r="F942">
        <f t="shared" si="14"/>
        <v>4.5410700000000004</v>
      </c>
      <c r="G942" t="s">
        <v>16</v>
      </c>
      <c r="J942" t="str">
        <f>"04/27/2015 23:45"</f>
        <v>04/27/2015 23:45</v>
      </c>
    </row>
    <row r="943" spans="1:10" x14ac:dyDescent="0.3">
      <c r="A943" t="s">
        <v>6</v>
      </c>
      <c r="B943" t="str">
        <f>"04/28/2015 00:00"</f>
        <v>04/28/2015 00:00</v>
      </c>
      <c r="C943">
        <v>2.23</v>
      </c>
      <c r="D943" t="s">
        <v>7</v>
      </c>
      <c r="E943" s="2" t="s">
        <v>12</v>
      </c>
      <c r="F943">
        <f t="shared" si="14"/>
        <v>4.4220899999999999</v>
      </c>
      <c r="G943" t="s">
        <v>16</v>
      </c>
      <c r="J943" t="str">
        <f>"04/28/2015 23:45"</f>
        <v>04/28/2015 23:45</v>
      </c>
    </row>
    <row r="944" spans="1:10" x14ac:dyDescent="0.3">
      <c r="A944" t="s">
        <v>6</v>
      </c>
      <c r="B944" t="str">
        <f>"04/29/2015 00:00"</f>
        <v>04/29/2015 00:00</v>
      </c>
      <c r="C944">
        <v>2.23</v>
      </c>
      <c r="D944" t="s">
        <v>7</v>
      </c>
      <c r="E944" s="2" t="s">
        <v>12</v>
      </c>
      <c r="F944">
        <f t="shared" si="14"/>
        <v>4.4220899999999999</v>
      </c>
      <c r="G944" t="s">
        <v>16</v>
      </c>
      <c r="J944" t="str">
        <f>"04/29/2015 23:45"</f>
        <v>04/29/2015 23:45</v>
      </c>
    </row>
    <row r="945" spans="1:10" x14ac:dyDescent="0.3">
      <c r="A945" t="s">
        <v>6</v>
      </c>
      <c r="B945" t="str">
        <f>"04/30/2015 00:00"</f>
        <v>04/30/2015 00:00</v>
      </c>
      <c r="C945">
        <v>2.11</v>
      </c>
      <c r="D945" t="s">
        <v>7</v>
      </c>
      <c r="E945" s="2" t="s">
        <v>12</v>
      </c>
      <c r="F945">
        <f t="shared" si="14"/>
        <v>4.1841299999999997</v>
      </c>
      <c r="G945" t="s">
        <v>16</v>
      </c>
      <c r="J945" t="str">
        <f>"04/30/2015 23:45"</f>
        <v>04/30/2015 23:45</v>
      </c>
    </row>
    <row r="946" spans="1:10" x14ac:dyDescent="0.3">
      <c r="A946" t="s">
        <v>6</v>
      </c>
      <c r="B946" t="str">
        <f>"05/01/2015 00:00"</f>
        <v>05/01/2015 00:00</v>
      </c>
      <c r="C946">
        <v>1.92</v>
      </c>
      <c r="D946" t="s">
        <v>7</v>
      </c>
      <c r="E946" s="2" t="s">
        <v>12</v>
      </c>
      <c r="F946">
        <f t="shared" si="14"/>
        <v>3.8073600000000001</v>
      </c>
      <c r="G946" t="s">
        <v>16</v>
      </c>
      <c r="J946" t="str">
        <f>"05/01/2015 23:45"</f>
        <v>05/01/2015 23:45</v>
      </c>
    </row>
    <row r="947" spans="1:10" x14ac:dyDescent="0.3">
      <c r="A947" t="s">
        <v>6</v>
      </c>
      <c r="B947" t="str">
        <f>"05/02/2015 00:00"</f>
        <v>05/02/2015 00:00</v>
      </c>
      <c r="C947">
        <v>1.92</v>
      </c>
      <c r="D947" t="s">
        <v>7</v>
      </c>
      <c r="E947" s="2" t="s">
        <v>12</v>
      </c>
      <c r="F947">
        <f t="shared" si="14"/>
        <v>3.8073600000000001</v>
      </c>
      <c r="G947" t="s">
        <v>16</v>
      </c>
      <c r="J947" t="str">
        <f>"05/02/2015 23:45"</f>
        <v>05/02/2015 23:45</v>
      </c>
    </row>
    <row r="948" spans="1:10" x14ac:dyDescent="0.3">
      <c r="A948" t="s">
        <v>6</v>
      </c>
      <c r="B948" t="str">
        <f>"05/03/2015 00:00"</f>
        <v>05/03/2015 00:00</v>
      </c>
      <c r="C948">
        <v>1.92</v>
      </c>
      <c r="D948" t="s">
        <v>7</v>
      </c>
      <c r="E948" s="2" t="s">
        <v>12</v>
      </c>
      <c r="F948">
        <f t="shared" si="14"/>
        <v>3.8073600000000001</v>
      </c>
      <c r="G948" t="s">
        <v>16</v>
      </c>
      <c r="J948" t="str">
        <f>"05/03/2015 23:45"</f>
        <v>05/03/2015 23:45</v>
      </c>
    </row>
    <row r="949" spans="1:10" x14ac:dyDescent="0.3">
      <c r="A949" t="s">
        <v>6</v>
      </c>
      <c r="B949" t="str">
        <f>"05/04/2015 00:00"</f>
        <v>05/04/2015 00:00</v>
      </c>
      <c r="C949">
        <v>1.92</v>
      </c>
      <c r="D949" t="s">
        <v>7</v>
      </c>
      <c r="E949" s="2" t="s">
        <v>12</v>
      </c>
      <c r="F949">
        <f t="shared" si="14"/>
        <v>3.8073600000000001</v>
      </c>
      <c r="G949" t="s">
        <v>16</v>
      </c>
      <c r="J949" t="str">
        <f>"05/04/2015 23:45"</f>
        <v>05/04/2015 23:45</v>
      </c>
    </row>
    <row r="950" spans="1:10" x14ac:dyDescent="0.3">
      <c r="A950" t="s">
        <v>6</v>
      </c>
      <c r="B950" t="str">
        <f>"05/05/2015 00:00"</f>
        <v>05/05/2015 00:00</v>
      </c>
      <c r="C950">
        <v>1.92</v>
      </c>
      <c r="D950" t="s">
        <v>7</v>
      </c>
      <c r="E950" s="2" t="s">
        <v>12</v>
      </c>
      <c r="F950">
        <f t="shared" si="14"/>
        <v>3.8073600000000001</v>
      </c>
      <c r="G950" t="s">
        <v>16</v>
      </c>
      <c r="J950" t="str">
        <f>"05/05/2015 23:45"</f>
        <v>05/05/2015 23:45</v>
      </c>
    </row>
    <row r="951" spans="1:10" x14ac:dyDescent="0.3">
      <c r="A951" t="s">
        <v>6</v>
      </c>
      <c r="B951" t="str">
        <f>"05/06/2015 00:00"</f>
        <v>05/06/2015 00:00</v>
      </c>
      <c r="C951">
        <v>1.92</v>
      </c>
      <c r="D951" t="s">
        <v>7</v>
      </c>
      <c r="E951" s="2" t="s">
        <v>12</v>
      </c>
      <c r="F951">
        <f t="shared" si="14"/>
        <v>3.8073600000000001</v>
      </c>
      <c r="G951" t="s">
        <v>16</v>
      </c>
      <c r="J951" t="str">
        <f>"05/06/2015 23:45"</f>
        <v>05/06/2015 23:45</v>
      </c>
    </row>
    <row r="952" spans="1:10" x14ac:dyDescent="0.3">
      <c r="A952" t="s">
        <v>6</v>
      </c>
      <c r="B952" t="str">
        <f>"05/07/2015 00:00"</f>
        <v>05/07/2015 00:00</v>
      </c>
      <c r="C952">
        <v>1.92</v>
      </c>
      <c r="D952" t="s">
        <v>7</v>
      </c>
      <c r="E952" s="2" t="s">
        <v>12</v>
      </c>
      <c r="F952">
        <f t="shared" si="14"/>
        <v>3.8073600000000001</v>
      </c>
      <c r="G952" t="s">
        <v>16</v>
      </c>
      <c r="J952" t="str">
        <f>"05/07/2015 23:45"</f>
        <v>05/07/2015 23:45</v>
      </c>
    </row>
    <row r="953" spans="1:10" x14ac:dyDescent="0.3">
      <c r="A953" t="s">
        <v>6</v>
      </c>
      <c r="B953" t="str">
        <f>"05/08/2015 00:00"</f>
        <v>05/08/2015 00:00</v>
      </c>
      <c r="C953">
        <v>1.92</v>
      </c>
      <c r="D953" t="s">
        <v>7</v>
      </c>
      <c r="E953" s="2" t="s">
        <v>12</v>
      </c>
      <c r="F953">
        <f t="shared" si="14"/>
        <v>3.8073600000000001</v>
      </c>
      <c r="G953" t="s">
        <v>16</v>
      </c>
      <c r="J953" t="str">
        <f>"05/08/2015 23:45"</f>
        <v>05/08/2015 23:45</v>
      </c>
    </row>
    <row r="954" spans="1:10" x14ac:dyDescent="0.3">
      <c r="A954" t="s">
        <v>6</v>
      </c>
      <c r="B954" t="str">
        <f>"05/09/2015 00:00"</f>
        <v>05/09/2015 00:00</v>
      </c>
      <c r="C954">
        <v>1.92</v>
      </c>
      <c r="D954" t="s">
        <v>7</v>
      </c>
      <c r="E954" s="2" t="s">
        <v>12</v>
      </c>
      <c r="F954">
        <f t="shared" si="14"/>
        <v>3.8073600000000001</v>
      </c>
      <c r="G954" t="s">
        <v>16</v>
      </c>
      <c r="J954" t="str">
        <f>"05/09/2015 23:45"</f>
        <v>05/09/2015 23:45</v>
      </c>
    </row>
    <row r="955" spans="1:10" x14ac:dyDescent="0.3">
      <c r="A955" t="s">
        <v>6</v>
      </c>
      <c r="B955" t="str">
        <f>"05/10/2015 00:00"</f>
        <v>05/10/2015 00:00</v>
      </c>
      <c r="C955">
        <v>1.92</v>
      </c>
      <c r="D955" t="s">
        <v>7</v>
      </c>
      <c r="E955" s="2" t="s">
        <v>12</v>
      </c>
      <c r="F955">
        <f t="shared" si="14"/>
        <v>3.8073600000000001</v>
      </c>
      <c r="G955" t="s">
        <v>16</v>
      </c>
      <c r="J955" t="str">
        <f>"05/10/2015 23:45"</f>
        <v>05/10/2015 23:45</v>
      </c>
    </row>
    <row r="956" spans="1:10" x14ac:dyDescent="0.3">
      <c r="A956" t="s">
        <v>6</v>
      </c>
      <c r="B956" t="str">
        <f>"05/11/2015 00:00"</f>
        <v>05/11/2015 00:00</v>
      </c>
      <c r="C956">
        <v>1.92</v>
      </c>
      <c r="D956" t="s">
        <v>7</v>
      </c>
      <c r="E956" s="2" t="s">
        <v>12</v>
      </c>
      <c r="F956">
        <f t="shared" si="14"/>
        <v>3.8073600000000001</v>
      </c>
      <c r="G956" t="s">
        <v>16</v>
      </c>
      <c r="J956" t="str">
        <f>"05/11/2015 23:45"</f>
        <v>05/11/2015 23:45</v>
      </c>
    </row>
    <row r="957" spans="1:10" x14ac:dyDescent="0.3">
      <c r="A957" t="s">
        <v>6</v>
      </c>
      <c r="B957" t="str">
        <f>"05/12/2015 00:00"</f>
        <v>05/12/2015 00:00</v>
      </c>
      <c r="C957">
        <v>1.92</v>
      </c>
      <c r="D957" t="s">
        <v>7</v>
      </c>
      <c r="E957" s="2" t="s">
        <v>12</v>
      </c>
      <c r="F957">
        <f t="shared" si="14"/>
        <v>3.8073600000000001</v>
      </c>
      <c r="G957" t="s">
        <v>16</v>
      </c>
      <c r="J957" t="str">
        <f>"05/12/2015 23:45"</f>
        <v>05/12/2015 23:45</v>
      </c>
    </row>
    <row r="958" spans="1:10" x14ac:dyDescent="0.3">
      <c r="A958" t="s">
        <v>6</v>
      </c>
      <c r="B958" t="str">
        <f>"05/13/2015 00:00"</f>
        <v>05/13/2015 00:00</v>
      </c>
      <c r="C958">
        <v>1.92</v>
      </c>
      <c r="D958" t="s">
        <v>7</v>
      </c>
      <c r="E958" s="2" t="s">
        <v>12</v>
      </c>
      <c r="F958">
        <f t="shared" si="14"/>
        <v>3.8073600000000001</v>
      </c>
      <c r="G958" t="s">
        <v>16</v>
      </c>
      <c r="J958" t="str">
        <f>"05/13/2015 23:45"</f>
        <v>05/13/2015 23:45</v>
      </c>
    </row>
    <row r="959" spans="1:10" x14ac:dyDescent="0.3">
      <c r="A959" t="s">
        <v>6</v>
      </c>
      <c r="B959" t="str">
        <f>"05/14/2015 00:00"</f>
        <v>05/14/2015 00:00</v>
      </c>
      <c r="C959">
        <v>1.92</v>
      </c>
      <c r="D959" t="s">
        <v>7</v>
      </c>
      <c r="E959" s="2" t="s">
        <v>12</v>
      </c>
      <c r="F959">
        <f t="shared" si="14"/>
        <v>3.8073600000000001</v>
      </c>
      <c r="G959" t="s">
        <v>16</v>
      </c>
      <c r="J959" t="str">
        <f>"05/14/2015 23:45"</f>
        <v>05/14/2015 23:45</v>
      </c>
    </row>
    <row r="960" spans="1:10" x14ac:dyDescent="0.3">
      <c r="A960" t="s">
        <v>6</v>
      </c>
      <c r="B960" t="str">
        <f>"05/15/2015 00:00"</f>
        <v>05/15/2015 00:00</v>
      </c>
      <c r="C960">
        <v>1.92</v>
      </c>
      <c r="D960" t="s">
        <v>7</v>
      </c>
      <c r="E960" s="2" t="s">
        <v>12</v>
      </c>
      <c r="F960">
        <f t="shared" si="14"/>
        <v>3.8073600000000001</v>
      </c>
      <c r="G960" t="s">
        <v>16</v>
      </c>
      <c r="J960" t="str">
        <f>"05/15/2015 23:45"</f>
        <v>05/15/2015 23:45</v>
      </c>
    </row>
    <row r="961" spans="1:10" x14ac:dyDescent="0.3">
      <c r="A961" t="s">
        <v>6</v>
      </c>
      <c r="B961" t="str">
        <f>"05/16/2015 00:00"</f>
        <v>05/16/2015 00:00</v>
      </c>
      <c r="C961">
        <v>1.92</v>
      </c>
      <c r="D961" t="s">
        <v>7</v>
      </c>
      <c r="E961" s="2" t="s">
        <v>12</v>
      </c>
      <c r="F961">
        <f t="shared" si="14"/>
        <v>3.8073600000000001</v>
      </c>
      <c r="G961" t="s">
        <v>16</v>
      </c>
      <c r="J961" t="str">
        <f>"05/16/2015 23:45"</f>
        <v>05/16/2015 23:45</v>
      </c>
    </row>
    <row r="962" spans="1:10" x14ac:dyDescent="0.3">
      <c r="A962" t="s">
        <v>6</v>
      </c>
      <c r="B962" t="str">
        <f>"05/17/2015 00:00"</f>
        <v>05/17/2015 00:00</v>
      </c>
      <c r="C962">
        <v>1.92</v>
      </c>
      <c r="D962" t="s">
        <v>7</v>
      </c>
      <c r="E962" s="2" t="s">
        <v>12</v>
      </c>
      <c r="F962">
        <f t="shared" si="14"/>
        <v>3.8073600000000001</v>
      </c>
      <c r="G962" t="s">
        <v>16</v>
      </c>
      <c r="J962" t="str">
        <f>"05/17/2015 23:45"</f>
        <v>05/17/2015 23:45</v>
      </c>
    </row>
    <row r="963" spans="1:10" x14ac:dyDescent="0.3">
      <c r="A963" t="s">
        <v>6</v>
      </c>
      <c r="B963" t="str">
        <f>"05/18/2015 00:00"</f>
        <v>05/18/2015 00:00</v>
      </c>
      <c r="C963">
        <v>1.92</v>
      </c>
      <c r="D963" t="s">
        <v>7</v>
      </c>
      <c r="E963" s="2" t="s">
        <v>12</v>
      </c>
      <c r="F963">
        <f t="shared" si="14"/>
        <v>3.8073600000000001</v>
      </c>
      <c r="G963" t="s">
        <v>16</v>
      </c>
      <c r="J963" t="str">
        <f>"05/18/2015 23:45"</f>
        <v>05/18/2015 23:45</v>
      </c>
    </row>
    <row r="964" spans="1:10" x14ac:dyDescent="0.3">
      <c r="A964" t="s">
        <v>6</v>
      </c>
      <c r="B964" t="str">
        <f>"05/19/2015 00:00"</f>
        <v>05/19/2015 00:00</v>
      </c>
      <c r="C964">
        <v>1.92</v>
      </c>
      <c r="D964" t="s">
        <v>7</v>
      </c>
      <c r="E964" s="2" t="s">
        <v>12</v>
      </c>
      <c r="F964">
        <f t="shared" si="14"/>
        <v>3.8073600000000001</v>
      </c>
      <c r="G964" t="s">
        <v>16</v>
      </c>
      <c r="J964" t="str">
        <f>"05/19/2015 23:45"</f>
        <v>05/19/2015 23:45</v>
      </c>
    </row>
    <row r="965" spans="1:10" x14ac:dyDescent="0.3">
      <c r="A965" t="s">
        <v>6</v>
      </c>
      <c r="B965" t="str">
        <f>"05/20/2015 00:00"</f>
        <v>05/20/2015 00:00</v>
      </c>
      <c r="C965">
        <v>1.92</v>
      </c>
      <c r="D965" t="s">
        <v>7</v>
      </c>
      <c r="E965" s="2" t="s">
        <v>12</v>
      </c>
      <c r="F965">
        <f t="shared" ref="F965:F1028" si="15">C965*1.983</f>
        <v>3.8073600000000001</v>
      </c>
      <c r="G965" t="s">
        <v>16</v>
      </c>
      <c r="J965" t="str">
        <f>"05/20/2015 23:45"</f>
        <v>05/20/2015 23:45</v>
      </c>
    </row>
    <row r="966" spans="1:10" x14ac:dyDescent="0.3">
      <c r="A966" t="s">
        <v>6</v>
      </c>
      <c r="B966" t="str">
        <f>"05/21/2015 00:00"</f>
        <v>05/21/2015 00:00</v>
      </c>
      <c r="C966">
        <v>1.92</v>
      </c>
      <c r="D966" t="s">
        <v>7</v>
      </c>
      <c r="E966" s="2" t="s">
        <v>12</v>
      </c>
      <c r="F966">
        <f t="shared" si="15"/>
        <v>3.8073600000000001</v>
      </c>
      <c r="G966" t="s">
        <v>16</v>
      </c>
      <c r="J966" t="str">
        <f>"05/21/2015 23:45"</f>
        <v>05/21/2015 23:45</v>
      </c>
    </row>
    <row r="967" spans="1:10" x14ac:dyDescent="0.3">
      <c r="A967" t="s">
        <v>6</v>
      </c>
      <c r="B967" t="str">
        <f>"05/22/2015 00:00"</f>
        <v>05/22/2015 00:00</v>
      </c>
      <c r="C967">
        <v>1.92</v>
      </c>
      <c r="D967" t="s">
        <v>7</v>
      </c>
      <c r="E967" s="2" t="s">
        <v>12</v>
      </c>
      <c r="F967">
        <f t="shared" si="15"/>
        <v>3.8073600000000001</v>
      </c>
      <c r="G967" t="s">
        <v>16</v>
      </c>
      <c r="J967" t="str">
        <f>"05/22/2015 23:45"</f>
        <v>05/22/2015 23:45</v>
      </c>
    </row>
    <row r="968" spans="1:10" x14ac:dyDescent="0.3">
      <c r="A968" t="s">
        <v>6</v>
      </c>
      <c r="B968" t="str">
        <f>"05/23/2015 00:00"</f>
        <v>05/23/2015 00:00</v>
      </c>
      <c r="C968">
        <v>1.92</v>
      </c>
      <c r="D968" t="s">
        <v>7</v>
      </c>
      <c r="E968" s="2" t="s">
        <v>12</v>
      </c>
      <c r="F968">
        <f t="shared" si="15"/>
        <v>3.8073600000000001</v>
      </c>
      <c r="G968" t="s">
        <v>16</v>
      </c>
      <c r="J968" t="str">
        <f>"05/23/2015 23:45"</f>
        <v>05/23/2015 23:45</v>
      </c>
    </row>
    <row r="969" spans="1:10" x14ac:dyDescent="0.3">
      <c r="A969" t="s">
        <v>6</v>
      </c>
      <c r="B969" t="str">
        <f>"05/24/2015 00:00"</f>
        <v>05/24/2015 00:00</v>
      </c>
      <c r="C969">
        <v>1.92</v>
      </c>
      <c r="D969" t="s">
        <v>7</v>
      </c>
      <c r="E969" s="2" t="s">
        <v>12</v>
      </c>
      <c r="F969">
        <f t="shared" si="15"/>
        <v>3.8073600000000001</v>
      </c>
      <c r="G969" t="s">
        <v>16</v>
      </c>
      <c r="J969" t="str">
        <f>"05/24/2015 23:45"</f>
        <v>05/24/2015 23:45</v>
      </c>
    </row>
    <row r="970" spans="1:10" x14ac:dyDescent="0.3">
      <c r="A970" t="s">
        <v>6</v>
      </c>
      <c r="B970" t="str">
        <f>"05/25/2015 00:00"</f>
        <v>05/25/2015 00:00</v>
      </c>
      <c r="C970">
        <v>1.92</v>
      </c>
      <c r="D970" t="s">
        <v>7</v>
      </c>
      <c r="E970" s="2" t="s">
        <v>12</v>
      </c>
      <c r="F970">
        <f t="shared" si="15"/>
        <v>3.8073600000000001</v>
      </c>
      <c r="G970" t="s">
        <v>16</v>
      </c>
      <c r="J970" t="str">
        <f>"05/25/2015 23:45"</f>
        <v>05/25/2015 23:45</v>
      </c>
    </row>
    <row r="971" spans="1:10" x14ac:dyDescent="0.3">
      <c r="A971" t="s">
        <v>6</v>
      </c>
      <c r="B971" t="str">
        <f>"05/26/2015 00:00"</f>
        <v>05/26/2015 00:00</v>
      </c>
      <c r="C971">
        <v>1.92</v>
      </c>
      <c r="D971" t="s">
        <v>7</v>
      </c>
      <c r="E971" s="2" t="s">
        <v>12</v>
      </c>
      <c r="F971">
        <f t="shared" si="15"/>
        <v>3.8073600000000001</v>
      </c>
      <c r="G971" t="s">
        <v>16</v>
      </c>
      <c r="J971" t="str">
        <f>"05/26/2015 23:45"</f>
        <v>05/26/2015 23:45</v>
      </c>
    </row>
    <row r="972" spans="1:10" x14ac:dyDescent="0.3">
      <c r="A972" t="s">
        <v>6</v>
      </c>
      <c r="B972" t="str">
        <f>"05/27/2015 00:00"</f>
        <v>05/27/2015 00:00</v>
      </c>
      <c r="C972">
        <v>1.92</v>
      </c>
      <c r="D972" t="s">
        <v>7</v>
      </c>
      <c r="E972" s="2" t="s">
        <v>12</v>
      </c>
      <c r="F972">
        <f t="shared" si="15"/>
        <v>3.8073600000000001</v>
      </c>
      <c r="G972" t="s">
        <v>16</v>
      </c>
      <c r="J972" t="str">
        <f>"05/27/2015 23:45"</f>
        <v>05/27/2015 23:45</v>
      </c>
    </row>
    <row r="973" spans="1:10" x14ac:dyDescent="0.3">
      <c r="A973" t="s">
        <v>6</v>
      </c>
      <c r="B973" t="str">
        <f>"05/28/2015 00:00"</f>
        <v>05/28/2015 00:00</v>
      </c>
      <c r="C973">
        <v>1.92</v>
      </c>
      <c r="D973" t="s">
        <v>7</v>
      </c>
      <c r="E973" s="2" t="s">
        <v>12</v>
      </c>
      <c r="F973">
        <f t="shared" si="15"/>
        <v>3.8073600000000001</v>
      </c>
      <c r="G973" t="s">
        <v>16</v>
      </c>
      <c r="J973" t="str">
        <f>"05/28/2015 23:45"</f>
        <v>05/28/2015 23:45</v>
      </c>
    </row>
    <row r="974" spans="1:10" x14ac:dyDescent="0.3">
      <c r="A974" t="s">
        <v>6</v>
      </c>
      <c r="B974" t="str">
        <f>"05/29/2015 00:00"</f>
        <v>05/29/2015 00:00</v>
      </c>
      <c r="C974">
        <v>1.92</v>
      </c>
      <c r="D974" t="s">
        <v>7</v>
      </c>
      <c r="E974" s="2" t="s">
        <v>12</v>
      </c>
      <c r="F974">
        <f t="shared" si="15"/>
        <v>3.8073600000000001</v>
      </c>
      <c r="G974" t="s">
        <v>16</v>
      </c>
      <c r="J974" t="str">
        <f>"05/29/2015 23:45"</f>
        <v>05/29/2015 23:45</v>
      </c>
    </row>
    <row r="975" spans="1:10" x14ac:dyDescent="0.3">
      <c r="A975" t="s">
        <v>6</v>
      </c>
      <c r="B975" t="str">
        <f>"05/30/2015 00:00"</f>
        <v>05/30/2015 00:00</v>
      </c>
      <c r="C975">
        <v>1.92</v>
      </c>
      <c r="D975" t="s">
        <v>7</v>
      </c>
      <c r="E975" s="2" t="s">
        <v>12</v>
      </c>
      <c r="F975">
        <f t="shared" si="15"/>
        <v>3.8073600000000001</v>
      </c>
      <c r="G975" t="s">
        <v>16</v>
      </c>
      <c r="J975" t="str">
        <f>"05/30/2015 23:45"</f>
        <v>05/30/2015 23:45</v>
      </c>
    </row>
    <row r="976" spans="1:10" x14ac:dyDescent="0.3">
      <c r="A976" t="s">
        <v>6</v>
      </c>
      <c r="B976" t="str">
        <f>"05/31/2015 00:00"</f>
        <v>05/31/2015 00:00</v>
      </c>
      <c r="C976">
        <v>1.92</v>
      </c>
      <c r="D976" t="s">
        <v>7</v>
      </c>
      <c r="E976" s="2" t="s">
        <v>12</v>
      </c>
      <c r="F976">
        <f t="shared" si="15"/>
        <v>3.8073600000000001</v>
      </c>
      <c r="G976" t="s">
        <v>16</v>
      </c>
      <c r="J976" t="str">
        <f>"05/31/2015 23:45"</f>
        <v>05/31/2015 23:45</v>
      </c>
    </row>
    <row r="977" spans="1:10" x14ac:dyDescent="0.3">
      <c r="A977" t="s">
        <v>6</v>
      </c>
      <c r="B977" t="str">
        <f>"06/01/2015 00:00"</f>
        <v>06/01/2015 00:00</v>
      </c>
      <c r="C977">
        <v>1.92</v>
      </c>
      <c r="D977" t="s">
        <v>7</v>
      </c>
      <c r="E977" s="2" t="s">
        <v>12</v>
      </c>
      <c r="F977">
        <f t="shared" si="15"/>
        <v>3.8073600000000001</v>
      </c>
      <c r="G977" t="s">
        <v>16</v>
      </c>
      <c r="J977" t="str">
        <f>"06/01/2015 23:45"</f>
        <v>06/01/2015 23:45</v>
      </c>
    </row>
    <row r="978" spans="1:10" x14ac:dyDescent="0.3">
      <c r="A978" t="s">
        <v>6</v>
      </c>
      <c r="B978" t="str">
        <f>"06/02/2015 00:00"</f>
        <v>06/02/2015 00:00</v>
      </c>
      <c r="C978">
        <v>1.92</v>
      </c>
      <c r="D978" t="s">
        <v>7</v>
      </c>
      <c r="E978" s="2" t="s">
        <v>12</v>
      </c>
      <c r="F978">
        <f t="shared" si="15"/>
        <v>3.8073600000000001</v>
      </c>
      <c r="G978" t="s">
        <v>16</v>
      </c>
      <c r="J978" t="str">
        <f>"06/02/2015 23:45"</f>
        <v>06/02/2015 23:45</v>
      </c>
    </row>
    <row r="979" spans="1:10" x14ac:dyDescent="0.3">
      <c r="A979" t="s">
        <v>6</v>
      </c>
      <c r="B979" t="str">
        <f>"06/03/2015 00:00"</f>
        <v>06/03/2015 00:00</v>
      </c>
      <c r="C979">
        <v>1.92</v>
      </c>
      <c r="D979" t="s">
        <v>7</v>
      </c>
      <c r="E979" s="2" t="s">
        <v>12</v>
      </c>
      <c r="F979">
        <f t="shared" si="15"/>
        <v>3.8073600000000001</v>
      </c>
      <c r="G979" t="s">
        <v>16</v>
      </c>
      <c r="J979" t="str">
        <f>"06/03/2015 23:45"</f>
        <v>06/03/2015 23:45</v>
      </c>
    </row>
    <row r="980" spans="1:10" x14ac:dyDescent="0.3">
      <c r="A980" t="s">
        <v>6</v>
      </c>
      <c r="B980" t="str">
        <f>"06/04/2015 00:00"</f>
        <v>06/04/2015 00:00</v>
      </c>
      <c r="C980">
        <v>1.92</v>
      </c>
      <c r="D980" t="s">
        <v>7</v>
      </c>
      <c r="E980" s="2" t="s">
        <v>12</v>
      </c>
      <c r="F980">
        <f t="shared" si="15"/>
        <v>3.8073600000000001</v>
      </c>
      <c r="G980" t="s">
        <v>16</v>
      </c>
      <c r="J980" t="str">
        <f>"06/04/2015 23:45"</f>
        <v>06/04/2015 23:45</v>
      </c>
    </row>
    <row r="981" spans="1:10" x14ac:dyDescent="0.3">
      <c r="A981" t="s">
        <v>6</v>
      </c>
      <c r="B981" t="str">
        <f>"06/05/2015 00:00"</f>
        <v>06/05/2015 00:00</v>
      </c>
      <c r="C981">
        <v>1.92</v>
      </c>
      <c r="D981" t="s">
        <v>7</v>
      </c>
      <c r="E981" s="2" t="s">
        <v>12</v>
      </c>
      <c r="F981">
        <f t="shared" si="15"/>
        <v>3.8073600000000001</v>
      </c>
      <c r="G981" t="s">
        <v>16</v>
      </c>
      <c r="J981" t="str">
        <f>"06/05/2015 23:45"</f>
        <v>06/05/2015 23:45</v>
      </c>
    </row>
    <row r="982" spans="1:10" x14ac:dyDescent="0.3">
      <c r="A982" t="s">
        <v>6</v>
      </c>
      <c r="B982" t="str">
        <f>"06/06/2015 00:00"</f>
        <v>06/06/2015 00:00</v>
      </c>
      <c r="C982">
        <v>1.92</v>
      </c>
      <c r="D982" t="s">
        <v>7</v>
      </c>
      <c r="E982" s="2" t="s">
        <v>12</v>
      </c>
      <c r="F982">
        <f t="shared" si="15"/>
        <v>3.8073600000000001</v>
      </c>
      <c r="G982" t="s">
        <v>16</v>
      </c>
      <c r="J982" t="str">
        <f>"06/06/2015 23:45"</f>
        <v>06/06/2015 23:45</v>
      </c>
    </row>
    <row r="983" spans="1:10" x14ac:dyDescent="0.3">
      <c r="A983" t="s">
        <v>6</v>
      </c>
      <c r="B983" t="str">
        <f>"06/07/2015 00:00"</f>
        <v>06/07/2015 00:00</v>
      </c>
      <c r="C983">
        <v>1.92</v>
      </c>
      <c r="D983" t="s">
        <v>7</v>
      </c>
      <c r="E983" s="2" t="s">
        <v>12</v>
      </c>
      <c r="F983">
        <f t="shared" si="15"/>
        <v>3.8073600000000001</v>
      </c>
      <c r="G983" t="s">
        <v>16</v>
      </c>
      <c r="J983" t="str">
        <f>"06/07/2015 23:45"</f>
        <v>06/07/2015 23:45</v>
      </c>
    </row>
    <row r="984" spans="1:10" x14ac:dyDescent="0.3">
      <c r="A984" t="s">
        <v>6</v>
      </c>
      <c r="B984" t="str">
        <f>"06/08/2015 00:00"</f>
        <v>06/08/2015 00:00</v>
      </c>
      <c r="C984">
        <v>1.92</v>
      </c>
      <c r="D984" t="s">
        <v>7</v>
      </c>
      <c r="E984" s="2" t="s">
        <v>12</v>
      </c>
      <c r="F984">
        <f t="shared" si="15"/>
        <v>3.8073600000000001</v>
      </c>
      <c r="G984" t="s">
        <v>16</v>
      </c>
      <c r="J984" t="str">
        <f>"06/08/2015 23:45"</f>
        <v>06/08/2015 23:45</v>
      </c>
    </row>
    <row r="985" spans="1:10" x14ac:dyDescent="0.3">
      <c r="A985" t="s">
        <v>6</v>
      </c>
      <c r="B985" t="str">
        <f>"06/09/2015 00:00"</f>
        <v>06/09/2015 00:00</v>
      </c>
      <c r="C985">
        <v>1.92</v>
      </c>
      <c r="D985" t="s">
        <v>7</v>
      </c>
      <c r="E985" s="2" t="s">
        <v>12</v>
      </c>
      <c r="F985">
        <f t="shared" si="15"/>
        <v>3.8073600000000001</v>
      </c>
      <c r="G985" t="s">
        <v>16</v>
      </c>
      <c r="J985" t="str">
        <f>"06/09/2015 23:45"</f>
        <v>06/09/2015 23:45</v>
      </c>
    </row>
    <row r="986" spans="1:10" x14ac:dyDescent="0.3">
      <c r="A986" t="s">
        <v>6</v>
      </c>
      <c r="B986" t="str">
        <f>"06/10/2015 00:00"</f>
        <v>06/10/2015 00:00</v>
      </c>
      <c r="C986">
        <v>1.92</v>
      </c>
      <c r="D986" t="s">
        <v>7</v>
      </c>
      <c r="E986" s="2" t="s">
        <v>12</v>
      </c>
      <c r="F986">
        <f t="shared" si="15"/>
        <v>3.8073600000000001</v>
      </c>
      <c r="G986" t="s">
        <v>16</v>
      </c>
      <c r="J986" t="str">
        <f>"06/10/2015 23:45"</f>
        <v>06/10/2015 23:45</v>
      </c>
    </row>
    <row r="987" spans="1:10" x14ac:dyDescent="0.3">
      <c r="A987" t="s">
        <v>6</v>
      </c>
      <c r="B987" t="str">
        <f>"06/11/2015 00:00"</f>
        <v>06/11/2015 00:00</v>
      </c>
      <c r="C987">
        <v>1.92</v>
      </c>
      <c r="D987" t="s">
        <v>7</v>
      </c>
      <c r="E987" s="2" t="s">
        <v>12</v>
      </c>
      <c r="F987">
        <f t="shared" si="15"/>
        <v>3.8073600000000001</v>
      </c>
      <c r="G987" t="s">
        <v>16</v>
      </c>
      <c r="J987" t="str">
        <f>"06/11/2015 23:45"</f>
        <v>06/11/2015 23:45</v>
      </c>
    </row>
    <row r="988" spans="1:10" x14ac:dyDescent="0.3">
      <c r="A988" t="s">
        <v>6</v>
      </c>
      <c r="B988" t="str">
        <f>"06/12/2015 00:00"</f>
        <v>06/12/2015 00:00</v>
      </c>
      <c r="C988">
        <v>1.92</v>
      </c>
      <c r="D988" t="s">
        <v>7</v>
      </c>
      <c r="E988" s="2" t="s">
        <v>12</v>
      </c>
      <c r="F988">
        <f t="shared" si="15"/>
        <v>3.8073600000000001</v>
      </c>
      <c r="G988" t="s">
        <v>16</v>
      </c>
      <c r="J988" t="str">
        <f>"06/12/2015 23:45"</f>
        <v>06/12/2015 23:45</v>
      </c>
    </row>
    <row r="989" spans="1:10" x14ac:dyDescent="0.3">
      <c r="A989" t="s">
        <v>6</v>
      </c>
      <c r="B989" t="str">
        <f>"06/13/2015 00:00"</f>
        <v>06/13/2015 00:00</v>
      </c>
      <c r="C989">
        <v>1.92</v>
      </c>
      <c r="D989" t="s">
        <v>7</v>
      </c>
      <c r="E989" s="2" t="s">
        <v>12</v>
      </c>
      <c r="F989">
        <f t="shared" si="15"/>
        <v>3.8073600000000001</v>
      </c>
      <c r="G989" t="s">
        <v>16</v>
      </c>
      <c r="J989" t="str">
        <f>"06/13/2015 23:45"</f>
        <v>06/13/2015 23:45</v>
      </c>
    </row>
    <row r="990" spans="1:10" x14ac:dyDescent="0.3">
      <c r="A990" t="s">
        <v>6</v>
      </c>
      <c r="B990" t="str">
        <f>"06/14/2015 00:00"</f>
        <v>06/14/2015 00:00</v>
      </c>
      <c r="C990">
        <v>1.92</v>
      </c>
      <c r="D990" t="s">
        <v>7</v>
      </c>
      <c r="E990" s="2" t="s">
        <v>12</v>
      </c>
      <c r="F990">
        <f t="shared" si="15"/>
        <v>3.8073600000000001</v>
      </c>
      <c r="G990" t="s">
        <v>16</v>
      </c>
      <c r="J990" t="str">
        <f>"06/14/2015 23:45"</f>
        <v>06/14/2015 23:45</v>
      </c>
    </row>
    <row r="991" spans="1:10" x14ac:dyDescent="0.3">
      <c r="A991" t="s">
        <v>6</v>
      </c>
      <c r="B991" t="str">
        <f>"06/15/2015 00:00"</f>
        <v>06/15/2015 00:00</v>
      </c>
      <c r="C991">
        <v>1.92</v>
      </c>
      <c r="D991" t="s">
        <v>7</v>
      </c>
      <c r="E991" s="2" t="s">
        <v>12</v>
      </c>
      <c r="F991">
        <f t="shared" si="15"/>
        <v>3.8073600000000001</v>
      </c>
      <c r="G991" t="s">
        <v>16</v>
      </c>
      <c r="J991" t="str">
        <f>"06/15/2015 23:45"</f>
        <v>06/15/2015 23:45</v>
      </c>
    </row>
    <row r="992" spans="1:10" x14ac:dyDescent="0.3">
      <c r="A992" t="s">
        <v>6</v>
      </c>
      <c r="B992" t="str">
        <f>"06/16/2015 00:00"</f>
        <v>06/16/2015 00:00</v>
      </c>
      <c r="C992">
        <v>1.92</v>
      </c>
      <c r="D992" t="s">
        <v>7</v>
      </c>
      <c r="E992" s="2" t="s">
        <v>12</v>
      </c>
      <c r="F992">
        <f t="shared" si="15"/>
        <v>3.8073600000000001</v>
      </c>
      <c r="G992" t="s">
        <v>16</v>
      </c>
      <c r="J992" t="str">
        <f>"06/16/2015 23:45"</f>
        <v>06/16/2015 23:45</v>
      </c>
    </row>
    <row r="993" spans="1:10" x14ac:dyDescent="0.3">
      <c r="A993" t="s">
        <v>6</v>
      </c>
      <c r="B993" t="str">
        <f>"06/17/2015 00:00"</f>
        <v>06/17/2015 00:00</v>
      </c>
      <c r="C993">
        <v>1.92</v>
      </c>
      <c r="D993" t="s">
        <v>7</v>
      </c>
      <c r="E993" s="2" t="s">
        <v>12</v>
      </c>
      <c r="F993">
        <f t="shared" si="15"/>
        <v>3.8073600000000001</v>
      </c>
      <c r="G993" t="s">
        <v>16</v>
      </c>
      <c r="J993" t="str">
        <f>"06/17/2015 23:45"</f>
        <v>06/17/2015 23:45</v>
      </c>
    </row>
    <row r="994" spans="1:10" x14ac:dyDescent="0.3">
      <c r="A994" t="s">
        <v>6</v>
      </c>
      <c r="B994" t="str">
        <f>"06/18/2015 00:00"</f>
        <v>06/18/2015 00:00</v>
      </c>
      <c r="C994">
        <v>1.92</v>
      </c>
      <c r="D994" t="s">
        <v>7</v>
      </c>
      <c r="E994" s="2" t="s">
        <v>12</v>
      </c>
      <c r="F994">
        <f t="shared" si="15"/>
        <v>3.8073600000000001</v>
      </c>
      <c r="G994" t="s">
        <v>16</v>
      </c>
      <c r="J994" t="str">
        <f>"06/18/2015 23:45"</f>
        <v>06/18/2015 23:45</v>
      </c>
    </row>
    <row r="995" spans="1:10" x14ac:dyDescent="0.3">
      <c r="A995" t="s">
        <v>6</v>
      </c>
      <c r="B995" t="str">
        <f>"06/19/2015 00:00"</f>
        <v>06/19/2015 00:00</v>
      </c>
      <c r="C995">
        <v>1.92</v>
      </c>
      <c r="D995" t="s">
        <v>7</v>
      </c>
      <c r="E995" s="2" t="s">
        <v>12</v>
      </c>
      <c r="F995">
        <f t="shared" si="15"/>
        <v>3.8073600000000001</v>
      </c>
      <c r="G995" t="s">
        <v>16</v>
      </c>
      <c r="J995" t="str">
        <f>"06/19/2015 23:45"</f>
        <v>06/19/2015 23:45</v>
      </c>
    </row>
    <row r="996" spans="1:10" x14ac:dyDescent="0.3">
      <c r="A996" t="s">
        <v>6</v>
      </c>
      <c r="B996" t="str">
        <f>"06/20/2015 00:00"</f>
        <v>06/20/2015 00:00</v>
      </c>
      <c r="C996">
        <v>1.92</v>
      </c>
      <c r="D996" t="s">
        <v>7</v>
      </c>
      <c r="E996" s="2" t="s">
        <v>12</v>
      </c>
      <c r="F996">
        <f t="shared" si="15"/>
        <v>3.8073600000000001</v>
      </c>
      <c r="G996" t="s">
        <v>16</v>
      </c>
      <c r="J996" t="str">
        <f>"06/20/2015 23:45"</f>
        <v>06/20/2015 23:45</v>
      </c>
    </row>
    <row r="997" spans="1:10" x14ac:dyDescent="0.3">
      <c r="A997" t="s">
        <v>6</v>
      </c>
      <c r="B997" t="str">
        <f>"06/21/2015 00:00"</f>
        <v>06/21/2015 00:00</v>
      </c>
      <c r="C997">
        <v>1.92</v>
      </c>
      <c r="D997" t="s">
        <v>7</v>
      </c>
      <c r="E997" s="2" t="s">
        <v>12</v>
      </c>
      <c r="F997">
        <f t="shared" si="15"/>
        <v>3.8073600000000001</v>
      </c>
      <c r="G997" t="s">
        <v>16</v>
      </c>
      <c r="J997" t="str">
        <f>"06/21/2015 23:45"</f>
        <v>06/21/2015 23:45</v>
      </c>
    </row>
    <row r="998" spans="1:10" x14ac:dyDescent="0.3">
      <c r="A998" t="s">
        <v>6</v>
      </c>
      <c r="B998" t="str">
        <f>"06/22/2015 00:00"</f>
        <v>06/22/2015 00:00</v>
      </c>
      <c r="C998">
        <v>1.92</v>
      </c>
      <c r="D998" t="s">
        <v>7</v>
      </c>
      <c r="E998" s="2" t="s">
        <v>12</v>
      </c>
      <c r="F998">
        <f t="shared" si="15"/>
        <v>3.8073600000000001</v>
      </c>
      <c r="G998" t="s">
        <v>16</v>
      </c>
      <c r="J998" t="str">
        <f>"06/22/2015 23:45"</f>
        <v>06/22/2015 23:45</v>
      </c>
    </row>
    <row r="999" spans="1:10" x14ac:dyDescent="0.3">
      <c r="A999" t="s">
        <v>6</v>
      </c>
      <c r="B999" t="str">
        <f>"06/23/2015 00:00"</f>
        <v>06/23/2015 00:00</v>
      </c>
      <c r="C999">
        <v>1.92</v>
      </c>
      <c r="D999" t="s">
        <v>7</v>
      </c>
      <c r="E999" s="2" t="s">
        <v>12</v>
      </c>
      <c r="F999">
        <f t="shared" si="15"/>
        <v>3.8073600000000001</v>
      </c>
      <c r="G999" t="s">
        <v>16</v>
      </c>
      <c r="J999" t="str">
        <f>"06/23/2015 23:45"</f>
        <v>06/23/2015 23:45</v>
      </c>
    </row>
    <row r="1000" spans="1:10" x14ac:dyDescent="0.3">
      <c r="A1000" t="s">
        <v>6</v>
      </c>
      <c r="B1000" t="str">
        <f>"06/24/2015 00:00"</f>
        <v>06/24/2015 00:00</v>
      </c>
      <c r="C1000">
        <v>1.92</v>
      </c>
      <c r="D1000" t="s">
        <v>7</v>
      </c>
      <c r="E1000" s="2" t="s">
        <v>12</v>
      </c>
      <c r="F1000">
        <f t="shared" si="15"/>
        <v>3.8073600000000001</v>
      </c>
      <c r="G1000" t="s">
        <v>16</v>
      </c>
      <c r="J1000" t="str">
        <f>"06/24/2015 23:45"</f>
        <v>06/24/2015 23:45</v>
      </c>
    </row>
    <row r="1001" spans="1:10" x14ac:dyDescent="0.3">
      <c r="A1001" t="s">
        <v>6</v>
      </c>
      <c r="B1001" t="str">
        <f>"06/25/2015 00:00"</f>
        <v>06/25/2015 00:00</v>
      </c>
      <c r="C1001">
        <v>1.92</v>
      </c>
      <c r="D1001" t="s">
        <v>7</v>
      </c>
      <c r="E1001" s="2" t="s">
        <v>12</v>
      </c>
      <c r="F1001">
        <f t="shared" si="15"/>
        <v>3.8073600000000001</v>
      </c>
      <c r="G1001" t="s">
        <v>16</v>
      </c>
      <c r="J1001" t="str">
        <f>"06/25/2015 23:45"</f>
        <v>06/25/2015 23:45</v>
      </c>
    </row>
    <row r="1002" spans="1:10" x14ac:dyDescent="0.3">
      <c r="A1002" t="s">
        <v>6</v>
      </c>
      <c r="B1002" t="str">
        <f>"06/26/2015 00:00"</f>
        <v>06/26/2015 00:00</v>
      </c>
      <c r="C1002">
        <v>1.92</v>
      </c>
      <c r="D1002" t="s">
        <v>7</v>
      </c>
      <c r="E1002" s="2" t="s">
        <v>12</v>
      </c>
      <c r="F1002">
        <f t="shared" si="15"/>
        <v>3.8073600000000001</v>
      </c>
      <c r="G1002" t="s">
        <v>16</v>
      </c>
      <c r="J1002" t="str">
        <f>"06/26/2015 23:45"</f>
        <v>06/26/2015 23:45</v>
      </c>
    </row>
    <row r="1003" spans="1:10" x14ac:dyDescent="0.3">
      <c r="A1003" t="s">
        <v>6</v>
      </c>
      <c r="B1003" t="str">
        <f>"06/27/2015 00:00"</f>
        <v>06/27/2015 00:00</v>
      </c>
      <c r="C1003">
        <v>1.92</v>
      </c>
      <c r="D1003" t="s">
        <v>7</v>
      </c>
      <c r="E1003" s="2" t="s">
        <v>12</v>
      </c>
      <c r="F1003">
        <f t="shared" si="15"/>
        <v>3.8073600000000001</v>
      </c>
      <c r="G1003" t="s">
        <v>16</v>
      </c>
      <c r="J1003" t="str">
        <f>"06/27/2015 23:45"</f>
        <v>06/27/2015 23:45</v>
      </c>
    </row>
    <row r="1004" spans="1:10" x14ac:dyDescent="0.3">
      <c r="A1004" t="s">
        <v>6</v>
      </c>
      <c r="B1004" t="str">
        <f>"06/28/2015 00:00"</f>
        <v>06/28/2015 00:00</v>
      </c>
      <c r="C1004">
        <v>1.92</v>
      </c>
      <c r="D1004" t="s">
        <v>7</v>
      </c>
      <c r="E1004" s="2" t="s">
        <v>12</v>
      </c>
      <c r="F1004">
        <f t="shared" si="15"/>
        <v>3.8073600000000001</v>
      </c>
      <c r="G1004" t="s">
        <v>16</v>
      </c>
      <c r="J1004" t="str">
        <f>"06/28/2015 23:45"</f>
        <v>06/28/2015 23:45</v>
      </c>
    </row>
    <row r="1005" spans="1:10" x14ac:dyDescent="0.3">
      <c r="A1005" t="s">
        <v>6</v>
      </c>
      <c r="B1005" t="str">
        <f>"06/29/2015 00:00"</f>
        <v>06/29/2015 00:00</v>
      </c>
      <c r="C1005">
        <v>1.92</v>
      </c>
      <c r="D1005" t="s">
        <v>7</v>
      </c>
      <c r="E1005" s="2" t="s">
        <v>12</v>
      </c>
      <c r="F1005">
        <f t="shared" si="15"/>
        <v>3.8073600000000001</v>
      </c>
      <c r="G1005" t="s">
        <v>16</v>
      </c>
      <c r="J1005" t="str">
        <f>"06/29/2015 23:45"</f>
        <v>06/29/2015 23:45</v>
      </c>
    </row>
    <row r="1006" spans="1:10" x14ac:dyDescent="0.3">
      <c r="A1006" t="s">
        <v>6</v>
      </c>
      <c r="B1006" t="str">
        <f>"06/30/2015 00:00"</f>
        <v>06/30/2015 00:00</v>
      </c>
      <c r="C1006">
        <v>1.92</v>
      </c>
      <c r="D1006" t="s">
        <v>7</v>
      </c>
      <c r="E1006" s="2" t="s">
        <v>12</v>
      </c>
      <c r="F1006">
        <f t="shared" si="15"/>
        <v>3.8073600000000001</v>
      </c>
      <c r="G1006" t="s">
        <v>16</v>
      </c>
      <c r="J1006" t="str">
        <f>"06/30/2015 23:45"</f>
        <v>06/30/2015 23:45</v>
      </c>
    </row>
    <row r="1007" spans="1:10" x14ac:dyDescent="0.3">
      <c r="A1007" t="s">
        <v>6</v>
      </c>
      <c r="B1007" t="str">
        <f>"07/01/2015 00:00"</f>
        <v>07/01/2015 00:00</v>
      </c>
      <c r="C1007">
        <v>1.92</v>
      </c>
      <c r="D1007" t="s">
        <v>7</v>
      </c>
      <c r="E1007" s="2" t="s">
        <v>12</v>
      </c>
      <c r="F1007">
        <f t="shared" si="15"/>
        <v>3.8073600000000001</v>
      </c>
      <c r="G1007" t="s">
        <v>16</v>
      </c>
      <c r="J1007" t="str">
        <f>"07/01/2015 23:45"</f>
        <v>07/01/2015 23:45</v>
      </c>
    </row>
    <row r="1008" spans="1:10" x14ac:dyDescent="0.3">
      <c r="A1008" t="s">
        <v>6</v>
      </c>
      <c r="B1008" t="str">
        <f>"07/02/2015 00:00"</f>
        <v>07/02/2015 00:00</v>
      </c>
      <c r="C1008">
        <v>1.92</v>
      </c>
      <c r="D1008" t="s">
        <v>7</v>
      </c>
      <c r="E1008" s="2" t="s">
        <v>12</v>
      </c>
      <c r="F1008">
        <f t="shared" si="15"/>
        <v>3.8073600000000001</v>
      </c>
      <c r="G1008" t="s">
        <v>16</v>
      </c>
      <c r="J1008" t="str">
        <f>"07/02/2015 23:45"</f>
        <v>07/02/2015 23:45</v>
      </c>
    </row>
    <row r="1009" spans="1:10" x14ac:dyDescent="0.3">
      <c r="A1009" t="s">
        <v>6</v>
      </c>
      <c r="B1009" t="str">
        <f>"07/03/2015 00:00"</f>
        <v>07/03/2015 00:00</v>
      </c>
      <c r="C1009">
        <v>1.92</v>
      </c>
      <c r="D1009" t="s">
        <v>7</v>
      </c>
      <c r="E1009" s="2" t="s">
        <v>12</v>
      </c>
      <c r="F1009">
        <f t="shared" si="15"/>
        <v>3.8073600000000001</v>
      </c>
      <c r="G1009" t="s">
        <v>16</v>
      </c>
      <c r="J1009" t="str">
        <f>"07/03/2015 23:45"</f>
        <v>07/03/2015 23:45</v>
      </c>
    </row>
    <row r="1010" spans="1:10" x14ac:dyDescent="0.3">
      <c r="A1010" t="s">
        <v>6</v>
      </c>
      <c r="B1010" t="str">
        <f>"07/04/2015 00:00"</f>
        <v>07/04/2015 00:00</v>
      </c>
      <c r="C1010">
        <v>1.92</v>
      </c>
      <c r="D1010" t="s">
        <v>7</v>
      </c>
      <c r="E1010" s="2" t="s">
        <v>12</v>
      </c>
      <c r="F1010">
        <f t="shared" si="15"/>
        <v>3.8073600000000001</v>
      </c>
      <c r="G1010" t="s">
        <v>16</v>
      </c>
      <c r="J1010" t="str">
        <f>"07/04/2015 23:45"</f>
        <v>07/04/2015 23:45</v>
      </c>
    </row>
    <row r="1011" spans="1:10" x14ac:dyDescent="0.3">
      <c r="A1011" t="s">
        <v>6</v>
      </c>
      <c r="B1011" t="str">
        <f>"07/05/2015 00:00"</f>
        <v>07/05/2015 00:00</v>
      </c>
      <c r="C1011">
        <v>1.92</v>
      </c>
      <c r="D1011" t="s">
        <v>7</v>
      </c>
      <c r="E1011" s="2" t="s">
        <v>12</v>
      </c>
      <c r="F1011">
        <f t="shared" si="15"/>
        <v>3.8073600000000001</v>
      </c>
      <c r="G1011" t="s">
        <v>16</v>
      </c>
      <c r="J1011" t="str">
        <f>"07/05/2015 23:45"</f>
        <v>07/05/2015 23:45</v>
      </c>
    </row>
    <row r="1012" spans="1:10" x14ac:dyDescent="0.3">
      <c r="A1012" t="s">
        <v>6</v>
      </c>
      <c r="B1012" t="str">
        <f>"07/06/2015 00:00"</f>
        <v>07/06/2015 00:00</v>
      </c>
      <c r="C1012">
        <v>1.92</v>
      </c>
      <c r="D1012" t="s">
        <v>7</v>
      </c>
      <c r="E1012" s="2" t="s">
        <v>12</v>
      </c>
      <c r="F1012">
        <f t="shared" si="15"/>
        <v>3.8073600000000001</v>
      </c>
      <c r="G1012" t="s">
        <v>16</v>
      </c>
      <c r="J1012" t="str">
        <f>"07/06/2015 23:45"</f>
        <v>07/06/2015 23:45</v>
      </c>
    </row>
    <row r="1013" spans="1:10" x14ac:dyDescent="0.3">
      <c r="A1013" t="s">
        <v>6</v>
      </c>
      <c r="B1013" t="str">
        <f>"07/07/2015 00:00"</f>
        <v>07/07/2015 00:00</v>
      </c>
      <c r="C1013">
        <v>3.64</v>
      </c>
      <c r="D1013" t="s">
        <v>7</v>
      </c>
      <c r="E1013" s="2" t="s">
        <v>12</v>
      </c>
      <c r="F1013">
        <f t="shared" si="15"/>
        <v>7.2181200000000008</v>
      </c>
      <c r="G1013" t="s">
        <v>16</v>
      </c>
      <c r="J1013" t="str">
        <f>"07/07/2015 23:45"</f>
        <v>07/07/2015 23:45</v>
      </c>
    </row>
    <row r="1014" spans="1:10" x14ac:dyDescent="0.3">
      <c r="A1014" t="s">
        <v>6</v>
      </c>
      <c r="B1014" t="str">
        <f>"07/08/2015 00:00"</f>
        <v>07/08/2015 00:00</v>
      </c>
      <c r="C1014">
        <v>5.35</v>
      </c>
      <c r="D1014" t="s">
        <v>7</v>
      </c>
      <c r="E1014" s="2" t="s">
        <v>12</v>
      </c>
      <c r="F1014">
        <f t="shared" si="15"/>
        <v>10.60905</v>
      </c>
      <c r="G1014" t="s">
        <v>16</v>
      </c>
      <c r="J1014" t="str">
        <f>"07/08/2015 23:45"</f>
        <v>07/08/2015 23:45</v>
      </c>
    </row>
    <row r="1015" spans="1:10" x14ac:dyDescent="0.3">
      <c r="A1015" t="s">
        <v>6</v>
      </c>
      <c r="B1015" t="str">
        <f>"07/09/2015 00:00"</f>
        <v>07/09/2015 00:00</v>
      </c>
      <c r="C1015">
        <v>5.35</v>
      </c>
      <c r="D1015" t="s">
        <v>7</v>
      </c>
      <c r="E1015" s="2" t="s">
        <v>12</v>
      </c>
      <c r="F1015">
        <f t="shared" si="15"/>
        <v>10.60905</v>
      </c>
      <c r="G1015" t="s">
        <v>16</v>
      </c>
      <c r="J1015" t="str">
        <f>"07/09/2015 23:45"</f>
        <v>07/09/2015 23:45</v>
      </c>
    </row>
    <row r="1016" spans="1:10" x14ac:dyDescent="0.3">
      <c r="A1016" t="s">
        <v>6</v>
      </c>
      <c r="B1016" t="str">
        <f>"07/10/2015 00:00"</f>
        <v>07/10/2015 00:00</v>
      </c>
      <c r="C1016">
        <v>5.35</v>
      </c>
      <c r="D1016" t="s">
        <v>7</v>
      </c>
      <c r="E1016" s="2" t="s">
        <v>12</v>
      </c>
      <c r="F1016">
        <f t="shared" si="15"/>
        <v>10.60905</v>
      </c>
      <c r="G1016" t="s">
        <v>16</v>
      </c>
      <c r="J1016" t="str">
        <f>"07/10/2015 23:45"</f>
        <v>07/10/2015 23:45</v>
      </c>
    </row>
    <row r="1017" spans="1:10" x14ac:dyDescent="0.3">
      <c r="A1017" t="s">
        <v>6</v>
      </c>
      <c r="B1017" t="str">
        <f>"07/11/2015 00:00"</f>
        <v>07/11/2015 00:00</v>
      </c>
      <c r="C1017">
        <v>5.35</v>
      </c>
      <c r="D1017" t="s">
        <v>7</v>
      </c>
      <c r="E1017" s="2" t="s">
        <v>12</v>
      </c>
      <c r="F1017">
        <f t="shared" si="15"/>
        <v>10.60905</v>
      </c>
      <c r="G1017" t="s">
        <v>16</v>
      </c>
      <c r="J1017" t="str">
        <f>"07/11/2015 23:45"</f>
        <v>07/11/2015 23:45</v>
      </c>
    </row>
    <row r="1018" spans="1:10" x14ac:dyDescent="0.3">
      <c r="A1018" t="s">
        <v>6</v>
      </c>
      <c r="B1018" t="str">
        <f>"07/12/2015 00:00"</f>
        <v>07/12/2015 00:00</v>
      </c>
      <c r="C1018">
        <v>5.35</v>
      </c>
      <c r="D1018" t="s">
        <v>7</v>
      </c>
      <c r="E1018" s="2" t="s">
        <v>12</v>
      </c>
      <c r="F1018">
        <f t="shared" si="15"/>
        <v>10.60905</v>
      </c>
      <c r="G1018" t="s">
        <v>16</v>
      </c>
      <c r="J1018" t="str">
        <f>"07/12/2015 23:45"</f>
        <v>07/12/2015 23:45</v>
      </c>
    </row>
    <row r="1019" spans="1:10" x14ac:dyDescent="0.3">
      <c r="A1019" t="s">
        <v>6</v>
      </c>
      <c r="B1019" t="str">
        <f>"07/13/2015 00:00"</f>
        <v>07/13/2015 00:00</v>
      </c>
      <c r="C1019">
        <v>3.6</v>
      </c>
      <c r="D1019" t="s">
        <v>7</v>
      </c>
      <c r="E1019" s="2" t="s">
        <v>12</v>
      </c>
      <c r="F1019">
        <f t="shared" si="15"/>
        <v>7.1388000000000007</v>
      </c>
      <c r="G1019" t="s">
        <v>16</v>
      </c>
      <c r="J1019" t="str">
        <f>"07/13/2015 23:45"</f>
        <v>07/13/2015 23:45</v>
      </c>
    </row>
    <row r="1020" spans="1:10" x14ac:dyDescent="0.3">
      <c r="A1020" t="s">
        <v>6</v>
      </c>
      <c r="B1020" t="str">
        <f>"07/14/2015 00:00"</f>
        <v>07/14/2015 00:00</v>
      </c>
      <c r="C1020">
        <v>2.27</v>
      </c>
      <c r="D1020" t="s">
        <v>7</v>
      </c>
      <c r="E1020" s="2" t="s">
        <v>12</v>
      </c>
      <c r="F1020">
        <f t="shared" si="15"/>
        <v>4.5014099999999999</v>
      </c>
      <c r="G1020" t="s">
        <v>16</v>
      </c>
      <c r="J1020" t="str">
        <f>"07/14/2015 23:45"</f>
        <v>07/14/2015 23:45</v>
      </c>
    </row>
    <row r="1021" spans="1:10" x14ac:dyDescent="0.3">
      <c r="A1021" t="s">
        <v>6</v>
      </c>
      <c r="B1021" t="str">
        <f>"07/15/2015 00:00"</f>
        <v>07/15/2015 00:00</v>
      </c>
      <c r="C1021">
        <v>2.23</v>
      </c>
      <c r="D1021" t="s">
        <v>7</v>
      </c>
      <c r="E1021" s="2" t="s">
        <v>12</v>
      </c>
      <c r="F1021">
        <f t="shared" si="15"/>
        <v>4.4220899999999999</v>
      </c>
      <c r="G1021" t="s">
        <v>16</v>
      </c>
      <c r="J1021" t="str">
        <f>"07/15/2015 23:45"</f>
        <v>07/15/2015 23:45</v>
      </c>
    </row>
    <row r="1022" spans="1:10" x14ac:dyDescent="0.3">
      <c r="A1022" t="s">
        <v>6</v>
      </c>
      <c r="B1022" t="str">
        <f>"07/16/2015 00:00"</f>
        <v>07/16/2015 00:00</v>
      </c>
      <c r="C1022">
        <v>2.23</v>
      </c>
      <c r="D1022" t="s">
        <v>7</v>
      </c>
      <c r="E1022" s="2" t="s">
        <v>12</v>
      </c>
      <c r="F1022">
        <f t="shared" si="15"/>
        <v>4.4220899999999999</v>
      </c>
      <c r="G1022" t="s">
        <v>16</v>
      </c>
      <c r="J1022" t="str">
        <f>"07/16/2015 23:45"</f>
        <v>07/16/2015 23:45</v>
      </c>
    </row>
    <row r="1023" spans="1:10" x14ac:dyDescent="0.3">
      <c r="A1023" t="s">
        <v>6</v>
      </c>
      <c r="B1023" t="str">
        <f>"07/17/2015 00:00"</f>
        <v>07/17/2015 00:00</v>
      </c>
      <c r="C1023">
        <v>2.23</v>
      </c>
      <c r="D1023" t="s">
        <v>7</v>
      </c>
      <c r="E1023" s="2" t="s">
        <v>12</v>
      </c>
      <c r="F1023">
        <f t="shared" si="15"/>
        <v>4.4220899999999999</v>
      </c>
      <c r="G1023" t="s">
        <v>16</v>
      </c>
      <c r="J1023" t="str">
        <f>"07/17/2015 23:45"</f>
        <v>07/17/2015 23:45</v>
      </c>
    </row>
    <row r="1024" spans="1:10" x14ac:dyDescent="0.3">
      <c r="A1024" t="s">
        <v>6</v>
      </c>
      <c r="B1024" t="str">
        <f>"07/18/2015 00:00"</f>
        <v>07/18/2015 00:00</v>
      </c>
      <c r="C1024">
        <v>2.23</v>
      </c>
      <c r="D1024" t="s">
        <v>7</v>
      </c>
      <c r="E1024" s="2" t="s">
        <v>12</v>
      </c>
      <c r="F1024">
        <f t="shared" si="15"/>
        <v>4.4220899999999999</v>
      </c>
      <c r="G1024" t="s">
        <v>16</v>
      </c>
      <c r="J1024" t="str">
        <f>"07/18/2015 23:45"</f>
        <v>07/18/2015 23:45</v>
      </c>
    </row>
    <row r="1025" spans="1:10" x14ac:dyDescent="0.3">
      <c r="A1025" t="s">
        <v>6</v>
      </c>
      <c r="B1025" t="str">
        <f>"07/19/2015 00:00"</f>
        <v>07/19/2015 00:00</v>
      </c>
      <c r="C1025">
        <v>2.23</v>
      </c>
      <c r="D1025" t="s">
        <v>7</v>
      </c>
      <c r="E1025" s="2" t="s">
        <v>12</v>
      </c>
      <c r="F1025">
        <f t="shared" si="15"/>
        <v>4.4220899999999999</v>
      </c>
      <c r="G1025" t="s">
        <v>16</v>
      </c>
      <c r="J1025" t="str">
        <f>"07/19/2015 23:45"</f>
        <v>07/19/2015 23:45</v>
      </c>
    </row>
    <row r="1026" spans="1:10" x14ac:dyDescent="0.3">
      <c r="A1026" t="s">
        <v>6</v>
      </c>
      <c r="B1026" t="str">
        <f>"07/20/2015 00:00"</f>
        <v>07/20/2015 00:00</v>
      </c>
      <c r="C1026">
        <v>3.91</v>
      </c>
      <c r="D1026" t="s">
        <v>7</v>
      </c>
      <c r="E1026" s="2" t="s">
        <v>12</v>
      </c>
      <c r="F1026">
        <f t="shared" si="15"/>
        <v>7.7535300000000005</v>
      </c>
      <c r="G1026" t="s">
        <v>16</v>
      </c>
      <c r="J1026" t="str">
        <f>"07/20/2015 23:45"</f>
        <v>07/20/2015 23:45</v>
      </c>
    </row>
    <row r="1027" spans="1:10" x14ac:dyDescent="0.3">
      <c r="A1027" t="s">
        <v>6</v>
      </c>
      <c r="B1027" t="str">
        <f>"07/21/2015 00:00"</f>
        <v>07/21/2015 00:00</v>
      </c>
      <c r="C1027">
        <v>3.4</v>
      </c>
      <c r="D1027" t="s">
        <v>7</v>
      </c>
      <c r="E1027" s="2" t="s">
        <v>12</v>
      </c>
      <c r="F1027">
        <f t="shared" si="15"/>
        <v>6.7422000000000004</v>
      </c>
      <c r="G1027" t="s">
        <v>16</v>
      </c>
      <c r="J1027" t="str">
        <f>"07/21/2015 23:45"</f>
        <v>07/21/2015 23:45</v>
      </c>
    </row>
    <row r="1028" spans="1:10" x14ac:dyDescent="0.3">
      <c r="A1028" t="s">
        <v>6</v>
      </c>
      <c r="B1028" t="str">
        <f>"07/22/2015 00:00"</f>
        <v>07/22/2015 00:00</v>
      </c>
      <c r="C1028">
        <v>2.34</v>
      </c>
      <c r="D1028" t="s">
        <v>7</v>
      </c>
      <c r="E1028" s="2" t="s">
        <v>12</v>
      </c>
      <c r="F1028">
        <f t="shared" si="15"/>
        <v>4.6402200000000002</v>
      </c>
      <c r="G1028" t="s">
        <v>16</v>
      </c>
      <c r="J1028" t="str">
        <f>"07/22/2015 23:45"</f>
        <v>07/22/2015 23:45</v>
      </c>
    </row>
    <row r="1029" spans="1:10" x14ac:dyDescent="0.3">
      <c r="A1029" t="s">
        <v>6</v>
      </c>
      <c r="B1029" t="str">
        <f>"07/23/2015 00:00"</f>
        <v>07/23/2015 00:00</v>
      </c>
      <c r="C1029">
        <v>2.23</v>
      </c>
      <c r="D1029" t="s">
        <v>7</v>
      </c>
      <c r="E1029" s="2" t="s">
        <v>12</v>
      </c>
      <c r="F1029">
        <f t="shared" ref="F1029:F1092" si="16">C1029*1.983</f>
        <v>4.4220899999999999</v>
      </c>
      <c r="G1029" t="s">
        <v>16</v>
      </c>
      <c r="J1029" t="str">
        <f>"07/23/2015 23:45"</f>
        <v>07/23/2015 23:45</v>
      </c>
    </row>
    <row r="1030" spans="1:10" x14ac:dyDescent="0.3">
      <c r="A1030" t="s">
        <v>6</v>
      </c>
      <c r="B1030" t="str">
        <f>"07/24/2015 00:00"</f>
        <v>07/24/2015 00:00</v>
      </c>
      <c r="C1030">
        <v>2.23</v>
      </c>
      <c r="D1030" t="s">
        <v>7</v>
      </c>
      <c r="E1030" s="2" t="s">
        <v>12</v>
      </c>
      <c r="F1030">
        <f t="shared" si="16"/>
        <v>4.4220899999999999</v>
      </c>
      <c r="G1030" t="s">
        <v>16</v>
      </c>
      <c r="J1030" t="str">
        <f>"07/24/2015 23:45"</f>
        <v>07/24/2015 23:45</v>
      </c>
    </row>
    <row r="1031" spans="1:10" x14ac:dyDescent="0.3">
      <c r="A1031" t="s">
        <v>6</v>
      </c>
      <c r="B1031" t="str">
        <f>"07/25/2015 00:00"</f>
        <v>07/25/2015 00:00</v>
      </c>
      <c r="C1031">
        <v>2.23</v>
      </c>
      <c r="D1031" t="s">
        <v>7</v>
      </c>
      <c r="E1031" s="2" t="s">
        <v>12</v>
      </c>
      <c r="F1031">
        <f t="shared" si="16"/>
        <v>4.4220899999999999</v>
      </c>
      <c r="G1031" t="s">
        <v>16</v>
      </c>
      <c r="J1031" t="str">
        <f>"07/25/2015 23:45"</f>
        <v>07/25/2015 23:45</v>
      </c>
    </row>
    <row r="1032" spans="1:10" x14ac:dyDescent="0.3">
      <c r="A1032" t="s">
        <v>6</v>
      </c>
      <c r="B1032" t="str">
        <f>"07/26/2015 00:00"</f>
        <v>07/26/2015 00:00</v>
      </c>
      <c r="C1032">
        <v>2.23</v>
      </c>
      <c r="D1032" t="s">
        <v>7</v>
      </c>
      <c r="E1032" s="2" t="s">
        <v>12</v>
      </c>
      <c r="F1032">
        <f t="shared" si="16"/>
        <v>4.4220899999999999</v>
      </c>
      <c r="G1032" t="s">
        <v>16</v>
      </c>
      <c r="J1032" t="str">
        <f>"07/26/2015 23:45"</f>
        <v>07/26/2015 23:45</v>
      </c>
    </row>
    <row r="1033" spans="1:10" x14ac:dyDescent="0.3">
      <c r="A1033" t="s">
        <v>6</v>
      </c>
      <c r="B1033" t="str">
        <f>"07/27/2015 00:00"</f>
        <v>07/27/2015 00:00</v>
      </c>
      <c r="C1033">
        <v>2.23</v>
      </c>
      <c r="D1033" t="s">
        <v>7</v>
      </c>
      <c r="E1033" s="2" t="s">
        <v>12</v>
      </c>
      <c r="F1033">
        <f t="shared" si="16"/>
        <v>4.4220899999999999</v>
      </c>
      <c r="G1033" t="s">
        <v>16</v>
      </c>
      <c r="J1033" t="str">
        <f>"07/27/2015 23:45"</f>
        <v>07/27/2015 23:45</v>
      </c>
    </row>
    <row r="1034" spans="1:10" x14ac:dyDescent="0.3">
      <c r="A1034" t="s">
        <v>6</v>
      </c>
      <c r="B1034" t="str">
        <f>"07/28/2015 00:00"</f>
        <v>07/28/2015 00:00</v>
      </c>
      <c r="C1034">
        <v>2.23</v>
      </c>
      <c r="D1034" t="s">
        <v>7</v>
      </c>
      <c r="E1034" s="2" t="s">
        <v>12</v>
      </c>
      <c r="F1034">
        <f t="shared" si="16"/>
        <v>4.4220899999999999</v>
      </c>
      <c r="G1034" t="s">
        <v>16</v>
      </c>
      <c r="J1034" t="str">
        <f>"07/28/2015 23:45"</f>
        <v>07/28/2015 23:45</v>
      </c>
    </row>
    <row r="1035" spans="1:10" x14ac:dyDescent="0.3">
      <c r="A1035" t="s">
        <v>6</v>
      </c>
      <c r="B1035" t="str">
        <f>"07/29/2015 00:00"</f>
        <v>07/29/2015 00:00</v>
      </c>
      <c r="C1035">
        <v>2.02</v>
      </c>
      <c r="D1035" t="s">
        <v>7</v>
      </c>
      <c r="E1035" s="2" t="s">
        <v>12</v>
      </c>
      <c r="F1035">
        <f t="shared" si="16"/>
        <v>4.0056600000000007</v>
      </c>
      <c r="G1035" t="s">
        <v>16</v>
      </c>
      <c r="J1035" t="str">
        <f>"07/29/2015 23:45"</f>
        <v>07/29/2015 23:45</v>
      </c>
    </row>
    <row r="1036" spans="1:10" x14ac:dyDescent="0.3">
      <c r="A1036" t="s">
        <v>6</v>
      </c>
      <c r="B1036" t="str">
        <f>"07/30/2015 00:00"</f>
        <v>07/30/2015 00:00</v>
      </c>
      <c r="C1036">
        <v>1.92</v>
      </c>
      <c r="D1036" t="s">
        <v>7</v>
      </c>
      <c r="E1036" s="2" t="s">
        <v>12</v>
      </c>
      <c r="F1036">
        <f t="shared" si="16"/>
        <v>3.8073600000000001</v>
      </c>
      <c r="G1036" t="s">
        <v>16</v>
      </c>
      <c r="J1036" t="str">
        <f>"07/30/2015 23:45"</f>
        <v>07/30/2015 23:45</v>
      </c>
    </row>
    <row r="1037" spans="1:10" x14ac:dyDescent="0.3">
      <c r="A1037" t="s">
        <v>6</v>
      </c>
      <c r="B1037" t="str">
        <f>"07/31/2015 00:00"</f>
        <v>07/31/2015 00:00</v>
      </c>
      <c r="C1037">
        <v>9.2200000000000006</v>
      </c>
      <c r="D1037" t="s">
        <v>7</v>
      </c>
      <c r="E1037" s="2" t="s">
        <v>12</v>
      </c>
      <c r="F1037">
        <f t="shared" si="16"/>
        <v>18.283260000000002</v>
      </c>
      <c r="G1037" t="s">
        <v>16</v>
      </c>
      <c r="J1037" t="str">
        <f>"07/31/2015 23:45"</f>
        <v>07/31/2015 23:45</v>
      </c>
    </row>
    <row r="1038" spans="1:10" x14ac:dyDescent="0.3">
      <c r="A1038" t="s">
        <v>6</v>
      </c>
      <c r="B1038" t="str">
        <f>"08/01/2015 00:00"</f>
        <v>08/01/2015 00:00</v>
      </c>
      <c r="C1038">
        <v>12.9</v>
      </c>
      <c r="D1038" t="s">
        <v>7</v>
      </c>
      <c r="E1038" s="2" t="s">
        <v>12</v>
      </c>
      <c r="F1038">
        <f t="shared" si="16"/>
        <v>25.5807</v>
      </c>
      <c r="G1038" t="s">
        <v>16</v>
      </c>
      <c r="J1038" t="str">
        <f>"08/01/2015 23:45"</f>
        <v>08/01/2015 23:45</v>
      </c>
    </row>
    <row r="1039" spans="1:10" x14ac:dyDescent="0.3">
      <c r="A1039" t="s">
        <v>6</v>
      </c>
      <c r="B1039" t="str">
        <f>"08/02/2015 00:00"</f>
        <v>08/02/2015 00:00</v>
      </c>
      <c r="C1039">
        <v>12.9</v>
      </c>
      <c r="D1039" t="s">
        <v>7</v>
      </c>
      <c r="E1039" s="2" t="s">
        <v>12</v>
      </c>
      <c r="F1039">
        <f t="shared" si="16"/>
        <v>25.5807</v>
      </c>
      <c r="G1039" t="s">
        <v>16</v>
      </c>
      <c r="J1039" t="str">
        <f>"08/02/2015 23:45"</f>
        <v>08/02/2015 23:45</v>
      </c>
    </row>
    <row r="1040" spans="1:10" x14ac:dyDescent="0.3">
      <c r="A1040" t="s">
        <v>6</v>
      </c>
      <c r="B1040" t="str">
        <f>"08/03/2015 00:00"</f>
        <v>08/03/2015 00:00</v>
      </c>
      <c r="C1040">
        <v>12.9</v>
      </c>
      <c r="D1040" t="s">
        <v>7</v>
      </c>
      <c r="E1040" s="2" t="s">
        <v>12</v>
      </c>
      <c r="F1040">
        <f t="shared" si="16"/>
        <v>25.5807</v>
      </c>
      <c r="G1040" t="s">
        <v>16</v>
      </c>
      <c r="J1040" t="str">
        <f>"08/03/2015 23:45"</f>
        <v>08/03/2015 23:45</v>
      </c>
    </row>
    <row r="1041" spans="1:10" x14ac:dyDescent="0.3">
      <c r="A1041" t="s">
        <v>6</v>
      </c>
      <c r="B1041" t="str">
        <f>"08/04/2015 00:00"</f>
        <v>08/04/2015 00:00</v>
      </c>
      <c r="C1041">
        <v>12.8</v>
      </c>
      <c r="D1041" t="s">
        <v>7</v>
      </c>
      <c r="E1041" s="2" t="s">
        <v>12</v>
      </c>
      <c r="F1041">
        <f t="shared" si="16"/>
        <v>25.382400000000004</v>
      </c>
      <c r="G1041" t="s">
        <v>16</v>
      </c>
      <c r="J1041" t="str">
        <f>"08/04/2015 23:45"</f>
        <v>08/04/2015 23:45</v>
      </c>
    </row>
    <row r="1042" spans="1:10" x14ac:dyDescent="0.3">
      <c r="A1042" t="s">
        <v>6</v>
      </c>
      <c r="B1042" t="str">
        <f>"08/05/2015 00:00"</f>
        <v>08/05/2015 00:00</v>
      </c>
      <c r="C1042">
        <v>12.9</v>
      </c>
      <c r="D1042" t="s">
        <v>7</v>
      </c>
      <c r="E1042" s="2" t="s">
        <v>12</v>
      </c>
      <c r="F1042">
        <f t="shared" si="16"/>
        <v>25.5807</v>
      </c>
      <c r="G1042" t="s">
        <v>16</v>
      </c>
      <c r="J1042" t="str">
        <f>"08/05/2015 23:45"</f>
        <v>08/05/2015 23:45</v>
      </c>
    </row>
    <row r="1043" spans="1:10" x14ac:dyDescent="0.3">
      <c r="A1043" t="s">
        <v>6</v>
      </c>
      <c r="B1043" t="str">
        <f>"08/06/2015 00:00"</f>
        <v>08/06/2015 00:00</v>
      </c>
      <c r="C1043">
        <v>12.9</v>
      </c>
      <c r="D1043" t="s">
        <v>7</v>
      </c>
      <c r="E1043" s="2" t="s">
        <v>12</v>
      </c>
      <c r="F1043">
        <f t="shared" si="16"/>
        <v>25.5807</v>
      </c>
      <c r="G1043" t="s">
        <v>16</v>
      </c>
      <c r="J1043" t="str">
        <f>"08/06/2015 23:45"</f>
        <v>08/06/2015 23:45</v>
      </c>
    </row>
    <row r="1044" spans="1:10" x14ac:dyDescent="0.3">
      <c r="A1044" t="s">
        <v>6</v>
      </c>
      <c r="B1044" t="str">
        <f>"08/07/2015 00:00"</f>
        <v>08/07/2015 00:00</v>
      </c>
      <c r="C1044">
        <v>8.44</v>
      </c>
      <c r="D1044" t="s">
        <v>7</v>
      </c>
      <c r="E1044" s="2" t="s">
        <v>12</v>
      </c>
      <c r="F1044">
        <f t="shared" si="16"/>
        <v>16.736519999999999</v>
      </c>
      <c r="G1044" t="s">
        <v>16</v>
      </c>
      <c r="J1044" t="str">
        <f>"08/07/2015 23:45"</f>
        <v>08/07/2015 23:45</v>
      </c>
    </row>
    <row r="1045" spans="1:10" x14ac:dyDescent="0.3">
      <c r="A1045" t="s">
        <v>6</v>
      </c>
      <c r="B1045" t="str">
        <f>"08/08/2015 00:00"</f>
        <v>08/08/2015 00:00</v>
      </c>
      <c r="C1045">
        <v>8.3000000000000007</v>
      </c>
      <c r="D1045" t="s">
        <v>7</v>
      </c>
      <c r="E1045" s="2" t="s">
        <v>12</v>
      </c>
      <c r="F1045">
        <f t="shared" si="16"/>
        <v>16.458900000000003</v>
      </c>
      <c r="G1045" t="s">
        <v>16</v>
      </c>
      <c r="J1045" t="str">
        <f>"08/08/2015 23:45"</f>
        <v>08/08/2015 23:45</v>
      </c>
    </row>
    <row r="1046" spans="1:10" x14ac:dyDescent="0.3">
      <c r="A1046" t="s">
        <v>6</v>
      </c>
      <c r="B1046" t="str">
        <f>"08/09/2015 00:00"</f>
        <v>08/09/2015 00:00</v>
      </c>
      <c r="C1046">
        <v>8.3000000000000007</v>
      </c>
      <c r="D1046" t="s">
        <v>7</v>
      </c>
      <c r="E1046" s="2" t="s">
        <v>12</v>
      </c>
      <c r="F1046">
        <f t="shared" si="16"/>
        <v>16.458900000000003</v>
      </c>
      <c r="G1046" t="s">
        <v>16</v>
      </c>
      <c r="J1046" t="str">
        <f>"08/09/2015 23:45"</f>
        <v>08/09/2015 23:45</v>
      </c>
    </row>
    <row r="1047" spans="1:10" x14ac:dyDescent="0.3">
      <c r="A1047" t="s">
        <v>6</v>
      </c>
      <c r="B1047" t="str">
        <f>"08/10/2015 00:00"</f>
        <v>08/10/2015 00:00</v>
      </c>
      <c r="C1047">
        <v>8.3000000000000007</v>
      </c>
      <c r="D1047" t="s">
        <v>7</v>
      </c>
      <c r="E1047" s="2" t="s">
        <v>12</v>
      </c>
      <c r="F1047">
        <f t="shared" si="16"/>
        <v>16.458900000000003</v>
      </c>
      <c r="G1047" t="s">
        <v>16</v>
      </c>
      <c r="J1047" t="str">
        <f>"08/10/2015 23:45"</f>
        <v>08/10/2015 23:45</v>
      </c>
    </row>
    <row r="1048" spans="1:10" x14ac:dyDescent="0.3">
      <c r="A1048" t="s">
        <v>6</v>
      </c>
      <c r="B1048" t="str">
        <f>"08/11/2015 00:00"</f>
        <v>08/11/2015 00:00</v>
      </c>
      <c r="C1048">
        <v>8.3000000000000007</v>
      </c>
      <c r="D1048" t="s">
        <v>7</v>
      </c>
      <c r="E1048" s="2" t="s">
        <v>12</v>
      </c>
      <c r="F1048">
        <f t="shared" si="16"/>
        <v>16.458900000000003</v>
      </c>
      <c r="G1048" t="s">
        <v>16</v>
      </c>
      <c r="J1048" t="str">
        <f>"08/11/2015 23:45"</f>
        <v>08/11/2015 23:45</v>
      </c>
    </row>
    <row r="1049" spans="1:10" x14ac:dyDescent="0.3">
      <c r="A1049" t="s">
        <v>6</v>
      </c>
      <c r="B1049" t="str">
        <f>"08/12/2015 00:00"</f>
        <v>08/12/2015 00:00</v>
      </c>
      <c r="C1049">
        <v>8.3000000000000007</v>
      </c>
      <c r="D1049" t="s">
        <v>7</v>
      </c>
      <c r="E1049" s="2" t="s">
        <v>12</v>
      </c>
      <c r="F1049">
        <f t="shared" si="16"/>
        <v>16.458900000000003</v>
      </c>
      <c r="G1049" t="s">
        <v>16</v>
      </c>
      <c r="J1049" t="str">
        <f>"08/12/2015 23:45"</f>
        <v>08/12/2015 23:45</v>
      </c>
    </row>
    <row r="1050" spans="1:10" x14ac:dyDescent="0.3">
      <c r="A1050" t="s">
        <v>6</v>
      </c>
      <c r="B1050" t="str">
        <f>"08/13/2015 00:00"</f>
        <v>08/13/2015 00:00</v>
      </c>
      <c r="C1050">
        <v>5.37</v>
      </c>
      <c r="D1050" t="s">
        <v>7</v>
      </c>
      <c r="E1050" s="2" t="s">
        <v>12</v>
      </c>
      <c r="F1050">
        <f t="shared" si="16"/>
        <v>10.648710000000001</v>
      </c>
      <c r="G1050" t="s">
        <v>16</v>
      </c>
      <c r="J1050" t="str">
        <f>"08/13/2015 23:45"</f>
        <v>08/13/2015 23:45</v>
      </c>
    </row>
    <row r="1051" spans="1:10" x14ac:dyDescent="0.3">
      <c r="A1051" t="s">
        <v>6</v>
      </c>
      <c r="B1051" t="str">
        <f>"08/14/2015 00:00"</f>
        <v>08/14/2015 00:00</v>
      </c>
      <c r="C1051">
        <v>0.41099999999999998</v>
      </c>
      <c r="D1051" t="s">
        <v>7</v>
      </c>
      <c r="E1051" s="2" t="s">
        <v>12</v>
      </c>
      <c r="F1051">
        <f t="shared" si="16"/>
        <v>0.81501299999999999</v>
      </c>
      <c r="G1051" t="s">
        <v>16</v>
      </c>
      <c r="J1051" t="str">
        <f>"08/14/2015 23:45"</f>
        <v>08/14/2015 23:45</v>
      </c>
    </row>
    <row r="1052" spans="1:10" x14ac:dyDescent="0.3">
      <c r="A1052" t="s">
        <v>6</v>
      </c>
      <c r="B1052" t="str">
        <f>"08/15/2015 00:00"</f>
        <v>08/15/2015 00:00</v>
      </c>
      <c r="C1052">
        <v>0.27900000000000003</v>
      </c>
      <c r="D1052" t="s">
        <v>7</v>
      </c>
      <c r="E1052" s="2" t="s">
        <v>12</v>
      </c>
      <c r="F1052">
        <f t="shared" si="16"/>
        <v>0.55325700000000011</v>
      </c>
      <c r="G1052" t="s">
        <v>16</v>
      </c>
      <c r="J1052" t="str">
        <f>"08/15/2015 23:45"</f>
        <v>08/15/2015 23:45</v>
      </c>
    </row>
    <row r="1053" spans="1:10" x14ac:dyDescent="0.3">
      <c r="A1053" t="s">
        <v>6</v>
      </c>
      <c r="B1053" t="str">
        <f>"08/16/2015 00:00"</f>
        <v>08/16/2015 00:00</v>
      </c>
      <c r="C1053">
        <v>0.27900000000000003</v>
      </c>
      <c r="D1053" t="s">
        <v>7</v>
      </c>
      <c r="E1053" s="2" t="s">
        <v>12</v>
      </c>
      <c r="F1053">
        <f t="shared" si="16"/>
        <v>0.55325700000000011</v>
      </c>
      <c r="G1053" t="s">
        <v>16</v>
      </c>
      <c r="J1053" t="str">
        <f>"08/16/2015 23:45"</f>
        <v>08/16/2015 23:45</v>
      </c>
    </row>
    <row r="1054" spans="1:10" x14ac:dyDescent="0.3">
      <c r="A1054" t="s">
        <v>6</v>
      </c>
      <c r="B1054" t="str">
        <f>"08/17/2015 00:00"</f>
        <v>08/17/2015 00:00</v>
      </c>
      <c r="C1054">
        <v>0.27900000000000003</v>
      </c>
      <c r="D1054" t="s">
        <v>7</v>
      </c>
      <c r="E1054" s="2" t="s">
        <v>12</v>
      </c>
      <c r="F1054">
        <f t="shared" si="16"/>
        <v>0.55325700000000011</v>
      </c>
      <c r="G1054" t="s">
        <v>16</v>
      </c>
      <c r="J1054" t="str">
        <f>"08/17/2015 23:45"</f>
        <v>08/17/2015 23:45</v>
      </c>
    </row>
    <row r="1055" spans="1:10" x14ac:dyDescent="0.3">
      <c r="A1055" t="s">
        <v>6</v>
      </c>
      <c r="B1055" t="str">
        <f>"08/18/2015 00:00"</f>
        <v>08/18/2015 00:00</v>
      </c>
      <c r="C1055">
        <v>0.27100000000000002</v>
      </c>
      <c r="D1055" t="s">
        <v>7</v>
      </c>
      <c r="E1055" s="2" t="s">
        <v>12</v>
      </c>
      <c r="F1055">
        <f t="shared" si="16"/>
        <v>0.53739300000000001</v>
      </c>
      <c r="G1055" t="s">
        <v>16</v>
      </c>
      <c r="J1055" t="str">
        <f>"08/18/2015 23:45"</f>
        <v>08/18/2015 23:45</v>
      </c>
    </row>
    <row r="1056" spans="1:10" x14ac:dyDescent="0.3">
      <c r="A1056" t="s">
        <v>6</v>
      </c>
      <c r="B1056" t="str">
        <f>"08/19/2015 00:00"</f>
        <v>08/19/2015 00:00</v>
      </c>
      <c r="C1056">
        <v>0.14599999999999999</v>
      </c>
      <c r="D1056" t="s">
        <v>7</v>
      </c>
      <c r="E1056" s="2" t="s">
        <v>12</v>
      </c>
      <c r="F1056">
        <f t="shared" si="16"/>
        <v>0.289518</v>
      </c>
      <c r="G1056" t="s">
        <v>16</v>
      </c>
      <c r="J1056" t="str">
        <f>"08/19/2015 23:45"</f>
        <v>08/19/2015 23:45</v>
      </c>
    </row>
    <row r="1057" spans="1:10" x14ac:dyDescent="0.3">
      <c r="A1057" t="s">
        <v>6</v>
      </c>
      <c r="B1057" t="str">
        <f>"08/20/2015 00:00"</f>
        <v>08/20/2015 00:00</v>
      </c>
      <c r="C1057">
        <v>0.14599999999999999</v>
      </c>
      <c r="D1057" t="s">
        <v>7</v>
      </c>
      <c r="E1057" s="2" t="s">
        <v>12</v>
      </c>
      <c r="F1057">
        <f t="shared" si="16"/>
        <v>0.289518</v>
      </c>
      <c r="G1057" t="s">
        <v>16</v>
      </c>
      <c r="J1057" t="str">
        <f>"08/20/2015 23:45"</f>
        <v>08/20/2015 23:45</v>
      </c>
    </row>
    <row r="1058" spans="1:10" x14ac:dyDescent="0.3">
      <c r="A1058" t="s">
        <v>6</v>
      </c>
      <c r="B1058" t="str">
        <f>"08/21/2015 00:00"</f>
        <v>08/21/2015 00:00</v>
      </c>
      <c r="C1058">
        <v>0.14599999999999999</v>
      </c>
      <c r="D1058" t="s">
        <v>7</v>
      </c>
      <c r="E1058" s="2" t="s">
        <v>12</v>
      </c>
      <c r="F1058">
        <f t="shared" si="16"/>
        <v>0.289518</v>
      </c>
      <c r="G1058" t="s">
        <v>16</v>
      </c>
      <c r="J1058" t="str">
        <f>"08/21/2015 23:45"</f>
        <v>08/21/2015 23:45</v>
      </c>
    </row>
    <row r="1059" spans="1:10" x14ac:dyDescent="0.3">
      <c r="A1059" t="s">
        <v>6</v>
      </c>
      <c r="B1059" t="str">
        <f>"08/22/2015 00:00"</f>
        <v>08/22/2015 00:00</v>
      </c>
      <c r="C1059">
        <v>0.14599999999999999</v>
      </c>
      <c r="D1059" t="s">
        <v>7</v>
      </c>
      <c r="E1059" s="2" t="s">
        <v>12</v>
      </c>
      <c r="F1059">
        <f t="shared" si="16"/>
        <v>0.289518</v>
      </c>
      <c r="G1059" t="s">
        <v>16</v>
      </c>
      <c r="J1059" t="str">
        <f>"08/22/2015 23:45"</f>
        <v>08/22/2015 23:45</v>
      </c>
    </row>
    <row r="1060" spans="1:10" x14ac:dyDescent="0.3">
      <c r="A1060" t="s">
        <v>6</v>
      </c>
      <c r="B1060" t="str">
        <f>"08/23/2015 00:00"</f>
        <v>08/23/2015 00:00</v>
      </c>
      <c r="C1060">
        <v>0.14599999999999999</v>
      </c>
      <c r="D1060" t="s">
        <v>7</v>
      </c>
      <c r="E1060" s="2" t="s">
        <v>12</v>
      </c>
      <c r="F1060">
        <f t="shared" si="16"/>
        <v>0.289518</v>
      </c>
      <c r="G1060" t="s">
        <v>16</v>
      </c>
      <c r="J1060" t="str">
        <f>"08/23/2015 23:45"</f>
        <v>08/23/2015 23:45</v>
      </c>
    </row>
    <row r="1061" spans="1:10" x14ac:dyDescent="0.3">
      <c r="A1061" t="s">
        <v>6</v>
      </c>
      <c r="B1061" t="str">
        <f>"08/24/2015 00:00"</f>
        <v>08/24/2015 00:00</v>
      </c>
      <c r="C1061">
        <v>0.14599999999999999</v>
      </c>
      <c r="D1061" t="s">
        <v>7</v>
      </c>
      <c r="E1061" s="2" t="s">
        <v>12</v>
      </c>
      <c r="F1061">
        <f t="shared" si="16"/>
        <v>0.289518</v>
      </c>
      <c r="G1061" t="s">
        <v>16</v>
      </c>
      <c r="J1061" t="str">
        <f>"08/24/2015 23:45"</f>
        <v>08/24/2015 23:45</v>
      </c>
    </row>
    <row r="1062" spans="1:10" x14ac:dyDescent="0.3">
      <c r="A1062" t="s">
        <v>6</v>
      </c>
      <c r="B1062" t="str">
        <f>"08/25/2015 00:00"</f>
        <v>08/25/2015 00:00</v>
      </c>
      <c r="C1062">
        <v>0.14599999999999999</v>
      </c>
      <c r="D1062" t="s">
        <v>7</v>
      </c>
      <c r="E1062" s="2" t="s">
        <v>12</v>
      </c>
      <c r="F1062">
        <f t="shared" si="16"/>
        <v>0.289518</v>
      </c>
      <c r="G1062" t="s">
        <v>16</v>
      </c>
      <c r="J1062" t="str">
        <f>"08/25/2015 23:45"</f>
        <v>08/25/2015 23:45</v>
      </c>
    </row>
    <row r="1063" spans="1:10" x14ac:dyDescent="0.3">
      <c r="A1063" t="s">
        <v>6</v>
      </c>
      <c r="B1063" t="str">
        <f>"08/26/2015 00:00"</f>
        <v>08/26/2015 00:00</v>
      </c>
      <c r="C1063">
        <v>0.14599999999999999</v>
      </c>
      <c r="D1063" t="s">
        <v>7</v>
      </c>
      <c r="E1063" s="2" t="s">
        <v>12</v>
      </c>
      <c r="F1063">
        <f t="shared" si="16"/>
        <v>0.289518</v>
      </c>
      <c r="G1063" t="s">
        <v>16</v>
      </c>
      <c r="J1063" t="str">
        <f>"08/26/2015 23:45"</f>
        <v>08/26/2015 23:45</v>
      </c>
    </row>
    <row r="1064" spans="1:10" x14ac:dyDescent="0.3">
      <c r="A1064" t="s">
        <v>6</v>
      </c>
      <c r="B1064" t="str">
        <f>"08/27/2015 00:00"</f>
        <v>08/27/2015 00:00</v>
      </c>
      <c r="C1064">
        <v>0.14599999999999999</v>
      </c>
      <c r="D1064" t="s">
        <v>7</v>
      </c>
      <c r="E1064" s="2" t="s">
        <v>12</v>
      </c>
      <c r="F1064">
        <f t="shared" si="16"/>
        <v>0.289518</v>
      </c>
      <c r="G1064" t="s">
        <v>16</v>
      </c>
      <c r="J1064" t="str">
        <f>"08/27/2015 23:45"</f>
        <v>08/27/2015 23:45</v>
      </c>
    </row>
    <row r="1065" spans="1:10" x14ac:dyDescent="0.3">
      <c r="A1065" t="s">
        <v>6</v>
      </c>
      <c r="B1065" t="str">
        <f>"08/28/2015 00:00"</f>
        <v>08/28/2015 00:00</v>
      </c>
      <c r="C1065">
        <v>0.14599999999999999</v>
      </c>
      <c r="D1065" t="s">
        <v>7</v>
      </c>
      <c r="E1065" s="2" t="s">
        <v>12</v>
      </c>
      <c r="F1065">
        <f t="shared" si="16"/>
        <v>0.289518</v>
      </c>
      <c r="G1065" t="s">
        <v>16</v>
      </c>
      <c r="J1065" t="str">
        <f>"08/28/2015 23:45"</f>
        <v>08/28/2015 23:45</v>
      </c>
    </row>
    <row r="1066" spans="1:10" x14ac:dyDescent="0.3">
      <c r="A1066" t="s">
        <v>6</v>
      </c>
      <c r="B1066" t="str">
        <f>"08/29/2015 00:00"</f>
        <v>08/29/2015 00:00</v>
      </c>
      <c r="C1066">
        <v>0.14599999999999999</v>
      </c>
      <c r="D1066" t="s">
        <v>7</v>
      </c>
      <c r="E1066" s="2" t="s">
        <v>12</v>
      </c>
      <c r="F1066">
        <f t="shared" si="16"/>
        <v>0.289518</v>
      </c>
      <c r="G1066" t="s">
        <v>16</v>
      </c>
      <c r="J1066" t="str">
        <f>"08/29/2015 23:45"</f>
        <v>08/29/2015 23:45</v>
      </c>
    </row>
    <row r="1067" spans="1:10" x14ac:dyDescent="0.3">
      <c r="A1067" t="s">
        <v>6</v>
      </c>
      <c r="B1067" t="str">
        <f>"08/30/2015 00:00"</f>
        <v>08/30/2015 00:00</v>
      </c>
      <c r="C1067">
        <v>0.14599999999999999</v>
      </c>
      <c r="D1067" t="s">
        <v>7</v>
      </c>
      <c r="E1067" s="2" t="s">
        <v>12</v>
      </c>
      <c r="F1067">
        <f t="shared" si="16"/>
        <v>0.289518</v>
      </c>
      <c r="G1067" t="s">
        <v>16</v>
      </c>
      <c r="J1067" t="str">
        <f>"08/30/2015 23:45"</f>
        <v>08/30/2015 23:45</v>
      </c>
    </row>
    <row r="1068" spans="1:10" x14ac:dyDescent="0.3">
      <c r="A1068" t="s">
        <v>6</v>
      </c>
      <c r="B1068" t="str">
        <f>"08/31/2015 00:00"</f>
        <v>08/31/2015 00:00</v>
      </c>
      <c r="C1068">
        <v>0.14599999999999999</v>
      </c>
      <c r="D1068" t="s">
        <v>7</v>
      </c>
      <c r="E1068" s="2" t="s">
        <v>12</v>
      </c>
      <c r="F1068">
        <f t="shared" si="16"/>
        <v>0.289518</v>
      </c>
      <c r="G1068" t="s">
        <v>16</v>
      </c>
      <c r="J1068" t="str">
        <f>"08/31/2015 23:45"</f>
        <v>08/31/2015 23:45</v>
      </c>
    </row>
    <row r="1069" spans="1:10" x14ac:dyDescent="0.3">
      <c r="A1069" t="s">
        <v>6</v>
      </c>
      <c r="B1069" t="str">
        <f>"09/01/2015 00:00"</f>
        <v>09/01/2015 00:00</v>
      </c>
      <c r="C1069">
        <v>0.14599999999999999</v>
      </c>
      <c r="D1069" t="s">
        <v>7</v>
      </c>
      <c r="E1069" s="2" t="s">
        <v>12</v>
      </c>
      <c r="F1069">
        <f t="shared" si="16"/>
        <v>0.289518</v>
      </c>
      <c r="G1069" t="s">
        <v>16</v>
      </c>
      <c r="J1069" t="str">
        <f>"09/01/2015 23:45"</f>
        <v>09/01/2015 23:45</v>
      </c>
    </row>
    <row r="1070" spans="1:10" x14ac:dyDescent="0.3">
      <c r="A1070" t="s">
        <v>6</v>
      </c>
      <c r="B1070" t="str">
        <f>"09/02/2015 00:00"</f>
        <v>09/02/2015 00:00</v>
      </c>
      <c r="C1070">
        <v>0.14599999999999999</v>
      </c>
      <c r="D1070" t="s">
        <v>7</v>
      </c>
      <c r="E1070" s="2" t="s">
        <v>12</v>
      </c>
      <c r="F1070">
        <f t="shared" si="16"/>
        <v>0.289518</v>
      </c>
      <c r="G1070" t="s">
        <v>16</v>
      </c>
      <c r="J1070" t="str">
        <f>"09/02/2015 23:45"</f>
        <v>09/02/2015 23:45</v>
      </c>
    </row>
    <row r="1071" spans="1:10" x14ac:dyDescent="0.3">
      <c r="A1071" t="s">
        <v>6</v>
      </c>
      <c r="B1071" t="str">
        <f>"09/03/2015 00:00"</f>
        <v>09/03/2015 00:00</v>
      </c>
      <c r="C1071">
        <v>27.5</v>
      </c>
      <c r="D1071" t="s">
        <v>7</v>
      </c>
      <c r="E1071" s="2" t="s">
        <v>12</v>
      </c>
      <c r="F1071">
        <f t="shared" si="16"/>
        <v>54.532500000000006</v>
      </c>
      <c r="G1071" t="s">
        <v>16</v>
      </c>
      <c r="J1071" t="str">
        <f>"09/03/2015 23:45"</f>
        <v>09/03/2015 23:45</v>
      </c>
    </row>
    <row r="1072" spans="1:10" x14ac:dyDescent="0.3">
      <c r="A1072" t="s">
        <v>6</v>
      </c>
      <c r="B1072" t="str">
        <f>"09/04/2015 00:00"</f>
        <v>09/04/2015 00:00</v>
      </c>
      <c r="C1072">
        <v>50.2</v>
      </c>
      <c r="D1072" t="s">
        <v>7</v>
      </c>
      <c r="E1072" s="2" t="s">
        <v>12</v>
      </c>
      <c r="F1072">
        <f t="shared" si="16"/>
        <v>99.546600000000012</v>
      </c>
      <c r="G1072" t="s">
        <v>16</v>
      </c>
      <c r="J1072" t="str">
        <f>"09/04/2015 23:45"</f>
        <v>09/04/2015 23:45</v>
      </c>
    </row>
    <row r="1073" spans="1:10" x14ac:dyDescent="0.3">
      <c r="A1073" t="s">
        <v>6</v>
      </c>
      <c r="B1073" t="str">
        <f>"09/05/2015 00:00"</f>
        <v>09/05/2015 00:00</v>
      </c>
      <c r="C1073">
        <v>50.2</v>
      </c>
      <c r="D1073" t="s">
        <v>7</v>
      </c>
      <c r="E1073" s="2" t="s">
        <v>12</v>
      </c>
      <c r="F1073">
        <f t="shared" si="16"/>
        <v>99.546600000000012</v>
      </c>
      <c r="G1073" t="s">
        <v>16</v>
      </c>
      <c r="J1073" t="str">
        <f>"09/05/2015 23:45"</f>
        <v>09/05/2015 23:45</v>
      </c>
    </row>
    <row r="1074" spans="1:10" x14ac:dyDescent="0.3">
      <c r="A1074" t="s">
        <v>6</v>
      </c>
      <c r="B1074" t="str">
        <f>"09/06/2015 00:00"</f>
        <v>09/06/2015 00:00</v>
      </c>
      <c r="C1074">
        <v>50.2</v>
      </c>
      <c r="D1074" t="s">
        <v>7</v>
      </c>
      <c r="E1074" s="2" t="s">
        <v>12</v>
      </c>
      <c r="F1074">
        <f t="shared" si="16"/>
        <v>99.546600000000012</v>
      </c>
      <c r="G1074" t="s">
        <v>16</v>
      </c>
      <c r="J1074" t="str">
        <f>"09/06/2015 23:45"</f>
        <v>09/06/2015 23:45</v>
      </c>
    </row>
    <row r="1075" spans="1:10" x14ac:dyDescent="0.3">
      <c r="A1075" t="s">
        <v>6</v>
      </c>
      <c r="B1075" t="str">
        <f>"09/07/2015 00:00"</f>
        <v>09/07/2015 00:00</v>
      </c>
      <c r="C1075">
        <v>50.1</v>
      </c>
      <c r="D1075" t="s">
        <v>7</v>
      </c>
      <c r="E1075" s="2" t="s">
        <v>12</v>
      </c>
      <c r="F1075">
        <f t="shared" si="16"/>
        <v>99.348300000000009</v>
      </c>
      <c r="G1075" t="s">
        <v>16</v>
      </c>
      <c r="J1075" t="str">
        <f>"09/07/2015 23:45"</f>
        <v>09/07/2015 23:45</v>
      </c>
    </row>
    <row r="1076" spans="1:10" x14ac:dyDescent="0.3">
      <c r="A1076" t="s">
        <v>6</v>
      </c>
      <c r="B1076" t="str">
        <f>"09/08/2015 00:00"</f>
        <v>09/08/2015 00:00</v>
      </c>
      <c r="C1076">
        <v>80.099999999999994</v>
      </c>
      <c r="D1076" t="s">
        <v>7</v>
      </c>
      <c r="E1076" s="2" t="s">
        <v>12</v>
      </c>
      <c r="F1076">
        <f t="shared" si="16"/>
        <v>158.8383</v>
      </c>
      <c r="G1076" t="s">
        <v>16</v>
      </c>
      <c r="J1076" t="str">
        <f>"09/08/2015 23:45"</f>
        <v>09/08/2015 23:45</v>
      </c>
    </row>
    <row r="1077" spans="1:10" x14ac:dyDescent="0.3">
      <c r="A1077" t="s">
        <v>6</v>
      </c>
      <c r="B1077" t="str">
        <f>"09/09/2015 00:00"</f>
        <v>09/09/2015 00:00</v>
      </c>
      <c r="C1077">
        <v>101</v>
      </c>
      <c r="D1077" t="s">
        <v>7</v>
      </c>
      <c r="E1077" s="2" t="s">
        <v>12</v>
      </c>
      <c r="F1077">
        <f t="shared" si="16"/>
        <v>200.28300000000002</v>
      </c>
      <c r="G1077" t="s">
        <v>16</v>
      </c>
      <c r="J1077" t="str">
        <f>"09/09/2015 23:45"</f>
        <v>09/09/2015 23:45</v>
      </c>
    </row>
    <row r="1078" spans="1:10" x14ac:dyDescent="0.3">
      <c r="A1078" t="s">
        <v>6</v>
      </c>
      <c r="B1078" t="str">
        <f>"09/10/2015 00:00"</f>
        <v>09/10/2015 00:00</v>
      </c>
      <c r="C1078">
        <v>101</v>
      </c>
      <c r="D1078" t="s">
        <v>7</v>
      </c>
      <c r="E1078" s="2" t="s">
        <v>12</v>
      </c>
      <c r="F1078">
        <f t="shared" si="16"/>
        <v>200.28300000000002</v>
      </c>
      <c r="G1078" t="s">
        <v>16</v>
      </c>
      <c r="J1078" t="str">
        <f>"09/10/2015 23:45"</f>
        <v>09/10/2015 23:45</v>
      </c>
    </row>
    <row r="1079" spans="1:10" x14ac:dyDescent="0.3">
      <c r="A1079" t="s">
        <v>6</v>
      </c>
      <c r="B1079" t="str">
        <f>"09/11/2015 00:00"</f>
        <v>09/11/2015 00:00</v>
      </c>
      <c r="C1079">
        <v>101</v>
      </c>
      <c r="D1079" t="s">
        <v>7</v>
      </c>
      <c r="E1079" s="2" t="s">
        <v>12</v>
      </c>
      <c r="F1079">
        <f t="shared" si="16"/>
        <v>200.28300000000002</v>
      </c>
      <c r="G1079" t="s">
        <v>16</v>
      </c>
      <c r="J1079" t="str">
        <f>"09/11/2015 23:45"</f>
        <v>09/11/2015 23:45</v>
      </c>
    </row>
    <row r="1080" spans="1:10" x14ac:dyDescent="0.3">
      <c r="A1080" t="s">
        <v>6</v>
      </c>
      <c r="B1080" t="str">
        <f>"09/12/2015 00:00"</f>
        <v>09/12/2015 00:00</v>
      </c>
      <c r="C1080">
        <v>101</v>
      </c>
      <c r="D1080" t="s">
        <v>7</v>
      </c>
      <c r="E1080" s="2" t="s">
        <v>12</v>
      </c>
      <c r="F1080">
        <f t="shared" si="16"/>
        <v>200.28300000000002</v>
      </c>
      <c r="G1080" t="s">
        <v>16</v>
      </c>
      <c r="J1080" t="str">
        <f>"09/12/2015 23:45"</f>
        <v>09/12/2015 23:45</v>
      </c>
    </row>
    <row r="1081" spans="1:10" x14ac:dyDescent="0.3">
      <c r="A1081" t="s">
        <v>6</v>
      </c>
      <c r="B1081" t="str">
        <f>"09/13/2015 00:00"</f>
        <v>09/13/2015 00:00</v>
      </c>
      <c r="C1081">
        <v>101</v>
      </c>
      <c r="D1081" t="s">
        <v>7</v>
      </c>
      <c r="E1081" s="2" t="s">
        <v>12</v>
      </c>
      <c r="F1081">
        <f t="shared" si="16"/>
        <v>200.28300000000002</v>
      </c>
      <c r="G1081" t="s">
        <v>16</v>
      </c>
      <c r="J1081" t="str">
        <f>"09/13/2015 23:45"</f>
        <v>09/13/2015 23:45</v>
      </c>
    </row>
    <row r="1082" spans="1:10" x14ac:dyDescent="0.3">
      <c r="A1082" t="s">
        <v>6</v>
      </c>
      <c r="B1082" t="str">
        <f>"09/14/2015 00:00"</f>
        <v>09/14/2015 00:00</v>
      </c>
      <c r="C1082">
        <v>101</v>
      </c>
      <c r="D1082" t="s">
        <v>7</v>
      </c>
      <c r="E1082" s="2" t="s">
        <v>12</v>
      </c>
      <c r="F1082">
        <f t="shared" si="16"/>
        <v>200.28300000000002</v>
      </c>
      <c r="G1082" t="s">
        <v>16</v>
      </c>
      <c r="J1082" t="str">
        <f>"09/14/2015 23:45"</f>
        <v>09/14/2015 23:45</v>
      </c>
    </row>
    <row r="1083" spans="1:10" x14ac:dyDescent="0.3">
      <c r="A1083" t="s">
        <v>6</v>
      </c>
      <c r="B1083" t="str">
        <f>"09/15/2015 00:00"</f>
        <v>09/15/2015 00:00</v>
      </c>
      <c r="C1083">
        <v>102</v>
      </c>
      <c r="D1083" t="s">
        <v>7</v>
      </c>
      <c r="E1083" s="2" t="s">
        <v>12</v>
      </c>
      <c r="F1083">
        <f t="shared" si="16"/>
        <v>202.26600000000002</v>
      </c>
      <c r="G1083" t="s">
        <v>16</v>
      </c>
      <c r="J1083" t="str">
        <f>"09/15/2015 23:45"</f>
        <v>09/15/2015 23:45</v>
      </c>
    </row>
    <row r="1084" spans="1:10" x14ac:dyDescent="0.3">
      <c r="A1084" t="s">
        <v>6</v>
      </c>
      <c r="B1084" t="str">
        <f>"09/16/2015 00:00"</f>
        <v>09/16/2015 00:00</v>
      </c>
      <c r="C1084">
        <v>101</v>
      </c>
      <c r="D1084" t="s">
        <v>7</v>
      </c>
      <c r="E1084" s="2" t="s">
        <v>12</v>
      </c>
      <c r="F1084">
        <f t="shared" si="16"/>
        <v>200.28300000000002</v>
      </c>
      <c r="G1084" t="s">
        <v>16</v>
      </c>
      <c r="J1084" t="str">
        <f>"09/16/2015 23:45"</f>
        <v>09/16/2015 23:45</v>
      </c>
    </row>
    <row r="1085" spans="1:10" x14ac:dyDescent="0.3">
      <c r="A1085" t="s">
        <v>6</v>
      </c>
      <c r="B1085" t="str">
        <f>"09/17/2015 00:00"</f>
        <v>09/17/2015 00:00</v>
      </c>
      <c r="C1085">
        <v>126</v>
      </c>
      <c r="D1085" t="s">
        <v>7</v>
      </c>
      <c r="E1085" s="2" t="s">
        <v>12</v>
      </c>
      <c r="F1085">
        <f t="shared" si="16"/>
        <v>249.858</v>
      </c>
      <c r="G1085" t="s">
        <v>16</v>
      </c>
      <c r="J1085" t="str">
        <f>"09/17/2015 23:45"</f>
        <v>09/17/2015 23:45</v>
      </c>
    </row>
    <row r="1086" spans="1:10" x14ac:dyDescent="0.3">
      <c r="A1086" t="s">
        <v>6</v>
      </c>
      <c r="B1086" t="str">
        <f>"09/18/2015 00:00"</f>
        <v>09/18/2015 00:00</v>
      </c>
      <c r="C1086">
        <v>131</v>
      </c>
      <c r="D1086" t="s">
        <v>7</v>
      </c>
      <c r="E1086" s="2" t="s">
        <v>12</v>
      </c>
      <c r="F1086">
        <f t="shared" si="16"/>
        <v>259.77300000000002</v>
      </c>
      <c r="G1086" t="s">
        <v>16</v>
      </c>
      <c r="J1086" t="str">
        <f>"09/18/2015 23:45"</f>
        <v>09/18/2015 23:45</v>
      </c>
    </row>
    <row r="1087" spans="1:10" x14ac:dyDescent="0.3">
      <c r="A1087" t="s">
        <v>6</v>
      </c>
      <c r="B1087" t="str">
        <f>"09/19/2015 00:00"</f>
        <v>09/19/2015 00:00</v>
      </c>
      <c r="C1087">
        <v>181</v>
      </c>
      <c r="D1087" t="s">
        <v>7</v>
      </c>
      <c r="E1087" s="2" t="s">
        <v>12</v>
      </c>
      <c r="F1087">
        <f t="shared" si="16"/>
        <v>358.923</v>
      </c>
      <c r="G1087" t="s">
        <v>16</v>
      </c>
      <c r="J1087" t="str">
        <f>"09/19/2015 23:45"</f>
        <v>09/19/2015 23:45</v>
      </c>
    </row>
    <row r="1088" spans="1:10" x14ac:dyDescent="0.3">
      <c r="A1088" t="s">
        <v>6</v>
      </c>
      <c r="B1088" t="str">
        <f>"09/20/2015 00:00"</f>
        <v>09/20/2015 00:00</v>
      </c>
      <c r="C1088">
        <v>199</v>
      </c>
      <c r="D1088" t="s">
        <v>7</v>
      </c>
      <c r="E1088" s="2" t="s">
        <v>12</v>
      </c>
      <c r="F1088">
        <f t="shared" si="16"/>
        <v>394.61700000000002</v>
      </c>
      <c r="G1088" t="s">
        <v>16</v>
      </c>
      <c r="J1088" t="str">
        <f>"09/20/2015 23:45"</f>
        <v>09/20/2015 23:45</v>
      </c>
    </row>
    <row r="1089" spans="1:10" x14ac:dyDescent="0.3">
      <c r="A1089" t="s">
        <v>6</v>
      </c>
      <c r="B1089" t="str">
        <f>"09/21/2015 00:00"</f>
        <v>09/21/2015 00:00</v>
      </c>
      <c r="C1089">
        <v>199</v>
      </c>
      <c r="D1089" t="s">
        <v>7</v>
      </c>
      <c r="E1089" s="2" t="s">
        <v>12</v>
      </c>
      <c r="F1089">
        <f t="shared" si="16"/>
        <v>394.61700000000002</v>
      </c>
      <c r="G1089" t="s">
        <v>16</v>
      </c>
      <c r="J1089" t="str">
        <f>"09/21/2015 23:45"</f>
        <v>09/21/2015 23:45</v>
      </c>
    </row>
    <row r="1090" spans="1:10" x14ac:dyDescent="0.3">
      <c r="A1090" t="s">
        <v>6</v>
      </c>
      <c r="B1090" t="str">
        <f>"09/22/2015 00:00"</f>
        <v>09/22/2015 00:00</v>
      </c>
      <c r="C1090">
        <v>221</v>
      </c>
      <c r="D1090" t="s">
        <v>7</v>
      </c>
      <c r="E1090" s="2" t="s">
        <v>12</v>
      </c>
      <c r="F1090">
        <f t="shared" si="16"/>
        <v>438.24299999999999</v>
      </c>
      <c r="G1090" t="s">
        <v>16</v>
      </c>
      <c r="J1090" t="str">
        <f>"09/22/2015 23:45"</f>
        <v>09/22/2015 23:45</v>
      </c>
    </row>
    <row r="1091" spans="1:10" x14ac:dyDescent="0.3">
      <c r="A1091" t="s">
        <v>6</v>
      </c>
      <c r="B1091" t="str">
        <f>"09/23/2015 00:00"</f>
        <v>09/23/2015 00:00</v>
      </c>
      <c r="C1091">
        <v>249</v>
      </c>
      <c r="D1091" t="s">
        <v>7</v>
      </c>
      <c r="E1091" s="2" t="s">
        <v>12</v>
      </c>
      <c r="F1091">
        <f t="shared" si="16"/>
        <v>493.767</v>
      </c>
      <c r="G1091" t="s">
        <v>16</v>
      </c>
      <c r="J1091" t="str">
        <f>"09/23/2015 23:45"</f>
        <v>09/23/2015 23:45</v>
      </c>
    </row>
    <row r="1092" spans="1:10" x14ac:dyDescent="0.3">
      <c r="A1092" t="s">
        <v>6</v>
      </c>
      <c r="B1092" t="str">
        <f>"09/24/2015 00:00"</f>
        <v>09/24/2015 00:00</v>
      </c>
      <c r="C1092">
        <v>247</v>
      </c>
      <c r="D1092" t="s">
        <v>7</v>
      </c>
      <c r="E1092" s="2" t="s">
        <v>12</v>
      </c>
      <c r="F1092">
        <f t="shared" si="16"/>
        <v>489.80100000000004</v>
      </c>
      <c r="G1092" t="s">
        <v>16</v>
      </c>
      <c r="J1092" t="str">
        <f>"09/24/2015 23:45"</f>
        <v>09/24/2015 23:45</v>
      </c>
    </row>
    <row r="1093" spans="1:10" x14ac:dyDescent="0.3">
      <c r="A1093" t="s">
        <v>6</v>
      </c>
      <c r="B1093" t="str">
        <f>"09/25/2015 00:00"</f>
        <v>09/25/2015 00:00</v>
      </c>
      <c r="C1093">
        <v>247</v>
      </c>
      <c r="D1093" t="s">
        <v>7</v>
      </c>
      <c r="E1093" s="2" t="s">
        <v>12</v>
      </c>
      <c r="F1093">
        <f t="shared" ref="F1093:F1157" si="17">C1093*1.983</f>
        <v>489.80100000000004</v>
      </c>
      <c r="G1093" t="s">
        <v>16</v>
      </c>
      <c r="J1093" t="str">
        <f>"09/25/2015 23:45"</f>
        <v>09/25/2015 23:45</v>
      </c>
    </row>
    <row r="1094" spans="1:10" x14ac:dyDescent="0.3">
      <c r="A1094" t="s">
        <v>6</v>
      </c>
      <c r="B1094" t="str">
        <f>"09/26/2015 00:00"</f>
        <v>09/26/2015 00:00</v>
      </c>
      <c r="C1094">
        <v>249</v>
      </c>
      <c r="D1094" t="s">
        <v>7</v>
      </c>
      <c r="E1094" s="2" t="s">
        <v>12</v>
      </c>
      <c r="F1094">
        <f t="shared" si="17"/>
        <v>493.767</v>
      </c>
      <c r="G1094" t="s">
        <v>16</v>
      </c>
      <c r="J1094" t="str">
        <f>"09/26/2015 23:45"</f>
        <v>09/26/2015 23:45</v>
      </c>
    </row>
    <row r="1095" spans="1:10" x14ac:dyDescent="0.3">
      <c r="A1095" t="s">
        <v>6</v>
      </c>
      <c r="B1095" t="str">
        <f>"09/27/2015 00:00"</f>
        <v>09/27/2015 00:00</v>
      </c>
      <c r="C1095">
        <v>255</v>
      </c>
      <c r="D1095" t="s">
        <v>7</v>
      </c>
      <c r="E1095" s="2" t="s">
        <v>12</v>
      </c>
      <c r="F1095">
        <f t="shared" si="17"/>
        <v>505.66500000000002</v>
      </c>
      <c r="G1095" t="s">
        <v>16</v>
      </c>
      <c r="J1095" t="str">
        <f>"09/27/2015 23:45"</f>
        <v>09/27/2015 23:45</v>
      </c>
    </row>
    <row r="1096" spans="1:10" x14ac:dyDescent="0.3">
      <c r="A1096" t="s">
        <v>6</v>
      </c>
      <c r="B1096" t="str">
        <f>"09/28/2015 00:00"</f>
        <v>09/28/2015 00:00</v>
      </c>
      <c r="C1096">
        <v>252</v>
      </c>
      <c r="D1096" t="s">
        <v>7</v>
      </c>
      <c r="E1096" s="2" t="s">
        <v>12</v>
      </c>
      <c r="F1096">
        <f t="shared" si="17"/>
        <v>499.71600000000001</v>
      </c>
      <c r="G1096" t="s">
        <v>16</v>
      </c>
      <c r="J1096" t="str">
        <f>"09/28/2015 23:45"</f>
        <v>09/28/2015 23:45</v>
      </c>
    </row>
    <row r="1097" spans="1:10" x14ac:dyDescent="0.3">
      <c r="A1097" t="s">
        <v>6</v>
      </c>
      <c r="B1097" t="str">
        <f>"09/29/2015 00:00"</f>
        <v>09/29/2015 00:00</v>
      </c>
      <c r="C1097">
        <v>252</v>
      </c>
      <c r="D1097" t="s">
        <v>7</v>
      </c>
      <c r="E1097" s="2" t="s">
        <v>12</v>
      </c>
      <c r="F1097">
        <f t="shared" si="17"/>
        <v>499.71600000000001</v>
      </c>
      <c r="G1097" t="s">
        <v>16</v>
      </c>
      <c r="J1097" t="str">
        <f>"09/29/2015 23:45"</f>
        <v>09/29/2015 23:45</v>
      </c>
    </row>
    <row r="1098" spans="1:10" x14ac:dyDescent="0.3">
      <c r="A1098" t="s">
        <v>6</v>
      </c>
      <c r="B1098" t="str">
        <f>"09/30/2015 00:00"</f>
        <v>09/30/2015 00:00</v>
      </c>
      <c r="C1098">
        <v>192</v>
      </c>
      <c r="D1098" t="s">
        <v>7</v>
      </c>
      <c r="E1098" s="2" t="s">
        <v>12</v>
      </c>
      <c r="F1098">
        <f t="shared" si="17"/>
        <v>380.73599999999999</v>
      </c>
      <c r="G1098" t="s">
        <v>16</v>
      </c>
      <c r="J1098" t="str">
        <f>"09/30/2015 23:45"</f>
        <v>09/30/2015 23:45</v>
      </c>
    </row>
    <row r="1099" spans="1:10" s="4" customFormat="1" x14ac:dyDescent="0.3">
      <c r="B1099" s="4" t="s">
        <v>25</v>
      </c>
      <c r="E1099" s="2" t="s">
        <v>12</v>
      </c>
      <c r="F1099" s="5">
        <f>SUM(F734:F1098)</f>
        <v>9887.156697000004</v>
      </c>
      <c r="G1099" s="4" t="s">
        <v>19</v>
      </c>
    </row>
    <row r="1100" spans="1:10" x14ac:dyDescent="0.3">
      <c r="A1100" t="s">
        <v>6</v>
      </c>
      <c r="B1100" t="str">
        <f>"10/01/2015 00:00"</f>
        <v>10/01/2015 00:00</v>
      </c>
      <c r="C1100">
        <v>188</v>
      </c>
      <c r="D1100" t="s">
        <v>7</v>
      </c>
      <c r="E1100" s="2" t="s">
        <v>12</v>
      </c>
      <c r="F1100">
        <f t="shared" si="17"/>
        <v>372.80400000000003</v>
      </c>
      <c r="G1100" t="s">
        <v>16</v>
      </c>
      <c r="J1100" t="str">
        <f>"10/01/2015 23:45"</f>
        <v>10/01/2015 23:45</v>
      </c>
    </row>
    <row r="1101" spans="1:10" x14ac:dyDescent="0.3">
      <c r="A1101" t="s">
        <v>6</v>
      </c>
      <c r="B1101" t="str">
        <f>"10/02/2015 00:00"</f>
        <v>10/02/2015 00:00</v>
      </c>
      <c r="C1101">
        <v>178</v>
      </c>
      <c r="D1101" t="s">
        <v>7</v>
      </c>
      <c r="E1101" s="2" t="s">
        <v>12</v>
      </c>
      <c r="F1101">
        <f t="shared" si="17"/>
        <v>352.97399999999999</v>
      </c>
      <c r="G1101" t="s">
        <v>16</v>
      </c>
      <c r="J1101" t="str">
        <f>"10/02/2015 23:45"</f>
        <v>10/02/2015 23:45</v>
      </c>
    </row>
    <row r="1102" spans="1:10" x14ac:dyDescent="0.3">
      <c r="A1102" t="s">
        <v>6</v>
      </c>
      <c r="B1102" t="str">
        <f>"10/03/2015 00:00"</f>
        <v>10/03/2015 00:00</v>
      </c>
      <c r="C1102">
        <v>149</v>
      </c>
      <c r="D1102" t="s">
        <v>7</v>
      </c>
      <c r="E1102" s="2" t="s">
        <v>12</v>
      </c>
      <c r="F1102">
        <f t="shared" si="17"/>
        <v>295.46700000000004</v>
      </c>
      <c r="G1102" t="s">
        <v>16</v>
      </c>
      <c r="J1102" t="str">
        <f>"10/03/2015 23:45"</f>
        <v>10/03/2015 23:45</v>
      </c>
    </row>
    <row r="1103" spans="1:10" x14ac:dyDescent="0.3">
      <c r="A1103" t="s">
        <v>6</v>
      </c>
      <c r="B1103" t="str">
        <f>"10/04/2015 00:00"</f>
        <v>10/04/2015 00:00</v>
      </c>
      <c r="C1103">
        <v>150</v>
      </c>
      <c r="D1103" t="s">
        <v>7</v>
      </c>
      <c r="E1103" s="2" t="s">
        <v>12</v>
      </c>
      <c r="F1103">
        <f t="shared" si="17"/>
        <v>297.45</v>
      </c>
      <c r="G1103" t="s">
        <v>16</v>
      </c>
      <c r="J1103" t="str">
        <f>"10/04/2015 23:45"</f>
        <v>10/04/2015 23:45</v>
      </c>
    </row>
    <row r="1104" spans="1:10" x14ac:dyDescent="0.3">
      <c r="A1104" t="s">
        <v>6</v>
      </c>
      <c r="B1104" t="str">
        <f>"10/05/2015 00:00"</f>
        <v>10/05/2015 00:00</v>
      </c>
      <c r="C1104">
        <v>150</v>
      </c>
      <c r="D1104" t="s">
        <v>7</v>
      </c>
      <c r="E1104" s="2" t="s">
        <v>12</v>
      </c>
      <c r="F1104">
        <f t="shared" si="17"/>
        <v>297.45</v>
      </c>
      <c r="G1104" t="s">
        <v>16</v>
      </c>
      <c r="J1104" t="str">
        <f>"10/05/2015 23:45"</f>
        <v>10/05/2015 23:45</v>
      </c>
    </row>
    <row r="1105" spans="1:10" x14ac:dyDescent="0.3">
      <c r="A1105" t="s">
        <v>6</v>
      </c>
      <c r="B1105" t="str">
        <f>"10/06/2015 00:00"</f>
        <v>10/06/2015 00:00</v>
      </c>
      <c r="C1105">
        <v>173</v>
      </c>
      <c r="D1105" t="s">
        <v>7</v>
      </c>
      <c r="E1105" s="2" t="s">
        <v>12</v>
      </c>
      <c r="F1105">
        <f t="shared" si="17"/>
        <v>343.05900000000003</v>
      </c>
      <c r="G1105" t="s">
        <v>16</v>
      </c>
      <c r="J1105" t="str">
        <f>"10/06/2015 23:45"</f>
        <v>10/06/2015 23:45</v>
      </c>
    </row>
    <row r="1106" spans="1:10" x14ac:dyDescent="0.3">
      <c r="A1106" t="s">
        <v>6</v>
      </c>
      <c r="B1106" t="str">
        <f>"10/07/2015 00:00"</f>
        <v>10/07/2015 00:00</v>
      </c>
      <c r="C1106">
        <v>142</v>
      </c>
      <c r="D1106" t="s">
        <v>7</v>
      </c>
      <c r="E1106" s="2" t="s">
        <v>12</v>
      </c>
      <c r="F1106">
        <f t="shared" si="17"/>
        <v>281.58600000000001</v>
      </c>
      <c r="G1106" t="s">
        <v>16</v>
      </c>
      <c r="J1106" t="str">
        <f>"10/07/2015 23:45"</f>
        <v>10/07/2015 23:45</v>
      </c>
    </row>
    <row r="1107" spans="1:10" x14ac:dyDescent="0.3">
      <c r="A1107" t="s">
        <v>6</v>
      </c>
      <c r="B1107" t="str">
        <f>"10/08/2015 00:00"</f>
        <v>10/08/2015 00:00</v>
      </c>
      <c r="C1107">
        <v>128</v>
      </c>
      <c r="D1107" t="s">
        <v>7</v>
      </c>
      <c r="E1107" s="2" t="s">
        <v>12</v>
      </c>
      <c r="F1107">
        <f t="shared" si="17"/>
        <v>253.82400000000001</v>
      </c>
      <c r="G1107" t="s">
        <v>16</v>
      </c>
      <c r="J1107" t="str">
        <f>"10/08/2015 23:45"</f>
        <v>10/08/2015 23:45</v>
      </c>
    </row>
    <row r="1108" spans="1:10" x14ac:dyDescent="0.3">
      <c r="A1108" t="s">
        <v>6</v>
      </c>
      <c r="B1108" t="str">
        <f>"10/09/2015 00:00"</f>
        <v>10/09/2015 00:00</v>
      </c>
      <c r="C1108">
        <v>177</v>
      </c>
      <c r="D1108" t="s">
        <v>7</v>
      </c>
      <c r="E1108" s="2" t="s">
        <v>12</v>
      </c>
      <c r="F1108">
        <f t="shared" si="17"/>
        <v>350.99100000000004</v>
      </c>
      <c r="G1108" t="s">
        <v>16</v>
      </c>
      <c r="J1108" t="str">
        <f>"10/09/2015 23:45"</f>
        <v>10/09/2015 23:45</v>
      </c>
    </row>
    <row r="1109" spans="1:10" x14ac:dyDescent="0.3">
      <c r="A1109" t="s">
        <v>6</v>
      </c>
      <c r="B1109" t="str">
        <f>"10/10/2015 00:00"</f>
        <v>10/10/2015 00:00</v>
      </c>
      <c r="C1109">
        <v>200</v>
      </c>
      <c r="D1109" t="s">
        <v>7</v>
      </c>
      <c r="E1109" s="2" t="s">
        <v>12</v>
      </c>
      <c r="F1109">
        <f t="shared" si="17"/>
        <v>396.6</v>
      </c>
      <c r="G1109" t="s">
        <v>16</v>
      </c>
      <c r="J1109" t="str">
        <f>"10/10/2015 23:45"</f>
        <v>10/10/2015 23:45</v>
      </c>
    </row>
    <row r="1110" spans="1:10" x14ac:dyDescent="0.3">
      <c r="A1110" t="s">
        <v>6</v>
      </c>
      <c r="B1110" t="str">
        <f>"10/11/2015 00:00"</f>
        <v>10/11/2015 00:00</v>
      </c>
      <c r="C1110">
        <v>200</v>
      </c>
      <c r="D1110" t="s">
        <v>7</v>
      </c>
      <c r="E1110" s="2" t="s">
        <v>12</v>
      </c>
      <c r="F1110">
        <f t="shared" si="17"/>
        <v>396.6</v>
      </c>
      <c r="G1110" t="s">
        <v>16</v>
      </c>
      <c r="J1110" t="str">
        <f>"10/11/2015 23:45"</f>
        <v>10/11/2015 23:45</v>
      </c>
    </row>
    <row r="1111" spans="1:10" x14ac:dyDescent="0.3">
      <c r="A1111" t="s">
        <v>6</v>
      </c>
      <c r="B1111" t="str">
        <f>"10/12/2015 00:00"</f>
        <v>10/12/2015 00:00</v>
      </c>
      <c r="C1111">
        <v>200</v>
      </c>
      <c r="D1111" t="s">
        <v>7</v>
      </c>
      <c r="E1111" s="2" t="s">
        <v>12</v>
      </c>
      <c r="F1111">
        <f t="shared" si="17"/>
        <v>396.6</v>
      </c>
      <c r="G1111" t="s">
        <v>16</v>
      </c>
      <c r="J1111" t="str">
        <f>"10/12/2015 23:45"</f>
        <v>10/12/2015 23:45</v>
      </c>
    </row>
    <row r="1112" spans="1:10" x14ac:dyDescent="0.3">
      <c r="A1112" t="s">
        <v>6</v>
      </c>
      <c r="B1112" t="str">
        <f>"10/13/2015 00:00"</f>
        <v>10/13/2015 00:00</v>
      </c>
      <c r="C1112">
        <v>218</v>
      </c>
      <c r="D1112" t="s">
        <v>7</v>
      </c>
      <c r="E1112" s="2" t="s">
        <v>12</v>
      </c>
      <c r="F1112">
        <f t="shared" si="17"/>
        <v>432.29400000000004</v>
      </c>
      <c r="G1112" t="s">
        <v>16</v>
      </c>
      <c r="J1112" t="str">
        <f>"10/13/2015 23:45"</f>
        <v>10/13/2015 23:45</v>
      </c>
    </row>
    <row r="1113" spans="1:10" x14ac:dyDescent="0.3">
      <c r="A1113" t="s">
        <v>6</v>
      </c>
      <c r="B1113" t="str">
        <f>"10/14/2015 00:00"</f>
        <v>10/14/2015 00:00</v>
      </c>
      <c r="C1113">
        <v>252</v>
      </c>
      <c r="D1113" t="s">
        <v>7</v>
      </c>
      <c r="E1113" s="2" t="s">
        <v>12</v>
      </c>
      <c r="F1113">
        <f t="shared" si="17"/>
        <v>499.71600000000001</v>
      </c>
      <c r="G1113" t="s">
        <v>16</v>
      </c>
      <c r="J1113" t="str">
        <f>"10/14/2015 23:45"</f>
        <v>10/14/2015 23:45</v>
      </c>
    </row>
    <row r="1114" spans="1:10" x14ac:dyDescent="0.3">
      <c r="A1114" t="s">
        <v>6</v>
      </c>
      <c r="B1114" t="str">
        <f>"10/15/2015 00:00"</f>
        <v>10/15/2015 00:00</v>
      </c>
      <c r="C1114">
        <v>230</v>
      </c>
      <c r="D1114" t="s">
        <v>7</v>
      </c>
      <c r="E1114" s="2" t="s">
        <v>12</v>
      </c>
      <c r="F1114">
        <f t="shared" si="17"/>
        <v>456.09000000000003</v>
      </c>
      <c r="G1114" t="s">
        <v>16</v>
      </c>
      <c r="J1114" t="str">
        <f>"10/15/2015 23:45"</f>
        <v>10/15/2015 23:45</v>
      </c>
    </row>
    <row r="1115" spans="1:10" x14ac:dyDescent="0.3">
      <c r="A1115" t="s">
        <v>6</v>
      </c>
      <c r="B1115" t="str">
        <f>"10/16/2015 00:00"</f>
        <v>10/16/2015 00:00</v>
      </c>
      <c r="C1115">
        <v>182</v>
      </c>
      <c r="D1115" t="s">
        <v>7</v>
      </c>
      <c r="E1115" s="2" t="s">
        <v>12</v>
      </c>
      <c r="F1115">
        <f t="shared" si="17"/>
        <v>360.90600000000001</v>
      </c>
      <c r="G1115" t="s">
        <v>16</v>
      </c>
      <c r="J1115" t="str">
        <f>"10/16/2015 23:45"</f>
        <v>10/16/2015 23:45</v>
      </c>
    </row>
    <row r="1116" spans="1:10" x14ac:dyDescent="0.3">
      <c r="A1116" t="s">
        <v>6</v>
      </c>
      <c r="B1116" t="str">
        <f>"10/17/2015 00:00"</f>
        <v>10/17/2015 00:00</v>
      </c>
      <c r="C1116">
        <v>162</v>
      </c>
      <c r="D1116" t="s">
        <v>7</v>
      </c>
      <c r="E1116" s="2" t="s">
        <v>12</v>
      </c>
      <c r="F1116">
        <f t="shared" si="17"/>
        <v>321.24600000000004</v>
      </c>
      <c r="G1116" t="s">
        <v>16</v>
      </c>
      <c r="J1116" t="str">
        <f>"10/17/2015 23:45"</f>
        <v>10/17/2015 23:45</v>
      </c>
    </row>
    <row r="1117" spans="1:10" x14ac:dyDescent="0.3">
      <c r="A1117" t="s">
        <v>6</v>
      </c>
      <c r="B1117" t="str">
        <f>"10/18/2015 00:00"</f>
        <v>10/18/2015 00:00</v>
      </c>
      <c r="C1117">
        <v>161</v>
      </c>
      <c r="D1117" t="s">
        <v>7</v>
      </c>
      <c r="E1117" s="2" t="s">
        <v>12</v>
      </c>
      <c r="F1117">
        <f t="shared" si="17"/>
        <v>319.26300000000003</v>
      </c>
      <c r="G1117" t="s">
        <v>16</v>
      </c>
      <c r="J1117" t="str">
        <f>"10/18/2015 23:45"</f>
        <v>10/18/2015 23:45</v>
      </c>
    </row>
    <row r="1118" spans="1:10" x14ac:dyDescent="0.3">
      <c r="A1118" t="s">
        <v>6</v>
      </c>
      <c r="B1118" t="str">
        <f>"10/19/2015 00:00"</f>
        <v>10/19/2015 00:00</v>
      </c>
      <c r="C1118">
        <v>160</v>
      </c>
      <c r="D1118" t="s">
        <v>7</v>
      </c>
      <c r="E1118" s="2" t="s">
        <v>12</v>
      </c>
      <c r="F1118">
        <f t="shared" si="17"/>
        <v>317.28000000000003</v>
      </c>
      <c r="G1118" t="s">
        <v>16</v>
      </c>
      <c r="J1118" t="str">
        <f>"10/19/2015 23:45"</f>
        <v>10/19/2015 23:45</v>
      </c>
    </row>
    <row r="1119" spans="1:10" x14ac:dyDescent="0.3">
      <c r="A1119" t="s">
        <v>6</v>
      </c>
      <c r="B1119" t="str">
        <f>"10/20/2015 00:00"</f>
        <v>10/20/2015 00:00</v>
      </c>
      <c r="C1119">
        <v>160</v>
      </c>
      <c r="D1119" t="s">
        <v>7</v>
      </c>
      <c r="E1119" s="2" t="s">
        <v>12</v>
      </c>
      <c r="F1119">
        <f t="shared" si="17"/>
        <v>317.28000000000003</v>
      </c>
      <c r="G1119" t="s">
        <v>16</v>
      </c>
      <c r="J1119" t="str">
        <f>"10/20/2015 23:45"</f>
        <v>10/20/2015 23:45</v>
      </c>
    </row>
    <row r="1120" spans="1:10" x14ac:dyDescent="0.3">
      <c r="A1120" t="s">
        <v>6</v>
      </c>
      <c r="B1120" t="str">
        <f>"10/21/2015 00:00"</f>
        <v>10/21/2015 00:00</v>
      </c>
      <c r="C1120">
        <v>127</v>
      </c>
      <c r="D1120" t="s">
        <v>7</v>
      </c>
      <c r="E1120" s="2" t="s">
        <v>12</v>
      </c>
      <c r="F1120">
        <f t="shared" si="17"/>
        <v>251.84100000000001</v>
      </c>
      <c r="G1120" t="s">
        <v>16</v>
      </c>
      <c r="J1120" t="str">
        <f>"10/21/2015 23:45"</f>
        <v>10/21/2015 23:45</v>
      </c>
    </row>
    <row r="1121" spans="1:10" x14ac:dyDescent="0.3">
      <c r="A1121" t="s">
        <v>6</v>
      </c>
      <c r="B1121" t="str">
        <f>"10/22/2015 00:00"</f>
        <v>10/22/2015 00:00</v>
      </c>
      <c r="C1121">
        <v>79.900000000000006</v>
      </c>
      <c r="D1121" t="s">
        <v>7</v>
      </c>
      <c r="E1121" s="2" t="s">
        <v>12</v>
      </c>
      <c r="F1121">
        <f t="shared" si="17"/>
        <v>158.44170000000003</v>
      </c>
      <c r="G1121" t="s">
        <v>16</v>
      </c>
      <c r="J1121" t="str">
        <f>"10/22/2015 23:45"</f>
        <v>10/22/2015 23:45</v>
      </c>
    </row>
    <row r="1122" spans="1:10" x14ac:dyDescent="0.3">
      <c r="A1122" t="s">
        <v>6</v>
      </c>
      <c r="B1122" t="str">
        <f>"10/23/2015 00:00"</f>
        <v>10/23/2015 00:00</v>
      </c>
      <c r="C1122">
        <v>59.7</v>
      </c>
      <c r="D1122" t="s">
        <v>7</v>
      </c>
      <c r="E1122" s="2" t="s">
        <v>12</v>
      </c>
      <c r="F1122">
        <f t="shared" si="17"/>
        <v>118.38510000000001</v>
      </c>
      <c r="G1122" t="s">
        <v>16</v>
      </c>
      <c r="J1122" t="str">
        <f>"10/23/2015 23:45"</f>
        <v>10/23/2015 23:45</v>
      </c>
    </row>
    <row r="1123" spans="1:10" x14ac:dyDescent="0.3">
      <c r="A1123" t="s">
        <v>6</v>
      </c>
      <c r="B1123" t="str">
        <f>"10/24/2015 00:00"</f>
        <v>10/24/2015 00:00</v>
      </c>
      <c r="C1123">
        <v>61.5</v>
      </c>
      <c r="D1123" t="s">
        <v>7</v>
      </c>
      <c r="E1123" s="2" t="s">
        <v>12</v>
      </c>
      <c r="F1123">
        <f t="shared" si="17"/>
        <v>121.95450000000001</v>
      </c>
      <c r="G1123" t="s">
        <v>16</v>
      </c>
      <c r="J1123" t="str">
        <f>"10/24/2015 23:45"</f>
        <v>10/24/2015 23:45</v>
      </c>
    </row>
    <row r="1124" spans="1:10" x14ac:dyDescent="0.3">
      <c r="A1124" t="s">
        <v>6</v>
      </c>
      <c r="B1124" t="str">
        <f>"10/25/2015 00:00"</f>
        <v>10/25/2015 00:00</v>
      </c>
      <c r="C1124">
        <v>62.5</v>
      </c>
      <c r="D1124" t="s">
        <v>7</v>
      </c>
      <c r="E1124" s="2" t="s">
        <v>12</v>
      </c>
      <c r="F1124">
        <f t="shared" si="17"/>
        <v>123.9375</v>
      </c>
      <c r="G1124" t="s">
        <v>16</v>
      </c>
      <c r="J1124" t="str">
        <f>"10/25/2015 23:45"</f>
        <v>10/25/2015 23:45</v>
      </c>
    </row>
    <row r="1125" spans="1:10" x14ac:dyDescent="0.3">
      <c r="A1125" t="s">
        <v>6</v>
      </c>
      <c r="B1125" t="str">
        <f>"10/26/2015 00:00"</f>
        <v>10/26/2015 00:00</v>
      </c>
      <c r="C1125">
        <v>84.7</v>
      </c>
      <c r="D1125" t="s">
        <v>7</v>
      </c>
      <c r="E1125" s="2" t="s">
        <v>12</v>
      </c>
      <c r="F1125">
        <f t="shared" si="17"/>
        <v>167.96010000000001</v>
      </c>
      <c r="G1125" t="s">
        <v>16</v>
      </c>
      <c r="J1125" t="str">
        <f>"10/26/2015 23:45"</f>
        <v>10/26/2015 23:45</v>
      </c>
    </row>
    <row r="1126" spans="1:10" x14ac:dyDescent="0.3">
      <c r="A1126" t="s">
        <v>6</v>
      </c>
      <c r="B1126" t="str">
        <f>"10/27/2015 00:00"</f>
        <v>10/27/2015 00:00</v>
      </c>
      <c r="C1126">
        <v>130</v>
      </c>
      <c r="D1126" t="s">
        <v>7</v>
      </c>
      <c r="E1126" s="2" t="s">
        <v>12</v>
      </c>
      <c r="F1126">
        <f t="shared" si="17"/>
        <v>257.79000000000002</v>
      </c>
      <c r="G1126" t="s">
        <v>16</v>
      </c>
      <c r="J1126" t="str">
        <f>"10/27/2015 23:45"</f>
        <v>10/27/2015 23:45</v>
      </c>
    </row>
    <row r="1127" spans="1:10" x14ac:dyDescent="0.3">
      <c r="A1127" t="s">
        <v>6</v>
      </c>
      <c r="B1127" t="str">
        <f>"10/28/2015 00:00"</f>
        <v>10/28/2015 00:00</v>
      </c>
      <c r="C1127">
        <v>151</v>
      </c>
      <c r="D1127" t="s">
        <v>7</v>
      </c>
      <c r="E1127" s="2" t="s">
        <v>12</v>
      </c>
      <c r="F1127">
        <f t="shared" si="17"/>
        <v>299.43299999999999</v>
      </c>
      <c r="G1127" t="s">
        <v>16</v>
      </c>
      <c r="J1127" t="str">
        <f>"10/28/2015 23:45"</f>
        <v>10/28/2015 23:45</v>
      </c>
    </row>
    <row r="1128" spans="1:10" x14ac:dyDescent="0.3">
      <c r="A1128" t="s">
        <v>6</v>
      </c>
      <c r="B1128" t="str">
        <f>"10/29/2015 00:00"</f>
        <v>10/29/2015 00:00</v>
      </c>
      <c r="C1128">
        <v>151</v>
      </c>
      <c r="D1128" t="s">
        <v>7</v>
      </c>
      <c r="E1128" s="2" t="s">
        <v>12</v>
      </c>
      <c r="F1128">
        <f t="shared" si="17"/>
        <v>299.43299999999999</v>
      </c>
      <c r="G1128" t="s">
        <v>16</v>
      </c>
      <c r="J1128" t="str">
        <f>"10/29/2015 23:45"</f>
        <v>10/29/2015 23:45</v>
      </c>
    </row>
    <row r="1129" spans="1:10" x14ac:dyDescent="0.3">
      <c r="A1129" t="s">
        <v>6</v>
      </c>
      <c r="B1129" t="str">
        <f>"10/30/2015 00:00"</f>
        <v>10/30/2015 00:00</v>
      </c>
      <c r="C1129">
        <v>123</v>
      </c>
      <c r="D1129" t="s">
        <v>7</v>
      </c>
      <c r="E1129" s="2" t="s">
        <v>12</v>
      </c>
      <c r="F1129">
        <f t="shared" si="17"/>
        <v>243.90900000000002</v>
      </c>
      <c r="G1129" t="s">
        <v>16</v>
      </c>
      <c r="J1129" t="str">
        <f>"10/30/2015 23:45"</f>
        <v>10/30/2015 23:45</v>
      </c>
    </row>
    <row r="1130" spans="1:10" x14ac:dyDescent="0.3">
      <c r="A1130" t="s">
        <v>6</v>
      </c>
      <c r="B1130" t="str">
        <f>"10/31/2015 00:00"</f>
        <v>10/31/2015 00:00</v>
      </c>
      <c r="C1130">
        <v>99.5</v>
      </c>
      <c r="D1130" t="s">
        <v>7</v>
      </c>
      <c r="E1130" s="2" t="s">
        <v>12</v>
      </c>
      <c r="F1130">
        <f t="shared" si="17"/>
        <v>197.30850000000001</v>
      </c>
      <c r="G1130" t="s">
        <v>16</v>
      </c>
      <c r="J1130" t="str">
        <f>"10/31/2015 23:45"</f>
        <v>10/31/2015 23:45</v>
      </c>
    </row>
    <row r="1131" spans="1:10" x14ac:dyDescent="0.3">
      <c r="A1131" t="s">
        <v>6</v>
      </c>
      <c r="B1131" t="str">
        <f>"11/01/2015 00:00"</f>
        <v>11/01/2015 00:00</v>
      </c>
      <c r="C1131">
        <v>99.9</v>
      </c>
      <c r="D1131" t="s">
        <v>7</v>
      </c>
      <c r="E1131" s="2" t="s">
        <v>12</v>
      </c>
      <c r="F1131">
        <f t="shared" si="17"/>
        <v>198.10170000000002</v>
      </c>
      <c r="G1131" t="s">
        <v>16</v>
      </c>
      <c r="J1131" t="str">
        <f>"11/01/2015 23:45"</f>
        <v>11/01/2015 23:45</v>
      </c>
    </row>
    <row r="1132" spans="1:10" x14ac:dyDescent="0.3">
      <c r="A1132" t="s">
        <v>6</v>
      </c>
      <c r="B1132" t="str">
        <f>"11/02/2015 00:00"</f>
        <v>11/02/2015 00:00</v>
      </c>
      <c r="C1132">
        <v>99.8</v>
      </c>
      <c r="D1132" t="s">
        <v>7</v>
      </c>
      <c r="E1132" s="2" t="s">
        <v>12</v>
      </c>
      <c r="F1132">
        <f t="shared" si="17"/>
        <v>197.9034</v>
      </c>
      <c r="G1132" t="s">
        <v>16</v>
      </c>
      <c r="J1132" t="str">
        <f>"11/02/2015 23:45"</f>
        <v>11/02/2015 23:45</v>
      </c>
    </row>
    <row r="1133" spans="1:10" x14ac:dyDescent="0.3">
      <c r="A1133" t="s">
        <v>6</v>
      </c>
      <c r="B1133" t="str">
        <f>"11/03/2015 00:00"</f>
        <v>11/03/2015 00:00</v>
      </c>
      <c r="C1133">
        <v>99.4</v>
      </c>
      <c r="D1133" t="s">
        <v>7</v>
      </c>
      <c r="E1133" s="2" t="s">
        <v>12</v>
      </c>
      <c r="F1133">
        <f t="shared" si="17"/>
        <v>197.11020000000002</v>
      </c>
      <c r="G1133" t="s">
        <v>16</v>
      </c>
      <c r="J1133" t="str">
        <f>"11/03/2015 23:45"</f>
        <v>11/03/2015 23:45</v>
      </c>
    </row>
    <row r="1134" spans="1:10" x14ac:dyDescent="0.3">
      <c r="A1134" t="s">
        <v>6</v>
      </c>
      <c r="B1134" t="str">
        <f>"11/04/2015 00:00"</f>
        <v>11/04/2015 00:00</v>
      </c>
      <c r="C1134">
        <v>99.5</v>
      </c>
      <c r="D1134" t="s">
        <v>7</v>
      </c>
      <c r="E1134" s="2" t="s">
        <v>12</v>
      </c>
      <c r="F1134">
        <f t="shared" si="17"/>
        <v>197.30850000000001</v>
      </c>
      <c r="G1134" t="s">
        <v>16</v>
      </c>
      <c r="J1134" t="str">
        <f>"11/04/2015 23:45"</f>
        <v>11/04/2015 23:45</v>
      </c>
    </row>
    <row r="1135" spans="1:10" x14ac:dyDescent="0.3">
      <c r="A1135" t="s">
        <v>6</v>
      </c>
      <c r="B1135" t="str">
        <f>"11/05/2015 00:00"</f>
        <v>11/05/2015 00:00</v>
      </c>
      <c r="C1135">
        <v>74.099999999999994</v>
      </c>
      <c r="D1135" t="s">
        <v>7</v>
      </c>
      <c r="E1135" s="2" t="s">
        <v>12</v>
      </c>
      <c r="F1135">
        <f t="shared" si="17"/>
        <v>146.94030000000001</v>
      </c>
      <c r="G1135" t="s">
        <v>16</v>
      </c>
      <c r="J1135" t="str">
        <f>"11/05/2015 23:45"</f>
        <v>11/05/2015 23:45</v>
      </c>
    </row>
    <row r="1136" spans="1:10" x14ac:dyDescent="0.3">
      <c r="A1136" t="s">
        <v>6</v>
      </c>
      <c r="B1136" t="str">
        <f>"11/06/2015 00:00"</f>
        <v>11/06/2015 00:00</v>
      </c>
      <c r="C1136">
        <v>52.6</v>
      </c>
      <c r="D1136" t="s">
        <v>7</v>
      </c>
      <c r="E1136" s="2" t="s">
        <v>12</v>
      </c>
      <c r="F1136">
        <f t="shared" si="17"/>
        <v>104.3058</v>
      </c>
      <c r="G1136" t="s">
        <v>16</v>
      </c>
      <c r="J1136" t="str">
        <f>"11/06/2015 23:45"</f>
        <v>11/06/2015 23:45</v>
      </c>
    </row>
    <row r="1137" spans="1:10" x14ac:dyDescent="0.3">
      <c r="A1137" t="s">
        <v>6</v>
      </c>
      <c r="B1137" t="str">
        <f>"11/07/2015 00:00"</f>
        <v>11/07/2015 00:00</v>
      </c>
      <c r="C1137">
        <v>52.4</v>
      </c>
      <c r="D1137" t="s">
        <v>7</v>
      </c>
      <c r="E1137" s="2" t="s">
        <v>12</v>
      </c>
      <c r="F1137">
        <f t="shared" si="17"/>
        <v>103.9092</v>
      </c>
      <c r="G1137" t="s">
        <v>16</v>
      </c>
      <c r="J1137" t="str">
        <f>"11/07/2015 23:45"</f>
        <v>11/07/2015 23:45</v>
      </c>
    </row>
    <row r="1138" spans="1:10" x14ac:dyDescent="0.3">
      <c r="A1138" t="s">
        <v>6</v>
      </c>
      <c r="B1138" t="str">
        <f>"11/08/2015 00:00"</f>
        <v>11/08/2015 00:00</v>
      </c>
      <c r="C1138">
        <v>52.7</v>
      </c>
      <c r="D1138" t="s">
        <v>7</v>
      </c>
      <c r="E1138" s="2" t="s">
        <v>12</v>
      </c>
      <c r="F1138">
        <f t="shared" si="17"/>
        <v>104.50410000000001</v>
      </c>
      <c r="G1138" t="s">
        <v>16</v>
      </c>
      <c r="J1138" t="str">
        <f>"11/08/2015 23:45"</f>
        <v>11/08/2015 23:45</v>
      </c>
    </row>
    <row r="1139" spans="1:10" x14ac:dyDescent="0.3">
      <c r="A1139" t="s">
        <v>6</v>
      </c>
      <c r="B1139" t="str">
        <f>"11/09/2015 00:00"</f>
        <v>11/09/2015 00:00</v>
      </c>
      <c r="C1139">
        <v>52.6</v>
      </c>
      <c r="D1139" t="s">
        <v>7</v>
      </c>
      <c r="E1139" s="2" t="s">
        <v>12</v>
      </c>
      <c r="F1139">
        <f t="shared" si="17"/>
        <v>104.3058</v>
      </c>
      <c r="G1139" t="s">
        <v>16</v>
      </c>
      <c r="J1139" t="str">
        <f>"11/09/2015 23:45"</f>
        <v>11/09/2015 23:45</v>
      </c>
    </row>
    <row r="1140" spans="1:10" x14ac:dyDescent="0.3">
      <c r="A1140" t="s">
        <v>6</v>
      </c>
      <c r="B1140" t="str">
        <f>"11/10/2015 00:00"</f>
        <v>11/10/2015 00:00</v>
      </c>
      <c r="C1140">
        <v>53</v>
      </c>
      <c r="D1140" t="s">
        <v>7</v>
      </c>
      <c r="E1140" s="2" t="s">
        <v>12</v>
      </c>
      <c r="F1140">
        <f t="shared" si="17"/>
        <v>105.099</v>
      </c>
      <c r="G1140" t="s">
        <v>16</v>
      </c>
      <c r="J1140" t="str">
        <f>"11/10/2015 23:45"</f>
        <v>11/10/2015 23:45</v>
      </c>
    </row>
    <row r="1141" spans="1:10" x14ac:dyDescent="0.3">
      <c r="A1141" t="s">
        <v>6</v>
      </c>
      <c r="B1141" t="str">
        <f>"11/11/2015 00:00"</f>
        <v>11/11/2015 00:00</v>
      </c>
      <c r="C1141">
        <v>35.6</v>
      </c>
      <c r="D1141" t="s">
        <v>7</v>
      </c>
      <c r="E1141" s="2" t="s">
        <v>12</v>
      </c>
      <c r="F1141">
        <f t="shared" si="17"/>
        <v>70.594800000000006</v>
      </c>
      <c r="G1141" t="s">
        <v>16</v>
      </c>
      <c r="J1141" t="str">
        <f>"11/11/2015 23:45"</f>
        <v>11/11/2015 23:45</v>
      </c>
    </row>
    <row r="1142" spans="1:10" x14ac:dyDescent="0.3">
      <c r="A1142" t="s">
        <v>6</v>
      </c>
      <c r="B1142" t="str">
        <f>"11/12/2015 00:00"</f>
        <v>11/12/2015 00:00</v>
      </c>
      <c r="C1142">
        <v>26</v>
      </c>
      <c r="D1142" t="s">
        <v>7</v>
      </c>
      <c r="E1142" s="2" t="s">
        <v>12</v>
      </c>
      <c r="F1142">
        <f t="shared" si="17"/>
        <v>51.558</v>
      </c>
      <c r="G1142" t="s">
        <v>16</v>
      </c>
      <c r="J1142" t="str">
        <f>"11/12/2015 23:45"</f>
        <v>11/12/2015 23:45</v>
      </c>
    </row>
    <row r="1143" spans="1:10" x14ac:dyDescent="0.3">
      <c r="A1143" t="s">
        <v>6</v>
      </c>
      <c r="B1143" t="str">
        <f>"11/13/2015 00:00"</f>
        <v>11/13/2015 00:00</v>
      </c>
      <c r="C1143">
        <v>26</v>
      </c>
      <c r="D1143" t="s">
        <v>7</v>
      </c>
      <c r="E1143" s="2" t="s">
        <v>12</v>
      </c>
      <c r="F1143">
        <f t="shared" si="17"/>
        <v>51.558</v>
      </c>
      <c r="G1143" t="s">
        <v>16</v>
      </c>
      <c r="J1143" t="str">
        <f>"11/13/2015 23:45"</f>
        <v>11/13/2015 23:45</v>
      </c>
    </row>
    <row r="1144" spans="1:10" x14ac:dyDescent="0.3">
      <c r="A1144" t="s">
        <v>6</v>
      </c>
      <c r="B1144" t="str">
        <f>"11/14/2015 00:00"</f>
        <v>11/14/2015 00:00</v>
      </c>
      <c r="C1144">
        <v>26</v>
      </c>
      <c r="D1144" t="s">
        <v>7</v>
      </c>
      <c r="E1144" s="2" t="s">
        <v>12</v>
      </c>
      <c r="F1144">
        <f t="shared" si="17"/>
        <v>51.558</v>
      </c>
      <c r="G1144" t="s">
        <v>16</v>
      </c>
      <c r="J1144" t="str">
        <f>"11/14/2015 23:45"</f>
        <v>11/14/2015 23:45</v>
      </c>
    </row>
    <row r="1145" spans="1:10" x14ac:dyDescent="0.3">
      <c r="A1145" t="s">
        <v>6</v>
      </c>
      <c r="B1145" t="str">
        <f>"11/15/2015 00:00"</f>
        <v>11/15/2015 00:00</v>
      </c>
      <c r="C1145">
        <v>10.199999999999999</v>
      </c>
      <c r="D1145" t="s">
        <v>7</v>
      </c>
      <c r="E1145" s="2" t="s">
        <v>12</v>
      </c>
      <c r="F1145">
        <f t="shared" si="17"/>
        <v>20.226600000000001</v>
      </c>
      <c r="G1145" t="s">
        <v>16</v>
      </c>
      <c r="J1145" t="str">
        <f>"11/15/2015 23:45"</f>
        <v>11/15/2015 23:45</v>
      </c>
    </row>
    <row r="1146" spans="1:10" x14ac:dyDescent="0.3">
      <c r="A1146" t="s">
        <v>6</v>
      </c>
      <c r="B1146" t="str">
        <f>"11/16/2015 00:00"</f>
        <v>11/16/2015 00:00</v>
      </c>
      <c r="C1146">
        <v>0.442</v>
      </c>
      <c r="D1146" t="s">
        <v>7</v>
      </c>
      <c r="E1146" s="2" t="s">
        <v>12</v>
      </c>
      <c r="F1146">
        <f t="shared" si="17"/>
        <v>0.8764860000000001</v>
      </c>
      <c r="G1146" t="s">
        <v>16</v>
      </c>
      <c r="J1146" t="str">
        <f>"11/16/2015 23:45"</f>
        <v>11/16/2015 23:45</v>
      </c>
    </row>
    <row r="1147" spans="1:10" x14ac:dyDescent="0.3">
      <c r="A1147" t="s">
        <v>6</v>
      </c>
      <c r="B1147" t="str">
        <f>"11/17/2015 00:00"</f>
        <v>11/17/2015 00:00</v>
      </c>
      <c r="C1147">
        <v>0.442</v>
      </c>
      <c r="D1147" t="s">
        <v>7</v>
      </c>
      <c r="E1147" s="2" t="s">
        <v>12</v>
      </c>
      <c r="F1147">
        <f t="shared" si="17"/>
        <v>0.8764860000000001</v>
      </c>
      <c r="G1147" t="s">
        <v>16</v>
      </c>
      <c r="J1147" t="str">
        <f>"11/17/2015 23:45"</f>
        <v>11/17/2015 23:45</v>
      </c>
    </row>
    <row r="1148" spans="1:10" x14ac:dyDescent="0.3">
      <c r="A1148" t="s">
        <v>6</v>
      </c>
      <c r="B1148" t="str">
        <f>"11/18/2015 00:00"</f>
        <v>11/18/2015 00:00</v>
      </c>
      <c r="C1148">
        <v>0.36099999999999999</v>
      </c>
      <c r="D1148" t="s">
        <v>7</v>
      </c>
      <c r="E1148" s="2" t="s">
        <v>12</v>
      </c>
      <c r="F1148">
        <f t="shared" si="17"/>
        <v>0.71586300000000003</v>
      </c>
      <c r="G1148" t="s">
        <v>16</v>
      </c>
      <c r="J1148" t="str">
        <f>"11/18/2015 23:45"</f>
        <v>11/18/2015 23:45</v>
      </c>
    </row>
    <row r="1149" spans="1:10" x14ac:dyDescent="0.3">
      <c r="A1149" t="s">
        <v>6</v>
      </c>
      <c r="B1149" t="str">
        <f>"11/19/2015 00:00"</f>
        <v>11/19/2015 00:00</v>
      </c>
      <c r="C1149">
        <v>0.27900000000000003</v>
      </c>
      <c r="D1149" t="s">
        <v>7</v>
      </c>
      <c r="E1149" s="2" t="s">
        <v>12</v>
      </c>
      <c r="F1149">
        <f t="shared" si="17"/>
        <v>0.55325700000000011</v>
      </c>
      <c r="G1149" t="s">
        <v>16</v>
      </c>
      <c r="J1149" t="str">
        <f>"11/19/2015 23:45"</f>
        <v>11/19/2015 23:45</v>
      </c>
    </row>
    <row r="1150" spans="1:10" x14ac:dyDescent="0.3">
      <c r="A1150" t="s">
        <v>6</v>
      </c>
      <c r="B1150" t="str">
        <f>"11/20/2015 00:00"</f>
        <v>11/20/2015 00:00</v>
      </c>
      <c r="C1150">
        <v>0.27900000000000003</v>
      </c>
      <c r="D1150" t="s">
        <v>7</v>
      </c>
      <c r="E1150" s="2" t="s">
        <v>12</v>
      </c>
      <c r="F1150">
        <f t="shared" si="17"/>
        <v>0.55325700000000011</v>
      </c>
      <c r="G1150" t="s">
        <v>16</v>
      </c>
      <c r="J1150" t="str">
        <f>"11/20/2015 23:45"</f>
        <v>11/20/2015 23:45</v>
      </c>
    </row>
    <row r="1151" spans="1:10" x14ac:dyDescent="0.3">
      <c r="A1151" t="s">
        <v>6</v>
      </c>
      <c r="B1151" t="str">
        <f>"11/21/2015 00:00"</f>
        <v>11/21/2015 00:00</v>
      </c>
      <c r="C1151">
        <v>0.27900000000000003</v>
      </c>
      <c r="D1151" t="s">
        <v>7</v>
      </c>
      <c r="E1151" s="2" t="s">
        <v>12</v>
      </c>
      <c r="F1151">
        <f t="shared" si="17"/>
        <v>0.55325700000000011</v>
      </c>
      <c r="G1151" t="s">
        <v>16</v>
      </c>
      <c r="J1151" t="str">
        <f>"11/21/2015 23:45"</f>
        <v>11/21/2015 23:45</v>
      </c>
    </row>
    <row r="1152" spans="1:10" x14ac:dyDescent="0.3">
      <c r="A1152" t="s">
        <v>6</v>
      </c>
      <c r="B1152" t="str">
        <f>"11/22/2015 00:00"</f>
        <v>11/22/2015 00:00</v>
      </c>
      <c r="C1152">
        <v>0.27900000000000003</v>
      </c>
      <c r="D1152" t="s">
        <v>7</v>
      </c>
      <c r="E1152" s="2" t="s">
        <v>12</v>
      </c>
      <c r="F1152">
        <f t="shared" si="17"/>
        <v>0.55325700000000011</v>
      </c>
      <c r="G1152" t="s">
        <v>16</v>
      </c>
      <c r="J1152" t="str">
        <f>"11/22/2015 23:45"</f>
        <v>11/22/2015 23:45</v>
      </c>
    </row>
    <row r="1153" spans="1:10" x14ac:dyDescent="0.3">
      <c r="A1153" t="s">
        <v>6</v>
      </c>
      <c r="B1153" t="str">
        <f>"11/23/2015 00:00"</f>
        <v>11/23/2015 00:00</v>
      </c>
      <c r="C1153">
        <v>0.27900000000000003</v>
      </c>
      <c r="D1153" t="s">
        <v>7</v>
      </c>
      <c r="E1153" s="2" t="s">
        <v>12</v>
      </c>
      <c r="F1153">
        <f t="shared" si="17"/>
        <v>0.55325700000000011</v>
      </c>
      <c r="G1153" t="s">
        <v>16</v>
      </c>
      <c r="J1153" t="str">
        <f>"11/23/2015 23:45"</f>
        <v>11/23/2015 23:45</v>
      </c>
    </row>
    <row r="1154" spans="1:10" x14ac:dyDescent="0.3">
      <c r="A1154" t="s">
        <v>6</v>
      </c>
      <c r="B1154" t="str">
        <f>"11/24/2015 00:00"</f>
        <v>11/24/2015 00:00</v>
      </c>
      <c r="C1154">
        <v>0.22600000000000001</v>
      </c>
      <c r="D1154" t="s">
        <v>7</v>
      </c>
      <c r="E1154" s="2" t="s">
        <v>12</v>
      </c>
      <c r="F1154">
        <f t="shared" si="17"/>
        <v>0.44815800000000006</v>
      </c>
      <c r="G1154" t="s">
        <v>16</v>
      </c>
      <c r="J1154" t="str">
        <f>"11/24/2015 23:45"</f>
        <v>11/24/2015 23:45</v>
      </c>
    </row>
    <row r="1155" spans="1:10" x14ac:dyDescent="0.3">
      <c r="A1155" t="s">
        <v>6</v>
      </c>
      <c r="B1155" t="str">
        <f>"11/25/2015 00:00"</f>
        <v>11/25/2015 00:00</v>
      </c>
      <c r="C1155">
        <v>0.14599999999999999</v>
      </c>
      <c r="D1155" t="s">
        <v>7</v>
      </c>
      <c r="E1155" s="2" t="s">
        <v>12</v>
      </c>
      <c r="F1155">
        <f t="shared" si="17"/>
        <v>0.289518</v>
      </c>
      <c r="G1155" t="s">
        <v>16</v>
      </c>
      <c r="J1155" t="str">
        <f>"11/25/2015 23:45"</f>
        <v>11/25/2015 23:45</v>
      </c>
    </row>
    <row r="1156" spans="1:10" x14ac:dyDescent="0.3">
      <c r="A1156" t="s">
        <v>6</v>
      </c>
      <c r="B1156" t="str">
        <f>"11/26/2015 00:00"</f>
        <v>11/26/2015 00:00</v>
      </c>
      <c r="C1156">
        <v>0.14599999999999999</v>
      </c>
      <c r="D1156" t="s">
        <v>7</v>
      </c>
      <c r="E1156" s="2" t="s">
        <v>12</v>
      </c>
      <c r="F1156">
        <f t="shared" si="17"/>
        <v>0.289518</v>
      </c>
      <c r="G1156" t="s">
        <v>16</v>
      </c>
      <c r="J1156" t="str">
        <f>"11/26/2015 23:45"</f>
        <v>11/26/2015 23:45</v>
      </c>
    </row>
    <row r="1157" spans="1:10" x14ac:dyDescent="0.3">
      <c r="A1157" t="s">
        <v>6</v>
      </c>
      <c r="B1157" t="str">
        <f>"11/27/2015 00:00"</f>
        <v>11/27/2015 00:00</v>
      </c>
      <c r="C1157">
        <v>0.14599999999999999</v>
      </c>
      <c r="D1157" t="s">
        <v>7</v>
      </c>
      <c r="E1157" s="2" t="s">
        <v>12</v>
      </c>
      <c r="F1157">
        <f t="shared" si="17"/>
        <v>0.289518</v>
      </c>
      <c r="G1157" t="s">
        <v>16</v>
      </c>
      <c r="J1157" t="str">
        <f>"11/27/2015 23:45"</f>
        <v>11/27/2015 23:45</v>
      </c>
    </row>
    <row r="1158" spans="1:10" x14ac:dyDescent="0.3">
      <c r="A1158" t="s">
        <v>6</v>
      </c>
      <c r="B1158" t="str">
        <f>"11/28/2015 00:00"</f>
        <v>11/28/2015 00:00</v>
      </c>
      <c r="C1158">
        <v>0.14599999999999999</v>
      </c>
      <c r="D1158" t="s">
        <v>7</v>
      </c>
      <c r="E1158" s="2" t="s">
        <v>12</v>
      </c>
      <c r="F1158">
        <f t="shared" ref="F1158:F1221" si="18">C1158*1.983</f>
        <v>0.289518</v>
      </c>
      <c r="G1158" t="s">
        <v>16</v>
      </c>
      <c r="J1158" t="str">
        <f>"11/28/2015 23:45"</f>
        <v>11/28/2015 23:45</v>
      </c>
    </row>
    <row r="1159" spans="1:10" x14ac:dyDescent="0.3">
      <c r="A1159" t="s">
        <v>6</v>
      </c>
      <c r="B1159" t="str">
        <f>"11/29/2015 00:00"</f>
        <v>11/29/2015 00:00</v>
      </c>
      <c r="C1159">
        <v>0.14599999999999999</v>
      </c>
      <c r="D1159" t="s">
        <v>7</v>
      </c>
      <c r="E1159" s="2" t="s">
        <v>12</v>
      </c>
      <c r="F1159">
        <f t="shared" si="18"/>
        <v>0.289518</v>
      </c>
      <c r="G1159" t="s">
        <v>16</v>
      </c>
      <c r="J1159" t="str">
        <f>"11/29/2015 23:45"</f>
        <v>11/29/2015 23:45</v>
      </c>
    </row>
    <row r="1160" spans="1:10" x14ac:dyDescent="0.3">
      <c r="A1160" t="s">
        <v>6</v>
      </c>
      <c r="B1160" t="str">
        <f>"11/30/2015 00:00"</f>
        <v>11/30/2015 00:00</v>
      </c>
      <c r="C1160">
        <v>0.14599999999999999</v>
      </c>
      <c r="D1160" t="s">
        <v>7</v>
      </c>
      <c r="E1160" s="2" t="s">
        <v>12</v>
      </c>
      <c r="F1160">
        <f t="shared" si="18"/>
        <v>0.289518</v>
      </c>
      <c r="G1160" t="s">
        <v>16</v>
      </c>
      <c r="J1160" t="str">
        <f>"11/30/2015 23:45"</f>
        <v>11/30/2015 23:45</v>
      </c>
    </row>
    <row r="1161" spans="1:10" x14ac:dyDescent="0.3">
      <c r="A1161" t="s">
        <v>6</v>
      </c>
      <c r="B1161" t="str">
        <f>"12/01/2015 00:00"</f>
        <v>12/01/2015 00:00</v>
      </c>
      <c r="C1161">
        <v>0.14599999999999999</v>
      </c>
      <c r="D1161" t="s">
        <v>7</v>
      </c>
      <c r="E1161" s="2" t="s">
        <v>12</v>
      </c>
      <c r="F1161">
        <f t="shared" si="18"/>
        <v>0.289518</v>
      </c>
      <c r="G1161" t="s">
        <v>16</v>
      </c>
      <c r="J1161" t="str">
        <f>"12/01/2015 23:45"</f>
        <v>12/01/2015 23:45</v>
      </c>
    </row>
    <row r="1162" spans="1:10" x14ac:dyDescent="0.3">
      <c r="A1162" t="s">
        <v>6</v>
      </c>
      <c r="B1162" t="str">
        <f>"12/02/2015 00:00"</f>
        <v>12/02/2015 00:00</v>
      </c>
      <c r="C1162">
        <v>0.14599999999999999</v>
      </c>
      <c r="D1162" t="s">
        <v>7</v>
      </c>
      <c r="E1162" s="2" t="s">
        <v>12</v>
      </c>
      <c r="F1162">
        <f t="shared" si="18"/>
        <v>0.289518</v>
      </c>
      <c r="G1162" t="s">
        <v>16</v>
      </c>
      <c r="J1162" t="str">
        <f>"12/02/2015 23:45"</f>
        <v>12/02/2015 23:45</v>
      </c>
    </row>
    <row r="1163" spans="1:10" x14ac:dyDescent="0.3">
      <c r="A1163" t="s">
        <v>6</v>
      </c>
      <c r="B1163" t="str">
        <f>"12/03/2015 00:00"</f>
        <v>12/03/2015 00:00</v>
      </c>
      <c r="C1163">
        <v>0.14599999999999999</v>
      </c>
      <c r="D1163" t="s">
        <v>7</v>
      </c>
      <c r="E1163" s="2" t="s">
        <v>12</v>
      </c>
      <c r="F1163">
        <f t="shared" si="18"/>
        <v>0.289518</v>
      </c>
      <c r="G1163" t="s">
        <v>16</v>
      </c>
      <c r="J1163" t="str">
        <f>"12/03/2015 23:45"</f>
        <v>12/03/2015 23:45</v>
      </c>
    </row>
    <row r="1164" spans="1:10" x14ac:dyDescent="0.3">
      <c r="A1164" t="s">
        <v>6</v>
      </c>
      <c r="B1164" t="str">
        <f>"12/04/2015 00:00"</f>
        <v>12/04/2015 00:00</v>
      </c>
      <c r="C1164">
        <v>0.14599999999999999</v>
      </c>
      <c r="D1164" t="s">
        <v>7</v>
      </c>
      <c r="E1164" s="2" t="s">
        <v>12</v>
      </c>
      <c r="F1164">
        <f t="shared" si="18"/>
        <v>0.289518</v>
      </c>
      <c r="G1164" t="s">
        <v>16</v>
      </c>
      <c r="J1164" t="str">
        <f>"12/04/2015 23:45"</f>
        <v>12/04/2015 23:45</v>
      </c>
    </row>
    <row r="1165" spans="1:10" x14ac:dyDescent="0.3">
      <c r="A1165" t="s">
        <v>6</v>
      </c>
      <c r="B1165" t="str">
        <f>"12/05/2015 00:00"</f>
        <v>12/05/2015 00:00</v>
      </c>
      <c r="C1165">
        <v>0.14599999999999999</v>
      </c>
      <c r="D1165" t="s">
        <v>7</v>
      </c>
      <c r="E1165" s="2" t="s">
        <v>12</v>
      </c>
      <c r="F1165">
        <f t="shared" si="18"/>
        <v>0.289518</v>
      </c>
      <c r="G1165" t="s">
        <v>16</v>
      </c>
      <c r="J1165" t="str">
        <f>"12/05/2015 23:45"</f>
        <v>12/05/2015 23:45</v>
      </c>
    </row>
    <row r="1166" spans="1:10" x14ac:dyDescent="0.3">
      <c r="A1166" t="s">
        <v>6</v>
      </c>
      <c r="B1166" t="str">
        <f>"12/06/2015 00:00"</f>
        <v>12/06/2015 00:00</v>
      </c>
      <c r="C1166">
        <v>0.14599999999999999</v>
      </c>
      <c r="D1166" t="s">
        <v>7</v>
      </c>
      <c r="E1166" s="2" t="s">
        <v>12</v>
      </c>
      <c r="F1166">
        <f t="shared" si="18"/>
        <v>0.289518</v>
      </c>
      <c r="G1166" t="s">
        <v>16</v>
      </c>
      <c r="J1166" t="str">
        <f>"12/06/2015 23:45"</f>
        <v>12/06/2015 23:45</v>
      </c>
    </row>
    <row r="1167" spans="1:10" x14ac:dyDescent="0.3">
      <c r="A1167" t="s">
        <v>6</v>
      </c>
      <c r="B1167" t="str">
        <f>"12/07/2015 00:00"</f>
        <v>12/07/2015 00:00</v>
      </c>
      <c r="C1167">
        <v>0.14599999999999999</v>
      </c>
      <c r="D1167" t="s">
        <v>7</v>
      </c>
      <c r="E1167" s="2" t="s">
        <v>12</v>
      </c>
      <c r="F1167">
        <f t="shared" si="18"/>
        <v>0.289518</v>
      </c>
      <c r="G1167" t="s">
        <v>16</v>
      </c>
      <c r="J1167" t="str">
        <f>"12/07/2015 23:45"</f>
        <v>12/07/2015 23:45</v>
      </c>
    </row>
    <row r="1168" spans="1:10" x14ac:dyDescent="0.3">
      <c r="A1168" t="s">
        <v>6</v>
      </c>
      <c r="B1168" t="str">
        <f>"12/08/2015 00:00"</f>
        <v>12/08/2015 00:00</v>
      </c>
      <c r="C1168">
        <v>0.14599999999999999</v>
      </c>
      <c r="D1168" t="s">
        <v>7</v>
      </c>
      <c r="E1168" s="2" t="s">
        <v>12</v>
      </c>
      <c r="F1168">
        <f t="shared" si="18"/>
        <v>0.289518</v>
      </c>
      <c r="G1168" t="s">
        <v>16</v>
      </c>
      <c r="J1168" t="str">
        <f>"12/08/2015 23:45"</f>
        <v>12/08/2015 23:45</v>
      </c>
    </row>
    <row r="1169" spans="1:10" x14ac:dyDescent="0.3">
      <c r="A1169" t="s">
        <v>6</v>
      </c>
      <c r="B1169" t="str">
        <f>"12/09/2015 00:00"</f>
        <v>12/09/2015 00:00</v>
      </c>
      <c r="C1169">
        <v>0.14599999999999999</v>
      </c>
      <c r="D1169" t="s">
        <v>7</v>
      </c>
      <c r="E1169" s="2" t="s">
        <v>12</v>
      </c>
      <c r="F1169">
        <f t="shared" si="18"/>
        <v>0.289518</v>
      </c>
      <c r="G1169" t="s">
        <v>16</v>
      </c>
      <c r="J1169" t="str">
        <f>"12/09/2015 23:45"</f>
        <v>12/09/2015 23:45</v>
      </c>
    </row>
    <row r="1170" spans="1:10" x14ac:dyDescent="0.3">
      <c r="A1170" t="s">
        <v>6</v>
      </c>
      <c r="B1170" t="str">
        <f>"12/10/2015 00:00"</f>
        <v>12/10/2015 00:00</v>
      </c>
      <c r="C1170">
        <v>0.14599999999999999</v>
      </c>
      <c r="D1170" t="s">
        <v>7</v>
      </c>
      <c r="E1170" s="2" t="s">
        <v>12</v>
      </c>
      <c r="F1170">
        <f t="shared" si="18"/>
        <v>0.289518</v>
      </c>
      <c r="G1170" t="s">
        <v>16</v>
      </c>
      <c r="J1170" t="str">
        <f>"12/10/2015 23:45"</f>
        <v>12/10/2015 23:45</v>
      </c>
    </row>
    <row r="1171" spans="1:10" x14ac:dyDescent="0.3">
      <c r="A1171" t="s">
        <v>6</v>
      </c>
      <c r="B1171" t="str">
        <f>"12/11/2015 00:00"</f>
        <v>12/11/2015 00:00</v>
      </c>
      <c r="C1171">
        <v>0.14599999999999999</v>
      </c>
      <c r="D1171" t="s">
        <v>7</v>
      </c>
      <c r="E1171" s="2" t="s">
        <v>12</v>
      </c>
      <c r="F1171">
        <f t="shared" si="18"/>
        <v>0.289518</v>
      </c>
      <c r="G1171" t="s">
        <v>16</v>
      </c>
      <c r="J1171" t="str">
        <f>"12/11/2015 23:45"</f>
        <v>12/11/2015 23:45</v>
      </c>
    </row>
    <row r="1172" spans="1:10" x14ac:dyDescent="0.3">
      <c r="A1172" t="s">
        <v>6</v>
      </c>
      <c r="B1172" t="str">
        <f>"12/12/2015 00:00"</f>
        <v>12/12/2015 00:00</v>
      </c>
      <c r="C1172">
        <v>0.14599999999999999</v>
      </c>
      <c r="D1172" t="s">
        <v>7</v>
      </c>
      <c r="E1172" s="2" t="s">
        <v>12</v>
      </c>
      <c r="F1172">
        <f t="shared" si="18"/>
        <v>0.289518</v>
      </c>
      <c r="G1172" t="s">
        <v>16</v>
      </c>
      <c r="J1172" t="str">
        <f>"12/12/2015 23:45"</f>
        <v>12/12/2015 23:45</v>
      </c>
    </row>
    <row r="1173" spans="1:10" x14ac:dyDescent="0.3">
      <c r="A1173" t="s">
        <v>6</v>
      </c>
      <c r="B1173" t="str">
        <f>"12/13/2015 00:00"</f>
        <v>12/13/2015 00:00</v>
      </c>
      <c r="C1173">
        <v>0.17599999999999999</v>
      </c>
      <c r="D1173" t="s">
        <v>7</v>
      </c>
      <c r="E1173" s="2" t="s">
        <v>12</v>
      </c>
      <c r="F1173">
        <f t="shared" si="18"/>
        <v>0.34900799999999998</v>
      </c>
      <c r="G1173" t="s">
        <v>16</v>
      </c>
      <c r="J1173" t="str">
        <f>"12/13/2015 23:45"</f>
        <v>12/13/2015 23:45</v>
      </c>
    </row>
    <row r="1174" spans="1:10" x14ac:dyDescent="0.3">
      <c r="A1174" t="s">
        <v>6</v>
      </c>
      <c r="B1174" t="str">
        <f>"12/14/2015 00:00"</f>
        <v>12/14/2015 00:00</v>
      </c>
      <c r="C1174">
        <v>0.30099999999999999</v>
      </c>
      <c r="D1174" t="s">
        <v>7</v>
      </c>
      <c r="E1174" s="2" t="s">
        <v>12</v>
      </c>
      <c r="F1174">
        <f t="shared" si="18"/>
        <v>0.59688300000000005</v>
      </c>
      <c r="G1174" t="s">
        <v>16</v>
      </c>
      <c r="J1174" t="str">
        <f>"12/14/2015 23:45"</f>
        <v>12/14/2015 23:45</v>
      </c>
    </row>
    <row r="1175" spans="1:10" x14ac:dyDescent="0.3">
      <c r="A1175" t="s">
        <v>6</v>
      </c>
      <c r="B1175" t="str">
        <f>"12/15/2015 00:00"</f>
        <v>12/15/2015 00:00</v>
      </c>
      <c r="C1175">
        <v>0.442</v>
      </c>
      <c r="D1175" t="s">
        <v>7</v>
      </c>
      <c r="E1175" s="2" t="s">
        <v>12</v>
      </c>
      <c r="F1175">
        <f t="shared" si="18"/>
        <v>0.8764860000000001</v>
      </c>
      <c r="G1175" t="s">
        <v>16</v>
      </c>
      <c r="J1175" t="str">
        <f>"12/15/2015 23:45"</f>
        <v>12/15/2015 23:45</v>
      </c>
    </row>
    <row r="1176" spans="1:10" x14ac:dyDescent="0.3">
      <c r="A1176" t="s">
        <v>6</v>
      </c>
      <c r="B1176" t="str">
        <f>"12/16/2015 00:00"</f>
        <v>12/16/2015 00:00</v>
      </c>
      <c r="C1176">
        <v>0.442</v>
      </c>
      <c r="D1176" t="s">
        <v>7</v>
      </c>
      <c r="E1176" s="2" t="s">
        <v>12</v>
      </c>
      <c r="F1176">
        <f t="shared" si="18"/>
        <v>0.8764860000000001</v>
      </c>
      <c r="G1176" t="s">
        <v>16</v>
      </c>
      <c r="J1176" t="str">
        <f>"12/16/2015 23:45"</f>
        <v>12/16/2015 23:45</v>
      </c>
    </row>
    <row r="1177" spans="1:10" x14ac:dyDescent="0.3">
      <c r="A1177" t="s">
        <v>6</v>
      </c>
      <c r="B1177" t="str">
        <f>"12/17/2015 00:00"</f>
        <v>12/17/2015 00:00</v>
      </c>
      <c r="C1177">
        <v>0.442</v>
      </c>
      <c r="D1177" t="s">
        <v>7</v>
      </c>
      <c r="E1177" s="2" t="s">
        <v>12</v>
      </c>
      <c r="F1177">
        <f t="shared" si="18"/>
        <v>0.8764860000000001</v>
      </c>
      <c r="G1177" t="s">
        <v>16</v>
      </c>
      <c r="J1177" t="str">
        <f>"12/17/2015 23:45"</f>
        <v>12/17/2015 23:45</v>
      </c>
    </row>
    <row r="1178" spans="1:10" x14ac:dyDescent="0.3">
      <c r="A1178" t="s">
        <v>6</v>
      </c>
      <c r="B1178" t="str">
        <f>"12/18/2015 00:00"</f>
        <v>12/18/2015 00:00</v>
      </c>
      <c r="C1178">
        <v>0.442</v>
      </c>
      <c r="D1178" t="s">
        <v>7</v>
      </c>
      <c r="E1178" s="2" t="s">
        <v>12</v>
      </c>
      <c r="F1178">
        <f t="shared" si="18"/>
        <v>0.8764860000000001</v>
      </c>
      <c r="G1178" t="s">
        <v>16</v>
      </c>
      <c r="J1178" t="str">
        <f>"12/18/2015 23:45"</f>
        <v>12/18/2015 23:45</v>
      </c>
    </row>
    <row r="1179" spans="1:10" x14ac:dyDescent="0.3">
      <c r="A1179" t="s">
        <v>6</v>
      </c>
      <c r="B1179" t="str">
        <f>"12/19/2015 00:00"</f>
        <v>12/19/2015 00:00</v>
      </c>
      <c r="C1179">
        <v>0.442</v>
      </c>
      <c r="D1179" t="s">
        <v>7</v>
      </c>
      <c r="E1179" s="2" t="s">
        <v>12</v>
      </c>
      <c r="F1179">
        <f t="shared" si="18"/>
        <v>0.8764860000000001</v>
      </c>
      <c r="G1179" t="s">
        <v>16</v>
      </c>
      <c r="J1179" t="str">
        <f>"12/19/2015 23:45"</f>
        <v>12/19/2015 23:45</v>
      </c>
    </row>
    <row r="1180" spans="1:10" x14ac:dyDescent="0.3">
      <c r="A1180" t="s">
        <v>6</v>
      </c>
      <c r="B1180" t="str">
        <f>"12/20/2015 00:00"</f>
        <v>12/20/2015 00:00</v>
      </c>
      <c r="C1180">
        <v>0.442</v>
      </c>
      <c r="D1180" t="s">
        <v>7</v>
      </c>
      <c r="E1180" s="2" t="s">
        <v>12</v>
      </c>
      <c r="F1180">
        <f t="shared" si="18"/>
        <v>0.8764860000000001</v>
      </c>
      <c r="G1180" t="s">
        <v>16</v>
      </c>
      <c r="J1180" t="str">
        <f>"12/20/2015 23:45"</f>
        <v>12/20/2015 23:45</v>
      </c>
    </row>
    <row r="1181" spans="1:10" x14ac:dyDescent="0.3">
      <c r="A1181" t="s">
        <v>6</v>
      </c>
      <c r="B1181" t="str">
        <f>"12/21/2015 00:00"</f>
        <v>12/21/2015 00:00</v>
      </c>
      <c r="C1181">
        <v>0.442</v>
      </c>
      <c r="D1181" t="s">
        <v>7</v>
      </c>
      <c r="E1181" s="2" t="s">
        <v>12</v>
      </c>
      <c r="F1181">
        <f t="shared" si="18"/>
        <v>0.8764860000000001</v>
      </c>
      <c r="G1181" t="s">
        <v>16</v>
      </c>
      <c r="J1181" t="str">
        <f>"12/21/2015 23:45"</f>
        <v>12/21/2015 23:45</v>
      </c>
    </row>
    <row r="1182" spans="1:10" x14ac:dyDescent="0.3">
      <c r="A1182" t="s">
        <v>6</v>
      </c>
      <c r="B1182" t="str">
        <f>"12/22/2015 00:00"</f>
        <v>12/22/2015 00:00</v>
      </c>
      <c r="C1182">
        <v>0.435</v>
      </c>
      <c r="D1182" t="s">
        <v>7</v>
      </c>
      <c r="E1182" s="2" t="s">
        <v>12</v>
      </c>
      <c r="F1182">
        <f t="shared" si="18"/>
        <v>0.86260500000000007</v>
      </c>
      <c r="G1182" t="s">
        <v>16</v>
      </c>
      <c r="J1182" t="str">
        <f>"12/22/2015 23:45"</f>
        <v>12/22/2015 23:45</v>
      </c>
    </row>
    <row r="1183" spans="1:10" x14ac:dyDescent="0.3">
      <c r="A1183" t="s">
        <v>6</v>
      </c>
      <c r="B1183" t="str">
        <f>"12/23/2015 00:00"</f>
        <v>12/23/2015 00:00</v>
      </c>
      <c r="C1183">
        <v>0.27900000000000003</v>
      </c>
      <c r="D1183" t="s">
        <v>7</v>
      </c>
      <c r="E1183" s="2" t="s">
        <v>12</v>
      </c>
      <c r="F1183">
        <f t="shared" si="18"/>
        <v>0.55325700000000011</v>
      </c>
      <c r="G1183" t="s">
        <v>16</v>
      </c>
      <c r="J1183" t="str">
        <f>"12/23/2015 23:45"</f>
        <v>12/23/2015 23:45</v>
      </c>
    </row>
    <row r="1184" spans="1:10" x14ac:dyDescent="0.3">
      <c r="A1184" t="s">
        <v>6</v>
      </c>
      <c r="B1184" t="str">
        <f>"12/24/2015 00:00"</f>
        <v>12/24/2015 00:00</v>
      </c>
      <c r="C1184">
        <v>0.27900000000000003</v>
      </c>
      <c r="D1184" t="s">
        <v>7</v>
      </c>
      <c r="E1184" s="2" t="s">
        <v>12</v>
      </c>
      <c r="F1184">
        <f t="shared" si="18"/>
        <v>0.55325700000000011</v>
      </c>
      <c r="G1184" t="s">
        <v>16</v>
      </c>
      <c r="J1184" t="str">
        <f>"12/24/2015 23:45"</f>
        <v>12/24/2015 23:45</v>
      </c>
    </row>
    <row r="1185" spans="1:10" x14ac:dyDescent="0.3">
      <c r="A1185" t="s">
        <v>6</v>
      </c>
      <c r="B1185" t="str">
        <f>"12/25/2015 00:00"</f>
        <v>12/25/2015 00:00</v>
      </c>
      <c r="C1185">
        <v>0.27900000000000003</v>
      </c>
      <c r="D1185" t="s">
        <v>7</v>
      </c>
      <c r="E1185" s="2" t="s">
        <v>12</v>
      </c>
      <c r="F1185">
        <f t="shared" si="18"/>
        <v>0.55325700000000011</v>
      </c>
      <c r="G1185" t="s">
        <v>16</v>
      </c>
      <c r="J1185" t="str">
        <f>"12/25/2015 23:45"</f>
        <v>12/25/2015 23:45</v>
      </c>
    </row>
    <row r="1186" spans="1:10" x14ac:dyDescent="0.3">
      <c r="A1186" t="s">
        <v>6</v>
      </c>
      <c r="B1186" t="str">
        <f>"12/26/2015 00:00"</f>
        <v>12/26/2015 00:00</v>
      </c>
      <c r="C1186">
        <v>0.27900000000000003</v>
      </c>
      <c r="D1186" t="s">
        <v>7</v>
      </c>
      <c r="E1186" s="2" t="s">
        <v>12</v>
      </c>
      <c r="F1186">
        <f t="shared" si="18"/>
        <v>0.55325700000000011</v>
      </c>
      <c r="G1186" t="s">
        <v>16</v>
      </c>
      <c r="J1186" t="str">
        <f>"12/26/2015 23:45"</f>
        <v>12/26/2015 23:45</v>
      </c>
    </row>
    <row r="1187" spans="1:10" x14ac:dyDescent="0.3">
      <c r="A1187" t="s">
        <v>6</v>
      </c>
      <c r="B1187" t="str">
        <f>"12/27/2015 00:00"</f>
        <v>12/27/2015 00:00</v>
      </c>
      <c r="C1187">
        <v>0.27900000000000003</v>
      </c>
      <c r="D1187" t="s">
        <v>7</v>
      </c>
      <c r="E1187" s="2" t="s">
        <v>12</v>
      </c>
      <c r="F1187">
        <f t="shared" si="18"/>
        <v>0.55325700000000011</v>
      </c>
      <c r="G1187" t="s">
        <v>16</v>
      </c>
      <c r="J1187" t="str">
        <f>"12/27/2015 23:45"</f>
        <v>12/27/2015 23:45</v>
      </c>
    </row>
    <row r="1188" spans="1:10" x14ac:dyDescent="0.3">
      <c r="A1188" t="s">
        <v>6</v>
      </c>
      <c r="B1188" t="str">
        <f>"12/28/2015 00:00"</f>
        <v>12/28/2015 00:00</v>
      </c>
      <c r="C1188">
        <v>0.27900000000000003</v>
      </c>
      <c r="D1188" t="s">
        <v>7</v>
      </c>
      <c r="E1188" s="2" t="s">
        <v>12</v>
      </c>
      <c r="F1188">
        <f t="shared" si="18"/>
        <v>0.55325700000000011</v>
      </c>
      <c r="G1188" t="s">
        <v>16</v>
      </c>
      <c r="J1188" t="str">
        <f>"12/28/2015 23:45"</f>
        <v>12/28/2015 23:45</v>
      </c>
    </row>
    <row r="1189" spans="1:10" x14ac:dyDescent="0.3">
      <c r="A1189" t="s">
        <v>6</v>
      </c>
      <c r="B1189" t="str">
        <f>"12/29/2015 00:00"</f>
        <v>12/29/2015 00:00</v>
      </c>
      <c r="C1189">
        <v>0.27900000000000003</v>
      </c>
      <c r="D1189" t="s">
        <v>7</v>
      </c>
      <c r="E1189" s="2" t="s">
        <v>12</v>
      </c>
      <c r="F1189">
        <f t="shared" si="18"/>
        <v>0.55325700000000011</v>
      </c>
      <c r="G1189" t="s">
        <v>16</v>
      </c>
      <c r="J1189" t="str">
        <f>"12/29/2015 23:45"</f>
        <v>12/29/2015 23:45</v>
      </c>
    </row>
    <row r="1190" spans="1:10" x14ac:dyDescent="0.3">
      <c r="A1190" t="s">
        <v>6</v>
      </c>
      <c r="B1190" t="str">
        <f>"12/30/2015 00:00"</f>
        <v>12/30/2015 00:00</v>
      </c>
      <c r="C1190">
        <v>0.27900000000000003</v>
      </c>
      <c r="D1190" t="s">
        <v>7</v>
      </c>
      <c r="E1190" s="2" t="s">
        <v>12</v>
      </c>
      <c r="F1190">
        <f t="shared" si="18"/>
        <v>0.55325700000000011</v>
      </c>
      <c r="G1190" t="s">
        <v>16</v>
      </c>
      <c r="J1190" t="str">
        <f>"12/30/2015 23:45"</f>
        <v>12/30/2015 23:45</v>
      </c>
    </row>
    <row r="1191" spans="1:10" x14ac:dyDescent="0.3">
      <c r="A1191" t="s">
        <v>6</v>
      </c>
      <c r="B1191" t="str">
        <f>"12/31/2015 00:00"</f>
        <v>12/31/2015 00:00</v>
      </c>
      <c r="C1191">
        <v>0.27900000000000003</v>
      </c>
      <c r="D1191" t="s">
        <v>7</v>
      </c>
      <c r="E1191" s="2" t="s">
        <v>12</v>
      </c>
      <c r="F1191">
        <f t="shared" si="18"/>
        <v>0.55325700000000011</v>
      </c>
      <c r="G1191" t="s">
        <v>16</v>
      </c>
      <c r="J1191" t="str">
        <f>"12/31/2015 23:45"</f>
        <v>12/31/2015 23:45</v>
      </c>
    </row>
    <row r="1192" spans="1:10" x14ac:dyDescent="0.3">
      <c r="A1192" t="s">
        <v>6</v>
      </c>
      <c r="B1192" t="str">
        <f>"01/01/2016 00:00"</f>
        <v>01/01/2016 00:00</v>
      </c>
      <c r="C1192">
        <v>0.217</v>
      </c>
      <c r="D1192" t="s">
        <v>7</v>
      </c>
      <c r="E1192" s="2" t="s">
        <v>12</v>
      </c>
      <c r="F1192">
        <f t="shared" si="18"/>
        <v>0.430311</v>
      </c>
      <c r="G1192" t="s">
        <v>16</v>
      </c>
      <c r="J1192" t="str">
        <f>"01/01/2016 23:45"</f>
        <v>01/01/2016 23:45</v>
      </c>
    </row>
    <row r="1193" spans="1:10" x14ac:dyDescent="0.3">
      <c r="A1193" t="s">
        <v>6</v>
      </c>
      <c r="B1193" t="str">
        <f>"01/02/2016 00:00"</f>
        <v>01/02/2016 00:00</v>
      </c>
      <c r="C1193">
        <v>0.14599999999999999</v>
      </c>
      <c r="D1193" t="s">
        <v>7</v>
      </c>
      <c r="E1193" s="2" t="s">
        <v>12</v>
      </c>
      <c r="F1193">
        <f t="shared" si="18"/>
        <v>0.289518</v>
      </c>
      <c r="G1193" t="s">
        <v>16</v>
      </c>
      <c r="J1193" t="str">
        <f>"01/02/2016 23:45"</f>
        <v>01/02/2016 23:45</v>
      </c>
    </row>
    <row r="1194" spans="1:10" x14ac:dyDescent="0.3">
      <c r="A1194" t="s">
        <v>6</v>
      </c>
      <c r="B1194" t="str">
        <f>"01/03/2016 00:00"</f>
        <v>01/03/2016 00:00</v>
      </c>
      <c r="C1194">
        <v>0.24399999999999999</v>
      </c>
      <c r="D1194" t="s">
        <v>7</v>
      </c>
      <c r="E1194" s="2" t="s">
        <v>12</v>
      </c>
      <c r="F1194">
        <f t="shared" si="18"/>
        <v>0.483852</v>
      </c>
      <c r="G1194" t="s">
        <v>16</v>
      </c>
      <c r="J1194" t="str">
        <f>"01/03/2016 23:45"</f>
        <v>01/03/2016 23:45</v>
      </c>
    </row>
    <row r="1195" spans="1:10" x14ac:dyDescent="0.3">
      <c r="A1195" t="s">
        <v>6</v>
      </c>
      <c r="B1195" t="str">
        <f>"01/04/2016 00:00"</f>
        <v>01/04/2016 00:00</v>
      </c>
      <c r="C1195">
        <v>0.14599999999999999</v>
      </c>
      <c r="D1195" t="s">
        <v>7</v>
      </c>
      <c r="E1195" s="2" t="s">
        <v>12</v>
      </c>
      <c r="F1195">
        <f t="shared" si="18"/>
        <v>0.289518</v>
      </c>
      <c r="G1195" t="s">
        <v>16</v>
      </c>
      <c r="J1195" t="str">
        <f>"01/04/2016 23:45"</f>
        <v>01/04/2016 23:45</v>
      </c>
    </row>
    <row r="1196" spans="1:10" x14ac:dyDescent="0.3">
      <c r="A1196" t="s">
        <v>6</v>
      </c>
      <c r="B1196" t="str">
        <f>"01/05/2016 00:00"</f>
        <v>01/05/2016 00:00</v>
      </c>
      <c r="C1196">
        <v>0.14599999999999999</v>
      </c>
      <c r="D1196" t="s">
        <v>7</v>
      </c>
      <c r="E1196" s="2" t="s">
        <v>12</v>
      </c>
      <c r="F1196">
        <f t="shared" si="18"/>
        <v>0.289518</v>
      </c>
      <c r="G1196" t="s">
        <v>16</v>
      </c>
      <c r="J1196" t="str">
        <f>"01/05/2016 23:45"</f>
        <v>01/05/2016 23:45</v>
      </c>
    </row>
    <row r="1197" spans="1:10" x14ac:dyDescent="0.3">
      <c r="A1197" t="s">
        <v>6</v>
      </c>
      <c r="B1197" t="str">
        <f>"01/06/2016 00:00"</f>
        <v>01/06/2016 00:00</v>
      </c>
      <c r="C1197">
        <v>6.8400000000000002E-2</v>
      </c>
      <c r="D1197" t="s">
        <v>7</v>
      </c>
      <c r="E1197" s="2" t="s">
        <v>12</v>
      </c>
      <c r="F1197">
        <f t="shared" si="18"/>
        <v>0.13563720000000001</v>
      </c>
      <c r="G1197" t="s">
        <v>16</v>
      </c>
      <c r="J1197" t="str">
        <f>"01/06/2016 23:45"</f>
        <v>01/06/2016 23:45</v>
      </c>
    </row>
    <row r="1198" spans="1:10" x14ac:dyDescent="0.3">
      <c r="A1198" t="s">
        <v>6</v>
      </c>
      <c r="B1198" t="str">
        <f>"01/07/2016 00:00"</f>
        <v>01/07/2016 00:00</v>
      </c>
      <c r="C1198">
        <v>4.8000000000000001E-2</v>
      </c>
      <c r="D1198" t="s">
        <v>7</v>
      </c>
      <c r="E1198" s="2" t="s">
        <v>12</v>
      </c>
      <c r="F1198">
        <f t="shared" si="18"/>
        <v>9.5184000000000005E-2</v>
      </c>
      <c r="G1198" t="s">
        <v>16</v>
      </c>
      <c r="J1198" t="str">
        <f>"01/07/2016 23:45"</f>
        <v>01/07/2016 23:45</v>
      </c>
    </row>
    <row r="1199" spans="1:10" x14ac:dyDescent="0.3">
      <c r="A1199" t="s">
        <v>6</v>
      </c>
      <c r="B1199" t="str">
        <f>"01/08/2016 00:00"</f>
        <v>01/08/2016 00:00</v>
      </c>
      <c r="C1199">
        <v>4.8000000000000001E-2</v>
      </c>
      <c r="D1199" t="s">
        <v>7</v>
      </c>
      <c r="E1199" s="2" t="s">
        <v>12</v>
      </c>
      <c r="F1199">
        <f t="shared" si="18"/>
        <v>9.5184000000000005E-2</v>
      </c>
      <c r="G1199" t="s">
        <v>16</v>
      </c>
      <c r="J1199" t="str">
        <f>"01/08/2016 23:45"</f>
        <v>01/08/2016 23:45</v>
      </c>
    </row>
    <row r="1200" spans="1:10" x14ac:dyDescent="0.3">
      <c r="A1200" t="s">
        <v>6</v>
      </c>
      <c r="B1200" t="str">
        <f>"01/09/2016 00:00"</f>
        <v>01/09/2016 00:00</v>
      </c>
      <c r="C1200">
        <v>3.0000000000000001E-3</v>
      </c>
      <c r="D1200" t="s">
        <v>7</v>
      </c>
      <c r="E1200" s="2" t="s">
        <v>12</v>
      </c>
      <c r="F1200">
        <f t="shared" si="18"/>
        <v>5.9490000000000003E-3</v>
      </c>
      <c r="G1200" t="s">
        <v>16</v>
      </c>
      <c r="J1200" t="str">
        <f>"01/09/2016 23:45"</f>
        <v>01/09/2016 23:45</v>
      </c>
    </row>
    <row r="1201" spans="1:10" x14ac:dyDescent="0.3">
      <c r="A1201" t="s">
        <v>6</v>
      </c>
      <c r="B1201" t="str">
        <f>"01/10/2016 00:00"</f>
        <v>01/10/2016 00:00</v>
      </c>
      <c r="C1201">
        <v>0</v>
      </c>
      <c r="D1201" t="s">
        <v>7</v>
      </c>
      <c r="E1201" s="2" t="s">
        <v>12</v>
      </c>
      <c r="F1201">
        <f t="shared" si="18"/>
        <v>0</v>
      </c>
      <c r="G1201" t="s">
        <v>16</v>
      </c>
      <c r="J1201" t="str">
        <f>"01/10/2016 23:45"</f>
        <v>01/10/2016 23:45</v>
      </c>
    </row>
    <row r="1202" spans="1:10" x14ac:dyDescent="0.3">
      <c r="A1202" t="s">
        <v>6</v>
      </c>
      <c r="B1202" t="str">
        <f>"01/11/2016 00:00"</f>
        <v>01/11/2016 00:00</v>
      </c>
      <c r="C1202">
        <v>0</v>
      </c>
      <c r="D1202" t="s">
        <v>7</v>
      </c>
      <c r="E1202" s="2" t="s">
        <v>12</v>
      </c>
      <c r="F1202">
        <f t="shared" si="18"/>
        <v>0</v>
      </c>
      <c r="G1202" t="s">
        <v>16</v>
      </c>
      <c r="J1202" t="str">
        <f>"01/11/2016 23:45"</f>
        <v>01/11/2016 23:45</v>
      </c>
    </row>
    <row r="1203" spans="1:10" x14ac:dyDescent="0.3">
      <c r="A1203" t="s">
        <v>6</v>
      </c>
      <c r="B1203" t="str">
        <f>"01/12/2016 00:00"</f>
        <v>01/12/2016 00:00</v>
      </c>
      <c r="C1203">
        <v>1.7000000000000001E-2</v>
      </c>
      <c r="D1203" t="s">
        <v>7</v>
      </c>
      <c r="E1203" s="2" t="s">
        <v>12</v>
      </c>
      <c r="F1203">
        <f t="shared" si="18"/>
        <v>3.3711000000000005E-2</v>
      </c>
      <c r="G1203" t="s">
        <v>16</v>
      </c>
      <c r="J1203" t="str">
        <f>"01/12/2016 23:45"</f>
        <v>01/12/2016 23:45</v>
      </c>
    </row>
    <row r="1204" spans="1:10" x14ac:dyDescent="0.3">
      <c r="A1204" t="s">
        <v>6</v>
      </c>
      <c r="B1204" t="str">
        <f>"01/13/2016 00:00"</f>
        <v>01/13/2016 00:00</v>
      </c>
      <c r="C1204">
        <v>8.5000000000000006E-3</v>
      </c>
      <c r="D1204" t="s">
        <v>7</v>
      </c>
      <c r="E1204" s="2" t="s">
        <v>12</v>
      </c>
      <c r="F1204">
        <f t="shared" si="18"/>
        <v>1.6855500000000002E-2</v>
      </c>
      <c r="G1204" t="s">
        <v>16</v>
      </c>
      <c r="J1204" t="str">
        <f>"01/13/2016 23:45"</f>
        <v>01/13/2016 23:45</v>
      </c>
    </row>
    <row r="1205" spans="1:10" x14ac:dyDescent="0.3">
      <c r="A1205" t="s">
        <v>6</v>
      </c>
      <c r="B1205" t="str">
        <f>"01/14/2016 00:00"</f>
        <v>01/14/2016 00:00</v>
      </c>
      <c r="C1205">
        <v>0</v>
      </c>
      <c r="D1205" t="s">
        <v>7</v>
      </c>
      <c r="E1205" s="2" t="s">
        <v>12</v>
      </c>
      <c r="F1205">
        <f t="shared" si="18"/>
        <v>0</v>
      </c>
      <c r="G1205" t="s">
        <v>16</v>
      </c>
      <c r="J1205" t="str">
        <f>"01/14/2016 23:45"</f>
        <v>01/14/2016 23:45</v>
      </c>
    </row>
    <row r="1206" spans="1:10" x14ac:dyDescent="0.3">
      <c r="A1206" t="s">
        <v>6</v>
      </c>
      <c r="B1206" t="str">
        <f>"01/15/2016 00:00"</f>
        <v>01/15/2016 00:00</v>
      </c>
      <c r="C1206">
        <v>0</v>
      </c>
      <c r="D1206" t="s">
        <v>7</v>
      </c>
      <c r="E1206" s="2" t="s">
        <v>12</v>
      </c>
      <c r="F1206">
        <f t="shared" si="18"/>
        <v>0</v>
      </c>
      <c r="G1206" t="s">
        <v>16</v>
      </c>
      <c r="J1206" t="str">
        <f>"01/15/2016 23:45"</f>
        <v>01/15/2016 23:45</v>
      </c>
    </row>
    <row r="1207" spans="1:10" x14ac:dyDescent="0.3">
      <c r="A1207" t="s">
        <v>6</v>
      </c>
      <c r="B1207" t="str">
        <f>"01/16/2016 00:00"</f>
        <v>01/16/2016 00:00</v>
      </c>
      <c r="C1207">
        <v>0</v>
      </c>
      <c r="D1207" t="s">
        <v>7</v>
      </c>
      <c r="E1207" s="2" t="s">
        <v>12</v>
      </c>
      <c r="F1207">
        <f t="shared" si="18"/>
        <v>0</v>
      </c>
      <c r="G1207" t="s">
        <v>16</v>
      </c>
      <c r="J1207" t="str">
        <f>"01/16/2016 23:45"</f>
        <v>01/16/2016 23:45</v>
      </c>
    </row>
    <row r="1208" spans="1:10" x14ac:dyDescent="0.3">
      <c r="A1208" t="s">
        <v>6</v>
      </c>
      <c r="B1208" t="str">
        <f>"01/17/2016 00:00"</f>
        <v>01/17/2016 00:00</v>
      </c>
      <c r="C1208">
        <v>0</v>
      </c>
      <c r="D1208" t="s">
        <v>7</v>
      </c>
      <c r="E1208" s="2" t="s">
        <v>12</v>
      </c>
      <c r="F1208">
        <f t="shared" si="18"/>
        <v>0</v>
      </c>
      <c r="G1208" t="s">
        <v>16</v>
      </c>
      <c r="J1208" t="str">
        <f>"01/17/2016 23:45"</f>
        <v>01/17/2016 23:45</v>
      </c>
    </row>
    <row r="1209" spans="1:10" x14ac:dyDescent="0.3">
      <c r="A1209" t="s">
        <v>6</v>
      </c>
      <c r="B1209" t="str">
        <f>"01/18/2016 00:00"</f>
        <v>01/18/2016 00:00</v>
      </c>
      <c r="C1209">
        <v>5.0000000000000001E-3</v>
      </c>
      <c r="D1209" t="s">
        <v>7</v>
      </c>
      <c r="E1209" s="2" t="s">
        <v>12</v>
      </c>
      <c r="F1209">
        <f t="shared" si="18"/>
        <v>9.9150000000000002E-3</v>
      </c>
      <c r="G1209" t="s">
        <v>16</v>
      </c>
      <c r="J1209" t="str">
        <f>"01/18/2016 23:45"</f>
        <v>01/18/2016 23:45</v>
      </c>
    </row>
    <row r="1210" spans="1:10" x14ac:dyDescent="0.3">
      <c r="A1210" t="s">
        <v>6</v>
      </c>
      <c r="B1210" t="str">
        <f>"01/19/2016 00:00"</f>
        <v>01/19/2016 00:00</v>
      </c>
      <c r="C1210">
        <v>4.8000000000000001E-2</v>
      </c>
      <c r="D1210" t="s">
        <v>7</v>
      </c>
      <c r="E1210" s="2" t="s">
        <v>12</v>
      </c>
      <c r="F1210">
        <f t="shared" si="18"/>
        <v>9.5184000000000005E-2</v>
      </c>
      <c r="G1210" t="s">
        <v>16</v>
      </c>
      <c r="J1210" t="str">
        <f>"01/19/2016 23:45"</f>
        <v>01/19/2016 23:45</v>
      </c>
    </row>
    <row r="1211" spans="1:10" x14ac:dyDescent="0.3">
      <c r="A1211" t="s">
        <v>6</v>
      </c>
      <c r="B1211" t="str">
        <f>"01/20/2016 00:00"</f>
        <v>01/20/2016 00:00</v>
      </c>
      <c r="C1211">
        <v>4.8000000000000001E-2</v>
      </c>
      <c r="D1211" t="s">
        <v>7</v>
      </c>
      <c r="E1211" s="2" t="s">
        <v>12</v>
      </c>
      <c r="F1211">
        <f t="shared" si="18"/>
        <v>9.5184000000000005E-2</v>
      </c>
      <c r="G1211" t="s">
        <v>16</v>
      </c>
      <c r="J1211" t="str">
        <f>"01/20/2016 23:45"</f>
        <v>01/20/2016 23:45</v>
      </c>
    </row>
    <row r="1212" spans="1:10" x14ac:dyDescent="0.3">
      <c r="A1212" t="s">
        <v>6</v>
      </c>
      <c r="B1212" t="str">
        <f>"01/21/2016 00:00"</f>
        <v>01/21/2016 00:00</v>
      </c>
      <c r="C1212">
        <v>4.8000000000000001E-2</v>
      </c>
      <c r="D1212" t="s">
        <v>7</v>
      </c>
      <c r="E1212" s="2" t="s">
        <v>12</v>
      </c>
      <c r="F1212">
        <f t="shared" si="18"/>
        <v>9.5184000000000005E-2</v>
      </c>
      <c r="G1212" t="s">
        <v>16</v>
      </c>
      <c r="J1212" t="str">
        <f>"01/21/2016 23:45"</f>
        <v>01/21/2016 23:45</v>
      </c>
    </row>
    <row r="1213" spans="1:10" x14ac:dyDescent="0.3">
      <c r="A1213" t="s">
        <v>6</v>
      </c>
      <c r="B1213" t="str">
        <f>"01/22/2016 00:00"</f>
        <v>01/22/2016 00:00</v>
      </c>
      <c r="C1213">
        <v>4.8000000000000001E-2</v>
      </c>
      <c r="D1213" t="s">
        <v>7</v>
      </c>
      <c r="E1213" s="2" t="s">
        <v>12</v>
      </c>
      <c r="F1213">
        <f t="shared" si="18"/>
        <v>9.5184000000000005E-2</v>
      </c>
      <c r="G1213" t="s">
        <v>16</v>
      </c>
      <c r="J1213" t="str">
        <f>"01/22/2016 23:45"</f>
        <v>01/22/2016 23:45</v>
      </c>
    </row>
    <row r="1214" spans="1:10" x14ac:dyDescent="0.3">
      <c r="A1214" t="s">
        <v>6</v>
      </c>
      <c r="B1214" t="str">
        <f>"01/23/2016 00:00"</f>
        <v>01/23/2016 00:00</v>
      </c>
      <c r="C1214">
        <v>6.54E-2</v>
      </c>
      <c r="D1214" t="s">
        <v>7</v>
      </c>
      <c r="E1214" s="2" t="s">
        <v>12</v>
      </c>
      <c r="F1214">
        <f t="shared" si="18"/>
        <v>0.1296882</v>
      </c>
      <c r="G1214" t="s">
        <v>16</v>
      </c>
      <c r="J1214" t="str">
        <f>"01/23/2016 23:45"</f>
        <v>01/23/2016 23:45</v>
      </c>
    </row>
    <row r="1215" spans="1:10" x14ac:dyDescent="0.3">
      <c r="A1215" t="s">
        <v>6</v>
      </c>
      <c r="B1215" t="str">
        <f>"01/24/2016 00:00"</f>
        <v>01/24/2016 00:00</v>
      </c>
      <c r="C1215">
        <v>0.14599999999999999</v>
      </c>
      <c r="D1215" t="s">
        <v>7</v>
      </c>
      <c r="E1215" s="2" t="s">
        <v>12</v>
      </c>
      <c r="F1215">
        <f t="shared" si="18"/>
        <v>0.289518</v>
      </c>
      <c r="G1215" t="s">
        <v>16</v>
      </c>
      <c r="J1215" t="str">
        <f>"01/24/2016 23:45"</f>
        <v>01/24/2016 23:45</v>
      </c>
    </row>
    <row r="1216" spans="1:10" x14ac:dyDescent="0.3">
      <c r="A1216" t="s">
        <v>6</v>
      </c>
      <c r="B1216" t="str">
        <f>"01/25/2016 00:00"</f>
        <v>01/25/2016 00:00</v>
      </c>
      <c r="C1216">
        <v>0.14599999999999999</v>
      </c>
      <c r="D1216" t="s">
        <v>7</v>
      </c>
      <c r="E1216" s="2" t="s">
        <v>12</v>
      </c>
      <c r="F1216">
        <f t="shared" si="18"/>
        <v>0.289518</v>
      </c>
      <c r="G1216" t="s">
        <v>16</v>
      </c>
      <c r="J1216" t="str">
        <f>"01/25/2016 23:45"</f>
        <v>01/25/2016 23:45</v>
      </c>
    </row>
    <row r="1217" spans="1:10" x14ac:dyDescent="0.3">
      <c r="A1217" t="s">
        <v>6</v>
      </c>
      <c r="B1217" t="str">
        <f>"01/26/2016 00:00"</f>
        <v>01/26/2016 00:00</v>
      </c>
      <c r="C1217">
        <v>0.14599999999999999</v>
      </c>
      <c r="D1217" t="s">
        <v>7</v>
      </c>
      <c r="E1217" s="2" t="s">
        <v>12</v>
      </c>
      <c r="F1217">
        <f t="shared" si="18"/>
        <v>0.289518</v>
      </c>
      <c r="G1217" t="s">
        <v>16</v>
      </c>
      <c r="J1217" t="str">
        <f>"01/26/2016 23:45"</f>
        <v>01/26/2016 23:45</v>
      </c>
    </row>
    <row r="1218" spans="1:10" x14ac:dyDescent="0.3">
      <c r="A1218" t="s">
        <v>6</v>
      </c>
      <c r="B1218" t="str">
        <f>"01/27/2016 00:00"</f>
        <v>01/27/2016 00:00</v>
      </c>
      <c r="C1218">
        <v>0.14599999999999999</v>
      </c>
      <c r="D1218" t="s">
        <v>7</v>
      </c>
      <c r="E1218" s="2" t="s">
        <v>12</v>
      </c>
      <c r="F1218">
        <f t="shared" si="18"/>
        <v>0.289518</v>
      </c>
      <c r="G1218" t="s">
        <v>16</v>
      </c>
      <c r="J1218" t="str">
        <f>"01/27/2016 23:45"</f>
        <v>01/27/2016 23:45</v>
      </c>
    </row>
    <row r="1219" spans="1:10" x14ac:dyDescent="0.3">
      <c r="A1219" t="s">
        <v>6</v>
      </c>
      <c r="B1219" t="str">
        <f>"01/28/2016 00:00"</f>
        <v>01/28/2016 00:00</v>
      </c>
      <c r="C1219">
        <v>0.14599999999999999</v>
      </c>
      <c r="D1219" t="s">
        <v>7</v>
      </c>
      <c r="E1219" s="2" t="s">
        <v>12</v>
      </c>
      <c r="F1219">
        <f t="shared" si="18"/>
        <v>0.289518</v>
      </c>
      <c r="G1219" t="s">
        <v>16</v>
      </c>
      <c r="J1219" t="str">
        <f>"01/28/2016 23:45"</f>
        <v>01/28/2016 23:45</v>
      </c>
    </row>
    <row r="1220" spans="1:10" x14ac:dyDescent="0.3">
      <c r="A1220" t="s">
        <v>6</v>
      </c>
      <c r="B1220" t="str">
        <f>"01/29/2016 00:00"</f>
        <v>01/29/2016 00:00</v>
      </c>
      <c r="C1220">
        <v>0.14599999999999999</v>
      </c>
      <c r="D1220" t="s">
        <v>7</v>
      </c>
      <c r="E1220" s="2" t="s">
        <v>12</v>
      </c>
      <c r="F1220">
        <f t="shared" si="18"/>
        <v>0.289518</v>
      </c>
      <c r="G1220" t="s">
        <v>16</v>
      </c>
      <c r="J1220" t="str">
        <f>"01/29/2016 23:45"</f>
        <v>01/29/2016 23:45</v>
      </c>
    </row>
    <row r="1221" spans="1:10" x14ac:dyDescent="0.3">
      <c r="A1221" t="s">
        <v>6</v>
      </c>
      <c r="B1221" t="str">
        <f>"01/30/2016 00:00"</f>
        <v>01/30/2016 00:00</v>
      </c>
      <c r="C1221">
        <v>0.14599999999999999</v>
      </c>
      <c r="D1221" t="s">
        <v>7</v>
      </c>
      <c r="E1221" s="2" t="s">
        <v>12</v>
      </c>
      <c r="F1221">
        <f t="shared" si="18"/>
        <v>0.289518</v>
      </c>
      <c r="G1221" t="s">
        <v>16</v>
      </c>
      <c r="J1221" t="str">
        <f>"01/30/2016 23:45"</f>
        <v>01/30/2016 23:45</v>
      </c>
    </row>
    <row r="1222" spans="1:10" x14ac:dyDescent="0.3">
      <c r="A1222" t="s">
        <v>6</v>
      </c>
      <c r="B1222" t="str">
        <f>"01/31/2016 00:00"</f>
        <v>01/31/2016 00:00</v>
      </c>
      <c r="C1222">
        <v>0.14599999999999999</v>
      </c>
      <c r="D1222" t="s">
        <v>7</v>
      </c>
      <c r="E1222" s="2" t="s">
        <v>12</v>
      </c>
      <c r="F1222">
        <f t="shared" ref="F1222:F1285" si="19">C1222*1.983</f>
        <v>0.289518</v>
      </c>
      <c r="G1222" t="s">
        <v>16</v>
      </c>
      <c r="J1222" t="str">
        <f>"01/31/2016 23:45"</f>
        <v>01/31/2016 23:45</v>
      </c>
    </row>
    <row r="1223" spans="1:10" x14ac:dyDescent="0.3">
      <c r="A1223" t="s">
        <v>6</v>
      </c>
      <c r="B1223" t="str">
        <f>"02/01/2016 00:00"</f>
        <v>02/01/2016 00:00</v>
      </c>
      <c r="C1223">
        <v>0.14599999999999999</v>
      </c>
      <c r="D1223" t="s">
        <v>7</v>
      </c>
      <c r="E1223" s="2" t="s">
        <v>12</v>
      </c>
      <c r="F1223">
        <f t="shared" si="19"/>
        <v>0.289518</v>
      </c>
      <c r="G1223" t="s">
        <v>16</v>
      </c>
      <c r="J1223" t="str">
        <f>"02/01/2016 23:45"</f>
        <v>02/01/2016 23:45</v>
      </c>
    </row>
    <row r="1224" spans="1:10" x14ac:dyDescent="0.3">
      <c r="A1224" t="s">
        <v>6</v>
      </c>
      <c r="B1224" t="str">
        <f>"02/02/2016 00:00"</f>
        <v>02/02/2016 00:00</v>
      </c>
      <c r="C1224">
        <v>0.14599999999999999</v>
      </c>
      <c r="D1224" t="s">
        <v>7</v>
      </c>
      <c r="E1224" s="2" t="s">
        <v>12</v>
      </c>
      <c r="F1224">
        <f t="shared" si="19"/>
        <v>0.289518</v>
      </c>
      <c r="G1224" t="s">
        <v>16</v>
      </c>
      <c r="J1224" t="str">
        <f>"02/02/2016 23:45"</f>
        <v>02/02/2016 23:45</v>
      </c>
    </row>
    <row r="1225" spans="1:10" x14ac:dyDescent="0.3">
      <c r="A1225" t="s">
        <v>6</v>
      </c>
      <c r="B1225" t="str">
        <f>"02/03/2016 00:00"</f>
        <v>02/03/2016 00:00</v>
      </c>
      <c r="C1225">
        <v>0.14599999999999999</v>
      </c>
      <c r="D1225" t="s">
        <v>7</v>
      </c>
      <c r="E1225" s="2" t="s">
        <v>12</v>
      </c>
      <c r="F1225">
        <f t="shared" si="19"/>
        <v>0.289518</v>
      </c>
      <c r="G1225" t="s">
        <v>16</v>
      </c>
      <c r="J1225" t="str">
        <f>"02/03/2016 23:45"</f>
        <v>02/03/2016 23:45</v>
      </c>
    </row>
    <row r="1226" spans="1:10" x14ac:dyDescent="0.3">
      <c r="A1226" t="s">
        <v>6</v>
      </c>
      <c r="B1226" t="str">
        <f>"02/04/2016 00:00"</f>
        <v>02/04/2016 00:00</v>
      </c>
      <c r="C1226">
        <v>0.14599999999999999</v>
      </c>
      <c r="D1226" t="s">
        <v>7</v>
      </c>
      <c r="E1226" s="2" t="s">
        <v>12</v>
      </c>
      <c r="F1226">
        <f t="shared" si="19"/>
        <v>0.289518</v>
      </c>
      <c r="G1226" t="s">
        <v>16</v>
      </c>
      <c r="J1226" t="str">
        <f>"02/04/2016 23:45"</f>
        <v>02/04/2016 23:45</v>
      </c>
    </row>
    <row r="1227" spans="1:10" x14ac:dyDescent="0.3">
      <c r="A1227" t="s">
        <v>6</v>
      </c>
      <c r="B1227" t="str">
        <f>"02/05/2016 00:00"</f>
        <v>02/05/2016 00:00</v>
      </c>
      <c r="C1227">
        <v>9.6000000000000002E-2</v>
      </c>
      <c r="D1227" t="s">
        <v>7</v>
      </c>
      <c r="E1227" s="2" t="s">
        <v>12</v>
      </c>
      <c r="F1227">
        <f t="shared" si="19"/>
        <v>0.19036800000000001</v>
      </c>
      <c r="G1227" t="s">
        <v>16</v>
      </c>
      <c r="J1227" t="str">
        <f>"02/05/2016 23:45"</f>
        <v>02/05/2016 23:45</v>
      </c>
    </row>
    <row r="1228" spans="1:10" x14ac:dyDescent="0.3">
      <c r="A1228" t="s">
        <v>6</v>
      </c>
      <c r="B1228" t="str">
        <f>"02/06/2016 00:00"</f>
        <v>02/06/2016 00:00</v>
      </c>
      <c r="C1228">
        <v>4.8000000000000001E-2</v>
      </c>
      <c r="D1228" t="s">
        <v>7</v>
      </c>
      <c r="E1228" s="2" t="s">
        <v>12</v>
      </c>
      <c r="F1228">
        <f t="shared" si="19"/>
        <v>9.5184000000000005E-2</v>
      </c>
      <c r="G1228" t="s">
        <v>16</v>
      </c>
      <c r="J1228" t="str">
        <f>"02/06/2016 23:45"</f>
        <v>02/06/2016 23:45</v>
      </c>
    </row>
    <row r="1229" spans="1:10" x14ac:dyDescent="0.3">
      <c r="A1229" t="s">
        <v>6</v>
      </c>
      <c r="B1229" t="str">
        <f>"02/07/2016 00:00"</f>
        <v>02/07/2016 00:00</v>
      </c>
      <c r="C1229">
        <v>6.2300000000000001E-2</v>
      </c>
      <c r="D1229" t="s">
        <v>7</v>
      </c>
      <c r="E1229" s="2" t="s">
        <v>12</v>
      </c>
      <c r="F1229">
        <f t="shared" si="19"/>
        <v>0.12354090000000001</v>
      </c>
      <c r="G1229" t="s">
        <v>16</v>
      </c>
      <c r="J1229" t="str">
        <f>"02/07/2016 23:45"</f>
        <v>02/07/2016 23:45</v>
      </c>
    </row>
    <row r="1230" spans="1:10" x14ac:dyDescent="0.3">
      <c r="A1230" t="s">
        <v>6</v>
      </c>
      <c r="B1230" t="str">
        <f>"02/08/2016 00:00"</f>
        <v>02/08/2016 00:00</v>
      </c>
      <c r="C1230">
        <v>0.14599999999999999</v>
      </c>
      <c r="D1230" t="s">
        <v>7</v>
      </c>
      <c r="E1230" s="2" t="s">
        <v>12</v>
      </c>
      <c r="F1230">
        <f t="shared" si="19"/>
        <v>0.289518</v>
      </c>
      <c r="G1230" t="s">
        <v>16</v>
      </c>
      <c r="J1230" t="str">
        <f>"02/08/2016 23:45"</f>
        <v>02/08/2016 23:45</v>
      </c>
    </row>
    <row r="1231" spans="1:10" x14ac:dyDescent="0.3">
      <c r="A1231" t="s">
        <v>6</v>
      </c>
      <c r="B1231" t="str">
        <f>"02/09/2016 00:00"</f>
        <v>02/09/2016 00:00</v>
      </c>
      <c r="C1231">
        <v>0.14599999999999999</v>
      </c>
      <c r="D1231" t="s">
        <v>7</v>
      </c>
      <c r="E1231" s="2" t="s">
        <v>12</v>
      </c>
      <c r="F1231">
        <f t="shared" si="19"/>
        <v>0.289518</v>
      </c>
      <c r="G1231" t="s">
        <v>16</v>
      </c>
      <c r="J1231" t="str">
        <f>"02/09/2016 23:45"</f>
        <v>02/09/2016 23:45</v>
      </c>
    </row>
    <row r="1232" spans="1:10" x14ac:dyDescent="0.3">
      <c r="A1232" t="s">
        <v>6</v>
      </c>
      <c r="B1232" t="str">
        <f>"02/10/2016 00:00"</f>
        <v>02/10/2016 00:00</v>
      </c>
      <c r="C1232">
        <v>0.14599999999999999</v>
      </c>
      <c r="D1232" t="s">
        <v>7</v>
      </c>
      <c r="E1232" s="2" t="s">
        <v>12</v>
      </c>
      <c r="F1232">
        <f t="shared" si="19"/>
        <v>0.289518</v>
      </c>
      <c r="G1232" t="s">
        <v>16</v>
      </c>
      <c r="J1232" t="str">
        <f>"02/10/2016 23:45"</f>
        <v>02/10/2016 23:45</v>
      </c>
    </row>
    <row r="1233" spans="1:10" x14ac:dyDescent="0.3">
      <c r="A1233" t="s">
        <v>6</v>
      </c>
      <c r="B1233" t="str">
        <f>"02/11/2016 00:00"</f>
        <v>02/11/2016 00:00</v>
      </c>
      <c r="C1233">
        <v>0.16500000000000001</v>
      </c>
      <c r="D1233" t="s">
        <v>7</v>
      </c>
      <c r="E1233" s="2" t="s">
        <v>12</v>
      </c>
      <c r="F1233">
        <f t="shared" si="19"/>
        <v>0.32719500000000001</v>
      </c>
      <c r="G1233" t="s">
        <v>16</v>
      </c>
      <c r="J1233" t="str">
        <f>"02/11/2016 23:45"</f>
        <v>02/11/2016 23:45</v>
      </c>
    </row>
    <row r="1234" spans="1:10" x14ac:dyDescent="0.3">
      <c r="A1234" t="s">
        <v>6</v>
      </c>
      <c r="B1234" t="str">
        <f>"02/12/2016 00:00"</f>
        <v>02/12/2016 00:00</v>
      </c>
      <c r="C1234">
        <v>0.25800000000000001</v>
      </c>
      <c r="D1234" t="s">
        <v>7</v>
      </c>
      <c r="E1234" s="2" t="s">
        <v>12</v>
      </c>
      <c r="F1234">
        <f t="shared" si="19"/>
        <v>0.51161400000000001</v>
      </c>
      <c r="G1234" t="s">
        <v>16</v>
      </c>
      <c r="J1234" t="str">
        <f>"02/12/2016 23:45"</f>
        <v>02/12/2016 23:45</v>
      </c>
    </row>
    <row r="1235" spans="1:10" x14ac:dyDescent="0.3">
      <c r="A1235" t="s">
        <v>6</v>
      </c>
      <c r="B1235" t="str">
        <f>"02/13/2016 00:00"</f>
        <v>02/13/2016 00:00</v>
      </c>
      <c r="C1235">
        <v>0.27900000000000003</v>
      </c>
      <c r="D1235" t="s">
        <v>7</v>
      </c>
      <c r="E1235" s="2" t="s">
        <v>12</v>
      </c>
      <c r="F1235">
        <f t="shared" si="19"/>
        <v>0.55325700000000011</v>
      </c>
      <c r="G1235" t="s">
        <v>16</v>
      </c>
      <c r="J1235" t="str">
        <f>"02/13/2016 23:45"</f>
        <v>02/13/2016 23:45</v>
      </c>
    </row>
    <row r="1236" spans="1:10" x14ac:dyDescent="0.3">
      <c r="A1236" t="s">
        <v>6</v>
      </c>
      <c r="B1236" t="str">
        <f>"02/14/2016 00:00"</f>
        <v>02/14/2016 00:00</v>
      </c>
      <c r="C1236">
        <v>0.27900000000000003</v>
      </c>
      <c r="D1236" t="s">
        <v>7</v>
      </c>
      <c r="E1236" s="2" t="s">
        <v>12</v>
      </c>
      <c r="F1236">
        <f t="shared" si="19"/>
        <v>0.55325700000000011</v>
      </c>
      <c r="G1236" t="s">
        <v>16</v>
      </c>
      <c r="J1236" t="str">
        <f>"02/14/2016 23:45"</f>
        <v>02/14/2016 23:45</v>
      </c>
    </row>
    <row r="1237" spans="1:10" x14ac:dyDescent="0.3">
      <c r="A1237" t="s">
        <v>6</v>
      </c>
      <c r="B1237" t="str">
        <f>"02/15/2016 00:00"</f>
        <v>02/15/2016 00:00</v>
      </c>
      <c r="C1237">
        <v>0.247</v>
      </c>
      <c r="D1237" t="s">
        <v>7</v>
      </c>
      <c r="E1237" s="2" t="s">
        <v>12</v>
      </c>
      <c r="F1237">
        <f t="shared" si="19"/>
        <v>0.48980100000000004</v>
      </c>
      <c r="G1237" t="s">
        <v>16</v>
      </c>
      <c r="J1237" t="str">
        <f>"02/15/2016 23:45"</f>
        <v>02/15/2016 23:45</v>
      </c>
    </row>
    <row r="1238" spans="1:10" x14ac:dyDescent="0.3">
      <c r="A1238" t="s">
        <v>6</v>
      </c>
      <c r="B1238" t="str">
        <f>"02/16/2016 00:00"</f>
        <v>02/16/2016 00:00</v>
      </c>
      <c r="C1238">
        <v>0.14599999999999999</v>
      </c>
      <c r="D1238" t="s">
        <v>7</v>
      </c>
      <c r="E1238" s="2" t="s">
        <v>12</v>
      </c>
      <c r="F1238">
        <f t="shared" si="19"/>
        <v>0.289518</v>
      </c>
      <c r="G1238" t="s">
        <v>16</v>
      </c>
      <c r="J1238" t="str">
        <f>"02/16/2016 23:45"</f>
        <v>02/16/2016 23:45</v>
      </c>
    </row>
    <row r="1239" spans="1:10" x14ac:dyDescent="0.3">
      <c r="A1239" t="s">
        <v>6</v>
      </c>
      <c r="B1239" t="str">
        <f>"02/17/2016 00:00"</f>
        <v>02/17/2016 00:00</v>
      </c>
      <c r="C1239">
        <v>0.14599999999999999</v>
      </c>
      <c r="D1239" t="s">
        <v>7</v>
      </c>
      <c r="E1239" s="2" t="s">
        <v>12</v>
      </c>
      <c r="F1239">
        <f t="shared" si="19"/>
        <v>0.289518</v>
      </c>
      <c r="G1239" t="s">
        <v>16</v>
      </c>
      <c r="J1239" t="str">
        <f>"02/17/2016 23:45"</f>
        <v>02/17/2016 23:45</v>
      </c>
    </row>
    <row r="1240" spans="1:10" x14ac:dyDescent="0.3">
      <c r="A1240" t="s">
        <v>6</v>
      </c>
      <c r="B1240" t="str">
        <f>"02/18/2016 00:00"</f>
        <v>02/18/2016 00:00</v>
      </c>
      <c r="C1240">
        <v>0.14599999999999999</v>
      </c>
      <c r="D1240" t="s">
        <v>7</v>
      </c>
      <c r="E1240" s="2" t="s">
        <v>12</v>
      </c>
      <c r="F1240">
        <f t="shared" si="19"/>
        <v>0.289518</v>
      </c>
      <c r="G1240" t="s">
        <v>16</v>
      </c>
      <c r="J1240" t="str">
        <f>"02/18/2016 23:45"</f>
        <v>02/18/2016 23:45</v>
      </c>
    </row>
    <row r="1241" spans="1:10" x14ac:dyDescent="0.3">
      <c r="A1241" t="s">
        <v>6</v>
      </c>
      <c r="B1241" t="str">
        <f>"02/19/2016 00:00"</f>
        <v>02/19/2016 00:00</v>
      </c>
      <c r="C1241">
        <v>0.14599999999999999</v>
      </c>
      <c r="D1241" t="s">
        <v>7</v>
      </c>
      <c r="E1241" s="2" t="s">
        <v>12</v>
      </c>
      <c r="F1241">
        <f t="shared" si="19"/>
        <v>0.289518</v>
      </c>
      <c r="G1241" t="s">
        <v>16</v>
      </c>
      <c r="J1241" t="str">
        <f>"02/19/2016 23:45"</f>
        <v>02/19/2016 23:45</v>
      </c>
    </row>
    <row r="1242" spans="1:10" x14ac:dyDescent="0.3">
      <c r="A1242" t="s">
        <v>6</v>
      </c>
      <c r="B1242" t="str">
        <f>"02/20/2016 00:00"</f>
        <v>02/20/2016 00:00</v>
      </c>
      <c r="C1242">
        <v>0.14599999999999999</v>
      </c>
      <c r="D1242" t="s">
        <v>7</v>
      </c>
      <c r="E1242" s="2" t="s">
        <v>12</v>
      </c>
      <c r="F1242">
        <f t="shared" si="19"/>
        <v>0.289518</v>
      </c>
      <c r="G1242" t="s">
        <v>16</v>
      </c>
      <c r="J1242" t="str">
        <f>"02/20/2016 23:45"</f>
        <v>02/20/2016 23:45</v>
      </c>
    </row>
    <row r="1243" spans="1:10" x14ac:dyDescent="0.3">
      <c r="A1243" t="s">
        <v>6</v>
      </c>
      <c r="B1243" t="str">
        <f>"02/21/2016 00:00"</f>
        <v>02/21/2016 00:00</v>
      </c>
      <c r="C1243">
        <v>0.14599999999999999</v>
      </c>
      <c r="D1243" t="s">
        <v>7</v>
      </c>
      <c r="E1243" s="2" t="s">
        <v>12</v>
      </c>
      <c r="F1243">
        <f t="shared" si="19"/>
        <v>0.289518</v>
      </c>
      <c r="G1243" t="s">
        <v>16</v>
      </c>
      <c r="J1243" t="str">
        <f>"02/21/2016 23:45"</f>
        <v>02/21/2016 23:45</v>
      </c>
    </row>
    <row r="1244" spans="1:10" x14ac:dyDescent="0.3">
      <c r="A1244" t="s">
        <v>6</v>
      </c>
      <c r="B1244" t="str">
        <f>"02/22/2016 00:00"</f>
        <v>02/22/2016 00:00</v>
      </c>
      <c r="C1244">
        <v>0.14599999999999999</v>
      </c>
      <c r="D1244" t="s">
        <v>7</v>
      </c>
      <c r="E1244" s="2" t="s">
        <v>12</v>
      </c>
      <c r="F1244">
        <f t="shared" si="19"/>
        <v>0.289518</v>
      </c>
      <c r="G1244" t="s">
        <v>16</v>
      </c>
      <c r="J1244" t="str">
        <f>"02/22/2016 23:45"</f>
        <v>02/22/2016 23:45</v>
      </c>
    </row>
    <row r="1245" spans="1:10" x14ac:dyDescent="0.3">
      <c r="A1245" t="s">
        <v>6</v>
      </c>
      <c r="B1245" t="str">
        <f>"02/23/2016 00:00"</f>
        <v>02/23/2016 00:00</v>
      </c>
      <c r="C1245">
        <v>0.313</v>
      </c>
      <c r="D1245" t="s">
        <v>7</v>
      </c>
      <c r="E1245" s="2" t="s">
        <v>12</v>
      </c>
      <c r="F1245">
        <f t="shared" si="19"/>
        <v>0.62067899999999998</v>
      </c>
      <c r="G1245" t="s">
        <v>16</v>
      </c>
      <c r="J1245" t="str">
        <f>"02/23/2016 23:45"</f>
        <v>02/23/2016 23:45</v>
      </c>
    </row>
    <row r="1246" spans="1:10" x14ac:dyDescent="0.3">
      <c r="A1246" t="s">
        <v>6</v>
      </c>
      <c r="B1246" t="str">
        <f>"02/24/2016 00:00"</f>
        <v>02/24/2016 00:00</v>
      </c>
      <c r="C1246">
        <v>0.40500000000000003</v>
      </c>
      <c r="D1246" t="s">
        <v>7</v>
      </c>
      <c r="E1246" s="2" t="s">
        <v>12</v>
      </c>
      <c r="F1246">
        <f t="shared" si="19"/>
        <v>0.80311500000000013</v>
      </c>
      <c r="G1246" t="s">
        <v>16</v>
      </c>
      <c r="J1246" t="str">
        <f>"02/24/2016 23:45"</f>
        <v>02/24/2016 23:45</v>
      </c>
    </row>
    <row r="1247" spans="1:10" x14ac:dyDescent="0.3">
      <c r="A1247" t="s">
        <v>6</v>
      </c>
      <c r="B1247" t="str">
        <f>"02/25/2016 00:00"</f>
        <v>02/25/2016 00:00</v>
      </c>
      <c r="C1247">
        <v>0.27900000000000003</v>
      </c>
      <c r="D1247" t="s">
        <v>7</v>
      </c>
      <c r="E1247" s="2" t="s">
        <v>12</v>
      </c>
      <c r="F1247">
        <f t="shared" si="19"/>
        <v>0.55325700000000011</v>
      </c>
      <c r="G1247" t="s">
        <v>16</v>
      </c>
      <c r="J1247" t="str">
        <f>"02/25/2016 23:45"</f>
        <v>02/25/2016 23:45</v>
      </c>
    </row>
    <row r="1248" spans="1:10" x14ac:dyDescent="0.3">
      <c r="A1248" t="s">
        <v>6</v>
      </c>
      <c r="B1248" t="str">
        <f>"02/26/2016 00:00"</f>
        <v>02/26/2016 00:00</v>
      </c>
      <c r="C1248">
        <v>0.247</v>
      </c>
      <c r="D1248" t="s">
        <v>7</v>
      </c>
      <c r="E1248" s="2" t="s">
        <v>12</v>
      </c>
      <c r="F1248">
        <f t="shared" si="19"/>
        <v>0.48980100000000004</v>
      </c>
      <c r="G1248" t="s">
        <v>16</v>
      </c>
      <c r="J1248" t="str">
        <f>"02/26/2016 23:45"</f>
        <v>02/26/2016 23:45</v>
      </c>
    </row>
    <row r="1249" spans="1:10" x14ac:dyDescent="0.3">
      <c r="A1249" t="s">
        <v>6</v>
      </c>
      <c r="B1249" t="str">
        <f>"02/27/2016 00:00"</f>
        <v>02/27/2016 00:00</v>
      </c>
      <c r="C1249">
        <v>0.14599999999999999</v>
      </c>
      <c r="D1249" t="s">
        <v>7</v>
      </c>
      <c r="E1249" s="2" t="s">
        <v>12</v>
      </c>
      <c r="F1249">
        <f t="shared" si="19"/>
        <v>0.289518</v>
      </c>
      <c r="G1249" t="s">
        <v>16</v>
      </c>
      <c r="J1249" t="str">
        <f>"02/27/2016 23:45"</f>
        <v>02/27/2016 23:45</v>
      </c>
    </row>
    <row r="1250" spans="1:10" x14ac:dyDescent="0.3">
      <c r="A1250" t="s">
        <v>6</v>
      </c>
      <c r="B1250" t="str">
        <f>"02/28/2016 00:00"</f>
        <v>02/28/2016 00:00</v>
      </c>
      <c r="C1250">
        <v>0.14599999999999999</v>
      </c>
      <c r="D1250" t="s">
        <v>7</v>
      </c>
      <c r="E1250" s="2" t="s">
        <v>12</v>
      </c>
      <c r="F1250">
        <f t="shared" si="19"/>
        <v>0.289518</v>
      </c>
      <c r="G1250" t="s">
        <v>16</v>
      </c>
      <c r="J1250" t="str">
        <f>"02/28/2016 23:45"</f>
        <v>02/28/2016 23:45</v>
      </c>
    </row>
    <row r="1251" spans="1:10" x14ac:dyDescent="0.3">
      <c r="A1251" t="s">
        <v>6</v>
      </c>
      <c r="B1251" t="str">
        <f>"02/29/2016 00:00"</f>
        <v>02/29/2016 00:00</v>
      </c>
      <c r="C1251">
        <v>0.14599999999999999</v>
      </c>
      <c r="D1251" t="s">
        <v>7</v>
      </c>
      <c r="E1251" s="2" t="s">
        <v>12</v>
      </c>
      <c r="F1251">
        <f t="shared" si="19"/>
        <v>0.289518</v>
      </c>
      <c r="G1251" t="s">
        <v>16</v>
      </c>
      <c r="J1251" t="str">
        <f>"02/29/2016 23:45"</f>
        <v>02/29/2016 23:45</v>
      </c>
    </row>
    <row r="1252" spans="1:10" x14ac:dyDescent="0.3">
      <c r="A1252" t="s">
        <v>6</v>
      </c>
      <c r="B1252" t="str">
        <f>"03/01/2016 00:00"</f>
        <v>03/01/2016 00:00</v>
      </c>
      <c r="C1252">
        <v>0.14599999999999999</v>
      </c>
      <c r="D1252" t="s">
        <v>7</v>
      </c>
      <c r="E1252" s="2" t="s">
        <v>12</v>
      </c>
      <c r="F1252">
        <f t="shared" si="19"/>
        <v>0.289518</v>
      </c>
      <c r="G1252" t="s">
        <v>16</v>
      </c>
      <c r="J1252" t="str">
        <f>"03/01/2016 23:45"</f>
        <v>03/01/2016 23:45</v>
      </c>
    </row>
    <row r="1253" spans="1:10" x14ac:dyDescent="0.3">
      <c r="A1253" t="s">
        <v>6</v>
      </c>
      <c r="B1253" t="str">
        <f>"03/02/2016 00:00"</f>
        <v>03/02/2016 00:00</v>
      </c>
      <c r="C1253">
        <v>0.14599999999999999</v>
      </c>
      <c r="D1253" t="s">
        <v>7</v>
      </c>
      <c r="E1253" s="2" t="s">
        <v>12</v>
      </c>
      <c r="F1253">
        <f t="shared" si="19"/>
        <v>0.289518</v>
      </c>
      <c r="G1253" t="s">
        <v>16</v>
      </c>
      <c r="J1253" t="str">
        <f>"03/02/2016 23:45"</f>
        <v>03/02/2016 23:45</v>
      </c>
    </row>
    <row r="1254" spans="1:10" x14ac:dyDescent="0.3">
      <c r="A1254" t="s">
        <v>6</v>
      </c>
      <c r="B1254" t="str">
        <f>"03/03/2016 00:00"</f>
        <v>03/03/2016 00:00</v>
      </c>
      <c r="C1254">
        <v>0.14599999999999999</v>
      </c>
      <c r="D1254" t="s">
        <v>7</v>
      </c>
      <c r="E1254" s="2" t="s">
        <v>12</v>
      </c>
      <c r="F1254">
        <f t="shared" si="19"/>
        <v>0.289518</v>
      </c>
      <c r="G1254" t="s">
        <v>16</v>
      </c>
      <c r="J1254" t="str">
        <f>"03/03/2016 23:45"</f>
        <v>03/03/2016 23:45</v>
      </c>
    </row>
    <row r="1255" spans="1:10" x14ac:dyDescent="0.3">
      <c r="A1255" t="s">
        <v>6</v>
      </c>
      <c r="B1255" t="str">
        <f>"03/04/2016 00:00"</f>
        <v>03/04/2016 00:00</v>
      </c>
      <c r="C1255">
        <v>0.14599999999999999</v>
      </c>
      <c r="D1255" t="s">
        <v>7</v>
      </c>
      <c r="E1255" s="2" t="s">
        <v>12</v>
      </c>
      <c r="F1255">
        <f t="shared" si="19"/>
        <v>0.289518</v>
      </c>
      <c r="G1255" t="s">
        <v>16</v>
      </c>
      <c r="J1255" t="str">
        <f>"03/04/2016 23:45"</f>
        <v>03/04/2016 23:45</v>
      </c>
    </row>
    <row r="1256" spans="1:10" x14ac:dyDescent="0.3">
      <c r="A1256" t="s">
        <v>6</v>
      </c>
      <c r="B1256" t="str">
        <f>"03/05/2016 00:00"</f>
        <v>03/05/2016 00:00</v>
      </c>
      <c r="C1256">
        <v>0.14599999999999999</v>
      </c>
      <c r="D1256" t="s">
        <v>7</v>
      </c>
      <c r="E1256" s="2" t="s">
        <v>12</v>
      </c>
      <c r="F1256">
        <f t="shared" si="19"/>
        <v>0.289518</v>
      </c>
      <c r="G1256" t="s">
        <v>16</v>
      </c>
      <c r="J1256" t="str">
        <f>"03/05/2016 23:45"</f>
        <v>03/05/2016 23:45</v>
      </c>
    </row>
    <row r="1257" spans="1:10" x14ac:dyDescent="0.3">
      <c r="A1257" t="s">
        <v>6</v>
      </c>
      <c r="B1257" t="str">
        <f>"03/06/2016 00:00"</f>
        <v>03/06/2016 00:00</v>
      </c>
      <c r="C1257">
        <v>0.14599999999999999</v>
      </c>
      <c r="D1257" t="s">
        <v>7</v>
      </c>
      <c r="E1257" s="2" t="s">
        <v>12</v>
      </c>
      <c r="F1257">
        <f t="shared" si="19"/>
        <v>0.289518</v>
      </c>
      <c r="G1257" t="s">
        <v>16</v>
      </c>
      <c r="J1257" t="str">
        <f>"03/06/2016 23:45"</f>
        <v>03/06/2016 23:45</v>
      </c>
    </row>
    <row r="1258" spans="1:10" x14ac:dyDescent="0.3">
      <c r="A1258" t="s">
        <v>6</v>
      </c>
      <c r="B1258" t="str">
        <f>"03/07/2016 00:00"</f>
        <v>03/07/2016 00:00</v>
      </c>
      <c r="C1258">
        <v>0.14599999999999999</v>
      </c>
      <c r="D1258" t="s">
        <v>7</v>
      </c>
      <c r="E1258" s="2" t="s">
        <v>12</v>
      </c>
      <c r="F1258">
        <f t="shared" si="19"/>
        <v>0.289518</v>
      </c>
      <c r="G1258" t="s">
        <v>16</v>
      </c>
      <c r="J1258" t="str">
        <f>"03/07/2016 23:45"</f>
        <v>03/07/2016 23:45</v>
      </c>
    </row>
    <row r="1259" spans="1:10" x14ac:dyDescent="0.3">
      <c r="A1259" t="s">
        <v>6</v>
      </c>
      <c r="B1259" t="str">
        <f>"03/08/2016 00:00"</f>
        <v>03/08/2016 00:00</v>
      </c>
      <c r="C1259">
        <v>9.1899999999999996E-2</v>
      </c>
      <c r="D1259" t="s">
        <v>7</v>
      </c>
      <c r="E1259" s="2" t="s">
        <v>12</v>
      </c>
      <c r="F1259">
        <f t="shared" si="19"/>
        <v>0.1822377</v>
      </c>
      <c r="G1259" t="s">
        <v>16</v>
      </c>
      <c r="J1259" t="str">
        <f>"03/08/2016 23:45"</f>
        <v>03/08/2016 23:45</v>
      </c>
    </row>
    <row r="1260" spans="1:10" x14ac:dyDescent="0.3">
      <c r="A1260" t="s">
        <v>6</v>
      </c>
      <c r="B1260" t="str">
        <f>"03/09/2016 00:00"</f>
        <v>03/09/2016 00:00</v>
      </c>
      <c r="C1260">
        <v>4.8000000000000001E-2</v>
      </c>
      <c r="D1260" t="s">
        <v>7</v>
      </c>
      <c r="E1260" s="2" t="s">
        <v>12</v>
      </c>
      <c r="F1260">
        <f t="shared" si="19"/>
        <v>9.5184000000000005E-2</v>
      </c>
      <c r="G1260" t="s">
        <v>16</v>
      </c>
      <c r="J1260" t="str">
        <f>"03/09/2016 23:45"</f>
        <v>03/09/2016 23:45</v>
      </c>
    </row>
    <row r="1261" spans="1:10" x14ac:dyDescent="0.3">
      <c r="A1261" t="s">
        <v>6</v>
      </c>
      <c r="B1261" t="str">
        <f>"03/10/2016 00:00"</f>
        <v>03/10/2016 00:00</v>
      </c>
      <c r="C1261">
        <v>4.8000000000000001E-2</v>
      </c>
      <c r="D1261" t="s">
        <v>7</v>
      </c>
      <c r="E1261" s="2" t="s">
        <v>12</v>
      </c>
      <c r="F1261">
        <f t="shared" si="19"/>
        <v>9.5184000000000005E-2</v>
      </c>
      <c r="G1261" t="s">
        <v>16</v>
      </c>
      <c r="J1261" t="str">
        <f>"03/10/2016 23:45"</f>
        <v>03/10/2016 23:45</v>
      </c>
    </row>
    <row r="1262" spans="1:10" x14ac:dyDescent="0.3">
      <c r="A1262" t="s">
        <v>6</v>
      </c>
      <c r="B1262" t="str">
        <f>"03/11/2016 00:00"</f>
        <v>03/11/2016 00:00</v>
      </c>
      <c r="C1262">
        <v>4.8000000000000001E-2</v>
      </c>
      <c r="D1262" t="s">
        <v>7</v>
      </c>
      <c r="E1262" s="2" t="s">
        <v>12</v>
      </c>
      <c r="F1262">
        <f t="shared" si="19"/>
        <v>9.5184000000000005E-2</v>
      </c>
      <c r="G1262" t="s">
        <v>16</v>
      </c>
      <c r="J1262" t="str">
        <f>"03/11/2016 23:45"</f>
        <v>03/11/2016 23:45</v>
      </c>
    </row>
    <row r="1263" spans="1:10" x14ac:dyDescent="0.3">
      <c r="A1263" t="s">
        <v>6</v>
      </c>
      <c r="B1263" t="str">
        <f>"03/12/2016 00:00"</f>
        <v>03/12/2016 00:00</v>
      </c>
      <c r="C1263">
        <v>4.8000000000000001E-2</v>
      </c>
      <c r="D1263" t="s">
        <v>7</v>
      </c>
      <c r="E1263" s="2" t="s">
        <v>12</v>
      </c>
      <c r="F1263">
        <f t="shared" si="19"/>
        <v>9.5184000000000005E-2</v>
      </c>
      <c r="G1263" t="s">
        <v>16</v>
      </c>
      <c r="J1263" t="str">
        <f>"03/12/2016 23:45"</f>
        <v>03/12/2016 23:45</v>
      </c>
    </row>
    <row r="1264" spans="1:10" x14ac:dyDescent="0.3">
      <c r="A1264" t="s">
        <v>6</v>
      </c>
      <c r="B1264" t="str">
        <f>"03/13/2016 00:00"</f>
        <v>03/13/2016 00:00</v>
      </c>
      <c r="C1264">
        <v>4.8000000000000001E-2</v>
      </c>
      <c r="D1264" t="s">
        <v>7</v>
      </c>
      <c r="E1264" s="2" t="s">
        <v>12</v>
      </c>
      <c r="F1264">
        <f t="shared" si="19"/>
        <v>9.5184000000000005E-2</v>
      </c>
      <c r="G1264" t="s">
        <v>16</v>
      </c>
      <c r="J1264" t="str">
        <f>"03/13/2016 23:45"</f>
        <v>03/13/2016 23:45</v>
      </c>
    </row>
    <row r="1265" spans="1:10" x14ac:dyDescent="0.3">
      <c r="A1265" t="s">
        <v>6</v>
      </c>
      <c r="B1265" t="str">
        <f>"03/14/2016 00:00"</f>
        <v>03/14/2016 00:00</v>
      </c>
      <c r="C1265">
        <v>4.8000000000000001E-2</v>
      </c>
      <c r="D1265" t="s">
        <v>7</v>
      </c>
      <c r="E1265" s="2" t="s">
        <v>12</v>
      </c>
      <c r="F1265">
        <f t="shared" si="19"/>
        <v>9.5184000000000005E-2</v>
      </c>
      <c r="G1265" t="s">
        <v>16</v>
      </c>
      <c r="J1265" t="str">
        <f>"03/14/2016 23:45"</f>
        <v>03/14/2016 23:45</v>
      </c>
    </row>
    <row r="1266" spans="1:10" x14ac:dyDescent="0.3">
      <c r="A1266" t="s">
        <v>6</v>
      </c>
      <c r="B1266" t="str">
        <f>"03/15/2016 00:00"</f>
        <v>03/15/2016 00:00</v>
      </c>
      <c r="C1266">
        <v>4.8000000000000001E-2</v>
      </c>
      <c r="D1266" t="s">
        <v>7</v>
      </c>
      <c r="E1266" s="2" t="s">
        <v>12</v>
      </c>
      <c r="F1266">
        <f t="shared" si="19"/>
        <v>9.5184000000000005E-2</v>
      </c>
      <c r="G1266" t="s">
        <v>16</v>
      </c>
      <c r="J1266" t="str">
        <f>"03/15/2016 23:45"</f>
        <v>03/15/2016 23:45</v>
      </c>
    </row>
    <row r="1267" spans="1:10" x14ac:dyDescent="0.3">
      <c r="A1267" t="s">
        <v>6</v>
      </c>
      <c r="B1267" t="str">
        <f>"03/16/2016 00:00"</f>
        <v>03/16/2016 00:00</v>
      </c>
      <c r="C1267">
        <v>4.8000000000000001E-2</v>
      </c>
      <c r="D1267" t="s">
        <v>7</v>
      </c>
      <c r="E1267" s="2" t="s">
        <v>12</v>
      </c>
      <c r="F1267">
        <f t="shared" si="19"/>
        <v>9.5184000000000005E-2</v>
      </c>
      <c r="G1267" t="s">
        <v>16</v>
      </c>
      <c r="J1267" t="str">
        <f>"03/16/2016 23:45"</f>
        <v>03/16/2016 23:45</v>
      </c>
    </row>
    <row r="1268" spans="1:10" x14ac:dyDescent="0.3">
      <c r="A1268" t="s">
        <v>6</v>
      </c>
      <c r="B1268" t="str">
        <f>"03/17/2016 00:00"</f>
        <v>03/17/2016 00:00</v>
      </c>
      <c r="C1268">
        <v>4.8000000000000001E-2</v>
      </c>
      <c r="D1268" t="s">
        <v>7</v>
      </c>
      <c r="E1268" s="2" t="s">
        <v>12</v>
      </c>
      <c r="F1268">
        <f t="shared" si="19"/>
        <v>9.5184000000000005E-2</v>
      </c>
      <c r="G1268" t="s">
        <v>16</v>
      </c>
      <c r="J1268" t="str">
        <f>"03/17/2016 23:45"</f>
        <v>03/17/2016 23:45</v>
      </c>
    </row>
    <row r="1269" spans="1:10" x14ac:dyDescent="0.3">
      <c r="A1269" t="s">
        <v>6</v>
      </c>
      <c r="B1269" t="str">
        <f>"03/18/2016 00:00"</f>
        <v>03/18/2016 00:00</v>
      </c>
      <c r="C1269">
        <v>4.8000000000000001E-2</v>
      </c>
      <c r="D1269" t="s">
        <v>7</v>
      </c>
      <c r="E1269" s="2" t="s">
        <v>12</v>
      </c>
      <c r="F1269">
        <f t="shared" si="19"/>
        <v>9.5184000000000005E-2</v>
      </c>
      <c r="G1269" t="s">
        <v>16</v>
      </c>
      <c r="J1269" t="str">
        <f>"03/18/2016 23:45"</f>
        <v>03/18/2016 23:45</v>
      </c>
    </row>
    <row r="1270" spans="1:10" x14ac:dyDescent="0.3">
      <c r="A1270" t="s">
        <v>6</v>
      </c>
      <c r="B1270" t="str">
        <f>"03/19/2016 00:00"</f>
        <v>03/19/2016 00:00</v>
      </c>
      <c r="C1270">
        <v>4.8000000000000001E-2</v>
      </c>
      <c r="D1270" t="s">
        <v>7</v>
      </c>
      <c r="E1270" s="2" t="s">
        <v>12</v>
      </c>
      <c r="F1270">
        <f t="shared" si="19"/>
        <v>9.5184000000000005E-2</v>
      </c>
      <c r="G1270" t="s">
        <v>16</v>
      </c>
      <c r="J1270" t="str">
        <f>"03/19/2016 23:45"</f>
        <v>03/19/2016 23:45</v>
      </c>
    </row>
    <row r="1271" spans="1:10" x14ac:dyDescent="0.3">
      <c r="A1271" t="s">
        <v>6</v>
      </c>
      <c r="B1271" t="str">
        <f>"03/20/2016 00:00"</f>
        <v>03/20/2016 00:00</v>
      </c>
      <c r="C1271">
        <v>4.8000000000000001E-2</v>
      </c>
      <c r="D1271" t="s">
        <v>7</v>
      </c>
      <c r="E1271" s="2" t="s">
        <v>12</v>
      </c>
      <c r="F1271">
        <f t="shared" si="19"/>
        <v>9.5184000000000005E-2</v>
      </c>
      <c r="G1271" t="s">
        <v>16</v>
      </c>
      <c r="J1271" t="str">
        <f>"03/20/2016 23:45"</f>
        <v>03/20/2016 23:45</v>
      </c>
    </row>
    <row r="1272" spans="1:10" x14ac:dyDescent="0.3">
      <c r="A1272" t="s">
        <v>6</v>
      </c>
      <c r="B1272" t="str">
        <f>"03/21/2016 00:00"</f>
        <v>03/21/2016 00:00</v>
      </c>
      <c r="C1272">
        <v>4.8000000000000001E-2</v>
      </c>
      <c r="D1272" t="s">
        <v>7</v>
      </c>
      <c r="E1272" s="2" t="s">
        <v>12</v>
      </c>
      <c r="F1272">
        <f t="shared" si="19"/>
        <v>9.5184000000000005E-2</v>
      </c>
      <c r="G1272" t="s">
        <v>16</v>
      </c>
      <c r="J1272" t="str">
        <f>"03/21/2016 23:45"</f>
        <v>03/21/2016 23:45</v>
      </c>
    </row>
    <row r="1273" spans="1:10" x14ac:dyDescent="0.3">
      <c r="A1273" t="s">
        <v>6</v>
      </c>
      <c r="B1273" t="str">
        <f>"03/22/2016 00:00"</f>
        <v>03/22/2016 00:00</v>
      </c>
      <c r="C1273">
        <v>4.8000000000000001E-2</v>
      </c>
      <c r="D1273" t="s">
        <v>7</v>
      </c>
      <c r="E1273" s="2" t="s">
        <v>12</v>
      </c>
      <c r="F1273">
        <f t="shared" si="19"/>
        <v>9.5184000000000005E-2</v>
      </c>
      <c r="G1273" t="s">
        <v>16</v>
      </c>
      <c r="J1273" t="str">
        <f>"03/22/2016 23:45"</f>
        <v>03/22/2016 23:45</v>
      </c>
    </row>
    <row r="1274" spans="1:10" x14ac:dyDescent="0.3">
      <c r="A1274" t="s">
        <v>6</v>
      </c>
      <c r="B1274" t="str">
        <f>"03/23/2016 00:00"</f>
        <v>03/23/2016 00:00</v>
      </c>
      <c r="C1274">
        <v>4.8000000000000001E-2</v>
      </c>
      <c r="D1274" t="s">
        <v>7</v>
      </c>
      <c r="E1274" s="2" t="s">
        <v>12</v>
      </c>
      <c r="F1274">
        <f t="shared" si="19"/>
        <v>9.5184000000000005E-2</v>
      </c>
      <c r="G1274" t="s">
        <v>16</v>
      </c>
      <c r="J1274" t="str">
        <f>"03/23/2016 23:45"</f>
        <v>03/23/2016 23:45</v>
      </c>
    </row>
    <row r="1275" spans="1:10" x14ac:dyDescent="0.3">
      <c r="A1275" t="s">
        <v>6</v>
      </c>
      <c r="B1275" t="str">
        <f>"03/24/2016 00:00"</f>
        <v>03/24/2016 00:00</v>
      </c>
      <c r="C1275">
        <v>4.8000000000000001E-2</v>
      </c>
      <c r="D1275" t="s">
        <v>7</v>
      </c>
      <c r="E1275" s="2" t="s">
        <v>12</v>
      </c>
      <c r="F1275">
        <f t="shared" si="19"/>
        <v>9.5184000000000005E-2</v>
      </c>
      <c r="G1275" t="s">
        <v>16</v>
      </c>
      <c r="J1275" t="str">
        <f>"03/24/2016 23:45"</f>
        <v>03/24/2016 23:45</v>
      </c>
    </row>
    <row r="1276" spans="1:10" x14ac:dyDescent="0.3">
      <c r="A1276" t="s">
        <v>6</v>
      </c>
      <c r="B1276" t="str">
        <f>"03/25/2016 00:00"</f>
        <v>03/25/2016 00:00</v>
      </c>
      <c r="C1276">
        <v>4.8000000000000001E-2</v>
      </c>
      <c r="D1276" t="s">
        <v>7</v>
      </c>
      <c r="E1276" s="2" t="s">
        <v>12</v>
      </c>
      <c r="F1276">
        <f t="shared" si="19"/>
        <v>9.5184000000000005E-2</v>
      </c>
      <c r="G1276" t="s">
        <v>16</v>
      </c>
      <c r="J1276" t="str">
        <f>"03/25/2016 23:45"</f>
        <v>03/25/2016 23:45</v>
      </c>
    </row>
    <row r="1277" spans="1:10" x14ac:dyDescent="0.3">
      <c r="A1277" t="s">
        <v>6</v>
      </c>
      <c r="B1277" t="str">
        <f>"03/26/2016 00:00"</f>
        <v>03/26/2016 00:00</v>
      </c>
      <c r="C1277">
        <v>4.8000000000000001E-2</v>
      </c>
      <c r="D1277" t="s">
        <v>7</v>
      </c>
      <c r="E1277" s="2" t="s">
        <v>12</v>
      </c>
      <c r="F1277">
        <f t="shared" si="19"/>
        <v>9.5184000000000005E-2</v>
      </c>
      <c r="G1277" t="s">
        <v>16</v>
      </c>
      <c r="J1277" t="str">
        <f>"03/26/2016 23:45"</f>
        <v>03/26/2016 23:45</v>
      </c>
    </row>
    <row r="1278" spans="1:10" x14ac:dyDescent="0.3">
      <c r="A1278" t="s">
        <v>6</v>
      </c>
      <c r="B1278" t="str">
        <f>"03/27/2016 00:00"</f>
        <v>03/27/2016 00:00</v>
      </c>
      <c r="C1278">
        <v>4.8000000000000001E-2</v>
      </c>
      <c r="D1278" t="s">
        <v>7</v>
      </c>
      <c r="E1278" s="2" t="s">
        <v>12</v>
      </c>
      <c r="F1278">
        <f t="shared" si="19"/>
        <v>9.5184000000000005E-2</v>
      </c>
      <c r="G1278" t="s">
        <v>16</v>
      </c>
      <c r="J1278" t="str">
        <f>"03/27/2016 23:45"</f>
        <v>03/27/2016 23:45</v>
      </c>
    </row>
    <row r="1279" spans="1:10" x14ac:dyDescent="0.3">
      <c r="A1279" t="s">
        <v>6</v>
      </c>
      <c r="B1279" t="str">
        <f>"03/28/2016 00:00"</f>
        <v>03/28/2016 00:00</v>
      </c>
      <c r="C1279">
        <v>4.8000000000000001E-2</v>
      </c>
      <c r="D1279" t="s">
        <v>7</v>
      </c>
      <c r="E1279" s="2" t="s">
        <v>12</v>
      </c>
      <c r="F1279">
        <f t="shared" si="19"/>
        <v>9.5184000000000005E-2</v>
      </c>
      <c r="G1279" t="s">
        <v>16</v>
      </c>
      <c r="J1279" t="str">
        <f>"03/28/2016 23:45"</f>
        <v>03/28/2016 23:45</v>
      </c>
    </row>
    <row r="1280" spans="1:10" x14ac:dyDescent="0.3">
      <c r="A1280" t="s">
        <v>6</v>
      </c>
      <c r="B1280" t="str">
        <f>"03/29/2016 00:00"</f>
        <v>03/29/2016 00:00</v>
      </c>
      <c r="C1280">
        <v>4.8000000000000001E-2</v>
      </c>
      <c r="D1280" t="s">
        <v>7</v>
      </c>
      <c r="E1280" s="2" t="s">
        <v>12</v>
      </c>
      <c r="F1280">
        <f t="shared" si="19"/>
        <v>9.5184000000000005E-2</v>
      </c>
      <c r="G1280" t="s">
        <v>16</v>
      </c>
      <c r="J1280" t="str">
        <f>"03/29/2016 23:45"</f>
        <v>03/29/2016 23:45</v>
      </c>
    </row>
    <row r="1281" spans="1:10" x14ac:dyDescent="0.3">
      <c r="A1281" t="s">
        <v>6</v>
      </c>
      <c r="B1281" t="str">
        <f>"03/30/2016 00:00"</f>
        <v>03/30/2016 00:00</v>
      </c>
      <c r="C1281">
        <v>4.8000000000000001E-2</v>
      </c>
      <c r="D1281" t="s">
        <v>7</v>
      </c>
      <c r="E1281" s="2" t="s">
        <v>12</v>
      </c>
      <c r="F1281">
        <f t="shared" si="19"/>
        <v>9.5184000000000005E-2</v>
      </c>
      <c r="G1281" t="s">
        <v>16</v>
      </c>
      <c r="J1281" t="str">
        <f>"03/30/2016 23:45"</f>
        <v>03/30/2016 23:45</v>
      </c>
    </row>
    <row r="1282" spans="1:10" x14ac:dyDescent="0.3">
      <c r="A1282" t="s">
        <v>6</v>
      </c>
      <c r="B1282" t="str">
        <f>"03/31/2016 00:00"</f>
        <v>03/31/2016 00:00</v>
      </c>
      <c r="C1282">
        <v>4.8000000000000001E-2</v>
      </c>
      <c r="D1282" t="s">
        <v>7</v>
      </c>
      <c r="E1282" s="2" t="s">
        <v>12</v>
      </c>
      <c r="F1282">
        <f t="shared" si="19"/>
        <v>9.5184000000000005E-2</v>
      </c>
      <c r="G1282" t="s">
        <v>16</v>
      </c>
      <c r="J1282" t="str">
        <f>"03/31/2016 23:45"</f>
        <v>03/31/2016 23:45</v>
      </c>
    </row>
    <row r="1283" spans="1:10" x14ac:dyDescent="0.3">
      <c r="A1283" t="s">
        <v>6</v>
      </c>
      <c r="B1283" t="str">
        <f>"04/01/2016 00:00"</f>
        <v>04/01/2016 00:00</v>
      </c>
      <c r="C1283">
        <v>4.8000000000000001E-2</v>
      </c>
      <c r="D1283" t="s">
        <v>7</v>
      </c>
      <c r="E1283" s="2" t="s">
        <v>12</v>
      </c>
      <c r="F1283">
        <f t="shared" si="19"/>
        <v>9.5184000000000005E-2</v>
      </c>
      <c r="G1283" t="s">
        <v>16</v>
      </c>
      <c r="J1283" t="str">
        <f>"04/01/2016 23:45"</f>
        <v>04/01/2016 23:45</v>
      </c>
    </row>
    <row r="1284" spans="1:10" x14ac:dyDescent="0.3">
      <c r="A1284" t="s">
        <v>6</v>
      </c>
      <c r="B1284" t="str">
        <f>"04/02/2016 00:00"</f>
        <v>04/02/2016 00:00</v>
      </c>
      <c r="C1284">
        <v>4.8000000000000001E-2</v>
      </c>
      <c r="D1284" t="s">
        <v>7</v>
      </c>
      <c r="E1284" s="2" t="s">
        <v>12</v>
      </c>
      <c r="F1284">
        <f t="shared" si="19"/>
        <v>9.5184000000000005E-2</v>
      </c>
      <c r="G1284" t="s">
        <v>16</v>
      </c>
      <c r="J1284" t="str">
        <f>"04/02/2016 23:45"</f>
        <v>04/02/2016 23:45</v>
      </c>
    </row>
    <row r="1285" spans="1:10" x14ac:dyDescent="0.3">
      <c r="A1285" t="s">
        <v>6</v>
      </c>
      <c r="B1285" t="str">
        <f>"04/03/2016 00:00"</f>
        <v>04/03/2016 00:00</v>
      </c>
      <c r="C1285">
        <v>4.8000000000000001E-2</v>
      </c>
      <c r="D1285" t="s">
        <v>7</v>
      </c>
      <c r="E1285" s="2" t="s">
        <v>12</v>
      </c>
      <c r="F1285">
        <f t="shared" si="19"/>
        <v>9.5184000000000005E-2</v>
      </c>
      <c r="G1285" t="s">
        <v>16</v>
      </c>
      <c r="J1285" t="str">
        <f>"04/03/2016 23:45"</f>
        <v>04/03/2016 23:45</v>
      </c>
    </row>
    <row r="1286" spans="1:10" x14ac:dyDescent="0.3">
      <c r="A1286" t="s">
        <v>6</v>
      </c>
      <c r="B1286" t="str">
        <f>"04/04/2016 00:00"</f>
        <v>04/04/2016 00:00</v>
      </c>
      <c r="C1286">
        <v>4.8000000000000001E-2</v>
      </c>
      <c r="D1286" t="s">
        <v>7</v>
      </c>
      <c r="E1286" s="2" t="s">
        <v>12</v>
      </c>
      <c r="F1286">
        <f t="shared" ref="F1286:F1349" si="20">C1286*1.983</f>
        <v>9.5184000000000005E-2</v>
      </c>
      <c r="G1286" t="s">
        <v>16</v>
      </c>
      <c r="J1286" t="str">
        <f>"04/04/2016 23:45"</f>
        <v>04/04/2016 23:45</v>
      </c>
    </row>
    <row r="1287" spans="1:10" x14ac:dyDescent="0.3">
      <c r="A1287" t="s">
        <v>6</v>
      </c>
      <c r="B1287" t="str">
        <f>"04/05/2016 00:00"</f>
        <v>04/05/2016 00:00</v>
      </c>
      <c r="C1287">
        <v>4.8000000000000001E-2</v>
      </c>
      <c r="D1287" t="s">
        <v>7</v>
      </c>
      <c r="E1287" s="2" t="s">
        <v>12</v>
      </c>
      <c r="F1287">
        <f t="shared" si="20"/>
        <v>9.5184000000000005E-2</v>
      </c>
      <c r="G1287" t="s">
        <v>16</v>
      </c>
      <c r="J1287" t="str">
        <f>"04/05/2016 23:45"</f>
        <v>04/05/2016 23:45</v>
      </c>
    </row>
    <row r="1288" spans="1:10" x14ac:dyDescent="0.3">
      <c r="A1288" t="s">
        <v>6</v>
      </c>
      <c r="B1288" t="str">
        <f>"04/06/2016 00:00"</f>
        <v>04/06/2016 00:00</v>
      </c>
      <c r="C1288">
        <v>4.8000000000000001E-2</v>
      </c>
      <c r="D1288" t="s">
        <v>7</v>
      </c>
      <c r="E1288" s="2" t="s">
        <v>12</v>
      </c>
      <c r="F1288">
        <f t="shared" si="20"/>
        <v>9.5184000000000005E-2</v>
      </c>
      <c r="G1288" t="s">
        <v>16</v>
      </c>
      <c r="J1288" t="str">
        <f>"04/06/2016 23:45"</f>
        <v>04/06/2016 23:45</v>
      </c>
    </row>
    <row r="1289" spans="1:10" x14ac:dyDescent="0.3">
      <c r="A1289" t="s">
        <v>6</v>
      </c>
      <c r="B1289" t="str">
        <f>"04/07/2016 00:00"</f>
        <v>04/07/2016 00:00</v>
      </c>
      <c r="C1289">
        <v>4.8000000000000001E-2</v>
      </c>
      <c r="D1289" t="s">
        <v>7</v>
      </c>
      <c r="E1289" s="2" t="s">
        <v>12</v>
      </c>
      <c r="F1289">
        <f t="shared" si="20"/>
        <v>9.5184000000000005E-2</v>
      </c>
      <c r="G1289" t="s">
        <v>16</v>
      </c>
      <c r="J1289" t="str">
        <f>"04/07/2016 23:45"</f>
        <v>04/07/2016 23:45</v>
      </c>
    </row>
    <row r="1290" spans="1:10" x14ac:dyDescent="0.3">
      <c r="A1290" t="s">
        <v>6</v>
      </c>
      <c r="B1290" t="str">
        <f>"04/08/2016 00:00"</f>
        <v>04/08/2016 00:00</v>
      </c>
      <c r="C1290">
        <v>4.8000000000000001E-2</v>
      </c>
      <c r="D1290" t="s">
        <v>7</v>
      </c>
      <c r="E1290" s="2" t="s">
        <v>12</v>
      </c>
      <c r="F1290">
        <f t="shared" si="20"/>
        <v>9.5184000000000005E-2</v>
      </c>
      <c r="G1290" t="s">
        <v>16</v>
      </c>
      <c r="J1290" t="str">
        <f>"04/08/2016 23:45"</f>
        <v>04/08/2016 23:45</v>
      </c>
    </row>
    <row r="1291" spans="1:10" x14ac:dyDescent="0.3">
      <c r="A1291" t="s">
        <v>6</v>
      </c>
      <c r="B1291" t="str">
        <f>"04/09/2016 00:00"</f>
        <v>04/09/2016 00:00</v>
      </c>
      <c r="C1291">
        <v>4.8000000000000001E-2</v>
      </c>
      <c r="D1291" t="s">
        <v>7</v>
      </c>
      <c r="E1291" s="2" t="s">
        <v>12</v>
      </c>
      <c r="F1291">
        <f t="shared" si="20"/>
        <v>9.5184000000000005E-2</v>
      </c>
      <c r="G1291" t="s">
        <v>16</v>
      </c>
      <c r="J1291" t="str">
        <f>"04/09/2016 23:45"</f>
        <v>04/09/2016 23:45</v>
      </c>
    </row>
    <row r="1292" spans="1:10" x14ac:dyDescent="0.3">
      <c r="A1292" t="s">
        <v>6</v>
      </c>
      <c r="B1292" t="str">
        <f>"04/10/2016 00:00"</f>
        <v>04/10/2016 00:00</v>
      </c>
      <c r="C1292">
        <v>4.8000000000000001E-2</v>
      </c>
      <c r="D1292" t="s">
        <v>7</v>
      </c>
      <c r="E1292" s="2" t="s">
        <v>12</v>
      </c>
      <c r="F1292">
        <f t="shared" si="20"/>
        <v>9.5184000000000005E-2</v>
      </c>
      <c r="G1292" t="s">
        <v>16</v>
      </c>
      <c r="J1292" t="str">
        <f>"04/10/2016 23:45"</f>
        <v>04/10/2016 23:45</v>
      </c>
    </row>
    <row r="1293" spans="1:10" x14ac:dyDescent="0.3">
      <c r="A1293" t="s">
        <v>6</v>
      </c>
      <c r="B1293" t="str">
        <f>"04/11/2016 00:00"</f>
        <v>04/11/2016 00:00</v>
      </c>
      <c r="C1293">
        <v>4.8000000000000001E-2</v>
      </c>
      <c r="D1293" t="s">
        <v>7</v>
      </c>
      <c r="E1293" s="2" t="s">
        <v>12</v>
      </c>
      <c r="F1293">
        <f t="shared" si="20"/>
        <v>9.5184000000000005E-2</v>
      </c>
      <c r="G1293" t="s">
        <v>16</v>
      </c>
      <c r="I1293" t="s">
        <v>8</v>
      </c>
      <c r="J1293" t="str">
        <f>"04/11/2016 23:45"</f>
        <v>04/11/2016 23:45</v>
      </c>
    </row>
    <row r="1294" spans="1:10" x14ac:dyDescent="0.3">
      <c r="A1294" t="s">
        <v>6</v>
      </c>
      <c r="B1294" t="str">
        <f>"04/12/2016 00:00"</f>
        <v>04/12/2016 00:00</v>
      </c>
      <c r="C1294">
        <v>4.8000000000000001E-2</v>
      </c>
      <c r="D1294" t="s">
        <v>7</v>
      </c>
      <c r="E1294" s="2" t="s">
        <v>12</v>
      </c>
      <c r="F1294">
        <f t="shared" si="20"/>
        <v>9.5184000000000005E-2</v>
      </c>
      <c r="G1294" t="s">
        <v>16</v>
      </c>
      <c r="J1294" t="str">
        <f>"04/12/2016 23:45"</f>
        <v>04/12/2016 23:45</v>
      </c>
    </row>
    <row r="1295" spans="1:10" x14ac:dyDescent="0.3">
      <c r="A1295" t="s">
        <v>6</v>
      </c>
      <c r="B1295" t="str">
        <f>"04/13/2016 00:00"</f>
        <v>04/13/2016 00:00</v>
      </c>
      <c r="C1295">
        <v>4.8000000000000001E-2</v>
      </c>
      <c r="D1295" t="s">
        <v>7</v>
      </c>
      <c r="E1295" s="2" t="s">
        <v>12</v>
      </c>
      <c r="F1295">
        <f t="shared" si="20"/>
        <v>9.5184000000000005E-2</v>
      </c>
      <c r="G1295" t="s">
        <v>16</v>
      </c>
      <c r="J1295" t="str">
        <f>"04/13/2016 23:45"</f>
        <v>04/13/2016 23:45</v>
      </c>
    </row>
    <row r="1296" spans="1:10" x14ac:dyDescent="0.3">
      <c r="A1296" t="s">
        <v>6</v>
      </c>
      <c r="B1296" t="str">
        <f>"04/14/2016 00:00"</f>
        <v>04/14/2016 00:00</v>
      </c>
      <c r="C1296">
        <v>4.8000000000000001E-2</v>
      </c>
      <c r="D1296" t="s">
        <v>7</v>
      </c>
      <c r="E1296" s="2" t="s">
        <v>12</v>
      </c>
      <c r="F1296">
        <f t="shared" si="20"/>
        <v>9.5184000000000005E-2</v>
      </c>
      <c r="G1296" t="s">
        <v>16</v>
      </c>
      <c r="J1296" t="str">
        <f>"04/14/2016 23:45"</f>
        <v>04/14/2016 23:45</v>
      </c>
    </row>
    <row r="1297" spans="1:10" x14ac:dyDescent="0.3">
      <c r="A1297" t="s">
        <v>6</v>
      </c>
      <c r="B1297" t="str">
        <f>"04/15/2016 00:00"</f>
        <v>04/15/2016 00:00</v>
      </c>
      <c r="C1297">
        <v>4.8000000000000001E-2</v>
      </c>
      <c r="D1297" t="s">
        <v>7</v>
      </c>
      <c r="E1297" s="2" t="s">
        <v>12</v>
      </c>
      <c r="F1297">
        <f t="shared" si="20"/>
        <v>9.5184000000000005E-2</v>
      </c>
      <c r="G1297" t="s">
        <v>16</v>
      </c>
      <c r="J1297" t="str">
        <f>"04/15/2016 23:45"</f>
        <v>04/15/2016 23:45</v>
      </c>
    </row>
    <row r="1298" spans="1:10" x14ac:dyDescent="0.3">
      <c r="A1298" t="s">
        <v>6</v>
      </c>
      <c r="B1298" t="str">
        <f>"04/16/2016 00:00"</f>
        <v>04/16/2016 00:00</v>
      </c>
      <c r="C1298">
        <v>4.8000000000000001E-2</v>
      </c>
      <c r="D1298" t="s">
        <v>7</v>
      </c>
      <c r="E1298" s="2" t="s">
        <v>12</v>
      </c>
      <c r="F1298">
        <f t="shared" si="20"/>
        <v>9.5184000000000005E-2</v>
      </c>
      <c r="G1298" t="s">
        <v>16</v>
      </c>
      <c r="J1298" t="str">
        <f>"04/16/2016 23:45"</f>
        <v>04/16/2016 23:45</v>
      </c>
    </row>
    <row r="1299" spans="1:10" x14ac:dyDescent="0.3">
      <c r="A1299" t="s">
        <v>6</v>
      </c>
      <c r="B1299" t="str">
        <f>"04/17/2016 00:00"</f>
        <v>04/17/2016 00:00</v>
      </c>
      <c r="C1299">
        <v>0.105</v>
      </c>
      <c r="D1299" t="s">
        <v>7</v>
      </c>
      <c r="E1299" s="2" t="s">
        <v>12</v>
      </c>
      <c r="F1299">
        <f t="shared" si="20"/>
        <v>0.20821500000000001</v>
      </c>
      <c r="G1299" t="s">
        <v>16</v>
      </c>
      <c r="J1299" t="str">
        <f>"04/17/2016 23:45"</f>
        <v>04/17/2016 23:45</v>
      </c>
    </row>
    <row r="1300" spans="1:10" x14ac:dyDescent="0.3">
      <c r="A1300" t="s">
        <v>6</v>
      </c>
      <c r="B1300" t="str">
        <f>"04/18/2016 00:00"</f>
        <v>04/18/2016 00:00</v>
      </c>
      <c r="C1300">
        <v>0.14599999999999999</v>
      </c>
      <c r="D1300" t="s">
        <v>7</v>
      </c>
      <c r="E1300" s="2" t="s">
        <v>12</v>
      </c>
      <c r="F1300">
        <f t="shared" si="20"/>
        <v>0.289518</v>
      </c>
      <c r="G1300" t="s">
        <v>16</v>
      </c>
      <c r="J1300" t="str">
        <f>"04/18/2016 23:45"</f>
        <v>04/18/2016 23:45</v>
      </c>
    </row>
    <row r="1301" spans="1:10" x14ac:dyDescent="0.3">
      <c r="A1301" t="s">
        <v>6</v>
      </c>
      <c r="B1301" t="str">
        <f>"04/19/2016 00:00"</f>
        <v>04/19/2016 00:00</v>
      </c>
      <c r="C1301">
        <v>0.14599999999999999</v>
      </c>
      <c r="D1301" t="s">
        <v>7</v>
      </c>
      <c r="E1301" s="2" t="s">
        <v>12</v>
      </c>
      <c r="F1301">
        <f t="shared" si="20"/>
        <v>0.289518</v>
      </c>
      <c r="G1301" t="s">
        <v>16</v>
      </c>
      <c r="J1301" t="str">
        <f>"04/19/2016 23:45"</f>
        <v>04/19/2016 23:45</v>
      </c>
    </row>
    <row r="1302" spans="1:10" x14ac:dyDescent="0.3">
      <c r="A1302" t="s">
        <v>6</v>
      </c>
      <c r="B1302" t="str">
        <f>"04/20/2016 00:00"</f>
        <v>04/20/2016 00:00</v>
      </c>
      <c r="C1302">
        <v>0.14599999999999999</v>
      </c>
      <c r="D1302" t="s">
        <v>7</v>
      </c>
      <c r="E1302" s="2" t="s">
        <v>12</v>
      </c>
      <c r="F1302">
        <f t="shared" si="20"/>
        <v>0.289518</v>
      </c>
      <c r="G1302" t="s">
        <v>16</v>
      </c>
      <c r="J1302" t="str">
        <f>"04/20/2016 23:45"</f>
        <v>04/20/2016 23:45</v>
      </c>
    </row>
    <row r="1303" spans="1:10" x14ac:dyDescent="0.3">
      <c r="A1303" t="s">
        <v>6</v>
      </c>
      <c r="B1303" t="str">
        <f>"04/21/2016 00:00"</f>
        <v>04/21/2016 00:00</v>
      </c>
      <c r="C1303">
        <v>0.14599999999999999</v>
      </c>
      <c r="D1303" t="s">
        <v>7</v>
      </c>
      <c r="E1303" s="2" t="s">
        <v>12</v>
      </c>
      <c r="F1303">
        <f t="shared" si="20"/>
        <v>0.289518</v>
      </c>
      <c r="G1303" t="s">
        <v>16</v>
      </c>
      <c r="J1303" t="str">
        <f>"04/21/2016 23:45"</f>
        <v>04/21/2016 23:45</v>
      </c>
    </row>
    <row r="1304" spans="1:10" x14ac:dyDescent="0.3">
      <c r="A1304" t="s">
        <v>6</v>
      </c>
      <c r="B1304" t="str">
        <f>"04/22/2016 00:00"</f>
        <v>04/22/2016 00:00</v>
      </c>
      <c r="C1304">
        <v>0.14599999999999999</v>
      </c>
      <c r="D1304" t="s">
        <v>7</v>
      </c>
      <c r="E1304" s="2" t="s">
        <v>12</v>
      </c>
      <c r="F1304">
        <f t="shared" si="20"/>
        <v>0.289518</v>
      </c>
      <c r="G1304" t="s">
        <v>16</v>
      </c>
      <c r="J1304" t="str">
        <f>"04/22/2016 23:45"</f>
        <v>04/22/2016 23:45</v>
      </c>
    </row>
    <row r="1305" spans="1:10" x14ac:dyDescent="0.3">
      <c r="A1305" t="s">
        <v>6</v>
      </c>
      <c r="B1305" t="str">
        <f>"04/23/2016 00:00"</f>
        <v>04/23/2016 00:00</v>
      </c>
      <c r="C1305">
        <v>0.14599999999999999</v>
      </c>
      <c r="D1305" t="s">
        <v>7</v>
      </c>
      <c r="E1305" s="2" t="s">
        <v>12</v>
      </c>
      <c r="F1305">
        <f t="shared" si="20"/>
        <v>0.289518</v>
      </c>
      <c r="G1305" t="s">
        <v>16</v>
      </c>
      <c r="J1305" t="str">
        <f>"04/23/2016 23:45"</f>
        <v>04/23/2016 23:45</v>
      </c>
    </row>
    <row r="1306" spans="1:10" x14ac:dyDescent="0.3">
      <c r="A1306" t="s">
        <v>6</v>
      </c>
      <c r="B1306" t="str">
        <f>"04/24/2016 00:00"</f>
        <v>04/24/2016 00:00</v>
      </c>
      <c r="C1306">
        <v>0.14599999999999999</v>
      </c>
      <c r="D1306" t="s">
        <v>7</v>
      </c>
      <c r="E1306" s="2" t="s">
        <v>12</v>
      </c>
      <c r="F1306">
        <f t="shared" si="20"/>
        <v>0.289518</v>
      </c>
      <c r="G1306" t="s">
        <v>16</v>
      </c>
      <c r="J1306" t="str">
        <f>"04/24/2016 23:45"</f>
        <v>04/24/2016 23:45</v>
      </c>
    </row>
    <row r="1307" spans="1:10" x14ac:dyDescent="0.3">
      <c r="A1307" t="s">
        <v>6</v>
      </c>
      <c r="B1307" t="str">
        <f>"04/25/2016 00:00"</f>
        <v>04/25/2016 00:00</v>
      </c>
      <c r="C1307">
        <v>0.14599999999999999</v>
      </c>
      <c r="D1307" t="s">
        <v>7</v>
      </c>
      <c r="E1307" s="2" t="s">
        <v>12</v>
      </c>
      <c r="F1307">
        <f t="shared" si="20"/>
        <v>0.289518</v>
      </c>
      <c r="G1307" t="s">
        <v>16</v>
      </c>
      <c r="J1307" t="str">
        <f>"04/25/2016 23:45"</f>
        <v>04/25/2016 23:45</v>
      </c>
    </row>
    <row r="1308" spans="1:10" x14ac:dyDescent="0.3">
      <c r="A1308" t="s">
        <v>6</v>
      </c>
      <c r="B1308" t="str">
        <f>"04/26/2016 00:00"</f>
        <v>04/26/2016 00:00</v>
      </c>
      <c r="C1308">
        <v>0.14599999999999999</v>
      </c>
      <c r="D1308" t="s">
        <v>7</v>
      </c>
      <c r="E1308" s="2" t="s">
        <v>12</v>
      </c>
      <c r="F1308">
        <f t="shared" si="20"/>
        <v>0.289518</v>
      </c>
      <c r="G1308" t="s">
        <v>16</v>
      </c>
      <c r="J1308" t="str">
        <f>"04/26/2016 23:45"</f>
        <v>04/26/2016 23:45</v>
      </c>
    </row>
    <row r="1309" spans="1:10" x14ac:dyDescent="0.3">
      <c r="A1309" t="s">
        <v>6</v>
      </c>
      <c r="B1309" t="str">
        <f>"04/27/2016 00:00"</f>
        <v>04/27/2016 00:00</v>
      </c>
      <c r="C1309">
        <v>0.14599999999999999</v>
      </c>
      <c r="D1309" t="s">
        <v>7</v>
      </c>
      <c r="E1309" s="2" t="s">
        <v>12</v>
      </c>
      <c r="F1309">
        <f t="shared" si="20"/>
        <v>0.289518</v>
      </c>
      <c r="G1309" t="s">
        <v>16</v>
      </c>
      <c r="J1309" t="str">
        <f>"04/27/2016 23:45"</f>
        <v>04/27/2016 23:45</v>
      </c>
    </row>
    <row r="1310" spans="1:10" x14ac:dyDescent="0.3">
      <c r="A1310" t="s">
        <v>6</v>
      </c>
      <c r="B1310" t="str">
        <f>"04/28/2016 00:00"</f>
        <v>04/28/2016 00:00</v>
      </c>
      <c r="C1310">
        <v>0.14599999999999999</v>
      </c>
      <c r="D1310" t="s">
        <v>7</v>
      </c>
      <c r="E1310" s="2" t="s">
        <v>12</v>
      </c>
      <c r="F1310">
        <f t="shared" si="20"/>
        <v>0.289518</v>
      </c>
      <c r="G1310" t="s">
        <v>16</v>
      </c>
      <c r="J1310" t="str">
        <f>"04/28/2016 23:45"</f>
        <v>04/28/2016 23:45</v>
      </c>
    </row>
    <row r="1311" spans="1:10" x14ac:dyDescent="0.3">
      <c r="A1311" t="s">
        <v>6</v>
      </c>
      <c r="B1311" t="str">
        <f>"04/29/2016 00:00"</f>
        <v>04/29/2016 00:00</v>
      </c>
      <c r="C1311">
        <v>0.13300000000000001</v>
      </c>
      <c r="D1311" t="s">
        <v>7</v>
      </c>
      <c r="E1311" s="2" t="s">
        <v>12</v>
      </c>
      <c r="F1311">
        <f t="shared" si="20"/>
        <v>0.263739</v>
      </c>
      <c r="G1311" t="s">
        <v>16</v>
      </c>
      <c r="J1311" t="str">
        <f>"04/29/2016 23:45"</f>
        <v>04/29/2016 23:45</v>
      </c>
    </row>
    <row r="1312" spans="1:10" x14ac:dyDescent="0.3">
      <c r="A1312" t="s">
        <v>6</v>
      </c>
      <c r="B1312" t="str">
        <f>"04/30/2016 00:00"</f>
        <v>04/30/2016 00:00</v>
      </c>
      <c r="C1312">
        <v>0.14599999999999999</v>
      </c>
      <c r="D1312" t="s">
        <v>7</v>
      </c>
      <c r="E1312" s="2" t="s">
        <v>12</v>
      </c>
      <c r="F1312">
        <f t="shared" si="20"/>
        <v>0.289518</v>
      </c>
      <c r="G1312" t="s">
        <v>16</v>
      </c>
      <c r="J1312" t="str">
        <f>"04/30/2016 23:45"</f>
        <v>04/30/2016 23:45</v>
      </c>
    </row>
    <row r="1313" spans="1:10" x14ac:dyDescent="0.3">
      <c r="A1313" t="s">
        <v>6</v>
      </c>
      <c r="B1313" t="str">
        <f>"05/01/2016 00:00"</f>
        <v>05/01/2016 00:00</v>
      </c>
      <c r="C1313">
        <v>0.14599999999999999</v>
      </c>
      <c r="D1313" t="s">
        <v>7</v>
      </c>
      <c r="E1313" s="2" t="s">
        <v>12</v>
      </c>
      <c r="F1313">
        <f t="shared" si="20"/>
        <v>0.289518</v>
      </c>
      <c r="G1313" t="s">
        <v>16</v>
      </c>
      <c r="J1313" t="str">
        <f>"05/01/2016 23:45"</f>
        <v>05/01/2016 23:45</v>
      </c>
    </row>
    <row r="1314" spans="1:10" x14ac:dyDescent="0.3">
      <c r="A1314" t="s">
        <v>6</v>
      </c>
      <c r="B1314" t="str">
        <f>"05/02/2016 00:00"</f>
        <v>05/02/2016 00:00</v>
      </c>
      <c r="C1314">
        <v>0.14599999999999999</v>
      </c>
      <c r="D1314" t="s">
        <v>7</v>
      </c>
      <c r="E1314" s="2" t="s">
        <v>12</v>
      </c>
      <c r="F1314">
        <f t="shared" si="20"/>
        <v>0.289518</v>
      </c>
      <c r="G1314" t="s">
        <v>16</v>
      </c>
      <c r="J1314" t="str">
        <f>"05/02/2016 23:45"</f>
        <v>05/02/2016 23:45</v>
      </c>
    </row>
    <row r="1315" spans="1:10" x14ac:dyDescent="0.3">
      <c r="A1315" t="s">
        <v>6</v>
      </c>
      <c r="B1315" t="str">
        <f>"05/03/2016 00:00"</f>
        <v>05/03/2016 00:00</v>
      </c>
      <c r="C1315">
        <v>0.14599999999999999</v>
      </c>
      <c r="D1315" t="s">
        <v>7</v>
      </c>
      <c r="E1315" s="2" t="s">
        <v>12</v>
      </c>
      <c r="F1315">
        <f t="shared" si="20"/>
        <v>0.289518</v>
      </c>
      <c r="G1315" t="s">
        <v>16</v>
      </c>
      <c r="J1315" t="str">
        <f>"05/03/2016 23:45"</f>
        <v>05/03/2016 23:45</v>
      </c>
    </row>
    <row r="1316" spans="1:10" x14ac:dyDescent="0.3">
      <c r="A1316" t="s">
        <v>6</v>
      </c>
      <c r="B1316" t="str">
        <f>"05/04/2016 00:00"</f>
        <v>05/04/2016 00:00</v>
      </c>
      <c r="C1316">
        <v>0.14599999999999999</v>
      </c>
      <c r="D1316" t="s">
        <v>7</v>
      </c>
      <c r="E1316" s="2" t="s">
        <v>12</v>
      </c>
      <c r="F1316">
        <f t="shared" si="20"/>
        <v>0.289518</v>
      </c>
      <c r="G1316" t="s">
        <v>16</v>
      </c>
      <c r="J1316" t="str">
        <f>"05/04/2016 23:45"</f>
        <v>05/04/2016 23:45</v>
      </c>
    </row>
    <row r="1317" spans="1:10" x14ac:dyDescent="0.3">
      <c r="A1317" t="s">
        <v>6</v>
      </c>
      <c r="B1317" t="str">
        <f>"05/05/2016 00:00"</f>
        <v>05/05/2016 00:00</v>
      </c>
      <c r="C1317">
        <v>0.14599999999999999</v>
      </c>
      <c r="D1317" t="s">
        <v>7</v>
      </c>
      <c r="E1317" s="2" t="s">
        <v>12</v>
      </c>
      <c r="F1317">
        <f t="shared" si="20"/>
        <v>0.289518</v>
      </c>
      <c r="G1317" t="s">
        <v>16</v>
      </c>
      <c r="J1317" t="str">
        <f>"05/05/2016 23:45"</f>
        <v>05/05/2016 23:45</v>
      </c>
    </row>
    <row r="1318" spans="1:10" x14ac:dyDescent="0.3">
      <c r="A1318" t="s">
        <v>6</v>
      </c>
      <c r="B1318" t="str">
        <f>"05/06/2016 00:00"</f>
        <v>05/06/2016 00:00</v>
      </c>
      <c r="C1318">
        <v>0.14599999999999999</v>
      </c>
      <c r="D1318" t="s">
        <v>7</v>
      </c>
      <c r="E1318" s="2" t="s">
        <v>12</v>
      </c>
      <c r="F1318">
        <f t="shared" si="20"/>
        <v>0.289518</v>
      </c>
      <c r="G1318" t="s">
        <v>16</v>
      </c>
      <c r="J1318" t="str">
        <f>"05/06/2016 23:45"</f>
        <v>05/06/2016 23:45</v>
      </c>
    </row>
    <row r="1319" spans="1:10" x14ac:dyDescent="0.3">
      <c r="A1319" t="s">
        <v>6</v>
      </c>
      <c r="B1319" t="str">
        <f>"05/07/2016 00:00"</f>
        <v>05/07/2016 00:00</v>
      </c>
      <c r="C1319">
        <v>0.14599999999999999</v>
      </c>
      <c r="D1319" t="s">
        <v>7</v>
      </c>
      <c r="E1319" s="2" t="s">
        <v>12</v>
      </c>
      <c r="F1319">
        <f t="shared" si="20"/>
        <v>0.289518</v>
      </c>
      <c r="G1319" t="s">
        <v>16</v>
      </c>
      <c r="J1319" t="str">
        <f>"05/07/2016 23:45"</f>
        <v>05/07/2016 23:45</v>
      </c>
    </row>
    <row r="1320" spans="1:10" x14ac:dyDescent="0.3">
      <c r="A1320" t="s">
        <v>6</v>
      </c>
      <c r="B1320" t="str">
        <f>"05/08/2016 00:00"</f>
        <v>05/08/2016 00:00</v>
      </c>
      <c r="C1320">
        <v>0.14599999999999999</v>
      </c>
      <c r="D1320" t="s">
        <v>7</v>
      </c>
      <c r="E1320" s="2" t="s">
        <v>12</v>
      </c>
      <c r="F1320">
        <f t="shared" si="20"/>
        <v>0.289518</v>
      </c>
      <c r="G1320" t="s">
        <v>16</v>
      </c>
      <c r="J1320" t="str">
        <f>"05/08/2016 23:45"</f>
        <v>05/08/2016 23:45</v>
      </c>
    </row>
    <row r="1321" spans="1:10" x14ac:dyDescent="0.3">
      <c r="A1321" t="s">
        <v>6</v>
      </c>
      <c r="B1321" t="str">
        <f>"05/09/2016 00:00"</f>
        <v>05/09/2016 00:00</v>
      </c>
      <c r="C1321">
        <v>0.14599999999999999</v>
      </c>
      <c r="D1321" t="s">
        <v>7</v>
      </c>
      <c r="E1321" s="2" t="s">
        <v>12</v>
      </c>
      <c r="F1321">
        <f t="shared" si="20"/>
        <v>0.289518</v>
      </c>
      <c r="G1321" t="s">
        <v>16</v>
      </c>
      <c r="J1321" t="str">
        <f>"05/09/2016 23:45"</f>
        <v>05/09/2016 23:45</v>
      </c>
    </row>
    <row r="1322" spans="1:10" x14ac:dyDescent="0.3">
      <c r="A1322" t="s">
        <v>6</v>
      </c>
      <c r="B1322" t="str">
        <f>"05/10/2016 00:00"</f>
        <v>05/10/2016 00:00</v>
      </c>
      <c r="C1322">
        <v>0.14599999999999999</v>
      </c>
      <c r="D1322" t="s">
        <v>7</v>
      </c>
      <c r="E1322" s="2" t="s">
        <v>12</v>
      </c>
      <c r="F1322">
        <f t="shared" si="20"/>
        <v>0.289518</v>
      </c>
      <c r="G1322" t="s">
        <v>16</v>
      </c>
      <c r="J1322" t="str">
        <f>"05/10/2016 23:45"</f>
        <v>05/10/2016 23:45</v>
      </c>
    </row>
    <row r="1323" spans="1:10" x14ac:dyDescent="0.3">
      <c r="A1323" t="s">
        <v>6</v>
      </c>
      <c r="B1323" t="str">
        <f>"05/11/2016 00:00"</f>
        <v>05/11/2016 00:00</v>
      </c>
      <c r="C1323">
        <v>0.14599999999999999</v>
      </c>
      <c r="D1323" t="s">
        <v>7</v>
      </c>
      <c r="E1323" s="2" t="s">
        <v>12</v>
      </c>
      <c r="F1323">
        <f t="shared" si="20"/>
        <v>0.289518</v>
      </c>
      <c r="G1323" t="s">
        <v>16</v>
      </c>
      <c r="J1323" t="str">
        <f>"05/11/2016 23:45"</f>
        <v>05/11/2016 23:45</v>
      </c>
    </row>
    <row r="1324" spans="1:10" x14ac:dyDescent="0.3">
      <c r="A1324" t="s">
        <v>6</v>
      </c>
      <c r="B1324" t="str">
        <f>"05/12/2016 00:00"</f>
        <v>05/12/2016 00:00</v>
      </c>
      <c r="C1324">
        <v>0.14599999999999999</v>
      </c>
      <c r="D1324" t="s">
        <v>7</v>
      </c>
      <c r="E1324" s="2" t="s">
        <v>12</v>
      </c>
      <c r="F1324">
        <f t="shared" si="20"/>
        <v>0.289518</v>
      </c>
      <c r="G1324" t="s">
        <v>16</v>
      </c>
      <c r="J1324" t="str">
        <f>"05/12/2016 23:45"</f>
        <v>05/12/2016 23:45</v>
      </c>
    </row>
    <row r="1325" spans="1:10" x14ac:dyDescent="0.3">
      <c r="A1325" t="s">
        <v>6</v>
      </c>
      <c r="B1325" t="str">
        <f>"05/13/2016 00:00"</f>
        <v>05/13/2016 00:00</v>
      </c>
      <c r="C1325">
        <v>0.14599999999999999</v>
      </c>
      <c r="D1325" t="s">
        <v>7</v>
      </c>
      <c r="E1325" s="2" t="s">
        <v>12</v>
      </c>
      <c r="F1325">
        <f t="shared" si="20"/>
        <v>0.289518</v>
      </c>
      <c r="G1325" t="s">
        <v>16</v>
      </c>
      <c r="J1325" t="str">
        <f>"05/13/2016 23:45"</f>
        <v>05/13/2016 23:45</v>
      </c>
    </row>
    <row r="1326" spans="1:10" x14ac:dyDescent="0.3">
      <c r="A1326" t="s">
        <v>6</v>
      </c>
      <c r="B1326" t="str">
        <f>"05/14/2016 00:00"</f>
        <v>05/14/2016 00:00</v>
      </c>
      <c r="C1326">
        <v>0.14599999999999999</v>
      </c>
      <c r="D1326" t="s">
        <v>7</v>
      </c>
      <c r="E1326" s="2" t="s">
        <v>12</v>
      </c>
      <c r="F1326">
        <f t="shared" si="20"/>
        <v>0.289518</v>
      </c>
      <c r="G1326" t="s">
        <v>16</v>
      </c>
      <c r="J1326" t="str">
        <f>"05/14/2016 23:45"</f>
        <v>05/14/2016 23:45</v>
      </c>
    </row>
    <row r="1327" spans="1:10" x14ac:dyDescent="0.3">
      <c r="A1327" t="s">
        <v>6</v>
      </c>
      <c r="B1327" t="str">
        <f>"05/15/2016 00:00"</f>
        <v>05/15/2016 00:00</v>
      </c>
      <c r="C1327">
        <v>0.108</v>
      </c>
      <c r="D1327" t="s">
        <v>7</v>
      </c>
      <c r="E1327" s="2" t="s">
        <v>12</v>
      </c>
      <c r="F1327">
        <f t="shared" si="20"/>
        <v>0.21416400000000002</v>
      </c>
      <c r="G1327" t="s">
        <v>16</v>
      </c>
      <c r="J1327" t="str">
        <f>"05/15/2016 23:45"</f>
        <v>05/15/2016 23:45</v>
      </c>
    </row>
    <row r="1328" spans="1:10" x14ac:dyDescent="0.3">
      <c r="A1328" t="s">
        <v>6</v>
      </c>
      <c r="B1328" t="str">
        <f>"05/16/2016 00:00"</f>
        <v>05/16/2016 00:00</v>
      </c>
      <c r="C1328">
        <v>9.3899999999999997E-2</v>
      </c>
      <c r="D1328" t="s">
        <v>7</v>
      </c>
      <c r="E1328" s="2" t="s">
        <v>12</v>
      </c>
      <c r="F1328">
        <f t="shared" si="20"/>
        <v>0.1862037</v>
      </c>
      <c r="G1328" t="s">
        <v>16</v>
      </c>
      <c r="J1328" t="str">
        <f>"05/16/2016 23:45"</f>
        <v>05/16/2016 23:45</v>
      </c>
    </row>
    <row r="1329" spans="1:10" x14ac:dyDescent="0.3">
      <c r="A1329" t="s">
        <v>6</v>
      </c>
      <c r="B1329" t="str">
        <f>"05/17/2016 00:00"</f>
        <v>05/17/2016 00:00</v>
      </c>
      <c r="C1329">
        <v>0.14599999999999999</v>
      </c>
      <c r="D1329" t="s">
        <v>7</v>
      </c>
      <c r="E1329" s="2" t="s">
        <v>12</v>
      </c>
      <c r="F1329">
        <f t="shared" si="20"/>
        <v>0.289518</v>
      </c>
      <c r="G1329" t="s">
        <v>16</v>
      </c>
      <c r="J1329" t="str">
        <f>"05/17/2016 23:45"</f>
        <v>05/17/2016 23:45</v>
      </c>
    </row>
    <row r="1330" spans="1:10" x14ac:dyDescent="0.3">
      <c r="A1330" t="s">
        <v>6</v>
      </c>
      <c r="B1330" t="str">
        <f>"05/18/2016 00:00"</f>
        <v>05/18/2016 00:00</v>
      </c>
      <c r="C1330">
        <v>0.14599999999999999</v>
      </c>
      <c r="D1330" t="s">
        <v>7</v>
      </c>
      <c r="E1330" s="2" t="s">
        <v>12</v>
      </c>
      <c r="F1330">
        <f t="shared" si="20"/>
        <v>0.289518</v>
      </c>
      <c r="G1330" t="s">
        <v>16</v>
      </c>
      <c r="J1330" t="str">
        <f>"05/18/2016 23:45"</f>
        <v>05/18/2016 23:45</v>
      </c>
    </row>
    <row r="1331" spans="1:10" x14ac:dyDescent="0.3">
      <c r="A1331" t="s">
        <v>6</v>
      </c>
      <c r="B1331" t="str">
        <f>"05/19/2016 00:00"</f>
        <v>05/19/2016 00:00</v>
      </c>
      <c r="C1331">
        <v>0.14599999999999999</v>
      </c>
      <c r="D1331" t="s">
        <v>7</v>
      </c>
      <c r="E1331" s="2" t="s">
        <v>12</v>
      </c>
      <c r="F1331">
        <f t="shared" si="20"/>
        <v>0.289518</v>
      </c>
      <c r="G1331" t="s">
        <v>16</v>
      </c>
      <c r="J1331" t="str">
        <f>"05/19/2016 23:45"</f>
        <v>05/19/2016 23:45</v>
      </c>
    </row>
    <row r="1332" spans="1:10" x14ac:dyDescent="0.3">
      <c r="A1332" t="s">
        <v>6</v>
      </c>
      <c r="B1332" t="str">
        <f>"05/20/2016 00:00"</f>
        <v>05/20/2016 00:00</v>
      </c>
      <c r="C1332">
        <v>0.14599999999999999</v>
      </c>
      <c r="D1332" t="s">
        <v>7</v>
      </c>
      <c r="E1332" s="2" t="s">
        <v>12</v>
      </c>
      <c r="F1332">
        <f t="shared" si="20"/>
        <v>0.289518</v>
      </c>
      <c r="G1332" t="s">
        <v>16</v>
      </c>
      <c r="J1332" t="str">
        <f>"05/20/2016 23:45"</f>
        <v>05/20/2016 23:45</v>
      </c>
    </row>
    <row r="1333" spans="1:10" x14ac:dyDescent="0.3">
      <c r="A1333" t="s">
        <v>6</v>
      </c>
      <c r="B1333" t="str">
        <f>"05/21/2016 00:00"</f>
        <v>05/21/2016 00:00</v>
      </c>
      <c r="C1333">
        <v>0.14599999999999999</v>
      </c>
      <c r="D1333" t="s">
        <v>7</v>
      </c>
      <c r="E1333" s="2" t="s">
        <v>12</v>
      </c>
      <c r="F1333">
        <f t="shared" si="20"/>
        <v>0.289518</v>
      </c>
      <c r="G1333" t="s">
        <v>16</v>
      </c>
      <c r="J1333" t="str">
        <f>"05/21/2016 23:45"</f>
        <v>05/21/2016 23:45</v>
      </c>
    </row>
    <row r="1334" spans="1:10" x14ac:dyDescent="0.3">
      <c r="A1334" t="s">
        <v>6</v>
      </c>
      <c r="B1334" t="str">
        <f>"05/22/2016 00:00"</f>
        <v>05/22/2016 00:00</v>
      </c>
      <c r="C1334">
        <v>0.14599999999999999</v>
      </c>
      <c r="D1334" t="s">
        <v>7</v>
      </c>
      <c r="E1334" s="2" t="s">
        <v>12</v>
      </c>
      <c r="F1334">
        <f t="shared" si="20"/>
        <v>0.289518</v>
      </c>
      <c r="G1334" t="s">
        <v>16</v>
      </c>
      <c r="J1334" t="str">
        <f>"05/22/2016 23:45"</f>
        <v>05/22/2016 23:45</v>
      </c>
    </row>
    <row r="1335" spans="1:10" x14ac:dyDescent="0.3">
      <c r="A1335" t="s">
        <v>6</v>
      </c>
      <c r="B1335" t="str">
        <f>"05/23/2016 00:00"</f>
        <v>05/23/2016 00:00</v>
      </c>
      <c r="C1335">
        <v>0.14599999999999999</v>
      </c>
      <c r="D1335" t="s">
        <v>7</v>
      </c>
      <c r="E1335" s="2" t="s">
        <v>12</v>
      </c>
      <c r="F1335">
        <f t="shared" si="20"/>
        <v>0.289518</v>
      </c>
      <c r="G1335" t="s">
        <v>16</v>
      </c>
      <c r="J1335" t="str">
        <f>"05/23/2016 23:45"</f>
        <v>05/23/2016 23:45</v>
      </c>
    </row>
    <row r="1336" spans="1:10" x14ac:dyDescent="0.3">
      <c r="A1336" t="s">
        <v>6</v>
      </c>
      <c r="B1336" t="str">
        <f>"05/24/2016 00:00"</f>
        <v>05/24/2016 00:00</v>
      </c>
      <c r="C1336">
        <v>0.14599999999999999</v>
      </c>
      <c r="D1336" t="s">
        <v>7</v>
      </c>
      <c r="E1336" s="2" t="s">
        <v>12</v>
      </c>
      <c r="F1336">
        <f t="shared" si="20"/>
        <v>0.289518</v>
      </c>
      <c r="G1336" t="s">
        <v>16</v>
      </c>
      <c r="J1336" t="str">
        <f>"05/24/2016 23:45"</f>
        <v>05/24/2016 23:45</v>
      </c>
    </row>
    <row r="1337" spans="1:10" x14ac:dyDescent="0.3">
      <c r="A1337" t="s">
        <v>6</v>
      </c>
      <c r="B1337" t="str">
        <f>"05/25/2016 00:00"</f>
        <v>05/25/2016 00:00</v>
      </c>
      <c r="C1337">
        <v>0.14599999999999999</v>
      </c>
      <c r="D1337" t="s">
        <v>7</v>
      </c>
      <c r="E1337" s="2" t="s">
        <v>12</v>
      </c>
      <c r="F1337">
        <f t="shared" si="20"/>
        <v>0.289518</v>
      </c>
      <c r="G1337" t="s">
        <v>16</v>
      </c>
      <c r="J1337" t="str">
        <f>"05/25/2016 23:45"</f>
        <v>05/25/2016 23:45</v>
      </c>
    </row>
    <row r="1338" spans="1:10" x14ac:dyDescent="0.3">
      <c r="A1338" t="s">
        <v>6</v>
      </c>
      <c r="B1338" t="str">
        <f>"05/26/2016 00:00"</f>
        <v>05/26/2016 00:00</v>
      </c>
      <c r="C1338">
        <v>0.14599999999999999</v>
      </c>
      <c r="D1338" t="s">
        <v>7</v>
      </c>
      <c r="E1338" s="2" t="s">
        <v>12</v>
      </c>
      <c r="F1338">
        <f t="shared" si="20"/>
        <v>0.289518</v>
      </c>
      <c r="G1338" t="s">
        <v>16</v>
      </c>
      <c r="J1338" t="str">
        <f>"05/26/2016 23:45"</f>
        <v>05/26/2016 23:45</v>
      </c>
    </row>
    <row r="1339" spans="1:10" x14ac:dyDescent="0.3">
      <c r="A1339" t="s">
        <v>6</v>
      </c>
      <c r="B1339" t="str">
        <f>"05/27/2016 00:00"</f>
        <v>05/27/2016 00:00</v>
      </c>
      <c r="C1339">
        <v>0.14599999999999999</v>
      </c>
      <c r="D1339" t="s">
        <v>7</v>
      </c>
      <c r="E1339" s="2" t="s">
        <v>12</v>
      </c>
      <c r="F1339">
        <f t="shared" si="20"/>
        <v>0.289518</v>
      </c>
      <c r="G1339" t="s">
        <v>16</v>
      </c>
      <c r="J1339" t="str">
        <f>"05/27/2016 23:45"</f>
        <v>05/27/2016 23:45</v>
      </c>
    </row>
    <row r="1340" spans="1:10" x14ac:dyDescent="0.3">
      <c r="A1340" t="s">
        <v>6</v>
      </c>
      <c r="B1340" t="str">
        <f>"05/28/2016 00:00"</f>
        <v>05/28/2016 00:00</v>
      </c>
      <c r="C1340">
        <v>0.14599999999999999</v>
      </c>
      <c r="D1340" t="s">
        <v>7</v>
      </c>
      <c r="E1340" s="2" t="s">
        <v>12</v>
      </c>
      <c r="F1340">
        <f t="shared" si="20"/>
        <v>0.289518</v>
      </c>
      <c r="G1340" t="s">
        <v>16</v>
      </c>
      <c r="J1340" t="str">
        <f>"05/28/2016 23:45"</f>
        <v>05/28/2016 23:45</v>
      </c>
    </row>
    <row r="1341" spans="1:10" x14ac:dyDescent="0.3">
      <c r="A1341" t="s">
        <v>6</v>
      </c>
      <c r="B1341" t="str">
        <f>"05/29/2016 00:00"</f>
        <v>05/29/2016 00:00</v>
      </c>
      <c r="C1341">
        <v>0.14599999999999999</v>
      </c>
      <c r="D1341" t="s">
        <v>7</v>
      </c>
      <c r="E1341" s="2" t="s">
        <v>12</v>
      </c>
      <c r="F1341">
        <f t="shared" si="20"/>
        <v>0.289518</v>
      </c>
      <c r="G1341" t="s">
        <v>16</v>
      </c>
      <c r="J1341" t="str">
        <f>"05/29/2016 23:45"</f>
        <v>05/29/2016 23:45</v>
      </c>
    </row>
    <row r="1342" spans="1:10" x14ac:dyDescent="0.3">
      <c r="A1342" t="s">
        <v>6</v>
      </c>
      <c r="B1342" t="str">
        <f>"05/30/2016 00:00"</f>
        <v>05/30/2016 00:00</v>
      </c>
      <c r="C1342">
        <v>0.14599999999999999</v>
      </c>
      <c r="D1342" t="s">
        <v>7</v>
      </c>
      <c r="E1342" s="2" t="s">
        <v>12</v>
      </c>
      <c r="F1342">
        <f t="shared" si="20"/>
        <v>0.289518</v>
      </c>
      <c r="G1342" t="s">
        <v>16</v>
      </c>
      <c r="J1342" t="str">
        <f>"05/30/2016 23:45"</f>
        <v>05/30/2016 23:45</v>
      </c>
    </row>
    <row r="1343" spans="1:10" x14ac:dyDescent="0.3">
      <c r="A1343" t="s">
        <v>6</v>
      </c>
      <c r="B1343" t="str">
        <f>"05/31/2016 00:00"</f>
        <v>05/31/2016 00:00</v>
      </c>
      <c r="C1343">
        <v>7.36</v>
      </c>
      <c r="D1343" t="s">
        <v>7</v>
      </c>
      <c r="E1343" s="2" t="s">
        <v>12</v>
      </c>
      <c r="F1343">
        <f t="shared" si="20"/>
        <v>14.594880000000002</v>
      </c>
      <c r="G1343" t="s">
        <v>16</v>
      </c>
      <c r="J1343" t="str">
        <f>"05/31/2016 23:45"</f>
        <v>05/31/2016 23:45</v>
      </c>
    </row>
    <row r="1344" spans="1:10" x14ac:dyDescent="0.3">
      <c r="A1344" t="s">
        <v>6</v>
      </c>
      <c r="B1344" t="str">
        <f>"06/01/2016 00:00"</f>
        <v>06/01/2016 00:00</v>
      </c>
      <c r="C1344">
        <v>18</v>
      </c>
      <c r="D1344" t="s">
        <v>7</v>
      </c>
      <c r="E1344" s="2" t="s">
        <v>12</v>
      </c>
      <c r="F1344">
        <f t="shared" si="20"/>
        <v>35.694000000000003</v>
      </c>
      <c r="G1344" t="s">
        <v>16</v>
      </c>
      <c r="J1344" t="str">
        <f>"06/01/2016 23:45"</f>
        <v>06/01/2016 23:45</v>
      </c>
    </row>
    <row r="1345" spans="1:10" x14ac:dyDescent="0.3">
      <c r="A1345" t="s">
        <v>6</v>
      </c>
      <c r="B1345" t="str">
        <f>"06/02/2016 00:00"</f>
        <v>06/02/2016 00:00</v>
      </c>
      <c r="C1345">
        <v>23.9</v>
      </c>
      <c r="D1345" t="s">
        <v>7</v>
      </c>
      <c r="E1345" s="2" t="s">
        <v>12</v>
      </c>
      <c r="F1345">
        <f t="shared" si="20"/>
        <v>47.393700000000003</v>
      </c>
      <c r="G1345" t="s">
        <v>16</v>
      </c>
      <c r="J1345" t="str">
        <f>"06/02/2016 23:45"</f>
        <v>06/02/2016 23:45</v>
      </c>
    </row>
    <row r="1346" spans="1:10" x14ac:dyDescent="0.3">
      <c r="A1346" t="s">
        <v>6</v>
      </c>
      <c r="B1346" t="str">
        <f>"06/03/2016 00:00"</f>
        <v>06/03/2016 00:00</v>
      </c>
      <c r="C1346">
        <v>12</v>
      </c>
      <c r="D1346" t="s">
        <v>7</v>
      </c>
      <c r="E1346" s="2" t="s">
        <v>12</v>
      </c>
      <c r="F1346">
        <f t="shared" si="20"/>
        <v>23.795999999999999</v>
      </c>
      <c r="G1346" t="s">
        <v>16</v>
      </c>
      <c r="J1346" t="str">
        <f>"06/03/2016 23:45"</f>
        <v>06/03/2016 23:45</v>
      </c>
    </row>
    <row r="1347" spans="1:10" x14ac:dyDescent="0.3">
      <c r="A1347" t="s">
        <v>6</v>
      </c>
      <c r="B1347" t="str">
        <f>"06/04/2016 00:00"</f>
        <v>06/04/2016 00:00</v>
      </c>
      <c r="C1347">
        <v>9.9499999999999993</v>
      </c>
      <c r="D1347" t="s">
        <v>7</v>
      </c>
      <c r="E1347" s="2" t="s">
        <v>12</v>
      </c>
      <c r="F1347">
        <f t="shared" si="20"/>
        <v>19.73085</v>
      </c>
      <c r="G1347" t="s">
        <v>16</v>
      </c>
      <c r="J1347" t="str">
        <f>"06/04/2016 23:45"</f>
        <v>06/04/2016 23:45</v>
      </c>
    </row>
    <row r="1348" spans="1:10" x14ac:dyDescent="0.3">
      <c r="A1348" t="s">
        <v>6</v>
      </c>
      <c r="B1348" t="str">
        <f>"06/05/2016 00:00"</f>
        <v>06/05/2016 00:00</v>
      </c>
      <c r="C1348">
        <v>9.9499999999999993</v>
      </c>
      <c r="D1348" t="s">
        <v>7</v>
      </c>
      <c r="E1348" s="2" t="s">
        <v>12</v>
      </c>
      <c r="F1348">
        <f t="shared" si="20"/>
        <v>19.73085</v>
      </c>
      <c r="G1348" t="s">
        <v>16</v>
      </c>
      <c r="J1348" t="str">
        <f>"06/05/2016 23:45"</f>
        <v>06/05/2016 23:45</v>
      </c>
    </row>
    <row r="1349" spans="1:10" x14ac:dyDescent="0.3">
      <c r="A1349" t="s">
        <v>6</v>
      </c>
      <c r="B1349" t="str">
        <f>"06/06/2016 00:00"</f>
        <v>06/06/2016 00:00</v>
      </c>
      <c r="C1349">
        <v>9.9</v>
      </c>
      <c r="D1349" t="s">
        <v>7</v>
      </c>
      <c r="E1349" s="2" t="s">
        <v>12</v>
      </c>
      <c r="F1349">
        <f t="shared" si="20"/>
        <v>19.631700000000002</v>
      </c>
      <c r="G1349" t="s">
        <v>16</v>
      </c>
      <c r="J1349" t="str">
        <f>"06/06/2016 23:45"</f>
        <v>06/06/2016 23:45</v>
      </c>
    </row>
    <row r="1350" spans="1:10" x14ac:dyDescent="0.3">
      <c r="A1350" t="s">
        <v>6</v>
      </c>
      <c r="B1350" t="str">
        <f>"06/07/2016 00:00"</f>
        <v>06/07/2016 00:00</v>
      </c>
      <c r="C1350">
        <v>9.6199999999999992</v>
      </c>
      <c r="D1350" t="s">
        <v>7</v>
      </c>
      <c r="E1350" s="2" t="s">
        <v>12</v>
      </c>
      <c r="F1350">
        <f t="shared" ref="F1350:F1413" si="21">C1350*1.983</f>
        <v>19.076460000000001</v>
      </c>
      <c r="G1350" t="s">
        <v>16</v>
      </c>
      <c r="J1350" t="str">
        <f>"06/07/2016 23:45"</f>
        <v>06/07/2016 23:45</v>
      </c>
    </row>
    <row r="1351" spans="1:10" x14ac:dyDescent="0.3">
      <c r="A1351" t="s">
        <v>6</v>
      </c>
      <c r="B1351" t="str">
        <f>"06/08/2016 00:00"</f>
        <v>06/08/2016 00:00</v>
      </c>
      <c r="C1351">
        <v>8.9</v>
      </c>
      <c r="D1351" t="s">
        <v>7</v>
      </c>
      <c r="E1351" s="2" t="s">
        <v>12</v>
      </c>
      <c r="F1351">
        <f t="shared" si="21"/>
        <v>17.648700000000002</v>
      </c>
      <c r="G1351" t="s">
        <v>16</v>
      </c>
      <c r="J1351" t="str">
        <f>"06/08/2016 23:45"</f>
        <v>06/08/2016 23:45</v>
      </c>
    </row>
    <row r="1352" spans="1:10" x14ac:dyDescent="0.3">
      <c r="A1352" t="s">
        <v>6</v>
      </c>
      <c r="B1352" t="str">
        <f>"06/09/2016 00:00"</f>
        <v>06/09/2016 00:00</v>
      </c>
      <c r="C1352">
        <v>8.3000000000000007</v>
      </c>
      <c r="D1352" t="s">
        <v>7</v>
      </c>
      <c r="E1352" s="2" t="s">
        <v>12</v>
      </c>
      <c r="F1352">
        <f t="shared" si="21"/>
        <v>16.458900000000003</v>
      </c>
      <c r="G1352" t="s">
        <v>16</v>
      </c>
      <c r="J1352" t="str">
        <f>"06/09/2016 23:45"</f>
        <v>06/09/2016 23:45</v>
      </c>
    </row>
    <row r="1353" spans="1:10" x14ac:dyDescent="0.3">
      <c r="A1353" t="s">
        <v>6</v>
      </c>
      <c r="B1353" t="str">
        <f>"06/10/2016 00:00"</f>
        <v>06/10/2016 00:00</v>
      </c>
      <c r="C1353">
        <v>3.36</v>
      </c>
      <c r="D1353" t="s">
        <v>7</v>
      </c>
      <c r="E1353" s="2" t="s">
        <v>12</v>
      </c>
      <c r="F1353">
        <f t="shared" si="21"/>
        <v>6.6628800000000004</v>
      </c>
      <c r="G1353" t="s">
        <v>16</v>
      </c>
      <c r="J1353" t="str">
        <f>"06/10/2016 23:45"</f>
        <v>06/10/2016 23:45</v>
      </c>
    </row>
    <row r="1354" spans="1:10" x14ac:dyDescent="0.3">
      <c r="A1354" t="s">
        <v>6</v>
      </c>
      <c r="B1354" t="str">
        <f>"06/11/2016 00:00"</f>
        <v>06/11/2016 00:00</v>
      </c>
      <c r="C1354">
        <v>0.53100000000000003</v>
      </c>
      <c r="D1354" t="s">
        <v>7</v>
      </c>
      <c r="E1354" s="2" t="s">
        <v>12</v>
      </c>
      <c r="F1354">
        <f t="shared" si="21"/>
        <v>1.0529730000000002</v>
      </c>
      <c r="G1354" t="s">
        <v>16</v>
      </c>
      <c r="J1354" t="str">
        <f>"06/11/2016 23:45"</f>
        <v>06/11/2016 23:45</v>
      </c>
    </row>
    <row r="1355" spans="1:10" x14ac:dyDescent="0.3">
      <c r="A1355" t="s">
        <v>6</v>
      </c>
      <c r="B1355" t="str">
        <f>"06/12/2016 00:00"</f>
        <v>06/12/2016 00:00</v>
      </c>
      <c r="C1355">
        <v>0.442</v>
      </c>
      <c r="D1355" t="s">
        <v>7</v>
      </c>
      <c r="E1355" s="2" t="s">
        <v>12</v>
      </c>
      <c r="F1355">
        <f t="shared" si="21"/>
        <v>0.8764860000000001</v>
      </c>
      <c r="G1355" t="s">
        <v>16</v>
      </c>
      <c r="J1355" t="str">
        <f>"06/12/2016 23:45"</f>
        <v>06/12/2016 23:45</v>
      </c>
    </row>
    <row r="1356" spans="1:10" x14ac:dyDescent="0.3">
      <c r="A1356" t="s">
        <v>6</v>
      </c>
      <c r="B1356" t="str">
        <f>"06/13/2016 00:00"</f>
        <v>06/13/2016 00:00</v>
      </c>
      <c r="C1356">
        <v>0.442</v>
      </c>
      <c r="D1356" t="s">
        <v>7</v>
      </c>
      <c r="E1356" s="2" t="s">
        <v>12</v>
      </c>
      <c r="F1356">
        <f t="shared" si="21"/>
        <v>0.8764860000000001</v>
      </c>
      <c r="G1356" t="s">
        <v>16</v>
      </c>
      <c r="J1356" t="str">
        <f>"06/13/2016 23:45"</f>
        <v>06/13/2016 23:45</v>
      </c>
    </row>
    <row r="1357" spans="1:10" x14ac:dyDescent="0.3">
      <c r="A1357" t="s">
        <v>6</v>
      </c>
      <c r="B1357" t="str">
        <f>"06/14/2016 00:00"</f>
        <v>06/14/2016 00:00</v>
      </c>
      <c r="C1357">
        <v>0.43</v>
      </c>
      <c r="D1357" t="s">
        <v>7</v>
      </c>
      <c r="E1357" s="2" t="s">
        <v>12</v>
      </c>
      <c r="F1357">
        <f t="shared" si="21"/>
        <v>0.85269000000000006</v>
      </c>
      <c r="G1357" t="s">
        <v>16</v>
      </c>
      <c r="J1357" t="str">
        <f>"06/14/2016 23:45"</f>
        <v>06/14/2016 23:45</v>
      </c>
    </row>
    <row r="1358" spans="1:10" x14ac:dyDescent="0.3">
      <c r="A1358" t="s">
        <v>6</v>
      </c>
      <c r="B1358" t="str">
        <f>"06/15/2016 00:00"</f>
        <v>06/15/2016 00:00</v>
      </c>
      <c r="C1358">
        <v>0.27900000000000003</v>
      </c>
      <c r="D1358" t="s">
        <v>7</v>
      </c>
      <c r="E1358" s="2" t="s">
        <v>12</v>
      </c>
      <c r="F1358">
        <f t="shared" si="21"/>
        <v>0.55325700000000011</v>
      </c>
      <c r="G1358" t="s">
        <v>16</v>
      </c>
      <c r="J1358" t="str">
        <f>"06/15/2016 23:45"</f>
        <v>06/15/2016 23:45</v>
      </c>
    </row>
    <row r="1359" spans="1:10" x14ac:dyDescent="0.3">
      <c r="A1359" t="s">
        <v>6</v>
      </c>
      <c r="B1359" t="str">
        <f>"06/16/2016 00:00"</f>
        <v>06/16/2016 00:00</v>
      </c>
      <c r="C1359">
        <v>0.27900000000000003</v>
      </c>
      <c r="D1359" t="s">
        <v>7</v>
      </c>
      <c r="E1359" s="2" t="s">
        <v>12</v>
      </c>
      <c r="F1359">
        <f t="shared" si="21"/>
        <v>0.55325700000000011</v>
      </c>
      <c r="G1359" t="s">
        <v>16</v>
      </c>
      <c r="J1359" t="str">
        <f>"06/16/2016 23:45"</f>
        <v>06/16/2016 23:45</v>
      </c>
    </row>
    <row r="1360" spans="1:10" x14ac:dyDescent="0.3">
      <c r="A1360" t="s">
        <v>6</v>
      </c>
      <c r="B1360" t="str">
        <f>"06/17/2016 00:00"</f>
        <v>06/17/2016 00:00</v>
      </c>
      <c r="C1360">
        <v>0.27900000000000003</v>
      </c>
      <c r="D1360" t="s">
        <v>7</v>
      </c>
      <c r="E1360" s="2" t="s">
        <v>12</v>
      </c>
      <c r="F1360">
        <f t="shared" si="21"/>
        <v>0.55325700000000011</v>
      </c>
      <c r="G1360" t="s">
        <v>16</v>
      </c>
      <c r="J1360" t="str">
        <f>"06/17/2016 23:45"</f>
        <v>06/17/2016 23:45</v>
      </c>
    </row>
    <row r="1361" spans="1:10" x14ac:dyDescent="0.3">
      <c r="A1361" t="s">
        <v>6</v>
      </c>
      <c r="B1361" t="str">
        <f>"06/18/2016 00:00"</f>
        <v>06/18/2016 00:00</v>
      </c>
      <c r="C1361">
        <v>0.27900000000000003</v>
      </c>
      <c r="D1361" t="s">
        <v>7</v>
      </c>
      <c r="E1361" s="2" t="s">
        <v>12</v>
      </c>
      <c r="F1361">
        <f t="shared" si="21"/>
        <v>0.55325700000000011</v>
      </c>
      <c r="G1361" t="s">
        <v>16</v>
      </c>
      <c r="J1361" t="str">
        <f>"06/18/2016 23:45"</f>
        <v>06/18/2016 23:45</v>
      </c>
    </row>
    <row r="1362" spans="1:10" x14ac:dyDescent="0.3">
      <c r="A1362" t="s">
        <v>6</v>
      </c>
      <c r="B1362" t="str">
        <f>"06/19/2016 00:00"</f>
        <v>06/19/2016 00:00</v>
      </c>
      <c r="C1362">
        <v>0.27900000000000003</v>
      </c>
      <c r="D1362" t="s">
        <v>7</v>
      </c>
      <c r="E1362" s="2" t="s">
        <v>12</v>
      </c>
      <c r="F1362">
        <f t="shared" si="21"/>
        <v>0.55325700000000011</v>
      </c>
      <c r="G1362" t="s">
        <v>16</v>
      </c>
      <c r="J1362" t="str">
        <f>"06/19/2016 23:45"</f>
        <v>06/19/2016 23:45</v>
      </c>
    </row>
    <row r="1363" spans="1:10" x14ac:dyDescent="0.3">
      <c r="A1363" t="s">
        <v>6</v>
      </c>
      <c r="B1363" t="str">
        <f>"06/20/2016 00:00"</f>
        <v>06/20/2016 00:00</v>
      </c>
      <c r="C1363">
        <v>0.27900000000000003</v>
      </c>
      <c r="D1363" t="s">
        <v>7</v>
      </c>
      <c r="E1363" s="2" t="s">
        <v>12</v>
      </c>
      <c r="F1363">
        <f t="shared" si="21"/>
        <v>0.55325700000000011</v>
      </c>
      <c r="G1363" t="s">
        <v>16</v>
      </c>
      <c r="J1363" t="str">
        <f>"06/20/2016 23:45"</f>
        <v>06/20/2016 23:45</v>
      </c>
    </row>
    <row r="1364" spans="1:10" x14ac:dyDescent="0.3">
      <c r="A1364" t="s">
        <v>6</v>
      </c>
      <c r="B1364" t="str">
        <f>"06/21/2016 00:00"</f>
        <v>06/21/2016 00:00</v>
      </c>
      <c r="C1364">
        <v>0.27900000000000003</v>
      </c>
      <c r="D1364" t="s">
        <v>7</v>
      </c>
      <c r="E1364" s="2" t="s">
        <v>12</v>
      </c>
      <c r="F1364">
        <f t="shared" si="21"/>
        <v>0.55325700000000011</v>
      </c>
      <c r="G1364" t="s">
        <v>16</v>
      </c>
      <c r="J1364" t="str">
        <f>"06/21/2016 23:45"</f>
        <v>06/21/2016 23:45</v>
      </c>
    </row>
    <row r="1365" spans="1:10" x14ac:dyDescent="0.3">
      <c r="A1365" t="s">
        <v>6</v>
      </c>
      <c r="B1365" t="str">
        <f>"06/22/2016 00:00"</f>
        <v>06/22/2016 00:00</v>
      </c>
      <c r="C1365">
        <v>0.27900000000000003</v>
      </c>
      <c r="D1365" t="s">
        <v>7</v>
      </c>
      <c r="E1365" s="2" t="s">
        <v>12</v>
      </c>
      <c r="F1365">
        <f t="shared" si="21"/>
        <v>0.55325700000000011</v>
      </c>
      <c r="G1365" t="s">
        <v>16</v>
      </c>
      <c r="J1365" t="str">
        <f>"06/22/2016 23:45"</f>
        <v>06/22/2016 23:45</v>
      </c>
    </row>
    <row r="1366" spans="1:10" x14ac:dyDescent="0.3">
      <c r="A1366" t="s">
        <v>6</v>
      </c>
      <c r="B1366" t="str">
        <f>"06/23/2016 00:00"</f>
        <v>06/23/2016 00:00</v>
      </c>
      <c r="C1366">
        <v>0.27900000000000003</v>
      </c>
      <c r="D1366" t="s">
        <v>7</v>
      </c>
      <c r="E1366" s="2" t="s">
        <v>12</v>
      </c>
      <c r="F1366">
        <f t="shared" si="21"/>
        <v>0.55325700000000011</v>
      </c>
      <c r="G1366" t="s">
        <v>16</v>
      </c>
      <c r="J1366" t="str">
        <f>"06/23/2016 23:45"</f>
        <v>06/23/2016 23:45</v>
      </c>
    </row>
    <row r="1367" spans="1:10" x14ac:dyDescent="0.3">
      <c r="A1367" t="s">
        <v>6</v>
      </c>
      <c r="B1367" t="str">
        <f>"06/24/2016 00:00"</f>
        <v>06/24/2016 00:00</v>
      </c>
      <c r="C1367">
        <v>0.27900000000000003</v>
      </c>
      <c r="D1367" t="s">
        <v>7</v>
      </c>
      <c r="E1367" s="2" t="s">
        <v>12</v>
      </c>
      <c r="F1367">
        <f t="shared" si="21"/>
        <v>0.55325700000000011</v>
      </c>
      <c r="G1367" t="s">
        <v>16</v>
      </c>
      <c r="J1367" t="str">
        <f>"06/24/2016 23:45"</f>
        <v>06/24/2016 23:45</v>
      </c>
    </row>
    <row r="1368" spans="1:10" x14ac:dyDescent="0.3">
      <c r="A1368" t="s">
        <v>6</v>
      </c>
      <c r="B1368" t="str">
        <f>"06/25/2016 00:00"</f>
        <v>06/25/2016 00:00</v>
      </c>
      <c r="C1368">
        <v>0.23100000000000001</v>
      </c>
      <c r="D1368" t="s">
        <v>7</v>
      </c>
      <c r="E1368" s="2" t="s">
        <v>12</v>
      </c>
      <c r="F1368">
        <f t="shared" si="21"/>
        <v>0.45807300000000006</v>
      </c>
      <c r="G1368" t="s">
        <v>16</v>
      </c>
      <c r="J1368" t="str">
        <f>"06/25/2016 23:45"</f>
        <v>06/25/2016 23:45</v>
      </c>
    </row>
    <row r="1369" spans="1:10" x14ac:dyDescent="0.3">
      <c r="A1369" t="s">
        <v>6</v>
      </c>
      <c r="B1369" t="str">
        <f>"06/26/2016 00:00"</f>
        <v>06/26/2016 00:00</v>
      </c>
      <c r="C1369">
        <v>0.14599999999999999</v>
      </c>
      <c r="D1369" t="s">
        <v>7</v>
      </c>
      <c r="E1369" s="2" t="s">
        <v>12</v>
      </c>
      <c r="F1369">
        <f t="shared" si="21"/>
        <v>0.289518</v>
      </c>
      <c r="G1369" t="s">
        <v>16</v>
      </c>
      <c r="J1369" t="str">
        <f>"06/26/2016 23:45"</f>
        <v>06/26/2016 23:45</v>
      </c>
    </row>
    <row r="1370" spans="1:10" x14ac:dyDescent="0.3">
      <c r="A1370" t="s">
        <v>6</v>
      </c>
      <c r="B1370" t="str">
        <f>"06/27/2016 00:00"</f>
        <v>06/27/2016 00:00</v>
      </c>
      <c r="C1370">
        <v>0.14599999999999999</v>
      </c>
      <c r="D1370" t="s">
        <v>7</v>
      </c>
      <c r="E1370" s="2" t="s">
        <v>12</v>
      </c>
      <c r="F1370">
        <f t="shared" si="21"/>
        <v>0.289518</v>
      </c>
      <c r="G1370" t="s">
        <v>16</v>
      </c>
      <c r="J1370" t="str">
        <f>"06/27/2016 23:45"</f>
        <v>06/27/2016 23:45</v>
      </c>
    </row>
    <row r="1371" spans="1:10" x14ac:dyDescent="0.3">
      <c r="A1371" t="s">
        <v>6</v>
      </c>
      <c r="B1371" t="str">
        <f>"06/28/2016 00:00"</f>
        <v>06/28/2016 00:00</v>
      </c>
      <c r="C1371">
        <v>0.14599999999999999</v>
      </c>
      <c r="D1371" t="s">
        <v>7</v>
      </c>
      <c r="E1371" s="2" t="s">
        <v>12</v>
      </c>
      <c r="F1371">
        <f t="shared" si="21"/>
        <v>0.289518</v>
      </c>
      <c r="G1371" t="s">
        <v>16</v>
      </c>
      <c r="J1371" t="str">
        <f>"06/28/2016 23:45"</f>
        <v>06/28/2016 23:45</v>
      </c>
    </row>
    <row r="1372" spans="1:10" x14ac:dyDescent="0.3">
      <c r="A1372" t="s">
        <v>6</v>
      </c>
      <c r="B1372" t="str">
        <f>"06/29/2016 00:00"</f>
        <v>06/29/2016 00:00</v>
      </c>
      <c r="C1372">
        <v>0.14599999999999999</v>
      </c>
      <c r="D1372" t="s">
        <v>7</v>
      </c>
      <c r="E1372" s="2" t="s">
        <v>12</v>
      </c>
      <c r="F1372">
        <f t="shared" si="21"/>
        <v>0.289518</v>
      </c>
      <c r="G1372" t="s">
        <v>16</v>
      </c>
      <c r="J1372" t="str">
        <f>"06/29/2016 23:45"</f>
        <v>06/29/2016 23:45</v>
      </c>
    </row>
    <row r="1373" spans="1:10" x14ac:dyDescent="0.3">
      <c r="A1373" t="s">
        <v>6</v>
      </c>
      <c r="B1373" t="str">
        <f>"06/30/2016 00:00"</f>
        <v>06/30/2016 00:00</v>
      </c>
      <c r="C1373">
        <v>0.14599999999999999</v>
      </c>
      <c r="D1373" t="s">
        <v>7</v>
      </c>
      <c r="E1373" s="2" t="s">
        <v>12</v>
      </c>
      <c r="F1373">
        <f t="shared" si="21"/>
        <v>0.289518</v>
      </c>
      <c r="G1373" t="s">
        <v>16</v>
      </c>
      <c r="J1373" t="str">
        <f>"06/30/2016 23:45"</f>
        <v>06/30/2016 23:45</v>
      </c>
    </row>
    <row r="1374" spans="1:10" x14ac:dyDescent="0.3">
      <c r="A1374" t="s">
        <v>6</v>
      </c>
      <c r="B1374" t="str">
        <f>"07/01/2016 00:00"</f>
        <v>07/01/2016 00:00</v>
      </c>
      <c r="C1374">
        <v>0.14599999999999999</v>
      </c>
      <c r="D1374" t="s">
        <v>7</v>
      </c>
      <c r="E1374" s="2" t="s">
        <v>12</v>
      </c>
      <c r="F1374">
        <f t="shared" si="21"/>
        <v>0.289518</v>
      </c>
      <c r="G1374" t="s">
        <v>16</v>
      </c>
      <c r="J1374" t="str">
        <f>"07/01/2016 23:45"</f>
        <v>07/01/2016 23:45</v>
      </c>
    </row>
    <row r="1375" spans="1:10" x14ac:dyDescent="0.3">
      <c r="A1375" t="s">
        <v>6</v>
      </c>
      <c r="B1375" t="str">
        <f>"07/02/2016 00:00"</f>
        <v>07/02/2016 00:00</v>
      </c>
      <c r="C1375">
        <v>0.14599999999999999</v>
      </c>
      <c r="D1375" t="s">
        <v>7</v>
      </c>
      <c r="E1375" s="2" t="s">
        <v>12</v>
      </c>
      <c r="F1375">
        <f t="shared" si="21"/>
        <v>0.289518</v>
      </c>
      <c r="G1375" t="s">
        <v>16</v>
      </c>
      <c r="J1375" t="str">
        <f>"07/02/2016 23:45"</f>
        <v>07/02/2016 23:45</v>
      </c>
    </row>
    <row r="1376" spans="1:10" x14ac:dyDescent="0.3">
      <c r="A1376" t="s">
        <v>6</v>
      </c>
      <c r="B1376" t="str">
        <f>"07/03/2016 00:00"</f>
        <v>07/03/2016 00:00</v>
      </c>
      <c r="C1376">
        <v>0.14599999999999999</v>
      </c>
      <c r="D1376" t="s">
        <v>7</v>
      </c>
      <c r="E1376" s="2" t="s">
        <v>12</v>
      </c>
      <c r="F1376">
        <f t="shared" si="21"/>
        <v>0.289518</v>
      </c>
      <c r="G1376" t="s">
        <v>16</v>
      </c>
      <c r="J1376" t="str">
        <f>"07/03/2016 23:45"</f>
        <v>07/03/2016 23:45</v>
      </c>
    </row>
    <row r="1377" spans="1:10" x14ac:dyDescent="0.3">
      <c r="A1377" t="s">
        <v>6</v>
      </c>
      <c r="B1377" t="str">
        <f>"07/04/2016 00:00"</f>
        <v>07/04/2016 00:00</v>
      </c>
      <c r="C1377">
        <v>0.14599999999999999</v>
      </c>
      <c r="D1377" t="s">
        <v>7</v>
      </c>
      <c r="E1377" s="2" t="s">
        <v>12</v>
      </c>
      <c r="F1377">
        <f t="shared" si="21"/>
        <v>0.289518</v>
      </c>
      <c r="G1377" t="s">
        <v>16</v>
      </c>
      <c r="J1377" t="str">
        <f>"07/04/2016 23:45"</f>
        <v>07/04/2016 23:45</v>
      </c>
    </row>
    <row r="1378" spans="1:10" x14ac:dyDescent="0.3">
      <c r="A1378" t="s">
        <v>6</v>
      </c>
      <c r="B1378" t="str">
        <f>"07/05/2016 00:00"</f>
        <v>07/05/2016 00:00</v>
      </c>
      <c r="C1378">
        <v>0.14599999999999999</v>
      </c>
      <c r="D1378" t="s">
        <v>7</v>
      </c>
      <c r="E1378" s="2" t="s">
        <v>12</v>
      </c>
      <c r="F1378">
        <f t="shared" si="21"/>
        <v>0.289518</v>
      </c>
      <c r="G1378" t="s">
        <v>16</v>
      </c>
      <c r="J1378" t="str">
        <f>"07/05/2016 23:45"</f>
        <v>07/05/2016 23:45</v>
      </c>
    </row>
    <row r="1379" spans="1:10" x14ac:dyDescent="0.3">
      <c r="A1379" t="s">
        <v>6</v>
      </c>
      <c r="B1379" t="str">
        <f>"07/06/2016 00:00"</f>
        <v>07/06/2016 00:00</v>
      </c>
      <c r="C1379">
        <v>0.14599999999999999</v>
      </c>
      <c r="D1379" t="s">
        <v>7</v>
      </c>
      <c r="E1379" s="2" t="s">
        <v>12</v>
      </c>
      <c r="F1379">
        <f t="shared" si="21"/>
        <v>0.289518</v>
      </c>
      <c r="G1379" t="s">
        <v>16</v>
      </c>
      <c r="J1379" t="str">
        <f>"07/06/2016 23:45"</f>
        <v>07/06/2016 23:45</v>
      </c>
    </row>
    <row r="1380" spans="1:10" x14ac:dyDescent="0.3">
      <c r="A1380" t="s">
        <v>6</v>
      </c>
      <c r="B1380" t="str">
        <f>"07/07/2016 00:00"</f>
        <v>07/07/2016 00:00</v>
      </c>
      <c r="C1380">
        <v>0.14599999999999999</v>
      </c>
      <c r="D1380" t="s">
        <v>7</v>
      </c>
      <c r="E1380" s="2" t="s">
        <v>12</v>
      </c>
      <c r="F1380">
        <f t="shared" si="21"/>
        <v>0.289518</v>
      </c>
      <c r="G1380" t="s">
        <v>16</v>
      </c>
      <c r="J1380" t="str">
        <f>"07/07/2016 23:45"</f>
        <v>07/07/2016 23:45</v>
      </c>
    </row>
    <row r="1381" spans="1:10" x14ac:dyDescent="0.3">
      <c r="A1381" t="s">
        <v>6</v>
      </c>
      <c r="B1381" t="str">
        <f>"07/08/2016 00:00"</f>
        <v>07/08/2016 00:00</v>
      </c>
      <c r="C1381">
        <v>68.400000000000006</v>
      </c>
      <c r="D1381" t="s">
        <v>7</v>
      </c>
      <c r="E1381" s="2" t="s">
        <v>12</v>
      </c>
      <c r="F1381">
        <f t="shared" si="21"/>
        <v>135.63720000000001</v>
      </c>
      <c r="G1381" t="s">
        <v>16</v>
      </c>
      <c r="J1381" t="str">
        <f>"07/08/2016 23:45"</f>
        <v>07/08/2016 23:45</v>
      </c>
    </row>
    <row r="1382" spans="1:10" x14ac:dyDescent="0.3">
      <c r="A1382" t="s">
        <v>6</v>
      </c>
      <c r="B1382" t="str">
        <f>"07/09/2016 00:00"</f>
        <v>07/09/2016 00:00</v>
      </c>
      <c r="C1382">
        <v>103</v>
      </c>
      <c r="D1382" t="s">
        <v>7</v>
      </c>
      <c r="E1382" s="2" t="s">
        <v>12</v>
      </c>
      <c r="F1382">
        <f t="shared" si="21"/>
        <v>204.24900000000002</v>
      </c>
      <c r="G1382" t="s">
        <v>16</v>
      </c>
      <c r="J1382" t="str">
        <f>"07/09/2016 23:45"</f>
        <v>07/09/2016 23:45</v>
      </c>
    </row>
    <row r="1383" spans="1:10" x14ac:dyDescent="0.3">
      <c r="A1383" t="s">
        <v>6</v>
      </c>
      <c r="B1383" t="str">
        <f>"07/10/2016 00:00"</f>
        <v>07/10/2016 00:00</v>
      </c>
      <c r="C1383">
        <v>99.2</v>
      </c>
      <c r="D1383" t="s">
        <v>7</v>
      </c>
      <c r="E1383" s="2" t="s">
        <v>12</v>
      </c>
      <c r="F1383">
        <f t="shared" si="21"/>
        <v>196.71360000000001</v>
      </c>
      <c r="G1383" t="s">
        <v>16</v>
      </c>
      <c r="J1383" t="str">
        <f>"07/10/2016 23:45"</f>
        <v>07/10/2016 23:45</v>
      </c>
    </row>
    <row r="1384" spans="1:10" x14ac:dyDescent="0.3">
      <c r="A1384" t="s">
        <v>6</v>
      </c>
      <c r="B1384" t="str">
        <f>"07/11/2016 00:00"</f>
        <v>07/11/2016 00:00</v>
      </c>
      <c r="C1384">
        <v>126</v>
      </c>
      <c r="D1384" t="s">
        <v>7</v>
      </c>
      <c r="E1384" s="2" t="s">
        <v>12</v>
      </c>
      <c r="F1384">
        <f t="shared" si="21"/>
        <v>249.858</v>
      </c>
      <c r="G1384" t="s">
        <v>16</v>
      </c>
      <c r="J1384" t="str">
        <f>"07/11/2016 23:45"</f>
        <v>07/11/2016 23:45</v>
      </c>
    </row>
    <row r="1385" spans="1:10" x14ac:dyDescent="0.3">
      <c r="A1385" t="s">
        <v>6</v>
      </c>
      <c r="B1385" t="str">
        <f>"07/12/2016 00:00"</f>
        <v>07/12/2016 00:00</v>
      </c>
      <c r="C1385">
        <v>200</v>
      </c>
      <c r="D1385" t="s">
        <v>7</v>
      </c>
      <c r="E1385" s="2" t="s">
        <v>12</v>
      </c>
      <c r="F1385">
        <f t="shared" si="21"/>
        <v>396.6</v>
      </c>
      <c r="G1385" t="s">
        <v>16</v>
      </c>
      <c r="J1385" t="str">
        <f>"07/12/2016 23:45"</f>
        <v>07/12/2016 23:45</v>
      </c>
    </row>
    <row r="1386" spans="1:10" x14ac:dyDescent="0.3">
      <c r="A1386" t="s">
        <v>6</v>
      </c>
      <c r="B1386" t="str">
        <f>"07/13/2016 00:00"</f>
        <v>07/13/2016 00:00</v>
      </c>
      <c r="C1386">
        <v>250</v>
      </c>
      <c r="D1386" t="s">
        <v>7</v>
      </c>
      <c r="E1386" s="2" t="s">
        <v>12</v>
      </c>
      <c r="F1386">
        <f t="shared" si="21"/>
        <v>495.75</v>
      </c>
      <c r="G1386" t="s">
        <v>16</v>
      </c>
      <c r="J1386" t="str">
        <f>"07/13/2016 23:45"</f>
        <v>07/13/2016 23:45</v>
      </c>
    </row>
    <row r="1387" spans="1:10" x14ac:dyDescent="0.3">
      <c r="A1387" t="s">
        <v>6</v>
      </c>
      <c r="B1387" t="str">
        <f>"07/14/2016 00:00"</f>
        <v>07/14/2016 00:00</v>
      </c>
      <c r="C1387">
        <v>311</v>
      </c>
      <c r="D1387" t="s">
        <v>7</v>
      </c>
      <c r="E1387" s="2" t="s">
        <v>12</v>
      </c>
      <c r="F1387">
        <f t="shared" si="21"/>
        <v>616.71300000000008</v>
      </c>
      <c r="G1387" t="s">
        <v>16</v>
      </c>
      <c r="J1387" t="str">
        <f>"07/14/2016 23:45"</f>
        <v>07/14/2016 23:45</v>
      </c>
    </row>
    <row r="1388" spans="1:10" x14ac:dyDescent="0.3">
      <c r="A1388" t="s">
        <v>6</v>
      </c>
      <c r="B1388" t="str">
        <f>"07/15/2016 00:00"</f>
        <v>07/15/2016 00:00</v>
      </c>
      <c r="C1388">
        <v>273</v>
      </c>
      <c r="D1388" t="s">
        <v>7</v>
      </c>
      <c r="E1388" s="2" t="s">
        <v>12</v>
      </c>
      <c r="F1388">
        <f t="shared" si="21"/>
        <v>541.35900000000004</v>
      </c>
      <c r="G1388" t="s">
        <v>16</v>
      </c>
      <c r="J1388" t="str">
        <f>"07/15/2016 23:45"</f>
        <v>07/15/2016 23:45</v>
      </c>
    </row>
    <row r="1389" spans="1:10" x14ac:dyDescent="0.3">
      <c r="A1389" t="s">
        <v>6</v>
      </c>
      <c r="B1389" t="str">
        <f>"07/16/2016 00:00"</f>
        <v>07/16/2016 00:00</v>
      </c>
      <c r="C1389">
        <v>151</v>
      </c>
      <c r="D1389" t="s">
        <v>7</v>
      </c>
      <c r="E1389" s="2" t="s">
        <v>12</v>
      </c>
      <c r="F1389">
        <f t="shared" si="21"/>
        <v>299.43299999999999</v>
      </c>
      <c r="G1389" t="s">
        <v>16</v>
      </c>
      <c r="J1389" t="str">
        <f>"07/16/2016 23:45"</f>
        <v>07/16/2016 23:45</v>
      </c>
    </row>
    <row r="1390" spans="1:10" x14ac:dyDescent="0.3">
      <c r="A1390" t="s">
        <v>6</v>
      </c>
      <c r="B1390" t="str">
        <f>"07/17/2016 00:00"</f>
        <v>07/17/2016 00:00</v>
      </c>
      <c r="C1390">
        <v>267</v>
      </c>
      <c r="D1390" t="s">
        <v>7</v>
      </c>
      <c r="E1390" s="2" t="s">
        <v>12</v>
      </c>
      <c r="F1390">
        <f t="shared" si="21"/>
        <v>529.46100000000001</v>
      </c>
      <c r="G1390" t="s">
        <v>16</v>
      </c>
      <c r="J1390" t="str">
        <f>"07/17/2016 23:45"</f>
        <v>07/17/2016 23:45</v>
      </c>
    </row>
    <row r="1391" spans="1:10" x14ac:dyDescent="0.3">
      <c r="A1391" t="s">
        <v>6</v>
      </c>
      <c r="B1391" t="str">
        <f>"07/18/2016 00:00"</f>
        <v>07/18/2016 00:00</v>
      </c>
      <c r="C1391">
        <v>357</v>
      </c>
      <c r="D1391" t="s">
        <v>7</v>
      </c>
      <c r="E1391" s="2" t="s">
        <v>12</v>
      </c>
      <c r="F1391">
        <f t="shared" si="21"/>
        <v>707.93100000000004</v>
      </c>
      <c r="G1391" t="s">
        <v>16</v>
      </c>
      <c r="J1391" t="str">
        <f>"07/18/2016 23:45"</f>
        <v>07/18/2016 23:45</v>
      </c>
    </row>
    <row r="1392" spans="1:10" x14ac:dyDescent="0.3">
      <c r="A1392" t="s">
        <v>6</v>
      </c>
      <c r="B1392" t="str">
        <f>"07/19/2016 00:00"</f>
        <v>07/19/2016 00:00</v>
      </c>
      <c r="C1392">
        <v>294</v>
      </c>
      <c r="D1392" t="s">
        <v>7</v>
      </c>
      <c r="E1392" s="2" t="s">
        <v>12</v>
      </c>
      <c r="F1392">
        <f t="shared" si="21"/>
        <v>583.00200000000007</v>
      </c>
      <c r="G1392" t="s">
        <v>16</v>
      </c>
      <c r="J1392" t="str">
        <f>"07/19/2016 23:45"</f>
        <v>07/19/2016 23:45</v>
      </c>
    </row>
    <row r="1393" spans="1:10" x14ac:dyDescent="0.3">
      <c r="A1393" t="s">
        <v>6</v>
      </c>
      <c r="B1393" t="str">
        <f>"07/20/2016 00:00"</f>
        <v>07/20/2016 00:00</v>
      </c>
      <c r="C1393">
        <v>253</v>
      </c>
      <c r="D1393" t="s">
        <v>7</v>
      </c>
      <c r="E1393" s="2" t="s">
        <v>12</v>
      </c>
      <c r="F1393">
        <f t="shared" si="21"/>
        <v>501.69900000000001</v>
      </c>
      <c r="G1393" t="s">
        <v>16</v>
      </c>
      <c r="J1393" t="str">
        <f>"07/20/2016 23:45"</f>
        <v>07/20/2016 23:45</v>
      </c>
    </row>
    <row r="1394" spans="1:10" x14ac:dyDescent="0.3">
      <c r="A1394" t="s">
        <v>6</v>
      </c>
      <c r="B1394" t="str">
        <f>"07/21/2016 00:00"</f>
        <v>07/21/2016 00:00</v>
      </c>
      <c r="C1394">
        <v>253</v>
      </c>
      <c r="D1394" t="s">
        <v>7</v>
      </c>
      <c r="E1394" s="2" t="s">
        <v>12</v>
      </c>
      <c r="F1394">
        <f t="shared" si="21"/>
        <v>501.69900000000001</v>
      </c>
      <c r="G1394" t="s">
        <v>16</v>
      </c>
      <c r="J1394" t="str">
        <f>"07/21/2016 23:45"</f>
        <v>07/21/2016 23:45</v>
      </c>
    </row>
    <row r="1395" spans="1:10" x14ac:dyDescent="0.3">
      <c r="A1395" t="s">
        <v>6</v>
      </c>
      <c r="B1395" t="str">
        <f>"07/22/2016 00:00"</f>
        <v>07/22/2016 00:00</v>
      </c>
      <c r="C1395">
        <v>252</v>
      </c>
      <c r="D1395" t="s">
        <v>7</v>
      </c>
      <c r="E1395" s="2" t="s">
        <v>12</v>
      </c>
      <c r="F1395">
        <f t="shared" si="21"/>
        <v>499.71600000000001</v>
      </c>
      <c r="G1395" t="s">
        <v>16</v>
      </c>
      <c r="J1395" t="str">
        <f>"07/22/2016 23:45"</f>
        <v>07/22/2016 23:45</v>
      </c>
    </row>
    <row r="1396" spans="1:10" x14ac:dyDescent="0.3">
      <c r="A1396" t="s">
        <v>6</v>
      </c>
      <c r="B1396" t="str">
        <f>"07/23/2016 00:00"</f>
        <v>07/23/2016 00:00</v>
      </c>
      <c r="C1396">
        <v>250</v>
      </c>
      <c r="D1396" t="s">
        <v>7</v>
      </c>
      <c r="E1396" s="2" t="s">
        <v>12</v>
      </c>
      <c r="F1396">
        <f t="shared" si="21"/>
        <v>495.75</v>
      </c>
      <c r="G1396" t="s">
        <v>16</v>
      </c>
      <c r="J1396" t="str">
        <f>"07/23/2016 23:45"</f>
        <v>07/23/2016 23:45</v>
      </c>
    </row>
    <row r="1397" spans="1:10" x14ac:dyDescent="0.3">
      <c r="A1397" t="s">
        <v>6</v>
      </c>
      <c r="B1397" t="str">
        <f>"07/24/2016 00:00"</f>
        <v>07/24/2016 00:00</v>
      </c>
      <c r="C1397">
        <v>251</v>
      </c>
      <c r="D1397" t="s">
        <v>7</v>
      </c>
      <c r="E1397" s="2" t="s">
        <v>12</v>
      </c>
      <c r="F1397">
        <f t="shared" si="21"/>
        <v>497.733</v>
      </c>
      <c r="G1397" t="s">
        <v>16</v>
      </c>
      <c r="J1397" t="str">
        <f>"07/24/2016 23:45"</f>
        <v>07/24/2016 23:45</v>
      </c>
    </row>
    <row r="1398" spans="1:10" x14ac:dyDescent="0.3">
      <c r="A1398" t="s">
        <v>6</v>
      </c>
      <c r="B1398" t="str">
        <f>"07/25/2016 00:00"</f>
        <v>07/25/2016 00:00</v>
      </c>
      <c r="C1398">
        <v>250</v>
      </c>
      <c r="D1398" t="s">
        <v>7</v>
      </c>
      <c r="E1398" s="2" t="s">
        <v>12</v>
      </c>
      <c r="F1398">
        <f t="shared" si="21"/>
        <v>495.75</v>
      </c>
      <c r="G1398" t="s">
        <v>16</v>
      </c>
      <c r="J1398" t="str">
        <f>"07/25/2016 23:45"</f>
        <v>07/25/2016 23:45</v>
      </c>
    </row>
    <row r="1399" spans="1:10" x14ac:dyDescent="0.3">
      <c r="A1399" t="s">
        <v>6</v>
      </c>
      <c r="B1399" t="str">
        <f>"07/26/2016 00:00"</f>
        <v>07/26/2016 00:00</v>
      </c>
      <c r="C1399">
        <v>251</v>
      </c>
      <c r="D1399" t="s">
        <v>7</v>
      </c>
      <c r="E1399" s="2" t="s">
        <v>12</v>
      </c>
      <c r="F1399">
        <f t="shared" si="21"/>
        <v>497.733</v>
      </c>
      <c r="G1399" t="s">
        <v>16</v>
      </c>
      <c r="J1399" t="str">
        <f>"07/26/2016 23:45"</f>
        <v>07/26/2016 23:45</v>
      </c>
    </row>
    <row r="1400" spans="1:10" x14ac:dyDescent="0.3">
      <c r="A1400" t="s">
        <v>6</v>
      </c>
      <c r="B1400" t="str">
        <f>"07/27/2016 00:00"</f>
        <v>07/27/2016 00:00</v>
      </c>
      <c r="C1400">
        <v>225</v>
      </c>
      <c r="D1400" t="s">
        <v>7</v>
      </c>
      <c r="E1400" s="2" t="s">
        <v>12</v>
      </c>
      <c r="F1400">
        <f t="shared" si="21"/>
        <v>446.17500000000001</v>
      </c>
      <c r="G1400" t="s">
        <v>16</v>
      </c>
      <c r="J1400" t="str">
        <f>"07/27/2016 23:45"</f>
        <v>07/27/2016 23:45</v>
      </c>
    </row>
    <row r="1401" spans="1:10" x14ac:dyDescent="0.3">
      <c r="A1401" t="s">
        <v>6</v>
      </c>
      <c r="B1401" t="str">
        <f>"07/28/2016 00:00"</f>
        <v>07/28/2016 00:00</v>
      </c>
      <c r="C1401">
        <v>200</v>
      </c>
      <c r="D1401" t="s">
        <v>7</v>
      </c>
      <c r="E1401" s="2" t="s">
        <v>12</v>
      </c>
      <c r="F1401">
        <f t="shared" si="21"/>
        <v>396.6</v>
      </c>
      <c r="G1401" t="s">
        <v>16</v>
      </c>
      <c r="J1401" t="str">
        <f>"07/28/2016 23:45"</f>
        <v>07/28/2016 23:45</v>
      </c>
    </row>
    <row r="1402" spans="1:10" x14ac:dyDescent="0.3">
      <c r="A1402" t="s">
        <v>6</v>
      </c>
      <c r="B1402" t="str">
        <f>"07/29/2016 00:00"</f>
        <v>07/29/2016 00:00</v>
      </c>
      <c r="C1402">
        <v>184</v>
      </c>
      <c r="D1402" t="s">
        <v>7</v>
      </c>
      <c r="E1402" s="2" t="s">
        <v>12</v>
      </c>
      <c r="F1402">
        <f t="shared" si="21"/>
        <v>364.87200000000001</v>
      </c>
      <c r="G1402" t="s">
        <v>16</v>
      </c>
      <c r="J1402" t="str">
        <f>"07/29/2016 23:45"</f>
        <v>07/29/2016 23:45</v>
      </c>
    </row>
    <row r="1403" spans="1:10" x14ac:dyDescent="0.3">
      <c r="A1403" t="s">
        <v>6</v>
      </c>
      <c r="B1403" t="str">
        <f>"07/30/2016 00:00"</f>
        <v>07/30/2016 00:00</v>
      </c>
      <c r="C1403">
        <v>172</v>
      </c>
      <c r="D1403" t="s">
        <v>7</v>
      </c>
      <c r="E1403" s="2" t="s">
        <v>12</v>
      </c>
      <c r="F1403">
        <f t="shared" si="21"/>
        <v>341.07600000000002</v>
      </c>
      <c r="G1403" t="s">
        <v>16</v>
      </c>
      <c r="J1403" t="str">
        <f>"07/30/2016 23:45"</f>
        <v>07/30/2016 23:45</v>
      </c>
    </row>
    <row r="1404" spans="1:10" x14ac:dyDescent="0.3">
      <c r="A1404" t="s">
        <v>6</v>
      </c>
      <c r="B1404" t="str">
        <f>"07/31/2016 00:00"</f>
        <v>07/31/2016 00:00</v>
      </c>
      <c r="C1404">
        <v>175</v>
      </c>
      <c r="D1404" t="s">
        <v>7</v>
      </c>
      <c r="E1404" s="2" t="s">
        <v>12</v>
      </c>
      <c r="F1404">
        <f t="shared" si="21"/>
        <v>347.02500000000003</v>
      </c>
      <c r="G1404" t="s">
        <v>16</v>
      </c>
      <c r="J1404" t="str">
        <f>"07/31/2016 23:45"</f>
        <v>07/31/2016 23:45</v>
      </c>
    </row>
    <row r="1405" spans="1:10" x14ac:dyDescent="0.3">
      <c r="A1405" t="s">
        <v>6</v>
      </c>
      <c r="B1405" t="str">
        <f>"08/01/2016 00:00"</f>
        <v>08/01/2016 00:00</v>
      </c>
      <c r="C1405">
        <v>225</v>
      </c>
      <c r="D1405" t="s">
        <v>7</v>
      </c>
      <c r="E1405" s="2" t="s">
        <v>12</v>
      </c>
      <c r="F1405">
        <f t="shared" si="21"/>
        <v>446.17500000000001</v>
      </c>
      <c r="G1405" t="s">
        <v>16</v>
      </c>
      <c r="J1405" t="str">
        <f>"08/01/2016 23:45"</f>
        <v>08/01/2016 23:45</v>
      </c>
    </row>
    <row r="1406" spans="1:10" x14ac:dyDescent="0.3">
      <c r="A1406" t="s">
        <v>6</v>
      </c>
      <c r="B1406" t="str">
        <f>"08/02/2016 00:00"</f>
        <v>08/02/2016 00:00</v>
      </c>
      <c r="C1406">
        <v>251</v>
      </c>
      <c r="D1406" t="s">
        <v>7</v>
      </c>
      <c r="E1406" s="2" t="s">
        <v>12</v>
      </c>
      <c r="F1406">
        <f t="shared" si="21"/>
        <v>497.733</v>
      </c>
      <c r="G1406" t="s">
        <v>16</v>
      </c>
      <c r="J1406" t="str">
        <f>"08/02/2016 23:45"</f>
        <v>08/02/2016 23:45</v>
      </c>
    </row>
    <row r="1407" spans="1:10" x14ac:dyDescent="0.3">
      <c r="A1407" t="s">
        <v>6</v>
      </c>
      <c r="B1407" t="str">
        <f>"08/03/2016 00:00"</f>
        <v>08/03/2016 00:00</v>
      </c>
      <c r="C1407">
        <v>251</v>
      </c>
      <c r="D1407" t="s">
        <v>7</v>
      </c>
      <c r="E1407" s="2" t="s">
        <v>12</v>
      </c>
      <c r="F1407">
        <f t="shared" si="21"/>
        <v>497.733</v>
      </c>
      <c r="G1407" t="s">
        <v>16</v>
      </c>
      <c r="J1407" t="str">
        <f>"08/03/2016 23:45"</f>
        <v>08/03/2016 23:45</v>
      </c>
    </row>
    <row r="1408" spans="1:10" x14ac:dyDescent="0.3">
      <c r="A1408" t="s">
        <v>6</v>
      </c>
      <c r="B1408" t="str">
        <f>"08/04/2016 00:00"</f>
        <v>08/04/2016 00:00</v>
      </c>
      <c r="C1408">
        <v>251</v>
      </c>
      <c r="D1408" t="s">
        <v>7</v>
      </c>
      <c r="E1408" s="2" t="s">
        <v>12</v>
      </c>
      <c r="F1408">
        <f t="shared" si="21"/>
        <v>497.733</v>
      </c>
      <c r="G1408" t="s">
        <v>16</v>
      </c>
      <c r="J1408" t="str">
        <f>"08/04/2016 23:45"</f>
        <v>08/04/2016 23:45</v>
      </c>
    </row>
    <row r="1409" spans="1:10" x14ac:dyDescent="0.3">
      <c r="A1409" t="s">
        <v>6</v>
      </c>
      <c r="B1409" t="str">
        <f>"08/05/2016 00:00"</f>
        <v>08/05/2016 00:00</v>
      </c>
      <c r="C1409">
        <v>188</v>
      </c>
      <c r="D1409" t="s">
        <v>7</v>
      </c>
      <c r="E1409" s="2" t="s">
        <v>12</v>
      </c>
      <c r="F1409">
        <f t="shared" si="21"/>
        <v>372.80400000000003</v>
      </c>
      <c r="G1409" t="s">
        <v>16</v>
      </c>
      <c r="J1409" t="str">
        <f>"08/05/2016 23:45"</f>
        <v>08/05/2016 23:45</v>
      </c>
    </row>
    <row r="1410" spans="1:10" x14ac:dyDescent="0.3">
      <c r="A1410" t="s">
        <v>6</v>
      </c>
      <c r="B1410" t="str">
        <f>"08/06/2016 00:00"</f>
        <v>08/06/2016 00:00</v>
      </c>
      <c r="C1410">
        <v>115</v>
      </c>
      <c r="D1410" t="s">
        <v>7</v>
      </c>
      <c r="E1410" s="2" t="s">
        <v>12</v>
      </c>
      <c r="F1410">
        <f t="shared" si="21"/>
        <v>228.04500000000002</v>
      </c>
      <c r="G1410" t="s">
        <v>16</v>
      </c>
      <c r="J1410" t="str">
        <f>"08/06/2016 23:45"</f>
        <v>08/06/2016 23:45</v>
      </c>
    </row>
    <row r="1411" spans="1:10" x14ac:dyDescent="0.3">
      <c r="A1411" t="s">
        <v>6</v>
      </c>
      <c r="B1411" t="str">
        <f>"08/07/2016 00:00"</f>
        <v>08/07/2016 00:00</v>
      </c>
      <c r="C1411">
        <v>98.1</v>
      </c>
      <c r="D1411" t="s">
        <v>7</v>
      </c>
      <c r="E1411" s="2" t="s">
        <v>12</v>
      </c>
      <c r="F1411">
        <f t="shared" si="21"/>
        <v>194.53229999999999</v>
      </c>
      <c r="G1411" t="s">
        <v>16</v>
      </c>
      <c r="J1411" t="str">
        <f>"08/07/2016 23:45"</f>
        <v>08/07/2016 23:45</v>
      </c>
    </row>
    <row r="1412" spans="1:10" x14ac:dyDescent="0.3">
      <c r="A1412" t="s">
        <v>6</v>
      </c>
      <c r="B1412" t="str">
        <f>"08/08/2016 00:00"</f>
        <v>08/08/2016 00:00</v>
      </c>
      <c r="C1412">
        <v>155</v>
      </c>
      <c r="D1412" t="s">
        <v>7</v>
      </c>
      <c r="E1412" s="2" t="s">
        <v>12</v>
      </c>
      <c r="F1412">
        <f t="shared" si="21"/>
        <v>307.36500000000001</v>
      </c>
      <c r="G1412" t="s">
        <v>16</v>
      </c>
      <c r="J1412" t="str">
        <f>"08/08/2016 23:45"</f>
        <v>08/08/2016 23:45</v>
      </c>
    </row>
    <row r="1413" spans="1:10" x14ac:dyDescent="0.3">
      <c r="A1413" t="s">
        <v>6</v>
      </c>
      <c r="B1413" t="str">
        <f>"08/09/2016 00:00"</f>
        <v>08/09/2016 00:00</v>
      </c>
      <c r="C1413">
        <v>202</v>
      </c>
      <c r="D1413" t="s">
        <v>7</v>
      </c>
      <c r="E1413" s="2" t="s">
        <v>12</v>
      </c>
      <c r="F1413">
        <f t="shared" si="21"/>
        <v>400.56600000000003</v>
      </c>
      <c r="G1413" t="s">
        <v>16</v>
      </c>
      <c r="J1413" t="str">
        <f>"08/09/2016 23:45"</f>
        <v>08/09/2016 23:45</v>
      </c>
    </row>
    <row r="1414" spans="1:10" x14ac:dyDescent="0.3">
      <c r="A1414" t="s">
        <v>6</v>
      </c>
      <c r="B1414" t="str">
        <f>"08/10/2016 00:00"</f>
        <v>08/10/2016 00:00</v>
      </c>
      <c r="C1414">
        <v>200</v>
      </c>
      <c r="D1414" t="s">
        <v>7</v>
      </c>
      <c r="E1414" s="2" t="s">
        <v>12</v>
      </c>
      <c r="F1414">
        <f t="shared" ref="F1414:F1478" si="22">C1414*1.983</f>
        <v>396.6</v>
      </c>
      <c r="G1414" t="s">
        <v>16</v>
      </c>
      <c r="J1414" t="str">
        <f>"08/10/2016 23:45"</f>
        <v>08/10/2016 23:45</v>
      </c>
    </row>
    <row r="1415" spans="1:10" x14ac:dyDescent="0.3">
      <c r="A1415" t="s">
        <v>6</v>
      </c>
      <c r="B1415" t="str">
        <f>"08/11/2016 00:00"</f>
        <v>08/11/2016 00:00</v>
      </c>
      <c r="C1415">
        <v>256</v>
      </c>
      <c r="D1415" t="s">
        <v>7</v>
      </c>
      <c r="E1415" s="2" t="s">
        <v>12</v>
      </c>
      <c r="F1415">
        <f t="shared" si="22"/>
        <v>507.64800000000002</v>
      </c>
      <c r="G1415" t="s">
        <v>16</v>
      </c>
      <c r="J1415" t="str">
        <f>"08/11/2016 23:45"</f>
        <v>08/11/2016 23:45</v>
      </c>
    </row>
    <row r="1416" spans="1:10" x14ac:dyDescent="0.3">
      <c r="A1416" t="s">
        <v>6</v>
      </c>
      <c r="B1416" t="str">
        <f>"08/12/2016 00:00"</f>
        <v>08/12/2016 00:00</v>
      </c>
      <c r="C1416">
        <v>349</v>
      </c>
      <c r="D1416" t="s">
        <v>7</v>
      </c>
      <c r="E1416" s="2" t="s">
        <v>12</v>
      </c>
      <c r="F1416">
        <f t="shared" si="22"/>
        <v>692.06700000000001</v>
      </c>
      <c r="G1416" t="s">
        <v>16</v>
      </c>
      <c r="J1416" t="str">
        <f>"08/12/2016 23:45"</f>
        <v>08/12/2016 23:45</v>
      </c>
    </row>
    <row r="1417" spans="1:10" x14ac:dyDescent="0.3">
      <c r="A1417" t="s">
        <v>6</v>
      </c>
      <c r="B1417" t="str">
        <f>"08/13/2016 00:00"</f>
        <v>08/13/2016 00:00</v>
      </c>
      <c r="C1417">
        <v>350</v>
      </c>
      <c r="D1417" t="s">
        <v>7</v>
      </c>
      <c r="E1417" s="2" t="s">
        <v>12</v>
      </c>
      <c r="F1417">
        <f t="shared" si="22"/>
        <v>694.05000000000007</v>
      </c>
      <c r="G1417" t="s">
        <v>16</v>
      </c>
      <c r="J1417" t="str">
        <f>"08/13/2016 23:45"</f>
        <v>08/13/2016 23:45</v>
      </c>
    </row>
    <row r="1418" spans="1:10" x14ac:dyDescent="0.3">
      <c r="A1418" t="s">
        <v>6</v>
      </c>
      <c r="B1418" t="str">
        <f>"08/14/2016 00:00"</f>
        <v>08/14/2016 00:00</v>
      </c>
      <c r="C1418">
        <v>311</v>
      </c>
      <c r="D1418" t="s">
        <v>7</v>
      </c>
      <c r="E1418" s="2" t="s">
        <v>12</v>
      </c>
      <c r="F1418">
        <f t="shared" si="22"/>
        <v>616.71300000000008</v>
      </c>
      <c r="G1418" t="s">
        <v>16</v>
      </c>
      <c r="J1418" t="str">
        <f>"08/14/2016 23:45"</f>
        <v>08/14/2016 23:45</v>
      </c>
    </row>
    <row r="1419" spans="1:10" x14ac:dyDescent="0.3">
      <c r="A1419" t="s">
        <v>6</v>
      </c>
      <c r="B1419" t="str">
        <f>"08/15/2016 00:00"</f>
        <v>08/15/2016 00:00</v>
      </c>
      <c r="C1419">
        <v>215</v>
      </c>
      <c r="D1419" t="s">
        <v>7</v>
      </c>
      <c r="E1419" s="2" t="s">
        <v>12</v>
      </c>
      <c r="F1419">
        <f t="shared" si="22"/>
        <v>426.34500000000003</v>
      </c>
      <c r="G1419" t="s">
        <v>16</v>
      </c>
      <c r="J1419" t="str">
        <f>"08/15/2016 23:45"</f>
        <v>08/15/2016 23:45</v>
      </c>
    </row>
    <row r="1420" spans="1:10" x14ac:dyDescent="0.3">
      <c r="A1420" t="s">
        <v>6</v>
      </c>
      <c r="B1420" t="str">
        <f>"08/16/2016 00:00"</f>
        <v>08/16/2016 00:00</v>
      </c>
      <c r="C1420">
        <v>193</v>
      </c>
      <c r="D1420" t="s">
        <v>7</v>
      </c>
      <c r="E1420" s="2" t="s">
        <v>12</v>
      </c>
      <c r="F1420">
        <f t="shared" si="22"/>
        <v>382.71899999999999</v>
      </c>
      <c r="G1420" t="s">
        <v>16</v>
      </c>
      <c r="J1420" t="str">
        <f>"08/16/2016 23:45"</f>
        <v>08/16/2016 23:45</v>
      </c>
    </row>
    <row r="1421" spans="1:10" x14ac:dyDescent="0.3">
      <c r="A1421" t="s">
        <v>6</v>
      </c>
      <c r="B1421" t="str">
        <f>"08/17/2016 00:00"</f>
        <v>08/17/2016 00:00</v>
      </c>
      <c r="C1421">
        <v>194</v>
      </c>
      <c r="D1421" t="s">
        <v>7</v>
      </c>
      <c r="E1421" s="2" t="s">
        <v>12</v>
      </c>
      <c r="F1421">
        <f t="shared" si="22"/>
        <v>384.702</v>
      </c>
      <c r="G1421" t="s">
        <v>16</v>
      </c>
      <c r="J1421" t="str">
        <f>"08/17/2016 23:45"</f>
        <v>08/17/2016 23:45</v>
      </c>
    </row>
    <row r="1422" spans="1:10" x14ac:dyDescent="0.3">
      <c r="A1422" t="s">
        <v>6</v>
      </c>
      <c r="B1422" t="str">
        <f>"08/18/2016 00:00"</f>
        <v>08/18/2016 00:00</v>
      </c>
      <c r="C1422">
        <v>198</v>
      </c>
      <c r="D1422" t="s">
        <v>7</v>
      </c>
      <c r="E1422" s="2" t="s">
        <v>12</v>
      </c>
      <c r="F1422">
        <f t="shared" si="22"/>
        <v>392.63400000000001</v>
      </c>
      <c r="G1422" t="s">
        <v>16</v>
      </c>
      <c r="J1422" t="str">
        <f>"08/18/2016 23:45"</f>
        <v>08/18/2016 23:45</v>
      </c>
    </row>
    <row r="1423" spans="1:10" x14ac:dyDescent="0.3">
      <c r="A1423" t="s">
        <v>6</v>
      </c>
      <c r="B1423" t="str">
        <f>"08/19/2016 00:00"</f>
        <v>08/19/2016 00:00</v>
      </c>
      <c r="C1423">
        <v>201</v>
      </c>
      <c r="D1423" t="s">
        <v>7</v>
      </c>
      <c r="E1423" s="2" t="s">
        <v>12</v>
      </c>
      <c r="F1423">
        <f t="shared" si="22"/>
        <v>398.58300000000003</v>
      </c>
      <c r="G1423" t="s">
        <v>16</v>
      </c>
      <c r="J1423" t="str">
        <f>"08/19/2016 23:45"</f>
        <v>08/19/2016 23:45</v>
      </c>
    </row>
    <row r="1424" spans="1:10" x14ac:dyDescent="0.3">
      <c r="A1424" t="s">
        <v>6</v>
      </c>
      <c r="B1424" t="str">
        <f>"08/20/2016 00:00"</f>
        <v>08/20/2016 00:00</v>
      </c>
      <c r="C1424">
        <v>201</v>
      </c>
      <c r="D1424" t="s">
        <v>7</v>
      </c>
      <c r="E1424" s="2" t="s">
        <v>12</v>
      </c>
      <c r="F1424">
        <f t="shared" si="22"/>
        <v>398.58300000000003</v>
      </c>
      <c r="G1424" t="s">
        <v>16</v>
      </c>
      <c r="J1424" t="str">
        <f>"08/20/2016 23:45"</f>
        <v>08/20/2016 23:45</v>
      </c>
    </row>
    <row r="1425" spans="1:10" x14ac:dyDescent="0.3">
      <c r="A1425" t="s">
        <v>6</v>
      </c>
      <c r="B1425" t="str">
        <f>"08/21/2016 00:00"</f>
        <v>08/21/2016 00:00</v>
      </c>
      <c r="C1425">
        <v>201</v>
      </c>
      <c r="D1425" t="s">
        <v>7</v>
      </c>
      <c r="E1425" s="2" t="s">
        <v>12</v>
      </c>
      <c r="F1425">
        <f t="shared" si="22"/>
        <v>398.58300000000003</v>
      </c>
      <c r="G1425" t="s">
        <v>16</v>
      </c>
      <c r="J1425" t="str">
        <f>"08/21/2016 23:45"</f>
        <v>08/21/2016 23:45</v>
      </c>
    </row>
    <row r="1426" spans="1:10" x14ac:dyDescent="0.3">
      <c r="A1426" t="s">
        <v>6</v>
      </c>
      <c r="B1426" t="str">
        <f>"08/22/2016 00:00"</f>
        <v>08/22/2016 00:00</v>
      </c>
      <c r="C1426">
        <v>201</v>
      </c>
      <c r="D1426" t="s">
        <v>7</v>
      </c>
      <c r="E1426" s="2" t="s">
        <v>12</v>
      </c>
      <c r="F1426">
        <f t="shared" si="22"/>
        <v>398.58300000000003</v>
      </c>
      <c r="G1426" t="s">
        <v>16</v>
      </c>
      <c r="J1426" t="str">
        <f>"08/22/2016 23:45"</f>
        <v>08/22/2016 23:45</v>
      </c>
    </row>
    <row r="1427" spans="1:10" x14ac:dyDescent="0.3">
      <c r="A1427" t="s">
        <v>6</v>
      </c>
      <c r="B1427" t="str">
        <f>"08/23/2016 00:00"</f>
        <v>08/23/2016 00:00</v>
      </c>
      <c r="C1427">
        <v>201</v>
      </c>
      <c r="D1427" t="s">
        <v>7</v>
      </c>
      <c r="E1427" s="2" t="s">
        <v>12</v>
      </c>
      <c r="F1427">
        <f t="shared" si="22"/>
        <v>398.58300000000003</v>
      </c>
      <c r="G1427" t="s">
        <v>16</v>
      </c>
      <c r="J1427" t="str">
        <f>"08/23/2016 23:45"</f>
        <v>08/23/2016 23:45</v>
      </c>
    </row>
    <row r="1428" spans="1:10" x14ac:dyDescent="0.3">
      <c r="A1428" t="s">
        <v>6</v>
      </c>
      <c r="B1428" t="str">
        <f>"08/24/2016 00:00"</f>
        <v>08/24/2016 00:00</v>
      </c>
      <c r="C1428">
        <v>201</v>
      </c>
      <c r="D1428" t="s">
        <v>7</v>
      </c>
      <c r="E1428" s="2" t="s">
        <v>12</v>
      </c>
      <c r="F1428">
        <f t="shared" si="22"/>
        <v>398.58300000000003</v>
      </c>
      <c r="G1428" t="s">
        <v>16</v>
      </c>
      <c r="J1428" t="str">
        <f>"08/24/2016 23:45"</f>
        <v>08/24/2016 23:45</v>
      </c>
    </row>
    <row r="1429" spans="1:10" x14ac:dyDescent="0.3">
      <c r="A1429" t="s">
        <v>6</v>
      </c>
      <c r="B1429" t="str">
        <f>"08/25/2016 00:00"</f>
        <v>08/25/2016 00:00</v>
      </c>
      <c r="C1429">
        <v>201</v>
      </c>
      <c r="D1429" t="s">
        <v>7</v>
      </c>
      <c r="E1429" s="2" t="s">
        <v>12</v>
      </c>
      <c r="F1429">
        <f t="shared" si="22"/>
        <v>398.58300000000003</v>
      </c>
      <c r="G1429" t="s">
        <v>16</v>
      </c>
      <c r="J1429" t="str">
        <f>"08/25/2016 23:45"</f>
        <v>08/25/2016 23:45</v>
      </c>
    </row>
    <row r="1430" spans="1:10" x14ac:dyDescent="0.3">
      <c r="A1430" t="s">
        <v>6</v>
      </c>
      <c r="B1430" t="str">
        <f>"08/26/2016 00:00"</f>
        <v>08/26/2016 00:00</v>
      </c>
      <c r="C1430">
        <v>201</v>
      </c>
      <c r="D1430" t="s">
        <v>7</v>
      </c>
      <c r="E1430" s="2" t="s">
        <v>12</v>
      </c>
      <c r="F1430">
        <f t="shared" si="22"/>
        <v>398.58300000000003</v>
      </c>
      <c r="G1430" t="s">
        <v>16</v>
      </c>
      <c r="J1430" t="str">
        <f>"08/26/2016 23:45"</f>
        <v>08/26/2016 23:45</v>
      </c>
    </row>
    <row r="1431" spans="1:10" x14ac:dyDescent="0.3">
      <c r="A1431" t="s">
        <v>6</v>
      </c>
      <c r="B1431" t="str">
        <f>"08/27/2016 00:00"</f>
        <v>08/27/2016 00:00</v>
      </c>
      <c r="C1431">
        <v>201</v>
      </c>
      <c r="D1431" t="s">
        <v>7</v>
      </c>
      <c r="E1431" s="2" t="s">
        <v>12</v>
      </c>
      <c r="F1431">
        <f t="shared" si="22"/>
        <v>398.58300000000003</v>
      </c>
      <c r="G1431" t="s">
        <v>16</v>
      </c>
      <c r="J1431" t="str">
        <f>"08/27/2016 23:45"</f>
        <v>08/27/2016 23:45</v>
      </c>
    </row>
    <row r="1432" spans="1:10" x14ac:dyDescent="0.3">
      <c r="A1432" t="s">
        <v>6</v>
      </c>
      <c r="B1432" t="str">
        <f>"08/28/2016 00:00"</f>
        <v>08/28/2016 00:00</v>
      </c>
      <c r="C1432">
        <v>201</v>
      </c>
      <c r="D1432" t="s">
        <v>7</v>
      </c>
      <c r="E1432" s="2" t="s">
        <v>12</v>
      </c>
      <c r="F1432">
        <f t="shared" si="22"/>
        <v>398.58300000000003</v>
      </c>
      <c r="G1432" t="s">
        <v>16</v>
      </c>
      <c r="J1432" t="str">
        <f>"08/28/2016 23:45"</f>
        <v>08/28/2016 23:45</v>
      </c>
    </row>
    <row r="1433" spans="1:10" x14ac:dyDescent="0.3">
      <c r="A1433" t="s">
        <v>6</v>
      </c>
      <c r="B1433" t="str">
        <f>"08/29/2016 00:00"</f>
        <v>08/29/2016 00:00</v>
      </c>
      <c r="C1433">
        <v>201</v>
      </c>
      <c r="D1433" t="s">
        <v>7</v>
      </c>
      <c r="E1433" s="2" t="s">
        <v>12</v>
      </c>
      <c r="F1433">
        <f t="shared" si="22"/>
        <v>398.58300000000003</v>
      </c>
      <c r="G1433" t="s">
        <v>16</v>
      </c>
      <c r="J1433" t="str">
        <f>"08/29/2016 23:45"</f>
        <v>08/29/2016 23:45</v>
      </c>
    </row>
    <row r="1434" spans="1:10" x14ac:dyDescent="0.3">
      <c r="A1434" t="s">
        <v>6</v>
      </c>
      <c r="B1434" t="str">
        <f>"08/30/2016 00:00"</f>
        <v>08/30/2016 00:00</v>
      </c>
      <c r="C1434">
        <v>224</v>
      </c>
      <c r="D1434" t="s">
        <v>7</v>
      </c>
      <c r="E1434" s="2" t="s">
        <v>12</v>
      </c>
      <c r="F1434">
        <f t="shared" si="22"/>
        <v>444.19200000000001</v>
      </c>
      <c r="G1434" t="s">
        <v>16</v>
      </c>
      <c r="J1434" t="str">
        <f>"08/30/2016 23:45"</f>
        <v>08/30/2016 23:45</v>
      </c>
    </row>
    <row r="1435" spans="1:10" x14ac:dyDescent="0.3">
      <c r="A1435" t="s">
        <v>6</v>
      </c>
      <c r="B1435" t="str">
        <f>"08/31/2016 00:00"</f>
        <v>08/31/2016 00:00</v>
      </c>
      <c r="C1435">
        <v>245</v>
      </c>
      <c r="D1435" t="s">
        <v>7</v>
      </c>
      <c r="E1435" s="2" t="s">
        <v>12</v>
      </c>
      <c r="F1435">
        <f t="shared" si="22"/>
        <v>485.83500000000004</v>
      </c>
      <c r="G1435" t="s">
        <v>16</v>
      </c>
      <c r="J1435" t="str">
        <f>"08/31/2016 23:45"</f>
        <v>08/31/2016 23:45</v>
      </c>
    </row>
    <row r="1436" spans="1:10" x14ac:dyDescent="0.3">
      <c r="A1436" t="s">
        <v>6</v>
      </c>
      <c r="B1436" t="str">
        <f>"09/01/2016 00:00"</f>
        <v>09/01/2016 00:00</v>
      </c>
      <c r="C1436">
        <v>248</v>
      </c>
      <c r="D1436" t="s">
        <v>7</v>
      </c>
      <c r="E1436" s="2" t="s">
        <v>12</v>
      </c>
      <c r="F1436">
        <f t="shared" si="22"/>
        <v>491.78400000000005</v>
      </c>
      <c r="G1436" t="s">
        <v>16</v>
      </c>
      <c r="J1436" t="str">
        <f>"09/01/2016 23:45"</f>
        <v>09/01/2016 23:45</v>
      </c>
    </row>
    <row r="1437" spans="1:10" x14ac:dyDescent="0.3">
      <c r="A1437" t="s">
        <v>6</v>
      </c>
      <c r="B1437" t="str">
        <f>"09/02/2016 00:00"</f>
        <v>09/02/2016 00:00</v>
      </c>
      <c r="C1437">
        <v>249</v>
      </c>
      <c r="D1437" t="s">
        <v>7</v>
      </c>
      <c r="E1437" s="2" t="s">
        <v>12</v>
      </c>
      <c r="F1437">
        <f t="shared" si="22"/>
        <v>493.767</v>
      </c>
      <c r="G1437" t="s">
        <v>16</v>
      </c>
      <c r="J1437" t="str">
        <f>"09/02/2016 23:45"</f>
        <v>09/02/2016 23:45</v>
      </c>
    </row>
    <row r="1438" spans="1:10" x14ac:dyDescent="0.3">
      <c r="A1438" t="s">
        <v>6</v>
      </c>
      <c r="B1438" t="str">
        <f>"09/03/2016 00:00"</f>
        <v>09/03/2016 00:00</v>
      </c>
      <c r="C1438">
        <v>248</v>
      </c>
      <c r="D1438" t="s">
        <v>7</v>
      </c>
      <c r="E1438" s="2" t="s">
        <v>12</v>
      </c>
      <c r="F1438">
        <f t="shared" si="22"/>
        <v>491.78400000000005</v>
      </c>
      <c r="G1438" t="s">
        <v>16</v>
      </c>
      <c r="J1438" t="str">
        <f>"09/03/2016 23:45"</f>
        <v>09/03/2016 23:45</v>
      </c>
    </row>
    <row r="1439" spans="1:10" x14ac:dyDescent="0.3">
      <c r="A1439" t="s">
        <v>6</v>
      </c>
      <c r="B1439" t="str">
        <f>"09/04/2016 00:00"</f>
        <v>09/04/2016 00:00</v>
      </c>
      <c r="C1439">
        <v>188</v>
      </c>
      <c r="D1439" t="s">
        <v>7</v>
      </c>
      <c r="E1439" s="2" t="s">
        <v>12</v>
      </c>
      <c r="F1439">
        <f t="shared" si="22"/>
        <v>372.80400000000003</v>
      </c>
      <c r="G1439" t="s">
        <v>16</v>
      </c>
      <c r="J1439" t="str">
        <f>"09/04/2016 23:45"</f>
        <v>09/04/2016 23:45</v>
      </c>
    </row>
    <row r="1440" spans="1:10" x14ac:dyDescent="0.3">
      <c r="A1440" t="s">
        <v>6</v>
      </c>
      <c r="B1440" t="str">
        <f>"09/05/2016 00:00"</f>
        <v>09/05/2016 00:00</v>
      </c>
      <c r="C1440">
        <v>104</v>
      </c>
      <c r="D1440" t="s">
        <v>7</v>
      </c>
      <c r="E1440" s="2" t="s">
        <v>12</v>
      </c>
      <c r="F1440">
        <f t="shared" si="22"/>
        <v>206.232</v>
      </c>
      <c r="G1440" t="s">
        <v>16</v>
      </c>
      <c r="J1440" t="str">
        <f>"09/05/2016 23:45"</f>
        <v>09/05/2016 23:45</v>
      </c>
    </row>
    <row r="1441" spans="1:10" x14ac:dyDescent="0.3">
      <c r="A1441" t="s">
        <v>6</v>
      </c>
      <c r="B1441" t="str">
        <f>"09/06/2016 00:00"</f>
        <v>09/06/2016 00:00</v>
      </c>
      <c r="C1441">
        <v>71.900000000000006</v>
      </c>
      <c r="D1441" t="s">
        <v>7</v>
      </c>
      <c r="E1441" s="2" t="s">
        <v>12</v>
      </c>
      <c r="F1441">
        <f t="shared" si="22"/>
        <v>142.57770000000002</v>
      </c>
      <c r="G1441" t="s">
        <v>16</v>
      </c>
      <c r="J1441" t="str">
        <f>"09/06/2016 23:45"</f>
        <v>09/06/2016 23:45</v>
      </c>
    </row>
    <row r="1442" spans="1:10" x14ac:dyDescent="0.3">
      <c r="A1442" t="s">
        <v>6</v>
      </c>
      <c r="B1442" t="str">
        <f>"09/07/2016 00:00"</f>
        <v>09/07/2016 00:00</v>
      </c>
      <c r="C1442">
        <v>96.7</v>
      </c>
      <c r="D1442" t="s">
        <v>7</v>
      </c>
      <c r="E1442" s="2" t="s">
        <v>12</v>
      </c>
      <c r="F1442">
        <f t="shared" si="22"/>
        <v>191.7561</v>
      </c>
      <c r="G1442" t="s">
        <v>16</v>
      </c>
      <c r="J1442" t="str">
        <f>"09/07/2016 23:45"</f>
        <v>09/07/2016 23:45</v>
      </c>
    </row>
    <row r="1443" spans="1:10" x14ac:dyDescent="0.3">
      <c r="A1443" t="s">
        <v>6</v>
      </c>
      <c r="B1443" t="str">
        <f>"09/08/2016 00:00"</f>
        <v>09/08/2016 00:00</v>
      </c>
      <c r="C1443">
        <v>16.8</v>
      </c>
      <c r="D1443" t="s">
        <v>7</v>
      </c>
      <c r="E1443" s="2" t="s">
        <v>12</v>
      </c>
      <c r="F1443">
        <f t="shared" si="22"/>
        <v>33.314400000000006</v>
      </c>
      <c r="G1443" t="s">
        <v>16</v>
      </c>
      <c r="J1443" t="str">
        <f>"09/08/2016 23:45"</f>
        <v>09/08/2016 23:45</v>
      </c>
    </row>
    <row r="1444" spans="1:10" x14ac:dyDescent="0.3">
      <c r="A1444" t="s">
        <v>6</v>
      </c>
      <c r="B1444" t="str">
        <f>"09/09/2016 00:00"</f>
        <v>09/09/2016 00:00</v>
      </c>
      <c r="C1444">
        <v>7.68</v>
      </c>
      <c r="D1444" t="s">
        <v>7</v>
      </c>
      <c r="E1444" s="2" t="s">
        <v>12</v>
      </c>
      <c r="F1444">
        <f t="shared" si="22"/>
        <v>15.22944</v>
      </c>
      <c r="G1444" t="s">
        <v>16</v>
      </c>
      <c r="J1444" t="str">
        <f>"09/09/2016 23:45"</f>
        <v>09/09/2016 23:45</v>
      </c>
    </row>
    <row r="1445" spans="1:10" x14ac:dyDescent="0.3">
      <c r="A1445" t="s">
        <v>6</v>
      </c>
      <c r="B1445" t="str">
        <f>"09/10/2016 00:00"</f>
        <v>09/10/2016 00:00</v>
      </c>
      <c r="C1445">
        <v>7.4</v>
      </c>
      <c r="D1445" t="s">
        <v>7</v>
      </c>
      <c r="E1445" s="2" t="s">
        <v>12</v>
      </c>
      <c r="F1445">
        <f t="shared" si="22"/>
        <v>14.674200000000001</v>
      </c>
      <c r="G1445" t="s">
        <v>16</v>
      </c>
      <c r="J1445" t="str">
        <f>"09/10/2016 23:45"</f>
        <v>09/10/2016 23:45</v>
      </c>
    </row>
    <row r="1446" spans="1:10" x14ac:dyDescent="0.3">
      <c r="A1446" t="s">
        <v>6</v>
      </c>
      <c r="B1446" t="str">
        <f>"09/11/2016 00:00"</f>
        <v>09/11/2016 00:00</v>
      </c>
      <c r="C1446">
        <v>8.4600000000000009</v>
      </c>
      <c r="D1446" t="s">
        <v>7</v>
      </c>
      <c r="E1446" s="2" t="s">
        <v>12</v>
      </c>
      <c r="F1446">
        <f t="shared" si="22"/>
        <v>16.776180000000004</v>
      </c>
      <c r="G1446" t="s">
        <v>16</v>
      </c>
      <c r="J1446" t="str">
        <f>"09/11/2016 23:45"</f>
        <v>09/11/2016 23:45</v>
      </c>
    </row>
    <row r="1447" spans="1:10" x14ac:dyDescent="0.3">
      <c r="A1447" t="s">
        <v>6</v>
      </c>
      <c r="B1447" t="str">
        <f>"09/12/2016 00:00"</f>
        <v>09/12/2016 00:00</v>
      </c>
      <c r="C1447">
        <v>8.85</v>
      </c>
      <c r="D1447" t="s">
        <v>7</v>
      </c>
      <c r="E1447" s="2" t="s">
        <v>12</v>
      </c>
      <c r="F1447">
        <f t="shared" si="22"/>
        <v>17.54955</v>
      </c>
      <c r="G1447" t="s">
        <v>16</v>
      </c>
      <c r="J1447" t="str">
        <f>"09/12/2016 23:45"</f>
        <v>09/12/2016 23:45</v>
      </c>
    </row>
    <row r="1448" spans="1:10" x14ac:dyDescent="0.3">
      <c r="A1448" t="s">
        <v>6</v>
      </c>
      <c r="B1448" t="str">
        <f>"09/13/2016 00:00"</f>
        <v>09/13/2016 00:00</v>
      </c>
      <c r="C1448">
        <v>8.83</v>
      </c>
      <c r="D1448" t="s">
        <v>7</v>
      </c>
      <c r="E1448" s="2" t="s">
        <v>12</v>
      </c>
      <c r="F1448">
        <f t="shared" si="22"/>
        <v>17.509890000000002</v>
      </c>
      <c r="G1448" t="s">
        <v>16</v>
      </c>
      <c r="J1448" t="str">
        <f>"09/13/2016 23:45"</f>
        <v>09/13/2016 23:45</v>
      </c>
    </row>
    <row r="1449" spans="1:10" x14ac:dyDescent="0.3">
      <c r="A1449" t="s">
        <v>6</v>
      </c>
      <c r="B1449" t="str">
        <f>"09/14/2016 00:00"</f>
        <v>09/14/2016 00:00</v>
      </c>
      <c r="C1449">
        <v>8.4499999999999993</v>
      </c>
      <c r="D1449" t="s">
        <v>7</v>
      </c>
      <c r="E1449" s="2" t="s">
        <v>12</v>
      </c>
      <c r="F1449">
        <f t="shared" si="22"/>
        <v>16.756349999999998</v>
      </c>
      <c r="G1449" t="s">
        <v>16</v>
      </c>
      <c r="J1449" t="str">
        <f>"09/14/2016 23:45"</f>
        <v>09/14/2016 23:45</v>
      </c>
    </row>
    <row r="1450" spans="1:10" x14ac:dyDescent="0.3">
      <c r="A1450" t="s">
        <v>6</v>
      </c>
      <c r="B1450" t="str">
        <f>"09/15/2016 00:00"</f>
        <v>09/15/2016 00:00</v>
      </c>
      <c r="C1450">
        <v>8.2799999999999994</v>
      </c>
      <c r="D1450" t="s">
        <v>7</v>
      </c>
      <c r="E1450" s="2" t="s">
        <v>12</v>
      </c>
      <c r="F1450">
        <f t="shared" si="22"/>
        <v>16.419239999999999</v>
      </c>
      <c r="G1450" t="s">
        <v>16</v>
      </c>
      <c r="J1450" t="str">
        <f>"09/15/2016 23:45"</f>
        <v>09/15/2016 23:45</v>
      </c>
    </row>
    <row r="1451" spans="1:10" x14ac:dyDescent="0.3">
      <c r="A1451" t="s">
        <v>6</v>
      </c>
      <c r="B1451" t="str">
        <f>"09/16/2016 00:00"</f>
        <v>09/16/2016 00:00</v>
      </c>
      <c r="C1451">
        <v>8.07</v>
      </c>
      <c r="D1451" t="s">
        <v>7</v>
      </c>
      <c r="E1451" s="2" t="s">
        <v>12</v>
      </c>
      <c r="F1451">
        <f t="shared" si="22"/>
        <v>16.00281</v>
      </c>
      <c r="G1451" t="s">
        <v>16</v>
      </c>
      <c r="J1451" t="str">
        <f>"09/16/2016 23:45"</f>
        <v>09/16/2016 23:45</v>
      </c>
    </row>
    <row r="1452" spans="1:10" x14ac:dyDescent="0.3">
      <c r="A1452" t="s">
        <v>6</v>
      </c>
      <c r="B1452" t="str">
        <f>"09/17/2016 00:00"</f>
        <v>09/17/2016 00:00</v>
      </c>
      <c r="C1452">
        <v>7.77</v>
      </c>
      <c r="D1452" t="s">
        <v>7</v>
      </c>
      <c r="E1452" s="2" t="s">
        <v>12</v>
      </c>
      <c r="F1452">
        <f t="shared" si="22"/>
        <v>15.407909999999999</v>
      </c>
      <c r="G1452" t="s">
        <v>16</v>
      </c>
      <c r="J1452" t="str">
        <f>"09/17/2016 23:45"</f>
        <v>09/17/2016 23:45</v>
      </c>
    </row>
    <row r="1453" spans="1:10" x14ac:dyDescent="0.3">
      <c r="A1453" t="s">
        <v>6</v>
      </c>
      <c r="B1453" t="str">
        <f>"09/18/2016 00:00"</f>
        <v>09/18/2016 00:00</v>
      </c>
      <c r="C1453">
        <v>7.77</v>
      </c>
      <c r="D1453" t="s">
        <v>7</v>
      </c>
      <c r="E1453" s="2" t="s">
        <v>12</v>
      </c>
      <c r="F1453">
        <f t="shared" si="22"/>
        <v>15.407909999999999</v>
      </c>
      <c r="G1453" t="s">
        <v>16</v>
      </c>
      <c r="J1453" t="str">
        <f>"09/18/2016 23:45"</f>
        <v>09/18/2016 23:45</v>
      </c>
    </row>
    <row r="1454" spans="1:10" x14ac:dyDescent="0.3">
      <c r="A1454" t="s">
        <v>6</v>
      </c>
      <c r="B1454" t="str">
        <f>"09/19/2016 00:00"</f>
        <v>09/19/2016 00:00</v>
      </c>
      <c r="C1454">
        <v>7.77</v>
      </c>
      <c r="D1454" t="s">
        <v>7</v>
      </c>
      <c r="E1454" s="2" t="s">
        <v>12</v>
      </c>
      <c r="F1454">
        <f t="shared" si="22"/>
        <v>15.407909999999999</v>
      </c>
      <c r="G1454" t="s">
        <v>16</v>
      </c>
      <c r="J1454" t="str">
        <f>"09/19/2016 23:45"</f>
        <v>09/19/2016 23:45</v>
      </c>
    </row>
    <row r="1455" spans="1:10" x14ac:dyDescent="0.3">
      <c r="A1455" t="s">
        <v>6</v>
      </c>
      <c r="B1455" t="str">
        <f>"09/20/2016 00:00"</f>
        <v>09/20/2016 00:00</v>
      </c>
      <c r="C1455">
        <v>5.93</v>
      </c>
      <c r="D1455" t="s">
        <v>7</v>
      </c>
      <c r="E1455" s="2" t="s">
        <v>12</v>
      </c>
      <c r="F1455">
        <f t="shared" si="22"/>
        <v>11.75919</v>
      </c>
      <c r="G1455" t="s">
        <v>16</v>
      </c>
      <c r="J1455" t="str">
        <f>"09/20/2016 23:45"</f>
        <v>09/20/2016 23:45</v>
      </c>
    </row>
    <row r="1456" spans="1:10" x14ac:dyDescent="0.3">
      <c r="A1456" t="s">
        <v>6</v>
      </c>
      <c r="B1456" t="str">
        <f>"09/21/2016 00:00"</f>
        <v>09/21/2016 00:00</v>
      </c>
      <c r="C1456">
        <v>4.96</v>
      </c>
      <c r="D1456" t="s">
        <v>7</v>
      </c>
      <c r="E1456" s="2" t="s">
        <v>12</v>
      </c>
      <c r="F1456">
        <f t="shared" si="22"/>
        <v>9.83568</v>
      </c>
      <c r="G1456" t="s">
        <v>16</v>
      </c>
      <c r="J1456" t="str">
        <f>"09/21/2016 23:45"</f>
        <v>09/21/2016 23:45</v>
      </c>
    </row>
    <row r="1457" spans="1:10" x14ac:dyDescent="0.3">
      <c r="A1457" t="s">
        <v>6</v>
      </c>
      <c r="B1457" t="str">
        <f>"09/22/2016 00:00"</f>
        <v>09/22/2016 00:00</v>
      </c>
      <c r="C1457">
        <v>4.91</v>
      </c>
      <c r="D1457" t="s">
        <v>7</v>
      </c>
      <c r="E1457" s="2" t="s">
        <v>12</v>
      </c>
      <c r="F1457">
        <f t="shared" si="22"/>
        <v>9.7365300000000001</v>
      </c>
      <c r="G1457" t="s">
        <v>16</v>
      </c>
      <c r="J1457" t="str">
        <f>"09/22/2016 23:45"</f>
        <v>09/22/2016 23:45</v>
      </c>
    </row>
    <row r="1458" spans="1:10" x14ac:dyDescent="0.3">
      <c r="A1458" t="s">
        <v>6</v>
      </c>
      <c r="B1458" t="str">
        <f>"09/23/2016 00:00"</f>
        <v>09/23/2016 00:00</v>
      </c>
      <c r="C1458">
        <v>5.26</v>
      </c>
      <c r="D1458" t="s">
        <v>7</v>
      </c>
      <c r="E1458" s="2" t="s">
        <v>12</v>
      </c>
      <c r="F1458">
        <f t="shared" si="22"/>
        <v>10.430580000000001</v>
      </c>
      <c r="G1458" t="s">
        <v>16</v>
      </c>
      <c r="J1458" t="str">
        <f>"09/23/2016 23:45"</f>
        <v>09/23/2016 23:45</v>
      </c>
    </row>
    <row r="1459" spans="1:10" x14ac:dyDescent="0.3">
      <c r="A1459" t="s">
        <v>6</v>
      </c>
      <c r="B1459" t="str">
        <f>"09/24/2016 00:00"</f>
        <v>09/24/2016 00:00</v>
      </c>
      <c r="C1459">
        <v>5.05</v>
      </c>
      <c r="D1459" t="s">
        <v>7</v>
      </c>
      <c r="E1459" s="2" t="s">
        <v>12</v>
      </c>
      <c r="F1459">
        <f t="shared" si="22"/>
        <v>10.014150000000001</v>
      </c>
      <c r="G1459" t="s">
        <v>16</v>
      </c>
      <c r="J1459" t="str">
        <f>"09/24/2016 23:45"</f>
        <v>09/24/2016 23:45</v>
      </c>
    </row>
    <row r="1460" spans="1:10" x14ac:dyDescent="0.3">
      <c r="A1460" t="s">
        <v>6</v>
      </c>
      <c r="B1460" t="str">
        <f>"09/25/2016 00:00"</f>
        <v>09/25/2016 00:00</v>
      </c>
      <c r="C1460">
        <v>4.91</v>
      </c>
      <c r="D1460" t="s">
        <v>7</v>
      </c>
      <c r="E1460" s="2" t="s">
        <v>12</v>
      </c>
      <c r="F1460">
        <f t="shared" si="22"/>
        <v>9.7365300000000001</v>
      </c>
      <c r="G1460" t="s">
        <v>16</v>
      </c>
      <c r="J1460" t="str">
        <f>"09/25/2016 23:45"</f>
        <v>09/25/2016 23:45</v>
      </c>
    </row>
    <row r="1461" spans="1:10" x14ac:dyDescent="0.3">
      <c r="A1461" t="s">
        <v>6</v>
      </c>
      <c r="B1461" t="str">
        <f>"09/26/2016 00:00"</f>
        <v>09/26/2016 00:00</v>
      </c>
      <c r="C1461">
        <v>4.91</v>
      </c>
      <c r="D1461" t="s">
        <v>7</v>
      </c>
      <c r="E1461" s="2" t="s">
        <v>12</v>
      </c>
      <c r="F1461">
        <f t="shared" si="22"/>
        <v>9.7365300000000001</v>
      </c>
      <c r="G1461" t="s">
        <v>16</v>
      </c>
      <c r="J1461" t="str">
        <f>"09/26/2016 23:45"</f>
        <v>09/26/2016 23:45</v>
      </c>
    </row>
    <row r="1462" spans="1:10" x14ac:dyDescent="0.3">
      <c r="A1462" t="s">
        <v>6</v>
      </c>
      <c r="B1462" t="str">
        <f>"09/27/2016 00:00"</f>
        <v>09/27/2016 00:00</v>
      </c>
      <c r="C1462">
        <v>4.68</v>
      </c>
      <c r="D1462" t="s">
        <v>7</v>
      </c>
      <c r="E1462" s="2" t="s">
        <v>12</v>
      </c>
      <c r="F1462">
        <f t="shared" si="22"/>
        <v>9.2804400000000005</v>
      </c>
      <c r="G1462" t="s">
        <v>16</v>
      </c>
      <c r="J1462" t="str">
        <f>"09/27/2016 23:45"</f>
        <v>09/27/2016 23:45</v>
      </c>
    </row>
    <row r="1463" spans="1:10" x14ac:dyDescent="0.3">
      <c r="A1463" t="s">
        <v>6</v>
      </c>
      <c r="B1463" t="str">
        <f>"09/28/2016 00:00"</f>
        <v>09/28/2016 00:00</v>
      </c>
      <c r="C1463">
        <v>4.4000000000000004</v>
      </c>
      <c r="D1463" t="s">
        <v>7</v>
      </c>
      <c r="E1463" s="2" t="s">
        <v>12</v>
      </c>
      <c r="F1463">
        <f t="shared" si="22"/>
        <v>8.725200000000001</v>
      </c>
      <c r="G1463" t="s">
        <v>16</v>
      </c>
      <c r="J1463" t="str">
        <f>"09/28/2016 23:45"</f>
        <v>09/28/2016 23:45</v>
      </c>
    </row>
    <row r="1464" spans="1:10" x14ac:dyDescent="0.3">
      <c r="A1464" t="s">
        <v>6</v>
      </c>
      <c r="B1464" t="str">
        <f>"09/29/2016 00:00"</f>
        <v>09/29/2016 00:00</v>
      </c>
      <c r="C1464">
        <v>3.32</v>
      </c>
      <c r="D1464" t="s">
        <v>7</v>
      </c>
      <c r="E1464" s="2" t="s">
        <v>12</v>
      </c>
      <c r="F1464">
        <f t="shared" si="22"/>
        <v>6.5835600000000003</v>
      </c>
      <c r="G1464" t="s">
        <v>16</v>
      </c>
      <c r="J1464" t="str">
        <f>"09/29/2016 23:45"</f>
        <v>09/29/2016 23:45</v>
      </c>
    </row>
    <row r="1465" spans="1:10" x14ac:dyDescent="0.3">
      <c r="A1465" t="s">
        <v>6</v>
      </c>
      <c r="B1465" t="str">
        <f>"09/30/2016 00:00"</f>
        <v>09/30/2016 00:00</v>
      </c>
      <c r="C1465">
        <v>2.25</v>
      </c>
      <c r="D1465" t="s">
        <v>7</v>
      </c>
      <c r="E1465" s="2" t="s">
        <v>12</v>
      </c>
      <c r="F1465">
        <f t="shared" si="22"/>
        <v>4.4617500000000003</v>
      </c>
      <c r="G1465" t="s">
        <v>16</v>
      </c>
      <c r="J1465" t="str">
        <f>"09/30/2016 23:45"</f>
        <v>09/30/2016 23:45</v>
      </c>
    </row>
    <row r="1466" spans="1:10" s="4" customFormat="1" x14ac:dyDescent="0.3">
      <c r="B1466" s="4" t="s">
        <v>24</v>
      </c>
      <c r="E1466" s="2" t="s">
        <v>12</v>
      </c>
      <c r="F1466" s="5">
        <f>SUM(F1101:F1465)</f>
        <v>37237.621534199941</v>
      </c>
      <c r="G1466" s="4" t="s">
        <v>19</v>
      </c>
    </row>
    <row r="1467" spans="1:10" x14ac:dyDescent="0.3">
      <c r="A1467" t="s">
        <v>6</v>
      </c>
      <c r="B1467" t="str">
        <f>"10/01/2016 00:00"</f>
        <v>10/01/2016 00:00</v>
      </c>
      <c r="C1467">
        <v>0.27900000000000003</v>
      </c>
      <c r="D1467" t="s">
        <v>7</v>
      </c>
      <c r="E1467" s="2" t="s">
        <v>12</v>
      </c>
      <c r="F1467">
        <f t="shared" si="22"/>
        <v>0.55325700000000011</v>
      </c>
      <c r="G1467" t="s">
        <v>16</v>
      </c>
      <c r="J1467" t="str">
        <f>"10/01/2016 23:45"</f>
        <v>10/01/2016 23:45</v>
      </c>
    </row>
    <row r="1468" spans="1:10" x14ac:dyDescent="0.3">
      <c r="A1468" t="s">
        <v>6</v>
      </c>
      <c r="B1468" t="str">
        <f>"10/02/2016 00:00"</f>
        <v>10/02/2016 00:00</v>
      </c>
      <c r="C1468">
        <v>0.27900000000000003</v>
      </c>
      <c r="D1468" t="s">
        <v>7</v>
      </c>
      <c r="E1468" s="2" t="s">
        <v>12</v>
      </c>
      <c r="F1468">
        <f t="shared" si="22"/>
        <v>0.55325700000000011</v>
      </c>
      <c r="G1468" t="s">
        <v>16</v>
      </c>
      <c r="J1468" t="str">
        <f>"10/02/2016 23:45"</f>
        <v>10/02/2016 23:45</v>
      </c>
    </row>
    <row r="1469" spans="1:10" x14ac:dyDescent="0.3">
      <c r="A1469" t="s">
        <v>6</v>
      </c>
      <c r="B1469" t="str">
        <f>"10/03/2016 00:00"</f>
        <v>10/03/2016 00:00</v>
      </c>
      <c r="C1469">
        <v>0.27900000000000003</v>
      </c>
      <c r="D1469" t="s">
        <v>7</v>
      </c>
      <c r="E1469" s="2" t="s">
        <v>12</v>
      </c>
      <c r="F1469">
        <f t="shared" si="22"/>
        <v>0.55325700000000011</v>
      </c>
      <c r="G1469" t="s">
        <v>16</v>
      </c>
      <c r="J1469" t="str">
        <f>"10/03/2016 23:45"</f>
        <v>10/03/2016 23:45</v>
      </c>
    </row>
    <row r="1470" spans="1:10" x14ac:dyDescent="0.3">
      <c r="A1470" t="s">
        <v>6</v>
      </c>
      <c r="B1470" t="str">
        <f>"10/04/2016 00:00"</f>
        <v>10/04/2016 00:00</v>
      </c>
      <c r="C1470">
        <v>0.26100000000000001</v>
      </c>
      <c r="D1470" t="s">
        <v>7</v>
      </c>
      <c r="E1470" s="2" t="s">
        <v>12</v>
      </c>
      <c r="F1470">
        <f t="shared" si="22"/>
        <v>0.517563</v>
      </c>
      <c r="G1470" t="s">
        <v>16</v>
      </c>
      <c r="J1470" t="str">
        <f>"10/04/2016 23:45"</f>
        <v>10/04/2016 23:45</v>
      </c>
    </row>
    <row r="1471" spans="1:10" x14ac:dyDescent="0.3">
      <c r="A1471" t="s">
        <v>6</v>
      </c>
      <c r="B1471" t="str">
        <f>"10/05/2016 00:00"</f>
        <v>10/05/2016 00:00</v>
      </c>
      <c r="C1471">
        <v>0.14599999999999999</v>
      </c>
      <c r="D1471" t="s">
        <v>7</v>
      </c>
      <c r="E1471" s="2" t="s">
        <v>12</v>
      </c>
      <c r="F1471">
        <f t="shared" si="22"/>
        <v>0.289518</v>
      </c>
      <c r="G1471" t="s">
        <v>16</v>
      </c>
      <c r="J1471" t="str">
        <f>"10/05/2016 23:45"</f>
        <v>10/05/2016 23:45</v>
      </c>
    </row>
    <row r="1472" spans="1:10" x14ac:dyDescent="0.3">
      <c r="A1472" t="s">
        <v>6</v>
      </c>
      <c r="B1472" t="str">
        <f>"10/06/2016 00:00"</f>
        <v>10/06/2016 00:00</v>
      </c>
      <c r="C1472">
        <v>0.14599999999999999</v>
      </c>
      <c r="D1472" t="s">
        <v>7</v>
      </c>
      <c r="E1472" s="2" t="s">
        <v>12</v>
      </c>
      <c r="F1472">
        <f t="shared" si="22"/>
        <v>0.289518</v>
      </c>
      <c r="G1472" t="s">
        <v>16</v>
      </c>
      <c r="J1472" t="str">
        <f>"10/06/2016 23:45"</f>
        <v>10/06/2016 23:45</v>
      </c>
    </row>
    <row r="1473" spans="1:10" x14ac:dyDescent="0.3">
      <c r="A1473" t="s">
        <v>6</v>
      </c>
      <c r="B1473" t="str">
        <f>"10/07/2016 00:00"</f>
        <v>10/07/2016 00:00</v>
      </c>
      <c r="C1473">
        <v>0.14599999999999999</v>
      </c>
      <c r="D1473" t="s">
        <v>7</v>
      </c>
      <c r="E1473" s="2" t="s">
        <v>12</v>
      </c>
      <c r="F1473">
        <f t="shared" si="22"/>
        <v>0.289518</v>
      </c>
      <c r="G1473" t="s">
        <v>16</v>
      </c>
      <c r="J1473" t="str">
        <f>"10/07/2016 23:45"</f>
        <v>10/07/2016 23:45</v>
      </c>
    </row>
    <row r="1474" spans="1:10" x14ac:dyDescent="0.3">
      <c r="A1474" t="s">
        <v>6</v>
      </c>
      <c r="B1474" t="str">
        <f>"10/08/2016 00:00"</f>
        <v>10/08/2016 00:00</v>
      </c>
      <c r="C1474">
        <v>0.14599999999999999</v>
      </c>
      <c r="D1474" t="s">
        <v>7</v>
      </c>
      <c r="E1474" s="2" t="s">
        <v>12</v>
      </c>
      <c r="F1474">
        <f t="shared" si="22"/>
        <v>0.289518</v>
      </c>
      <c r="G1474" t="s">
        <v>16</v>
      </c>
      <c r="J1474" t="str">
        <f>"10/08/2016 23:45"</f>
        <v>10/08/2016 23:45</v>
      </c>
    </row>
    <row r="1475" spans="1:10" x14ac:dyDescent="0.3">
      <c r="A1475" t="s">
        <v>6</v>
      </c>
      <c r="B1475" t="str">
        <f>"10/09/2016 00:00"</f>
        <v>10/09/2016 00:00</v>
      </c>
      <c r="C1475">
        <v>0.14599999999999999</v>
      </c>
      <c r="D1475" t="s">
        <v>7</v>
      </c>
      <c r="E1475" s="2" t="s">
        <v>12</v>
      </c>
      <c r="F1475">
        <f t="shared" si="22"/>
        <v>0.289518</v>
      </c>
      <c r="G1475" t="s">
        <v>16</v>
      </c>
      <c r="J1475" t="str">
        <f>"10/09/2016 23:45"</f>
        <v>10/09/2016 23:45</v>
      </c>
    </row>
    <row r="1476" spans="1:10" x14ac:dyDescent="0.3">
      <c r="A1476" t="s">
        <v>6</v>
      </c>
      <c r="B1476" t="str">
        <f>"10/10/2016 00:00"</f>
        <v>10/10/2016 00:00</v>
      </c>
      <c r="C1476">
        <v>0.14599999999999999</v>
      </c>
      <c r="D1476" t="s">
        <v>7</v>
      </c>
      <c r="E1476" s="2" t="s">
        <v>12</v>
      </c>
      <c r="F1476">
        <f t="shared" si="22"/>
        <v>0.289518</v>
      </c>
      <c r="G1476" t="s">
        <v>16</v>
      </c>
      <c r="J1476" t="str">
        <f>"10/10/2016 23:45"</f>
        <v>10/10/2016 23:45</v>
      </c>
    </row>
    <row r="1477" spans="1:10" x14ac:dyDescent="0.3">
      <c r="A1477" t="s">
        <v>6</v>
      </c>
      <c r="B1477" t="str">
        <f>"10/11/2016 00:00"</f>
        <v>10/11/2016 00:00</v>
      </c>
      <c r="C1477">
        <v>0.14599999999999999</v>
      </c>
      <c r="D1477" t="s">
        <v>7</v>
      </c>
      <c r="E1477" s="2" t="s">
        <v>12</v>
      </c>
      <c r="F1477">
        <f t="shared" si="22"/>
        <v>0.289518</v>
      </c>
      <c r="G1477" t="s">
        <v>16</v>
      </c>
      <c r="J1477" t="str">
        <f>"10/11/2016 23:45"</f>
        <v>10/11/2016 23:45</v>
      </c>
    </row>
    <row r="1478" spans="1:10" x14ac:dyDescent="0.3">
      <c r="A1478" t="s">
        <v>6</v>
      </c>
      <c r="B1478" t="str">
        <f>"10/12/2016 00:00"</f>
        <v>10/12/2016 00:00</v>
      </c>
      <c r="C1478">
        <v>15.2</v>
      </c>
      <c r="D1478" t="s">
        <v>7</v>
      </c>
      <c r="E1478" s="2" t="s">
        <v>12</v>
      </c>
      <c r="F1478">
        <f t="shared" si="22"/>
        <v>30.1416</v>
      </c>
      <c r="G1478" t="s">
        <v>16</v>
      </c>
      <c r="J1478" t="str">
        <f>"10/12/2016 23:45"</f>
        <v>10/12/2016 23:45</v>
      </c>
    </row>
    <row r="1479" spans="1:10" x14ac:dyDescent="0.3">
      <c r="A1479" t="s">
        <v>6</v>
      </c>
      <c r="B1479" t="str">
        <f>"10/13/2016 00:00"</f>
        <v>10/13/2016 00:00</v>
      </c>
      <c r="C1479">
        <v>9.06</v>
      </c>
      <c r="D1479" t="s">
        <v>7</v>
      </c>
      <c r="E1479" s="2" t="s">
        <v>12</v>
      </c>
      <c r="F1479">
        <f t="shared" ref="F1479:F1542" si="23">C1479*1.983</f>
        <v>17.965980000000002</v>
      </c>
      <c r="G1479" t="s">
        <v>16</v>
      </c>
      <c r="J1479" t="str">
        <f>"10/13/2016 23:45"</f>
        <v>10/13/2016 23:45</v>
      </c>
    </row>
    <row r="1480" spans="1:10" x14ac:dyDescent="0.3">
      <c r="A1480" t="s">
        <v>6</v>
      </c>
      <c r="B1480" t="str">
        <f>"10/14/2016 00:00"</f>
        <v>10/14/2016 00:00</v>
      </c>
      <c r="C1480">
        <v>88.6</v>
      </c>
      <c r="D1480" t="s">
        <v>7</v>
      </c>
      <c r="E1480" s="2" t="s">
        <v>12</v>
      </c>
      <c r="F1480">
        <f t="shared" si="23"/>
        <v>175.69380000000001</v>
      </c>
      <c r="G1480" t="s">
        <v>16</v>
      </c>
      <c r="J1480" t="str">
        <f>"10/14/2016 23:45"</f>
        <v>10/14/2016 23:45</v>
      </c>
    </row>
    <row r="1481" spans="1:10" x14ac:dyDescent="0.3">
      <c r="A1481" t="s">
        <v>6</v>
      </c>
      <c r="B1481" t="str">
        <f>"10/15/2016 00:00"</f>
        <v>10/15/2016 00:00</v>
      </c>
      <c r="C1481">
        <v>201</v>
      </c>
      <c r="D1481" t="s">
        <v>7</v>
      </c>
      <c r="E1481" s="2" t="s">
        <v>12</v>
      </c>
      <c r="F1481">
        <f t="shared" si="23"/>
        <v>398.58300000000003</v>
      </c>
      <c r="G1481" t="s">
        <v>16</v>
      </c>
      <c r="J1481" t="str">
        <f>"10/15/2016 23:45"</f>
        <v>10/15/2016 23:45</v>
      </c>
    </row>
    <row r="1482" spans="1:10" x14ac:dyDescent="0.3">
      <c r="A1482" t="s">
        <v>6</v>
      </c>
      <c r="B1482" t="str">
        <f>"10/16/2016 00:00"</f>
        <v>10/16/2016 00:00</v>
      </c>
      <c r="C1482">
        <v>231</v>
      </c>
      <c r="D1482" t="s">
        <v>7</v>
      </c>
      <c r="E1482" s="2" t="s">
        <v>12</v>
      </c>
      <c r="F1482">
        <f t="shared" si="23"/>
        <v>458.07300000000004</v>
      </c>
      <c r="G1482" t="s">
        <v>16</v>
      </c>
      <c r="J1482" t="str">
        <f>"10/16/2016 23:45"</f>
        <v>10/16/2016 23:45</v>
      </c>
    </row>
    <row r="1483" spans="1:10" x14ac:dyDescent="0.3">
      <c r="A1483" t="s">
        <v>6</v>
      </c>
      <c r="B1483" t="str">
        <f>"10/17/2016 00:00"</f>
        <v>10/17/2016 00:00</v>
      </c>
      <c r="C1483">
        <v>245</v>
      </c>
      <c r="D1483" t="s">
        <v>7</v>
      </c>
      <c r="E1483" s="2" t="s">
        <v>12</v>
      </c>
      <c r="F1483">
        <f t="shared" si="23"/>
        <v>485.83500000000004</v>
      </c>
      <c r="G1483" t="s">
        <v>16</v>
      </c>
      <c r="J1483" t="str">
        <f>"10/17/2016 23:45"</f>
        <v>10/17/2016 23:45</v>
      </c>
    </row>
    <row r="1484" spans="1:10" x14ac:dyDescent="0.3">
      <c r="A1484" t="s">
        <v>6</v>
      </c>
      <c r="B1484" t="str">
        <f>"10/18/2016 00:00"</f>
        <v>10/18/2016 00:00</v>
      </c>
      <c r="C1484">
        <v>242</v>
      </c>
      <c r="D1484" t="s">
        <v>7</v>
      </c>
      <c r="E1484" s="2" t="s">
        <v>12</v>
      </c>
      <c r="F1484">
        <f t="shared" si="23"/>
        <v>479.88600000000002</v>
      </c>
      <c r="G1484" t="s">
        <v>16</v>
      </c>
      <c r="J1484" t="str">
        <f>"10/18/2016 23:45"</f>
        <v>10/18/2016 23:45</v>
      </c>
    </row>
    <row r="1485" spans="1:10" x14ac:dyDescent="0.3">
      <c r="A1485" t="s">
        <v>6</v>
      </c>
      <c r="B1485" t="str">
        <f>"10/19/2016 00:00"</f>
        <v>10/19/2016 00:00</v>
      </c>
      <c r="C1485">
        <v>243</v>
      </c>
      <c r="D1485" t="s">
        <v>7</v>
      </c>
      <c r="E1485" s="2" t="s">
        <v>12</v>
      </c>
      <c r="F1485">
        <f t="shared" si="23"/>
        <v>481.86900000000003</v>
      </c>
      <c r="G1485" t="s">
        <v>16</v>
      </c>
      <c r="J1485" t="str">
        <f>"10/19/2016 23:45"</f>
        <v>10/19/2016 23:45</v>
      </c>
    </row>
    <row r="1486" spans="1:10" x14ac:dyDescent="0.3">
      <c r="A1486" t="s">
        <v>6</v>
      </c>
      <c r="B1486" t="str">
        <f>"10/20/2016 00:00"</f>
        <v>10/20/2016 00:00</v>
      </c>
      <c r="C1486">
        <v>217</v>
      </c>
      <c r="D1486" t="s">
        <v>7</v>
      </c>
      <c r="E1486" s="2" t="s">
        <v>12</v>
      </c>
      <c r="F1486">
        <f t="shared" si="23"/>
        <v>430.31100000000004</v>
      </c>
      <c r="G1486" t="s">
        <v>16</v>
      </c>
      <c r="J1486" t="str">
        <f>"10/20/2016 23:45"</f>
        <v>10/20/2016 23:45</v>
      </c>
    </row>
    <row r="1487" spans="1:10" x14ac:dyDescent="0.3">
      <c r="A1487" t="s">
        <v>6</v>
      </c>
      <c r="B1487" t="str">
        <f>"10/21/2016 00:00"</f>
        <v>10/21/2016 00:00</v>
      </c>
      <c r="C1487">
        <v>121</v>
      </c>
      <c r="D1487" t="s">
        <v>7</v>
      </c>
      <c r="E1487" s="2" t="s">
        <v>12</v>
      </c>
      <c r="F1487">
        <f t="shared" si="23"/>
        <v>239.94300000000001</v>
      </c>
      <c r="G1487" t="s">
        <v>16</v>
      </c>
      <c r="J1487" t="str">
        <f>"10/21/2016 23:45"</f>
        <v>10/21/2016 23:45</v>
      </c>
    </row>
    <row r="1488" spans="1:10" x14ac:dyDescent="0.3">
      <c r="A1488" t="s">
        <v>6</v>
      </c>
      <c r="B1488" t="str">
        <f>"10/22/2016 00:00"</f>
        <v>10/22/2016 00:00</v>
      </c>
      <c r="C1488">
        <v>62.1</v>
      </c>
      <c r="D1488" t="s">
        <v>7</v>
      </c>
      <c r="E1488" s="2" t="s">
        <v>12</v>
      </c>
      <c r="F1488">
        <f t="shared" si="23"/>
        <v>123.14430000000002</v>
      </c>
      <c r="G1488" t="s">
        <v>16</v>
      </c>
      <c r="J1488" t="str">
        <f>"10/22/2016 23:45"</f>
        <v>10/22/2016 23:45</v>
      </c>
    </row>
    <row r="1489" spans="1:10" x14ac:dyDescent="0.3">
      <c r="A1489" t="s">
        <v>6</v>
      </c>
      <c r="B1489" t="str">
        <f>"10/23/2016 00:00"</f>
        <v>10/23/2016 00:00</v>
      </c>
      <c r="C1489">
        <v>61.8</v>
      </c>
      <c r="D1489" t="s">
        <v>7</v>
      </c>
      <c r="E1489" s="2" t="s">
        <v>12</v>
      </c>
      <c r="F1489">
        <f t="shared" si="23"/>
        <v>122.54940000000001</v>
      </c>
      <c r="G1489" t="s">
        <v>16</v>
      </c>
      <c r="J1489" t="str">
        <f>"10/23/2016 23:45"</f>
        <v>10/23/2016 23:45</v>
      </c>
    </row>
    <row r="1490" spans="1:10" x14ac:dyDescent="0.3">
      <c r="A1490" t="s">
        <v>6</v>
      </c>
      <c r="B1490" t="str">
        <f>"10/24/2016 00:00"</f>
        <v>10/24/2016 00:00</v>
      </c>
      <c r="C1490">
        <v>152</v>
      </c>
      <c r="D1490" t="s">
        <v>7</v>
      </c>
      <c r="E1490" s="2" t="s">
        <v>12</v>
      </c>
      <c r="F1490">
        <f t="shared" si="23"/>
        <v>301.416</v>
      </c>
      <c r="G1490" t="s">
        <v>16</v>
      </c>
      <c r="J1490" t="str">
        <f>"10/24/2016 23:45"</f>
        <v>10/24/2016 23:45</v>
      </c>
    </row>
    <row r="1491" spans="1:10" x14ac:dyDescent="0.3">
      <c r="A1491" t="s">
        <v>6</v>
      </c>
      <c r="B1491" t="str">
        <f>"10/25/2016 00:00"</f>
        <v>10/25/2016 00:00</v>
      </c>
      <c r="C1491">
        <v>208</v>
      </c>
      <c r="D1491" t="s">
        <v>7</v>
      </c>
      <c r="E1491" s="2" t="s">
        <v>12</v>
      </c>
      <c r="F1491">
        <f t="shared" si="23"/>
        <v>412.464</v>
      </c>
      <c r="G1491" t="s">
        <v>16</v>
      </c>
      <c r="J1491" t="str">
        <f>"10/25/2016 23:45"</f>
        <v>10/25/2016 23:45</v>
      </c>
    </row>
    <row r="1492" spans="1:10" x14ac:dyDescent="0.3">
      <c r="A1492" t="s">
        <v>6</v>
      </c>
      <c r="B1492" t="str">
        <f>"10/26/2016 00:00"</f>
        <v>10/26/2016 00:00</v>
      </c>
      <c r="C1492">
        <v>198</v>
      </c>
      <c r="D1492" t="s">
        <v>7</v>
      </c>
      <c r="E1492" s="2" t="s">
        <v>12</v>
      </c>
      <c r="F1492">
        <f t="shared" si="23"/>
        <v>392.63400000000001</v>
      </c>
      <c r="G1492" t="s">
        <v>16</v>
      </c>
      <c r="J1492" t="str">
        <f>"10/26/2016 23:45"</f>
        <v>10/26/2016 23:45</v>
      </c>
    </row>
    <row r="1493" spans="1:10" x14ac:dyDescent="0.3">
      <c r="A1493" t="s">
        <v>6</v>
      </c>
      <c r="B1493" t="str">
        <f>"10/27/2016 00:00"</f>
        <v>10/27/2016 00:00</v>
      </c>
      <c r="C1493">
        <v>199</v>
      </c>
      <c r="D1493" t="s">
        <v>7</v>
      </c>
      <c r="E1493" s="2" t="s">
        <v>12</v>
      </c>
      <c r="F1493">
        <f t="shared" si="23"/>
        <v>394.61700000000002</v>
      </c>
      <c r="G1493" t="s">
        <v>16</v>
      </c>
      <c r="J1493" t="str">
        <f>"10/27/2016 23:45"</f>
        <v>10/27/2016 23:45</v>
      </c>
    </row>
    <row r="1494" spans="1:10" x14ac:dyDescent="0.3">
      <c r="A1494" t="s">
        <v>6</v>
      </c>
      <c r="B1494" t="str">
        <f>"10/28/2016 00:00"</f>
        <v>10/28/2016 00:00</v>
      </c>
      <c r="C1494">
        <v>178</v>
      </c>
      <c r="D1494" t="s">
        <v>7</v>
      </c>
      <c r="E1494" s="2" t="s">
        <v>12</v>
      </c>
      <c r="F1494">
        <f t="shared" si="23"/>
        <v>352.97399999999999</v>
      </c>
      <c r="G1494" t="s">
        <v>16</v>
      </c>
      <c r="J1494" t="str">
        <f>"10/28/2016 23:45"</f>
        <v>10/28/2016 23:45</v>
      </c>
    </row>
    <row r="1495" spans="1:10" x14ac:dyDescent="0.3">
      <c r="A1495" t="s">
        <v>6</v>
      </c>
      <c r="B1495" t="str">
        <f>"10/29/2016 00:00"</f>
        <v>10/29/2016 00:00</v>
      </c>
      <c r="C1495">
        <v>162</v>
      </c>
      <c r="D1495" t="s">
        <v>7</v>
      </c>
      <c r="E1495" s="2" t="s">
        <v>12</v>
      </c>
      <c r="F1495">
        <f t="shared" si="23"/>
        <v>321.24600000000004</v>
      </c>
      <c r="G1495" t="s">
        <v>16</v>
      </c>
      <c r="J1495" t="str">
        <f>"10/29/2016 23:45"</f>
        <v>10/29/2016 23:45</v>
      </c>
    </row>
    <row r="1496" spans="1:10" x14ac:dyDescent="0.3">
      <c r="A1496" t="s">
        <v>6</v>
      </c>
      <c r="B1496" t="str">
        <f>"10/30/2016 00:00"</f>
        <v>10/30/2016 00:00</v>
      </c>
      <c r="C1496">
        <v>162</v>
      </c>
      <c r="D1496" t="s">
        <v>7</v>
      </c>
      <c r="E1496" s="2" t="s">
        <v>12</v>
      </c>
      <c r="F1496">
        <f t="shared" si="23"/>
        <v>321.24600000000004</v>
      </c>
      <c r="G1496" t="s">
        <v>16</v>
      </c>
      <c r="J1496" t="str">
        <f>"10/30/2016 23:45"</f>
        <v>10/30/2016 23:45</v>
      </c>
    </row>
    <row r="1497" spans="1:10" x14ac:dyDescent="0.3">
      <c r="A1497" t="s">
        <v>6</v>
      </c>
      <c r="B1497" t="str">
        <f>"10/31/2016 00:00"</f>
        <v>10/31/2016 00:00</v>
      </c>
      <c r="C1497">
        <v>162</v>
      </c>
      <c r="D1497" t="s">
        <v>7</v>
      </c>
      <c r="E1497" s="2" t="s">
        <v>12</v>
      </c>
      <c r="F1497">
        <f t="shared" si="23"/>
        <v>321.24600000000004</v>
      </c>
      <c r="G1497" t="s">
        <v>16</v>
      </c>
      <c r="J1497" t="str">
        <f>"10/31/2016 23:45"</f>
        <v>10/31/2016 23:45</v>
      </c>
    </row>
    <row r="1498" spans="1:10" x14ac:dyDescent="0.3">
      <c r="A1498" t="s">
        <v>6</v>
      </c>
      <c r="B1498" t="str">
        <f>"11/01/2016 00:00"</f>
        <v>11/01/2016 00:00</v>
      </c>
      <c r="C1498">
        <v>162</v>
      </c>
      <c r="D1498" t="s">
        <v>7</v>
      </c>
      <c r="E1498" s="2" t="s">
        <v>12</v>
      </c>
      <c r="F1498">
        <f t="shared" si="23"/>
        <v>321.24600000000004</v>
      </c>
      <c r="G1498" t="s">
        <v>16</v>
      </c>
      <c r="J1498" t="str">
        <f>"11/01/2016 23:45"</f>
        <v>11/01/2016 23:45</v>
      </c>
    </row>
    <row r="1499" spans="1:10" x14ac:dyDescent="0.3">
      <c r="A1499" t="s">
        <v>6</v>
      </c>
      <c r="B1499" t="str">
        <f>"11/02/2016 00:00"</f>
        <v>11/02/2016 00:00</v>
      </c>
      <c r="C1499">
        <v>133</v>
      </c>
      <c r="D1499" t="s">
        <v>7</v>
      </c>
      <c r="E1499" s="2" t="s">
        <v>12</v>
      </c>
      <c r="F1499">
        <f t="shared" si="23"/>
        <v>263.73900000000003</v>
      </c>
      <c r="G1499" t="s">
        <v>16</v>
      </c>
      <c r="J1499" t="str">
        <f>"11/02/2016 23:45"</f>
        <v>11/02/2016 23:45</v>
      </c>
    </row>
    <row r="1500" spans="1:10" x14ac:dyDescent="0.3">
      <c r="A1500" t="s">
        <v>6</v>
      </c>
      <c r="B1500" t="str">
        <f>"11/03/2016 00:00"</f>
        <v>11/03/2016 00:00</v>
      </c>
      <c r="C1500">
        <v>89.6</v>
      </c>
      <c r="D1500" t="s">
        <v>7</v>
      </c>
      <c r="E1500" s="2" t="s">
        <v>12</v>
      </c>
      <c r="F1500">
        <f t="shared" si="23"/>
        <v>177.67679999999999</v>
      </c>
      <c r="G1500" t="s">
        <v>16</v>
      </c>
      <c r="J1500" t="str">
        <f>"11/03/2016 23:45"</f>
        <v>11/03/2016 23:45</v>
      </c>
    </row>
    <row r="1501" spans="1:10" x14ac:dyDescent="0.3">
      <c r="A1501" t="s">
        <v>6</v>
      </c>
      <c r="B1501" t="str">
        <f>"11/04/2016 00:00"</f>
        <v>11/04/2016 00:00</v>
      </c>
      <c r="C1501">
        <v>79</v>
      </c>
      <c r="D1501" t="s">
        <v>7</v>
      </c>
      <c r="E1501" s="2" t="s">
        <v>12</v>
      </c>
      <c r="F1501">
        <f t="shared" si="23"/>
        <v>156.65700000000001</v>
      </c>
      <c r="G1501" t="s">
        <v>16</v>
      </c>
      <c r="J1501" t="str">
        <f>"11/04/2016 23:45"</f>
        <v>11/04/2016 23:45</v>
      </c>
    </row>
    <row r="1502" spans="1:10" x14ac:dyDescent="0.3">
      <c r="A1502" t="s">
        <v>6</v>
      </c>
      <c r="B1502" t="str">
        <f>"11/05/2016 00:00"</f>
        <v>11/05/2016 00:00</v>
      </c>
      <c r="C1502">
        <v>78.900000000000006</v>
      </c>
      <c r="D1502" t="s">
        <v>7</v>
      </c>
      <c r="E1502" s="2" t="s">
        <v>12</v>
      </c>
      <c r="F1502">
        <f t="shared" si="23"/>
        <v>156.45870000000002</v>
      </c>
      <c r="G1502" t="s">
        <v>16</v>
      </c>
      <c r="J1502" t="str">
        <f>"11/05/2016 23:45"</f>
        <v>11/05/2016 23:45</v>
      </c>
    </row>
    <row r="1503" spans="1:10" x14ac:dyDescent="0.3">
      <c r="A1503" t="s">
        <v>6</v>
      </c>
      <c r="B1503" t="str">
        <f>"11/06/2016 00:00"</f>
        <v>11/06/2016 00:00</v>
      </c>
      <c r="C1503">
        <v>79.3</v>
      </c>
      <c r="D1503" t="s">
        <v>7</v>
      </c>
      <c r="E1503" s="2" t="s">
        <v>12</v>
      </c>
      <c r="F1503">
        <f t="shared" si="23"/>
        <v>157.25190000000001</v>
      </c>
      <c r="G1503" t="s">
        <v>16</v>
      </c>
      <c r="J1503" t="str">
        <f>"11/06/2016 23:45"</f>
        <v>11/06/2016 23:45</v>
      </c>
    </row>
    <row r="1504" spans="1:10" x14ac:dyDescent="0.3">
      <c r="A1504" t="s">
        <v>6</v>
      </c>
      <c r="B1504" t="str">
        <f>"11/07/2016 00:00"</f>
        <v>11/07/2016 00:00</v>
      </c>
      <c r="C1504">
        <v>117</v>
      </c>
      <c r="D1504" t="s">
        <v>7</v>
      </c>
      <c r="E1504" s="2" t="s">
        <v>12</v>
      </c>
      <c r="F1504">
        <f t="shared" si="23"/>
        <v>232.01100000000002</v>
      </c>
      <c r="G1504" t="s">
        <v>16</v>
      </c>
      <c r="J1504" t="str">
        <f>"11/07/2016 23:45"</f>
        <v>11/07/2016 23:45</v>
      </c>
    </row>
    <row r="1505" spans="1:10" x14ac:dyDescent="0.3">
      <c r="A1505" t="s">
        <v>6</v>
      </c>
      <c r="B1505" t="str">
        <f>"11/08/2016 00:00"</f>
        <v>11/08/2016 00:00</v>
      </c>
      <c r="C1505">
        <v>140</v>
      </c>
      <c r="D1505" t="s">
        <v>7</v>
      </c>
      <c r="E1505" s="2" t="s">
        <v>12</v>
      </c>
      <c r="F1505">
        <f t="shared" si="23"/>
        <v>277.62</v>
      </c>
      <c r="G1505" t="s">
        <v>16</v>
      </c>
      <c r="J1505" t="str">
        <f>"11/08/2016 23:45"</f>
        <v>11/08/2016 23:45</v>
      </c>
    </row>
    <row r="1506" spans="1:10" x14ac:dyDescent="0.3">
      <c r="A1506" t="s">
        <v>6</v>
      </c>
      <c r="B1506" t="str">
        <f>"11/09/2016 00:00"</f>
        <v>11/09/2016 00:00</v>
      </c>
      <c r="C1506">
        <v>115</v>
      </c>
      <c r="D1506" t="s">
        <v>7</v>
      </c>
      <c r="E1506" s="2" t="s">
        <v>12</v>
      </c>
      <c r="F1506">
        <f t="shared" si="23"/>
        <v>228.04500000000002</v>
      </c>
      <c r="G1506" t="s">
        <v>16</v>
      </c>
      <c r="J1506" t="str">
        <f>"11/09/2016 23:45"</f>
        <v>11/09/2016 23:45</v>
      </c>
    </row>
    <row r="1507" spans="1:10" x14ac:dyDescent="0.3">
      <c r="A1507" t="s">
        <v>6</v>
      </c>
      <c r="B1507" t="str">
        <f>"11/10/2016 00:00"</f>
        <v>11/10/2016 00:00</v>
      </c>
      <c r="C1507">
        <v>98.5</v>
      </c>
      <c r="D1507" t="s">
        <v>7</v>
      </c>
      <c r="E1507" s="2" t="s">
        <v>12</v>
      </c>
      <c r="F1507">
        <f t="shared" si="23"/>
        <v>195.32550000000001</v>
      </c>
      <c r="G1507" t="s">
        <v>16</v>
      </c>
      <c r="J1507" t="str">
        <f>"11/10/2016 23:45"</f>
        <v>11/10/2016 23:45</v>
      </c>
    </row>
    <row r="1508" spans="1:10" x14ac:dyDescent="0.3">
      <c r="A1508" t="s">
        <v>6</v>
      </c>
      <c r="B1508" t="str">
        <f>"11/11/2016 00:00"</f>
        <v>11/11/2016 00:00</v>
      </c>
      <c r="C1508">
        <v>98.8</v>
      </c>
      <c r="D1508" t="s">
        <v>7</v>
      </c>
      <c r="E1508" s="2" t="s">
        <v>12</v>
      </c>
      <c r="F1508">
        <f t="shared" si="23"/>
        <v>195.9204</v>
      </c>
      <c r="G1508" t="s">
        <v>16</v>
      </c>
      <c r="J1508" t="str">
        <f>"11/11/2016 23:45"</f>
        <v>11/11/2016 23:45</v>
      </c>
    </row>
    <row r="1509" spans="1:10" x14ac:dyDescent="0.3">
      <c r="A1509" t="s">
        <v>6</v>
      </c>
      <c r="B1509" t="str">
        <f>"11/12/2016 00:00"</f>
        <v>11/12/2016 00:00</v>
      </c>
      <c r="C1509">
        <v>98.7</v>
      </c>
      <c r="D1509" t="s">
        <v>7</v>
      </c>
      <c r="E1509" s="2" t="s">
        <v>12</v>
      </c>
      <c r="F1509">
        <f t="shared" si="23"/>
        <v>195.72210000000001</v>
      </c>
      <c r="G1509" t="s">
        <v>16</v>
      </c>
      <c r="J1509" t="str">
        <f>"11/12/2016 23:45"</f>
        <v>11/12/2016 23:45</v>
      </c>
    </row>
    <row r="1510" spans="1:10" x14ac:dyDescent="0.3">
      <c r="A1510" t="s">
        <v>6</v>
      </c>
      <c r="B1510" t="str">
        <f>"11/13/2016 00:00"</f>
        <v>11/13/2016 00:00</v>
      </c>
      <c r="C1510">
        <v>98.7</v>
      </c>
      <c r="D1510" t="s">
        <v>7</v>
      </c>
      <c r="E1510" s="2" t="s">
        <v>12</v>
      </c>
      <c r="F1510">
        <f t="shared" si="23"/>
        <v>195.72210000000001</v>
      </c>
      <c r="G1510" t="s">
        <v>16</v>
      </c>
      <c r="J1510" t="str">
        <f>"11/13/2016 23:45"</f>
        <v>11/13/2016 23:45</v>
      </c>
    </row>
    <row r="1511" spans="1:10" x14ac:dyDescent="0.3">
      <c r="A1511" t="s">
        <v>6</v>
      </c>
      <c r="B1511" t="str">
        <f>"11/14/2016 00:00"</f>
        <v>11/14/2016 00:00</v>
      </c>
      <c r="C1511">
        <v>100</v>
      </c>
      <c r="D1511" t="s">
        <v>7</v>
      </c>
      <c r="E1511" s="2" t="s">
        <v>12</v>
      </c>
      <c r="F1511">
        <f t="shared" si="23"/>
        <v>198.3</v>
      </c>
      <c r="G1511" t="s">
        <v>16</v>
      </c>
      <c r="J1511" t="str">
        <f>"11/14/2016 23:45"</f>
        <v>11/14/2016 23:45</v>
      </c>
    </row>
    <row r="1512" spans="1:10" x14ac:dyDescent="0.3">
      <c r="A1512" t="s">
        <v>6</v>
      </c>
      <c r="B1512" t="str">
        <f>"11/15/2016 00:00"</f>
        <v>11/15/2016 00:00</v>
      </c>
      <c r="C1512">
        <v>133</v>
      </c>
      <c r="D1512" t="s">
        <v>7</v>
      </c>
      <c r="E1512" s="2" t="s">
        <v>12</v>
      </c>
      <c r="F1512">
        <f t="shared" si="23"/>
        <v>263.73900000000003</v>
      </c>
      <c r="G1512" t="s">
        <v>16</v>
      </c>
      <c r="J1512" t="str">
        <f>"11/15/2016 23:45"</f>
        <v>11/15/2016 23:45</v>
      </c>
    </row>
    <row r="1513" spans="1:10" x14ac:dyDescent="0.3">
      <c r="A1513" t="s">
        <v>6</v>
      </c>
      <c r="B1513" t="str">
        <f>"11/16/2016 00:00"</f>
        <v>11/16/2016 00:00</v>
      </c>
      <c r="C1513">
        <v>150</v>
      </c>
      <c r="D1513" t="s">
        <v>7</v>
      </c>
      <c r="E1513" s="2" t="s">
        <v>12</v>
      </c>
      <c r="F1513">
        <f t="shared" si="23"/>
        <v>297.45</v>
      </c>
      <c r="G1513" t="s">
        <v>16</v>
      </c>
      <c r="J1513" t="str">
        <f>"11/16/2016 23:45"</f>
        <v>11/16/2016 23:45</v>
      </c>
    </row>
    <row r="1514" spans="1:10" x14ac:dyDescent="0.3">
      <c r="A1514" t="s">
        <v>6</v>
      </c>
      <c r="B1514" t="str">
        <f>"11/17/2016 00:00"</f>
        <v>11/17/2016 00:00</v>
      </c>
      <c r="C1514">
        <v>150</v>
      </c>
      <c r="D1514" t="s">
        <v>7</v>
      </c>
      <c r="E1514" s="2" t="s">
        <v>12</v>
      </c>
      <c r="F1514">
        <f t="shared" si="23"/>
        <v>297.45</v>
      </c>
      <c r="G1514" t="s">
        <v>16</v>
      </c>
      <c r="J1514" t="str">
        <f>"11/17/2016 23:45"</f>
        <v>11/17/2016 23:45</v>
      </c>
    </row>
    <row r="1515" spans="1:10" x14ac:dyDescent="0.3">
      <c r="A1515" t="s">
        <v>6</v>
      </c>
      <c r="B1515" t="str">
        <f>"11/18/2016 00:00"</f>
        <v>11/18/2016 00:00</v>
      </c>
      <c r="C1515">
        <v>111</v>
      </c>
      <c r="D1515" t="s">
        <v>7</v>
      </c>
      <c r="E1515" s="2" t="s">
        <v>12</v>
      </c>
      <c r="F1515">
        <f t="shared" si="23"/>
        <v>220.113</v>
      </c>
      <c r="G1515" t="s">
        <v>16</v>
      </c>
      <c r="J1515" t="str">
        <f>"11/18/2016 23:45"</f>
        <v>11/18/2016 23:45</v>
      </c>
    </row>
    <row r="1516" spans="1:10" x14ac:dyDescent="0.3">
      <c r="A1516" t="s">
        <v>6</v>
      </c>
      <c r="B1516" t="str">
        <f>"11/19/2016 00:00"</f>
        <v>11/19/2016 00:00</v>
      </c>
      <c r="C1516">
        <v>76</v>
      </c>
      <c r="D1516" t="s">
        <v>7</v>
      </c>
      <c r="E1516" s="2" t="s">
        <v>12</v>
      </c>
      <c r="F1516">
        <f t="shared" si="23"/>
        <v>150.708</v>
      </c>
      <c r="G1516" t="s">
        <v>16</v>
      </c>
      <c r="J1516" t="str">
        <f>"11/19/2016 23:45"</f>
        <v>11/19/2016 23:45</v>
      </c>
    </row>
    <row r="1517" spans="1:10" x14ac:dyDescent="0.3">
      <c r="A1517" t="s">
        <v>6</v>
      </c>
      <c r="B1517" t="str">
        <f>"11/20/2016 00:00"</f>
        <v>11/20/2016 00:00</v>
      </c>
      <c r="C1517">
        <v>75.5</v>
      </c>
      <c r="D1517" t="s">
        <v>7</v>
      </c>
      <c r="E1517" s="2" t="s">
        <v>12</v>
      </c>
      <c r="F1517">
        <f t="shared" si="23"/>
        <v>149.7165</v>
      </c>
      <c r="G1517" t="s">
        <v>16</v>
      </c>
      <c r="J1517" t="str">
        <f>"11/20/2016 23:45"</f>
        <v>11/20/2016 23:45</v>
      </c>
    </row>
    <row r="1518" spans="1:10" x14ac:dyDescent="0.3">
      <c r="A1518" t="s">
        <v>6</v>
      </c>
      <c r="B1518" t="str">
        <f>"11/21/2016 00:00"</f>
        <v>11/21/2016 00:00</v>
      </c>
      <c r="C1518">
        <v>74.900000000000006</v>
      </c>
      <c r="D1518" t="s">
        <v>7</v>
      </c>
      <c r="E1518" s="2" t="s">
        <v>12</v>
      </c>
      <c r="F1518">
        <f t="shared" si="23"/>
        <v>148.52670000000001</v>
      </c>
      <c r="G1518" t="s">
        <v>16</v>
      </c>
      <c r="J1518" t="str">
        <f>"11/21/2016 23:45"</f>
        <v>11/21/2016 23:45</v>
      </c>
    </row>
    <row r="1519" spans="1:10" x14ac:dyDescent="0.3">
      <c r="A1519" t="s">
        <v>6</v>
      </c>
      <c r="B1519" t="str">
        <f>"11/22/2016 00:00"</f>
        <v>11/22/2016 00:00</v>
      </c>
      <c r="C1519">
        <v>75</v>
      </c>
      <c r="D1519" t="s">
        <v>7</v>
      </c>
      <c r="E1519" s="2" t="s">
        <v>12</v>
      </c>
      <c r="F1519">
        <f t="shared" si="23"/>
        <v>148.72499999999999</v>
      </c>
      <c r="G1519" t="s">
        <v>16</v>
      </c>
      <c r="J1519" t="str">
        <f>"11/22/2016 23:45"</f>
        <v>11/22/2016 23:45</v>
      </c>
    </row>
    <row r="1520" spans="1:10" x14ac:dyDescent="0.3">
      <c r="A1520" t="s">
        <v>6</v>
      </c>
      <c r="B1520" t="str">
        <f>"11/23/2016 00:00"</f>
        <v>11/23/2016 00:00</v>
      </c>
      <c r="C1520">
        <v>75.2</v>
      </c>
      <c r="D1520" t="s">
        <v>7</v>
      </c>
      <c r="E1520" s="2" t="s">
        <v>12</v>
      </c>
      <c r="F1520">
        <f t="shared" si="23"/>
        <v>149.1216</v>
      </c>
      <c r="G1520" t="s">
        <v>16</v>
      </c>
      <c r="J1520" t="str">
        <f>"11/23/2016 23:45"</f>
        <v>11/23/2016 23:45</v>
      </c>
    </row>
    <row r="1521" spans="1:10" x14ac:dyDescent="0.3">
      <c r="A1521" t="s">
        <v>6</v>
      </c>
      <c r="B1521" t="str">
        <f>"11/24/2016 00:00"</f>
        <v>11/24/2016 00:00</v>
      </c>
      <c r="C1521">
        <v>75</v>
      </c>
      <c r="D1521" t="s">
        <v>7</v>
      </c>
      <c r="E1521" s="2" t="s">
        <v>12</v>
      </c>
      <c r="F1521">
        <f t="shared" si="23"/>
        <v>148.72499999999999</v>
      </c>
      <c r="G1521" t="s">
        <v>16</v>
      </c>
      <c r="J1521" t="str">
        <f>"11/24/2016 23:45"</f>
        <v>11/24/2016 23:45</v>
      </c>
    </row>
    <row r="1522" spans="1:10" x14ac:dyDescent="0.3">
      <c r="A1522" t="s">
        <v>6</v>
      </c>
      <c r="B1522" t="str">
        <f>"11/25/2016 00:00"</f>
        <v>11/25/2016 00:00</v>
      </c>
      <c r="C1522">
        <v>75.5</v>
      </c>
      <c r="D1522" t="s">
        <v>7</v>
      </c>
      <c r="E1522" s="2" t="s">
        <v>12</v>
      </c>
      <c r="F1522">
        <f t="shared" si="23"/>
        <v>149.7165</v>
      </c>
      <c r="G1522" t="s">
        <v>16</v>
      </c>
      <c r="J1522" t="str">
        <f>"11/25/2016 23:45"</f>
        <v>11/25/2016 23:45</v>
      </c>
    </row>
    <row r="1523" spans="1:10" x14ac:dyDescent="0.3">
      <c r="A1523" t="s">
        <v>6</v>
      </c>
      <c r="B1523" t="str">
        <f>"11/26/2016 00:00"</f>
        <v>11/26/2016 00:00</v>
      </c>
      <c r="C1523">
        <v>75.099999999999994</v>
      </c>
      <c r="D1523" t="s">
        <v>7</v>
      </c>
      <c r="E1523" s="2" t="s">
        <v>12</v>
      </c>
      <c r="F1523">
        <f t="shared" si="23"/>
        <v>148.92329999999998</v>
      </c>
      <c r="G1523" t="s">
        <v>16</v>
      </c>
      <c r="J1523" t="str">
        <f>"11/26/2016 23:45"</f>
        <v>11/26/2016 23:45</v>
      </c>
    </row>
    <row r="1524" spans="1:10" x14ac:dyDescent="0.3">
      <c r="A1524" t="s">
        <v>6</v>
      </c>
      <c r="B1524" t="str">
        <f>"11/27/2016 00:00"</f>
        <v>11/27/2016 00:00</v>
      </c>
      <c r="C1524">
        <v>74.8</v>
      </c>
      <c r="D1524" t="s">
        <v>7</v>
      </c>
      <c r="E1524" s="2" t="s">
        <v>12</v>
      </c>
      <c r="F1524">
        <f t="shared" si="23"/>
        <v>148.32839999999999</v>
      </c>
      <c r="G1524" t="s">
        <v>16</v>
      </c>
      <c r="J1524" t="str">
        <f>"11/27/2016 23:45"</f>
        <v>11/27/2016 23:45</v>
      </c>
    </row>
    <row r="1525" spans="1:10" x14ac:dyDescent="0.3">
      <c r="A1525" t="s">
        <v>6</v>
      </c>
      <c r="B1525" t="str">
        <f>"11/28/2016 00:00"</f>
        <v>11/28/2016 00:00</v>
      </c>
      <c r="C1525">
        <v>74.8</v>
      </c>
      <c r="D1525" t="s">
        <v>7</v>
      </c>
      <c r="E1525" s="2" t="s">
        <v>12</v>
      </c>
      <c r="F1525">
        <f t="shared" si="23"/>
        <v>148.32839999999999</v>
      </c>
      <c r="G1525" t="s">
        <v>16</v>
      </c>
      <c r="J1525" t="str">
        <f>"11/28/2016 23:45"</f>
        <v>11/28/2016 23:45</v>
      </c>
    </row>
    <row r="1526" spans="1:10" x14ac:dyDescent="0.3">
      <c r="A1526" t="s">
        <v>6</v>
      </c>
      <c r="B1526" t="str">
        <f>"11/29/2016 00:00"</f>
        <v>11/29/2016 00:00</v>
      </c>
      <c r="C1526">
        <v>74.8</v>
      </c>
      <c r="D1526" t="s">
        <v>7</v>
      </c>
      <c r="E1526" s="2" t="s">
        <v>12</v>
      </c>
      <c r="F1526">
        <f t="shared" si="23"/>
        <v>148.32839999999999</v>
      </c>
      <c r="G1526" t="s">
        <v>16</v>
      </c>
      <c r="J1526" t="str">
        <f>"11/29/2016 23:45"</f>
        <v>11/29/2016 23:45</v>
      </c>
    </row>
    <row r="1527" spans="1:10" x14ac:dyDescent="0.3">
      <c r="A1527" t="s">
        <v>6</v>
      </c>
      <c r="B1527" t="str">
        <f>"11/30/2016 00:00"</f>
        <v>11/30/2016 00:00</v>
      </c>
      <c r="C1527">
        <v>94.9</v>
      </c>
      <c r="D1527" t="s">
        <v>7</v>
      </c>
      <c r="E1527" s="2" t="s">
        <v>12</v>
      </c>
      <c r="F1527">
        <f t="shared" si="23"/>
        <v>188.18670000000003</v>
      </c>
      <c r="G1527" t="s">
        <v>16</v>
      </c>
      <c r="J1527" t="str">
        <f>"11/30/2016 23:45"</f>
        <v>11/30/2016 23:45</v>
      </c>
    </row>
    <row r="1528" spans="1:10" x14ac:dyDescent="0.3">
      <c r="A1528" t="s">
        <v>6</v>
      </c>
      <c r="B1528" t="str">
        <f>"12/01/2016 00:00"</f>
        <v>12/01/2016 00:00</v>
      </c>
      <c r="C1528">
        <v>108</v>
      </c>
      <c r="D1528" t="s">
        <v>7</v>
      </c>
      <c r="E1528" s="2" t="s">
        <v>12</v>
      </c>
      <c r="F1528">
        <f t="shared" si="23"/>
        <v>214.16400000000002</v>
      </c>
      <c r="G1528" t="s">
        <v>16</v>
      </c>
      <c r="J1528" t="str">
        <f>"12/01/2016 23:45"</f>
        <v>12/01/2016 23:45</v>
      </c>
    </row>
    <row r="1529" spans="1:10" x14ac:dyDescent="0.3">
      <c r="A1529" t="s">
        <v>6</v>
      </c>
      <c r="B1529" t="str">
        <f>"12/02/2016 00:00"</f>
        <v>12/02/2016 00:00</v>
      </c>
      <c r="C1529">
        <v>107</v>
      </c>
      <c r="D1529" t="s">
        <v>7</v>
      </c>
      <c r="E1529" s="2" t="s">
        <v>12</v>
      </c>
      <c r="F1529">
        <f t="shared" si="23"/>
        <v>212.18100000000001</v>
      </c>
      <c r="G1529" t="s">
        <v>16</v>
      </c>
      <c r="J1529" t="str">
        <f>"12/02/2016 23:45"</f>
        <v>12/02/2016 23:45</v>
      </c>
    </row>
    <row r="1530" spans="1:10" x14ac:dyDescent="0.3">
      <c r="A1530" t="s">
        <v>6</v>
      </c>
      <c r="B1530" t="str">
        <f>"12/03/2016 00:00"</f>
        <v>12/03/2016 00:00</v>
      </c>
      <c r="C1530">
        <v>107</v>
      </c>
      <c r="D1530" t="s">
        <v>7</v>
      </c>
      <c r="E1530" s="2" t="s">
        <v>12</v>
      </c>
      <c r="F1530">
        <f t="shared" si="23"/>
        <v>212.18100000000001</v>
      </c>
      <c r="G1530" t="s">
        <v>16</v>
      </c>
      <c r="J1530" t="str">
        <f>"12/03/2016 23:45"</f>
        <v>12/03/2016 23:45</v>
      </c>
    </row>
    <row r="1531" spans="1:10" x14ac:dyDescent="0.3">
      <c r="A1531" t="s">
        <v>6</v>
      </c>
      <c r="B1531" t="str">
        <f>"12/04/2016 00:00"</f>
        <v>12/04/2016 00:00</v>
      </c>
      <c r="C1531">
        <v>106</v>
      </c>
      <c r="D1531" t="s">
        <v>7</v>
      </c>
      <c r="E1531" s="2" t="s">
        <v>12</v>
      </c>
      <c r="F1531">
        <f t="shared" si="23"/>
        <v>210.19800000000001</v>
      </c>
      <c r="G1531" t="s">
        <v>16</v>
      </c>
      <c r="J1531" t="str">
        <f>"12/04/2016 23:45"</f>
        <v>12/04/2016 23:45</v>
      </c>
    </row>
    <row r="1532" spans="1:10" x14ac:dyDescent="0.3">
      <c r="A1532" t="s">
        <v>6</v>
      </c>
      <c r="B1532" t="str">
        <f>"12/05/2016 00:00"</f>
        <v>12/05/2016 00:00</v>
      </c>
      <c r="C1532">
        <v>107</v>
      </c>
      <c r="D1532" t="s">
        <v>7</v>
      </c>
      <c r="E1532" s="2" t="s">
        <v>12</v>
      </c>
      <c r="F1532">
        <f t="shared" si="23"/>
        <v>212.18100000000001</v>
      </c>
      <c r="G1532" t="s">
        <v>16</v>
      </c>
      <c r="J1532" t="str">
        <f>"12/05/2016 23:45"</f>
        <v>12/05/2016 23:45</v>
      </c>
    </row>
    <row r="1533" spans="1:10" x14ac:dyDescent="0.3">
      <c r="A1533" t="s">
        <v>6</v>
      </c>
      <c r="B1533" t="str">
        <f>"12/06/2016 00:00"</f>
        <v>12/06/2016 00:00</v>
      </c>
      <c r="C1533">
        <v>107</v>
      </c>
      <c r="D1533" t="s">
        <v>7</v>
      </c>
      <c r="E1533" s="2" t="s">
        <v>12</v>
      </c>
      <c r="F1533">
        <f t="shared" si="23"/>
        <v>212.18100000000001</v>
      </c>
      <c r="G1533" t="s">
        <v>16</v>
      </c>
      <c r="J1533" t="str">
        <f>"12/06/2016 23:45"</f>
        <v>12/06/2016 23:45</v>
      </c>
    </row>
    <row r="1534" spans="1:10" x14ac:dyDescent="0.3">
      <c r="A1534" t="s">
        <v>6</v>
      </c>
      <c r="B1534" t="str">
        <f>"12/07/2016 00:00"</f>
        <v>12/07/2016 00:00</v>
      </c>
      <c r="C1534">
        <v>106</v>
      </c>
      <c r="D1534" t="s">
        <v>7</v>
      </c>
      <c r="E1534" s="2" t="s">
        <v>12</v>
      </c>
      <c r="F1534">
        <f t="shared" si="23"/>
        <v>210.19800000000001</v>
      </c>
      <c r="G1534" t="s">
        <v>16</v>
      </c>
      <c r="J1534" t="str">
        <f>"12/07/2016 23:45"</f>
        <v>12/07/2016 23:45</v>
      </c>
    </row>
    <row r="1535" spans="1:10" x14ac:dyDescent="0.3">
      <c r="A1535" t="s">
        <v>6</v>
      </c>
      <c r="B1535" t="str">
        <f>"12/08/2016 00:00"</f>
        <v>12/08/2016 00:00</v>
      </c>
      <c r="C1535">
        <v>129</v>
      </c>
      <c r="D1535" t="s">
        <v>7</v>
      </c>
      <c r="E1535" s="2" t="s">
        <v>12</v>
      </c>
      <c r="F1535">
        <f t="shared" si="23"/>
        <v>255.80700000000002</v>
      </c>
      <c r="G1535" t="s">
        <v>16</v>
      </c>
      <c r="J1535" t="str">
        <f>"12/08/2016 23:45"</f>
        <v>12/08/2016 23:45</v>
      </c>
    </row>
    <row r="1536" spans="1:10" x14ac:dyDescent="0.3">
      <c r="A1536" t="s">
        <v>6</v>
      </c>
      <c r="B1536" t="str">
        <f>"12/09/2016 00:00"</f>
        <v>12/09/2016 00:00</v>
      </c>
      <c r="C1536">
        <v>144</v>
      </c>
      <c r="D1536" t="s">
        <v>7</v>
      </c>
      <c r="E1536" s="2" t="s">
        <v>12</v>
      </c>
      <c r="F1536">
        <f t="shared" si="23"/>
        <v>285.55200000000002</v>
      </c>
      <c r="G1536" t="s">
        <v>16</v>
      </c>
      <c r="J1536" t="str">
        <f>"12/09/2016 23:45"</f>
        <v>12/09/2016 23:45</v>
      </c>
    </row>
    <row r="1537" spans="1:10" x14ac:dyDescent="0.3">
      <c r="A1537" t="s">
        <v>6</v>
      </c>
      <c r="B1537" t="str">
        <f>"12/10/2016 00:00"</f>
        <v>12/10/2016 00:00</v>
      </c>
      <c r="C1537">
        <v>144</v>
      </c>
      <c r="D1537" t="s">
        <v>7</v>
      </c>
      <c r="E1537" s="2" t="s">
        <v>12</v>
      </c>
      <c r="F1537">
        <f t="shared" si="23"/>
        <v>285.55200000000002</v>
      </c>
      <c r="G1537" t="s">
        <v>16</v>
      </c>
      <c r="J1537" t="str">
        <f>"12/10/2016 23:45"</f>
        <v>12/10/2016 23:45</v>
      </c>
    </row>
    <row r="1538" spans="1:10" x14ac:dyDescent="0.3">
      <c r="A1538" t="s">
        <v>6</v>
      </c>
      <c r="B1538" t="str">
        <f>"12/11/2016 00:00"</f>
        <v>12/11/2016 00:00</v>
      </c>
      <c r="C1538">
        <v>119</v>
      </c>
      <c r="D1538" t="s">
        <v>7</v>
      </c>
      <c r="E1538" s="2" t="s">
        <v>12</v>
      </c>
      <c r="F1538">
        <f t="shared" si="23"/>
        <v>235.977</v>
      </c>
      <c r="G1538" t="s">
        <v>16</v>
      </c>
      <c r="J1538" t="str">
        <f>"12/11/2016 23:45"</f>
        <v>12/11/2016 23:45</v>
      </c>
    </row>
    <row r="1539" spans="1:10" x14ac:dyDescent="0.3">
      <c r="A1539" t="s">
        <v>6</v>
      </c>
      <c r="B1539" t="str">
        <f>"12/12/2016 00:00"</f>
        <v>12/12/2016 00:00</v>
      </c>
      <c r="C1539">
        <v>90.3</v>
      </c>
      <c r="D1539" t="s">
        <v>7</v>
      </c>
      <c r="E1539" s="2" t="s">
        <v>12</v>
      </c>
      <c r="F1539">
        <f t="shared" si="23"/>
        <v>179.06489999999999</v>
      </c>
      <c r="G1539" t="s">
        <v>16</v>
      </c>
      <c r="J1539" t="str">
        <f>"12/12/2016 23:45"</f>
        <v>12/12/2016 23:45</v>
      </c>
    </row>
    <row r="1540" spans="1:10" x14ac:dyDescent="0.3">
      <c r="A1540" t="s">
        <v>6</v>
      </c>
      <c r="B1540" t="str">
        <f>"12/13/2016 00:00"</f>
        <v>12/13/2016 00:00</v>
      </c>
      <c r="C1540">
        <v>79</v>
      </c>
      <c r="D1540" t="s">
        <v>7</v>
      </c>
      <c r="E1540" s="2" t="s">
        <v>12</v>
      </c>
      <c r="F1540">
        <f t="shared" si="23"/>
        <v>156.65700000000001</v>
      </c>
      <c r="G1540" t="s">
        <v>16</v>
      </c>
      <c r="J1540" t="str">
        <f>"12/13/2016 23:45"</f>
        <v>12/13/2016 23:45</v>
      </c>
    </row>
    <row r="1541" spans="1:10" x14ac:dyDescent="0.3">
      <c r="A1541" t="s">
        <v>6</v>
      </c>
      <c r="B1541" t="str">
        <f>"12/14/2016 00:00"</f>
        <v>12/14/2016 00:00</v>
      </c>
      <c r="C1541">
        <v>77.8</v>
      </c>
      <c r="D1541" t="s">
        <v>7</v>
      </c>
      <c r="E1541" s="2" t="s">
        <v>12</v>
      </c>
      <c r="F1541">
        <f t="shared" si="23"/>
        <v>154.2774</v>
      </c>
      <c r="G1541" t="s">
        <v>16</v>
      </c>
      <c r="J1541" t="str">
        <f>"12/14/2016 23:45"</f>
        <v>12/14/2016 23:45</v>
      </c>
    </row>
    <row r="1542" spans="1:10" x14ac:dyDescent="0.3">
      <c r="A1542" t="s">
        <v>6</v>
      </c>
      <c r="B1542" t="str">
        <f>"12/15/2016 00:00"</f>
        <v>12/15/2016 00:00</v>
      </c>
      <c r="C1542">
        <v>77.5</v>
      </c>
      <c r="D1542" t="s">
        <v>7</v>
      </c>
      <c r="E1542" s="2" t="s">
        <v>12</v>
      </c>
      <c r="F1542">
        <f t="shared" si="23"/>
        <v>153.6825</v>
      </c>
      <c r="G1542" t="s">
        <v>16</v>
      </c>
      <c r="J1542" t="str">
        <f>"12/15/2016 23:45"</f>
        <v>12/15/2016 23:45</v>
      </c>
    </row>
    <row r="1543" spans="1:10" x14ac:dyDescent="0.3">
      <c r="A1543" t="s">
        <v>6</v>
      </c>
      <c r="B1543" t="str">
        <f>"12/16/2016 00:00"</f>
        <v>12/16/2016 00:00</v>
      </c>
      <c r="C1543">
        <v>77.7</v>
      </c>
      <c r="D1543" t="s">
        <v>7</v>
      </c>
      <c r="E1543" s="2" t="s">
        <v>12</v>
      </c>
      <c r="F1543">
        <f t="shared" ref="F1543:F1606" si="24">C1543*1.983</f>
        <v>154.07910000000001</v>
      </c>
      <c r="G1543" t="s">
        <v>16</v>
      </c>
      <c r="J1543" t="str">
        <f>"12/16/2016 23:45"</f>
        <v>12/16/2016 23:45</v>
      </c>
    </row>
    <row r="1544" spans="1:10" x14ac:dyDescent="0.3">
      <c r="A1544" t="s">
        <v>6</v>
      </c>
      <c r="B1544" t="str">
        <f>"12/17/2016 00:00"</f>
        <v>12/17/2016 00:00</v>
      </c>
      <c r="C1544">
        <v>78.2</v>
      </c>
      <c r="D1544" t="s">
        <v>7</v>
      </c>
      <c r="E1544" s="2" t="s">
        <v>12</v>
      </c>
      <c r="F1544">
        <f t="shared" si="24"/>
        <v>155.07060000000001</v>
      </c>
      <c r="G1544" t="s">
        <v>16</v>
      </c>
      <c r="J1544" t="str">
        <f>"12/17/2016 23:45"</f>
        <v>12/17/2016 23:45</v>
      </c>
    </row>
    <row r="1545" spans="1:10" x14ac:dyDescent="0.3">
      <c r="A1545" t="s">
        <v>6</v>
      </c>
      <c r="B1545" t="str">
        <f>"12/18/2016 00:00"</f>
        <v>12/18/2016 00:00</v>
      </c>
      <c r="C1545">
        <v>78.400000000000006</v>
      </c>
      <c r="D1545" t="s">
        <v>7</v>
      </c>
      <c r="E1545" s="2" t="s">
        <v>12</v>
      </c>
      <c r="F1545">
        <f t="shared" si="24"/>
        <v>155.46720000000002</v>
      </c>
      <c r="G1545" t="s">
        <v>16</v>
      </c>
      <c r="J1545" t="str">
        <f>"12/18/2016 23:45"</f>
        <v>12/18/2016 23:45</v>
      </c>
    </row>
    <row r="1546" spans="1:10" x14ac:dyDescent="0.3">
      <c r="A1546" t="s">
        <v>6</v>
      </c>
      <c r="B1546" t="str">
        <f>"12/19/2016 00:00"</f>
        <v>12/19/2016 00:00</v>
      </c>
      <c r="C1546">
        <v>77.900000000000006</v>
      </c>
      <c r="D1546" t="s">
        <v>7</v>
      </c>
      <c r="E1546" s="2" t="s">
        <v>12</v>
      </c>
      <c r="F1546">
        <f t="shared" si="24"/>
        <v>154.47570000000002</v>
      </c>
      <c r="G1546" t="s">
        <v>16</v>
      </c>
      <c r="J1546" t="str">
        <f>"12/19/2016 23:45"</f>
        <v>12/19/2016 23:45</v>
      </c>
    </row>
    <row r="1547" spans="1:10" x14ac:dyDescent="0.3">
      <c r="A1547" t="s">
        <v>6</v>
      </c>
      <c r="B1547" t="str">
        <f>"12/20/2016 00:00"</f>
        <v>12/20/2016 00:00</v>
      </c>
      <c r="C1547">
        <v>77.7</v>
      </c>
      <c r="D1547" t="s">
        <v>7</v>
      </c>
      <c r="E1547" s="2" t="s">
        <v>12</v>
      </c>
      <c r="F1547">
        <f t="shared" si="24"/>
        <v>154.07910000000001</v>
      </c>
      <c r="G1547" t="s">
        <v>16</v>
      </c>
      <c r="J1547" t="str">
        <f>"12/20/2016 23:45"</f>
        <v>12/20/2016 23:45</v>
      </c>
    </row>
    <row r="1548" spans="1:10" x14ac:dyDescent="0.3">
      <c r="A1548" t="s">
        <v>6</v>
      </c>
      <c r="B1548" t="str">
        <f>"12/21/2016 00:00"</f>
        <v>12/21/2016 00:00</v>
      </c>
      <c r="C1548">
        <v>78.2</v>
      </c>
      <c r="D1548" t="s">
        <v>7</v>
      </c>
      <c r="E1548" s="2" t="s">
        <v>12</v>
      </c>
      <c r="F1548">
        <f t="shared" si="24"/>
        <v>155.07060000000001</v>
      </c>
      <c r="G1548" t="s">
        <v>16</v>
      </c>
      <c r="J1548" t="str">
        <f>"12/21/2016 23:45"</f>
        <v>12/21/2016 23:45</v>
      </c>
    </row>
    <row r="1549" spans="1:10" x14ac:dyDescent="0.3">
      <c r="A1549" t="s">
        <v>6</v>
      </c>
      <c r="B1549" t="str">
        <f>"12/22/2016 00:00"</f>
        <v>12/22/2016 00:00</v>
      </c>
      <c r="C1549">
        <v>77.599999999999994</v>
      </c>
      <c r="D1549" t="s">
        <v>7</v>
      </c>
      <c r="E1549" s="2" t="s">
        <v>12</v>
      </c>
      <c r="F1549">
        <f t="shared" si="24"/>
        <v>153.88079999999999</v>
      </c>
      <c r="G1549" t="s">
        <v>16</v>
      </c>
      <c r="J1549" t="str">
        <f>"12/22/2016 23:45"</f>
        <v>12/22/2016 23:45</v>
      </c>
    </row>
    <row r="1550" spans="1:10" x14ac:dyDescent="0.3">
      <c r="A1550" t="s">
        <v>6</v>
      </c>
      <c r="B1550" t="str">
        <f>"12/23/2016 00:00"</f>
        <v>12/23/2016 00:00</v>
      </c>
      <c r="C1550">
        <v>77.900000000000006</v>
      </c>
      <c r="D1550" t="s">
        <v>7</v>
      </c>
      <c r="E1550" s="2" t="s">
        <v>12</v>
      </c>
      <c r="F1550">
        <f t="shared" si="24"/>
        <v>154.47570000000002</v>
      </c>
      <c r="G1550" t="s">
        <v>16</v>
      </c>
      <c r="J1550" t="str">
        <f>"12/23/2016 23:45"</f>
        <v>12/23/2016 23:45</v>
      </c>
    </row>
    <row r="1551" spans="1:10" x14ac:dyDescent="0.3">
      <c r="A1551" t="s">
        <v>6</v>
      </c>
      <c r="B1551" t="str">
        <f>"12/24/2016 00:00"</f>
        <v>12/24/2016 00:00</v>
      </c>
      <c r="C1551">
        <v>77.7</v>
      </c>
      <c r="D1551" t="s">
        <v>7</v>
      </c>
      <c r="E1551" s="2" t="s">
        <v>12</v>
      </c>
      <c r="F1551">
        <f t="shared" si="24"/>
        <v>154.07910000000001</v>
      </c>
      <c r="G1551" t="s">
        <v>16</v>
      </c>
      <c r="J1551" t="str">
        <f>"12/24/2016 23:45"</f>
        <v>12/24/2016 23:45</v>
      </c>
    </row>
    <row r="1552" spans="1:10" x14ac:dyDescent="0.3">
      <c r="A1552" t="s">
        <v>6</v>
      </c>
      <c r="B1552" t="str">
        <f>"12/25/2016 00:00"</f>
        <v>12/25/2016 00:00</v>
      </c>
      <c r="C1552">
        <v>77.900000000000006</v>
      </c>
      <c r="D1552" t="s">
        <v>7</v>
      </c>
      <c r="E1552" s="2" t="s">
        <v>12</v>
      </c>
      <c r="F1552">
        <f t="shared" si="24"/>
        <v>154.47570000000002</v>
      </c>
      <c r="G1552" t="s">
        <v>16</v>
      </c>
      <c r="J1552" t="str">
        <f>"12/25/2016 23:45"</f>
        <v>12/25/2016 23:45</v>
      </c>
    </row>
    <row r="1553" spans="1:10" x14ac:dyDescent="0.3">
      <c r="A1553" t="s">
        <v>6</v>
      </c>
      <c r="B1553" t="str">
        <f>"12/26/2016 00:00"</f>
        <v>12/26/2016 00:00</v>
      </c>
      <c r="C1553">
        <v>78.2</v>
      </c>
      <c r="D1553" t="s">
        <v>7</v>
      </c>
      <c r="E1553" s="2" t="s">
        <v>12</v>
      </c>
      <c r="F1553">
        <f t="shared" si="24"/>
        <v>155.07060000000001</v>
      </c>
      <c r="G1553" t="s">
        <v>16</v>
      </c>
      <c r="J1553" t="str">
        <f>"12/26/2016 23:45"</f>
        <v>12/26/2016 23:45</v>
      </c>
    </row>
    <row r="1554" spans="1:10" x14ac:dyDescent="0.3">
      <c r="A1554" t="s">
        <v>6</v>
      </c>
      <c r="B1554" t="str">
        <f>"12/27/2016 00:00"</f>
        <v>12/27/2016 00:00</v>
      </c>
      <c r="C1554">
        <v>78.2</v>
      </c>
      <c r="D1554" t="s">
        <v>7</v>
      </c>
      <c r="E1554" s="2" t="s">
        <v>12</v>
      </c>
      <c r="F1554">
        <f t="shared" si="24"/>
        <v>155.07060000000001</v>
      </c>
      <c r="G1554" t="s">
        <v>16</v>
      </c>
      <c r="J1554" t="str">
        <f>"12/27/2016 23:45"</f>
        <v>12/27/2016 23:45</v>
      </c>
    </row>
    <row r="1555" spans="1:10" x14ac:dyDescent="0.3">
      <c r="A1555" t="s">
        <v>6</v>
      </c>
      <c r="B1555" t="str">
        <f>"12/28/2016 00:00"</f>
        <v>12/28/2016 00:00</v>
      </c>
      <c r="C1555">
        <v>78.3</v>
      </c>
      <c r="D1555" t="s">
        <v>7</v>
      </c>
      <c r="E1555" s="2" t="s">
        <v>12</v>
      </c>
      <c r="F1555">
        <f t="shared" si="24"/>
        <v>155.2689</v>
      </c>
      <c r="G1555" t="s">
        <v>16</v>
      </c>
      <c r="J1555" t="str">
        <f>"12/28/2016 23:45"</f>
        <v>12/28/2016 23:45</v>
      </c>
    </row>
    <row r="1556" spans="1:10" x14ac:dyDescent="0.3">
      <c r="A1556" t="s">
        <v>6</v>
      </c>
      <c r="B1556" t="str">
        <f>"12/29/2016 00:00"</f>
        <v>12/29/2016 00:00</v>
      </c>
      <c r="C1556">
        <v>78.099999999999994</v>
      </c>
      <c r="D1556" t="s">
        <v>7</v>
      </c>
      <c r="E1556" s="2" t="s">
        <v>12</v>
      </c>
      <c r="F1556">
        <f t="shared" si="24"/>
        <v>154.8723</v>
      </c>
      <c r="G1556" t="s">
        <v>16</v>
      </c>
      <c r="J1556" t="str">
        <f>"12/29/2016 23:45"</f>
        <v>12/29/2016 23:45</v>
      </c>
    </row>
    <row r="1557" spans="1:10" x14ac:dyDescent="0.3">
      <c r="A1557" t="s">
        <v>6</v>
      </c>
      <c r="B1557" t="str">
        <f>"12/30/2016 00:00"</f>
        <v>12/30/2016 00:00</v>
      </c>
      <c r="C1557">
        <v>78.599999999999994</v>
      </c>
      <c r="D1557" t="s">
        <v>7</v>
      </c>
      <c r="E1557" s="2" t="s">
        <v>12</v>
      </c>
      <c r="F1557">
        <f t="shared" si="24"/>
        <v>155.8638</v>
      </c>
      <c r="G1557" t="s">
        <v>16</v>
      </c>
      <c r="J1557" t="str">
        <f>"12/30/2016 23:45"</f>
        <v>12/30/2016 23:45</v>
      </c>
    </row>
    <row r="1558" spans="1:10" x14ac:dyDescent="0.3">
      <c r="A1558" t="s">
        <v>6</v>
      </c>
      <c r="B1558" t="str">
        <f>"12/31/2016 00:00"</f>
        <v>12/31/2016 00:00</v>
      </c>
      <c r="C1558">
        <v>80</v>
      </c>
      <c r="D1558" t="s">
        <v>7</v>
      </c>
      <c r="E1558" s="2" t="s">
        <v>12</v>
      </c>
      <c r="F1558">
        <f t="shared" si="24"/>
        <v>158.64000000000001</v>
      </c>
      <c r="G1558" t="s">
        <v>16</v>
      </c>
      <c r="J1558" t="str">
        <f>"12/31/2016 23:45"</f>
        <v>12/31/2016 23:45</v>
      </c>
    </row>
    <row r="1559" spans="1:10" x14ac:dyDescent="0.3">
      <c r="A1559" t="s">
        <v>6</v>
      </c>
      <c r="B1559" t="str">
        <f>"01/01/2017 00:00"</f>
        <v>01/01/2017 00:00</v>
      </c>
      <c r="C1559">
        <v>80.099999999999994</v>
      </c>
      <c r="D1559" t="s">
        <v>7</v>
      </c>
      <c r="E1559" s="2" t="s">
        <v>12</v>
      </c>
      <c r="F1559">
        <f t="shared" si="24"/>
        <v>158.8383</v>
      </c>
      <c r="G1559" t="s">
        <v>16</v>
      </c>
      <c r="J1559" t="str">
        <f>"01/01/2017 23:45"</f>
        <v>01/01/2017 23:45</v>
      </c>
    </row>
    <row r="1560" spans="1:10" x14ac:dyDescent="0.3">
      <c r="A1560" t="s">
        <v>6</v>
      </c>
      <c r="B1560" t="str">
        <f>"01/02/2017 00:00"</f>
        <v>01/02/2017 00:00</v>
      </c>
      <c r="C1560">
        <v>80.2</v>
      </c>
      <c r="D1560" t="s">
        <v>7</v>
      </c>
      <c r="E1560" s="2" t="s">
        <v>12</v>
      </c>
      <c r="F1560">
        <f t="shared" si="24"/>
        <v>159.03660000000002</v>
      </c>
      <c r="G1560" t="s">
        <v>16</v>
      </c>
      <c r="J1560" t="str">
        <f>"01/02/2017 23:45"</f>
        <v>01/02/2017 23:45</v>
      </c>
    </row>
    <row r="1561" spans="1:10" x14ac:dyDescent="0.3">
      <c r="A1561" t="s">
        <v>6</v>
      </c>
      <c r="B1561" t="str">
        <f>"01/03/2017 00:00"</f>
        <v>01/03/2017 00:00</v>
      </c>
      <c r="C1561">
        <v>80.2</v>
      </c>
      <c r="D1561" t="s">
        <v>7</v>
      </c>
      <c r="E1561" s="2" t="s">
        <v>12</v>
      </c>
      <c r="F1561">
        <f t="shared" si="24"/>
        <v>159.03660000000002</v>
      </c>
      <c r="G1561" t="s">
        <v>16</v>
      </c>
      <c r="J1561" t="str">
        <f>"01/03/2017 23:45"</f>
        <v>01/03/2017 23:45</v>
      </c>
    </row>
    <row r="1562" spans="1:10" x14ac:dyDescent="0.3">
      <c r="A1562" t="s">
        <v>6</v>
      </c>
      <c r="B1562" t="str">
        <f>"01/04/2017 00:00"</f>
        <v>01/04/2017 00:00</v>
      </c>
      <c r="C1562">
        <v>80.5</v>
      </c>
      <c r="D1562" t="s">
        <v>7</v>
      </c>
      <c r="E1562" s="2" t="s">
        <v>12</v>
      </c>
      <c r="F1562">
        <f t="shared" si="24"/>
        <v>159.63150000000002</v>
      </c>
      <c r="G1562" t="s">
        <v>16</v>
      </c>
      <c r="J1562" t="str">
        <f>"01/04/2017 23:45"</f>
        <v>01/04/2017 23:45</v>
      </c>
    </row>
    <row r="1563" spans="1:10" x14ac:dyDescent="0.3">
      <c r="A1563" t="s">
        <v>6</v>
      </c>
      <c r="B1563" t="str">
        <f>"01/05/2017 00:00"</f>
        <v>01/05/2017 00:00</v>
      </c>
      <c r="C1563">
        <v>80.5</v>
      </c>
      <c r="D1563" t="s">
        <v>7</v>
      </c>
      <c r="E1563" s="2" t="s">
        <v>12</v>
      </c>
      <c r="F1563">
        <f t="shared" si="24"/>
        <v>159.63150000000002</v>
      </c>
      <c r="G1563" t="s">
        <v>16</v>
      </c>
      <c r="J1563" t="str">
        <f>"01/05/2017 23:45"</f>
        <v>01/05/2017 23:45</v>
      </c>
    </row>
    <row r="1564" spans="1:10" x14ac:dyDescent="0.3">
      <c r="A1564" t="s">
        <v>6</v>
      </c>
      <c r="B1564" t="str">
        <f>"01/06/2017 00:00"</f>
        <v>01/06/2017 00:00</v>
      </c>
      <c r="C1564">
        <v>80.5</v>
      </c>
      <c r="D1564" t="s">
        <v>7</v>
      </c>
      <c r="E1564" s="2" t="s">
        <v>12</v>
      </c>
      <c r="F1564">
        <f t="shared" si="24"/>
        <v>159.63150000000002</v>
      </c>
      <c r="G1564" t="s">
        <v>16</v>
      </c>
      <c r="J1564" t="str">
        <f>"01/06/2017 23:45"</f>
        <v>01/06/2017 23:45</v>
      </c>
    </row>
    <row r="1565" spans="1:10" x14ac:dyDescent="0.3">
      <c r="A1565" t="s">
        <v>6</v>
      </c>
      <c r="B1565" t="str">
        <f>"01/07/2017 00:00"</f>
        <v>01/07/2017 00:00</v>
      </c>
      <c r="C1565">
        <v>80.400000000000006</v>
      </c>
      <c r="D1565" t="s">
        <v>7</v>
      </c>
      <c r="E1565" s="2" t="s">
        <v>12</v>
      </c>
      <c r="F1565">
        <f t="shared" si="24"/>
        <v>159.43320000000003</v>
      </c>
      <c r="G1565" t="s">
        <v>16</v>
      </c>
      <c r="J1565" t="str">
        <f>"01/07/2017 23:45"</f>
        <v>01/07/2017 23:45</v>
      </c>
    </row>
    <row r="1566" spans="1:10" x14ac:dyDescent="0.3">
      <c r="A1566" t="s">
        <v>6</v>
      </c>
      <c r="B1566" t="str">
        <f>"01/08/2017 00:00"</f>
        <v>01/08/2017 00:00</v>
      </c>
      <c r="C1566">
        <v>80.3</v>
      </c>
      <c r="D1566" t="s">
        <v>7</v>
      </c>
      <c r="E1566" s="2" t="s">
        <v>12</v>
      </c>
      <c r="F1566">
        <f t="shared" si="24"/>
        <v>159.23490000000001</v>
      </c>
      <c r="G1566" t="s">
        <v>16</v>
      </c>
      <c r="J1566" t="str">
        <f>"01/08/2017 23:45"</f>
        <v>01/08/2017 23:45</v>
      </c>
    </row>
    <row r="1567" spans="1:10" x14ac:dyDescent="0.3">
      <c r="A1567" t="s">
        <v>6</v>
      </c>
      <c r="B1567" t="str">
        <f>"01/09/2017 00:00"</f>
        <v>01/09/2017 00:00</v>
      </c>
      <c r="C1567">
        <v>80</v>
      </c>
      <c r="D1567" t="s">
        <v>7</v>
      </c>
      <c r="E1567" s="2" t="s">
        <v>12</v>
      </c>
      <c r="F1567">
        <f t="shared" si="24"/>
        <v>158.64000000000001</v>
      </c>
      <c r="G1567" t="s">
        <v>16</v>
      </c>
      <c r="J1567" t="str">
        <f>"01/09/2017 23:45"</f>
        <v>01/09/2017 23:45</v>
      </c>
    </row>
    <row r="1568" spans="1:10" x14ac:dyDescent="0.3">
      <c r="A1568" t="s">
        <v>6</v>
      </c>
      <c r="B1568" t="str">
        <f>"01/10/2017 00:00"</f>
        <v>01/10/2017 00:00</v>
      </c>
      <c r="C1568">
        <v>79.2</v>
      </c>
      <c r="D1568" t="s">
        <v>7</v>
      </c>
      <c r="E1568" s="2" t="s">
        <v>12</v>
      </c>
      <c r="F1568">
        <f t="shared" si="24"/>
        <v>157.05360000000002</v>
      </c>
      <c r="G1568" t="s">
        <v>16</v>
      </c>
      <c r="J1568" t="str">
        <f>"01/10/2017 23:45"</f>
        <v>01/10/2017 23:45</v>
      </c>
    </row>
    <row r="1569" spans="1:10" x14ac:dyDescent="0.3">
      <c r="A1569" t="s">
        <v>6</v>
      </c>
      <c r="B1569" t="str">
        <f>"01/11/2017 00:00"</f>
        <v>01/11/2017 00:00</v>
      </c>
      <c r="C1569">
        <v>78.7</v>
      </c>
      <c r="D1569" t="s">
        <v>7</v>
      </c>
      <c r="E1569" s="2" t="s">
        <v>12</v>
      </c>
      <c r="F1569">
        <f t="shared" si="24"/>
        <v>156.06210000000002</v>
      </c>
      <c r="G1569" t="s">
        <v>16</v>
      </c>
      <c r="J1569" t="str">
        <f>"01/11/2017 23:45"</f>
        <v>01/11/2017 23:45</v>
      </c>
    </row>
    <row r="1570" spans="1:10" x14ac:dyDescent="0.3">
      <c r="A1570" t="s">
        <v>6</v>
      </c>
      <c r="B1570" t="str">
        <f>"01/12/2017 00:00"</f>
        <v>01/12/2017 00:00</v>
      </c>
      <c r="C1570">
        <v>79.599999999999994</v>
      </c>
      <c r="D1570" t="s">
        <v>7</v>
      </c>
      <c r="E1570" s="2" t="s">
        <v>12</v>
      </c>
      <c r="F1570">
        <f t="shared" si="24"/>
        <v>157.8468</v>
      </c>
      <c r="G1570" t="s">
        <v>16</v>
      </c>
      <c r="J1570" t="str">
        <f>"01/12/2017 23:45"</f>
        <v>01/12/2017 23:45</v>
      </c>
    </row>
    <row r="1571" spans="1:10" x14ac:dyDescent="0.3">
      <c r="A1571" t="s">
        <v>6</v>
      </c>
      <c r="B1571" t="str">
        <f>"01/13/2017 00:00"</f>
        <v>01/13/2017 00:00</v>
      </c>
      <c r="C1571">
        <v>79.099999999999994</v>
      </c>
      <c r="D1571" t="s">
        <v>7</v>
      </c>
      <c r="E1571" s="2" t="s">
        <v>12</v>
      </c>
      <c r="F1571">
        <f t="shared" si="24"/>
        <v>156.8553</v>
      </c>
      <c r="G1571" t="s">
        <v>16</v>
      </c>
      <c r="J1571" t="str">
        <f>"01/13/2017 23:45"</f>
        <v>01/13/2017 23:45</v>
      </c>
    </row>
    <row r="1572" spans="1:10" x14ac:dyDescent="0.3">
      <c r="A1572" t="s">
        <v>6</v>
      </c>
      <c r="B1572" t="str">
        <f>"01/14/2017 00:00"</f>
        <v>01/14/2017 00:00</v>
      </c>
      <c r="C1572">
        <v>78.2</v>
      </c>
      <c r="D1572" t="s">
        <v>7</v>
      </c>
      <c r="E1572" s="2" t="s">
        <v>12</v>
      </c>
      <c r="F1572">
        <f t="shared" si="24"/>
        <v>155.07060000000001</v>
      </c>
      <c r="G1572" t="s">
        <v>16</v>
      </c>
      <c r="J1572" t="str">
        <f>"01/14/2017 23:45"</f>
        <v>01/14/2017 23:45</v>
      </c>
    </row>
    <row r="1573" spans="1:10" x14ac:dyDescent="0.3">
      <c r="A1573" t="s">
        <v>6</v>
      </c>
      <c r="B1573" t="str">
        <f>"01/15/2017 00:00"</f>
        <v>01/15/2017 00:00</v>
      </c>
      <c r="C1573">
        <v>79</v>
      </c>
      <c r="D1573" t="s">
        <v>7</v>
      </c>
      <c r="E1573" s="2" t="s">
        <v>12</v>
      </c>
      <c r="F1573">
        <f t="shared" si="24"/>
        <v>156.65700000000001</v>
      </c>
      <c r="G1573" t="s">
        <v>16</v>
      </c>
      <c r="J1573" t="str">
        <f>"01/15/2017 23:45"</f>
        <v>01/15/2017 23:45</v>
      </c>
    </row>
    <row r="1574" spans="1:10" x14ac:dyDescent="0.3">
      <c r="A1574" t="s">
        <v>6</v>
      </c>
      <c r="B1574" t="str">
        <f>"01/16/2017 00:00"</f>
        <v>01/16/2017 00:00</v>
      </c>
      <c r="C1574">
        <v>80.400000000000006</v>
      </c>
      <c r="D1574" t="s">
        <v>7</v>
      </c>
      <c r="E1574" s="2" t="s">
        <v>12</v>
      </c>
      <c r="F1574">
        <f t="shared" si="24"/>
        <v>159.43320000000003</v>
      </c>
      <c r="G1574" t="s">
        <v>16</v>
      </c>
      <c r="J1574" t="str">
        <f>"01/16/2017 23:45"</f>
        <v>01/16/2017 23:45</v>
      </c>
    </row>
    <row r="1575" spans="1:10" x14ac:dyDescent="0.3">
      <c r="A1575" t="s">
        <v>6</v>
      </c>
      <c r="B1575" t="str">
        <f>"01/17/2017 00:00"</f>
        <v>01/17/2017 00:00</v>
      </c>
      <c r="C1575">
        <v>80.900000000000006</v>
      </c>
      <c r="D1575" t="s">
        <v>7</v>
      </c>
      <c r="E1575" s="2" t="s">
        <v>12</v>
      </c>
      <c r="F1575">
        <f t="shared" si="24"/>
        <v>160.42470000000003</v>
      </c>
      <c r="G1575" t="s">
        <v>16</v>
      </c>
      <c r="J1575" t="str">
        <f>"01/17/2017 23:45"</f>
        <v>01/17/2017 23:45</v>
      </c>
    </row>
    <row r="1576" spans="1:10" x14ac:dyDescent="0.3">
      <c r="A1576" t="s">
        <v>6</v>
      </c>
      <c r="B1576" t="str">
        <f>"01/18/2017 00:00"</f>
        <v>01/18/2017 00:00</v>
      </c>
      <c r="C1576">
        <v>81.2</v>
      </c>
      <c r="D1576" t="s">
        <v>7</v>
      </c>
      <c r="E1576" s="2" t="s">
        <v>12</v>
      </c>
      <c r="F1576">
        <f t="shared" si="24"/>
        <v>161.01960000000003</v>
      </c>
      <c r="G1576" t="s">
        <v>16</v>
      </c>
      <c r="J1576" t="str">
        <f>"01/18/2017 23:45"</f>
        <v>01/18/2017 23:45</v>
      </c>
    </row>
    <row r="1577" spans="1:10" x14ac:dyDescent="0.3">
      <c r="A1577" t="s">
        <v>6</v>
      </c>
      <c r="B1577" t="str">
        <f>"01/19/2017 00:00"</f>
        <v>01/19/2017 00:00</v>
      </c>
      <c r="C1577">
        <v>80.900000000000006</v>
      </c>
      <c r="D1577" t="s">
        <v>7</v>
      </c>
      <c r="E1577" s="2" t="s">
        <v>12</v>
      </c>
      <c r="F1577">
        <f t="shared" si="24"/>
        <v>160.42470000000003</v>
      </c>
      <c r="G1577" t="s">
        <v>16</v>
      </c>
      <c r="J1577" t="str">
        <f>"01/19/2017 23:45"</f>
        <v>01/19/2017 23:45</v>
      </c>
    </row>
    <row r="1578" spans="1:10" x14ac:dyDescent="0.3">
      <c r="A1578" t="s">
        <v>6</v>
      </c>
      <c r="B1578" t="str">
        <f>"01/20/2017 00:00"</f>
        <v>01/20/2017 00:00</v>
      </c>
      <c r="C1578">
        <v>81.2</v>
      </c>
      <c r="D1578" t="s">
        <v>7</v>
      </c>
      <c r="E1578" s="2" t="s">
        <v>12</v>
      </c>
      <c r="F1578">
        <f t="shared" si="24"/>
        <v>161.01960000000003</v>
      </c>
      <c r="G1578" t="s">
        <v>16</v>
      </c>
      <c r="J1578" t="str">
        <f>"01/20/2017 23:45"</f>
        <v>01/20/2017 23:45</v>
      </c>
    </row>
    <row r="1579" spans="1:10" x14ac:dyDescent="0.3">
      <c r="A1579" t="s">
        <v>6</v>
      </c>
      <c r="B1579" t="str">
        <f>"01/21/2017 00:00"</f>
        <v>01/21/2017 00:00</v>
      </c>
      <c r="C1579">
        <v>81.599999999999994</v>
      </c>
      <c r="D1579" t="s">
        <v>7</v>
      </c>
      <c r="E1579" s="2" t="s">
        <v>12</v>
      </c>
      <c r="F1579">
        <f t="shared" si="24"/>
        <v>161.81280000000001</v>
      </c>
      <c r="G1579" t="s">
        <v>16</v>
      </c>
      <c r="J1579" t="str">
        <f>"01/21/2017 23:45"</f>
        <v>01/21/2017 23:45</v>
      </c>
    </row>
    <row r="1580" spans="1:10" x14ac:dyDescent="0.3">
      <c r="A1580" t="s">
        <v>6</v>
      </c>
      <c r="B1580" t="str">
        <f>"01/22/2017 00:00"</f>
        <v>01/22/2017 00:00</v>
      </c>
      <c r="C1580">
        <v>81.599999999999994</v>
      </c>
      <c r="D1580" t="s">
        <v>7</v>
      </c>
      <c r="E1580" s="2" t="s">
        <v>12</v>
      </c>
      <c r="F1580">
        <f t="shared" si="24"/>
        <v>161.81280000000001</v>
      </c>
      <c r="G1580" t="s">
        <v>16</v>
      </c>
      <c r="J1580" t="str">
        <f>"01/22/2017 23:45"</f>
        <v>01/22/2017 23:45</v>
      </c>
    </row>
    <row r="1581" spans="1:10" x14ac:dyDescent="0.3">
      <c r="A1581" t="s">
        <v>6</v>
      </c>
      <c r="B1581" t="str">
        <f>"01/23/2017 00:00"</f>
        <v>01/23/2017 00:00</v>
      </c>
      <c r="C1581">
        <v>81.3</v>
      </c>
      <c r="D1581" t="s">
        <v>7</v>
      </c>
      <c r="E1581" s="2" t="s">
        <v>12</v>
      </c>
      <c r="F1581">
        <f t="shared" si="24"/>
        <v>161.21790000000001</v>
      </c>
      <c r="G1581" t="s">
        <v>16</v>
      </c>
      <c r="J1581" t="str">
        <f>"01/23/2017 23:45"</f>
        <v>01/23/2017 23:45</v>
      </c>
    </row>
    <row r="1582" spans="1:10" x14ac:dyDescent="0.3">
      <c r="A1582" t="s">
        <v>6</v>
      </c>
      <c r="B1582" t="str">
        <f>"01/24/2017 00:00"</f>
        <v>01/24/2017 00:00</v>
      </c>
      <c r="C1582">
        <v>81.3</v>
      </c>
      <c r="D1582" t="s">
        <v>7</v>
      </c>
      <c r="E1582" s="2" t="s">
        <v>12</v>
      </c>
      <c r="F1582">
        <f t="shared" si="24"/>
        <v>161.21790000000001</v>
      </c>
      <c r="G1582" t="s">
        <v>16</v>
      </c>
      <c r="J1582" t="str">
        <f>"01/24/2017 23:45"</f>
        <v>01/24/2017 23:45</v>
      </c>
    </row>
    <row r="1583" spans="1:10" x14ac:dyDescent="0.3">
      <c r="A1583" t="s">
        <v>6</v>
      </c>
      <c r="B1583" t="str">
        <f>"01/25/2017 00:00"</f>
        <v>01/25/2017 00:00</v>
      </c>
      <c r="C1583">
        <v>81.599999999999994</v>
      </c>
      <c r="D1583" t="s">
        <v>7</v>
      </c>
      <c r="E1583" s="2" t="s">
        <v>12</v>
      </c>
      <c r="F1583">
        <f t="shared" si="24"/>
        <v>161.81280000000001</v>
      </c>
      <c r="G1583" t="s">
        <v>16</v>
      </c>
      <c r="J1583" t="str">
        <f>"01/25/2017 23:45"</f>
        <v>01/25/2017 23:45</v>
      </c>
    </row>
    <row r="1584" spans="1:10" x14ac:dyDescent="0.3">
      <c r="A1584" t="s">
        <v>6</v>
      </c>
      <c r="B1584" t="str">
        <f>"01/26/2017 00:00"</f>
        <v>01/26/2017 00:00</v>
      </c>
      <c r="C1584">
        <v>81.8</v>
      </c>
      <c r="D1584" t="s">
        <v>7</v>
      </c>
      <c r="E1584" s="2" t="s">
        <v>12</v>
      </c>
      <c r="F1584">
        <f t="shared" si="24"/>
        <v>162.20939999999999</v>
      </c>
      <c r="G1584" t="s">
        <v>16</v>
      </c>
      <c r="J1584" t="str">
        <f>"01/26/2017 23:45"</f>
        <v>01/26/2017 23:45</v>
      </c>
    </row>
    <row r="1585" spans="1:10" x14ac:dyDescent="0.3">
      <c r="A1585" t="s">
        <v>6</v>
      </c>
      <c r="B1585" t="str">
        <f>"01/27/2017 00:00"</f>
        <v>01/27/2017 00:00</v>
      </c>
      <c r="C1585">
        <v>81.900000000000006</v>
      </c>
      <c r="D1585" t="s">
        <v>7</v>
      </c>
      <c r="E1585" s="2" t="s">
        <v>12</v>
      </c>
      <c r="F1585">
        <f t="shared" si="24"/>
        <v>162.40770000000001</v>
      </c>
      <c r="G1585" t="s">
        <v>16</v>
      </c>
      <c r="J1585" t="str">
        <f>"01/27/2017 23:45"</f>
        <v>01/27/2017 23:45</v>
      </c>
    </row>
    <row r="1586" spans="1:10" x14ac:dyDescent="0.3">
      <c r="A1586" t="s">
        <v>6</v>
      </c>
      <c r="B1586" t="str">
        <f>"01/28/2017 00:00"</f>
        <v>01/28/2017 00:00</v>
      </c>
      <c r="C1586">
        <v>81.5</v>
      </c>
      <c r="D1586" t="s">
        <v>7</v>
      </c>
      <c r="E1586" s="2" t="s">
        <v>12</v>
      </c>
      <c r="F1586">
        <f t="shared" si="24"/>
        <v>161.61450000000002</v>
      </c>
      <c r="G1586" t="s">
        <v>16</v>
      </c>
      <c r="J1586" t="str">
        <f>"01/28/2017 23:45"</f>
        <v>01/28/2017 23:45</v>
      </c>
    </row>
    <row r="1587" spans="1:10" x14ac:dyDescent="0.3">
      <c r="A1587" t="s">
        <v>6</v>
      </c>
      <c r="B1587" t="str">
        <f>"01/29/2017 00:00"</f>
        <v>01/29/2017 00:00</v>
      </c>
      <c r="C1587">
        <v>81.7</v>
      </c>
      <c r="D1587" t="s">
        <v>7</v>
      </c>
      <c r="E1587" s="2" t="s">
        <v>12</v>
      </c>
      <c r="F1587">
        <f t="shared" si="24"/>
        <v>162.01110000000003</v>
      </c>
      <c r="G1587" t="s">
        <v>16</v>
      </c>
      <c r="J1587" t="str">
        <f>"01/29/2017 23:45"</f>
        <v>01/29/2017 23:45</v>
      </c>
    </row>
    <row r="1588" spans="1:10" x14ac:dyDescent="0.3">
      <c r="A1588" t="s">
        <v>6</v>
      </c>
      <c r="B1588" t="str">
        <f>"01/30/2017 00:00"</f>
        <v>01/30/2017 00:00</v>
      </c>
      <c r="C1588">
        <v>81.400000000000006</v>
      </c>
      <c r="D1588" t="s">
        <v>7</v>
      </c>
      <c r="E1588" s="2" t="s">
        <v>12</v>
      </c>
      <c r="F1588">
        <f t="shared" si="24"/>
        <v>161.41620000000003</v>
      </c>
      <c r="G1588" t="s">
        <v>16</v>
      </c>
      <c r="J1588" t="str">
        <f>"01/30/2017 23:45"</f>
        <v>01/30/2017 23:45</v>
      </c>
    </row>
    <row r="1589" spans="1:10" x14ac:dyDescent="0.3">
      <c r="A1589" t="s">
        <v>6</v>
      </c>
      <c r="B1589" t="str">
        <f>"01/31/2017 00:00"</f>
        <v>01/31/2017 00:00</v>
      </c>
      <c r="C1589">
        <v>81.599999999999994</v>
      </c>
      <c r="D1589" t="s">
        <v>7</v>
      </c>
      <c r="E1589" s="2" t="s">
        <v>12</v>
      </c>
      <c r="F1589">
        <f t="shared" si="24"/>
        <v>161.81280000000001</v>
      </c>
      <c r="G1589" t="s">
        <v>16</v>
      </c>
      <c r="J1589" t="str">
        <f>"01/31/2017 23:45"</f>
        <v>01/31/2017 23:45</v>
      </c>
    </row>
    <row r="1590" spans="1:10" x14ac:dyDescent="0.3">
      <c r="A1590" t="s">
        <v>6</v>
      </c>
      <c r="B1590" t="str">
        <f>"02/01/2017 00:00"</f>
        <v>02/01/2017 00:00</v>
      </c>
      <c r="C1590">
        <v>81.5</v>
      </c>
      <c r="D1590" t="s">
        <v>7</v>
      </c>
      <c r="E1590" s="2" t="s">
        <v>12</v>
      </c>
      <c r="F1590">
        <f t="shared" si="24"/>
        <v>161.61450000000002</v>
      </c>
      <c r="G1590" t="s">
        <v>16</v>
      </c>
      <c r="J1590" t="str">
        <f>"02/01/2017 23:45"</f>
        <v>02/01/2017 23:45</v>
      </c>
    </row>
    <row r="1591" spans="1:10" x14ac:dyDescent="0.3">
      <c r="A1591" t="s">
        <v>6</v>
      </c>
      <c r="B1591" t="str">
        <f>"02/02/2017 00:00"</f>
        <v>02/02/2017 00:00</v>
      </c>
      <c r="C1591">
        <v>81.5</v>
      </c>
      <c r="D1591" t="s">
        <v>7</v>
      </c>
      <c r="E1591" s="2" t="s">
        <v>12</v>
      </c>
      <c r="F1591">
        <f t="shared" si="24"/>
        <v>161.61450000000002</v>
      </c>
      <c r="G1591" t="s">
        <v>16</v>
      </c>
      <c r="J1591" t="str">
        <f>"02/02/2017 23:45"</f>
        <v>02/02/2017 23:45</v>
      </c>
    </row>
    <row r="1592" spans="1:10" x14ac:dyDescent="0.3">
      <c r="A1592" t="s">
        <v>6</v>
      </c>
      <c r="B1592" t="str">
        <f>"02/03/2017 00:00"</f>
        <v>02/03/2017 00:00</v>
      </c>
      <c r="C1592">
        <v>79.8</v>
      </c>
      <c r="D1592" t="s">
        <v>7</v>
      </c>
      <c r="E1592" s="2" t="s">
        <v>12</v>
      </c>
      <c r="F1592">
        <f t="shared" si="24"/>
        <v>158.24340000000001</v>
      </c>
      <c r="G1592" t="s">
        <v>16</v>
      </c>
      <c r="J1592" t="str">
        <f>"02/03/2017 23:45"</f>
        <v>02/03/2017 23:45</v>
      </c>
    </row>
    <row r="1593" spans="1:10" x14ac:dyDescent="0.3">
      <c r="A1593" t="s">
        <v>6</v>
      </c>
      <c r="B1593" t="str">
        <f>"02/04/2017 00:00"</f>
        <v>02/04/2017 00:00</v>
      </c>
      <c r="C1593">
        <v>82.2</v>
      </c>
      <c r="D1593" t="s">
        <v>7</v>
      </c>
      <c r="E1593" s="2" t="s">
        <v>12</v>
      </c>
      <c r="F1593">
        <f t="shared" si="24"/>
        <v>163.0026</v>
      </c>
      <c r="G1593" t="s">
        <v>16</v>
      </c>
      <c r="J1593" t="str">
        <f>"02/04/2017 23:45"</f>
        <v>02/04/2017 23:45</v>
      </c>
    </row>
    <row r="1594" spans="1:10" x14ac:dyDescent="0.3">
      <c r="A1594" t="s">
        <v>6</v>
      </c>
      <c r="B1594" t="str">
        <f>"02/05/2017 00:00"</f>
        <v>02/05/2017 00:00</v>
      </c>
      <c r="C1594">
        <v>81.599999999999994</v>
      </c>
      <c r="D1594" t="s">
        <v>7</v>
      </c>
      <c r="E1594" s="2" t="s">
        <v>12</v>
      </c>
      <c r="F1594">
        <f t="shared" si="24"/>
        <v>161.81280000000001</v>
      </c>
      <c r="G1594" t="s">
        <v>16</v>
      </c>
      <c r="J1594" t="str">
        <f>"02/05/2017 23:45"</f>
        <v>02/05/2017 23:45</v>
      </c>
    </row>
    <row r="1595" spans="1:10" x14ac:dyDescent="0.3">
      <c r="A1595" t="s">
        <v>6</v>
      </c>
      <c r="B1595" t="str">
        <f>"02/06/2017 00:00"</f>
        <v>02/06/2017 00:00</v>
      </c>
      <c r="C1595">
        <v>81.2</v>
      </c>
      <c r="D1595" t="s">
        <v>7</v>
      </c>
      <c r="E1595" s="2" t="s">
        <v>12</v>
      </c>
      <c r="F1595">
        <f t="shared" si="24"/>
        <v>161.01960000000003</v>
      </c>
      <c r="G1595" t="s">
        <v>16</v>
      </c>
      <c r="J1595" t="str">
        <f>"02/06/2017 23:45"</f>
        <v>02/06/2017 23:45</v>
      </c>
    </row>
    <row r="1596" spans="1:10" x14ac:dyDescent="0.3">
      <c r="A1596" t="s">
        <v>6</v>
      </c>
      <c r="B1596" t="str">
        <f>"02/07/2017 00:00"</f>
        <v>02/07/2017 00:00</v>
      </c>
      <c r="C1596">
        <v>80.7</v>
      </c>
      <c r="D1596" t="s">
        <v>7</v>
      </c>
      <c r="E1596" s="2" t="s">
        <v>12</v>
      </c>
      <c r="F1596">
        <f t="shared" si="24"/>
        <v>160.02810000000002</v>
      </c>
      <c r="G1596" t="s">
        <v>16</v>
      </c>
      <c r="J1596" t="str">
        <f>"02/07/2017 23:45"</f>
        <v>02/07/2017 23:45</v>
      </c>
    </row>
    <row r="1597" spans="1:10" x14ac:dyDescent="0.3">
      <c r="A1597" t="s">
        <v>6</v>
      </c>
      <c r="B1597" t="str">
        <f>"02/08/2017 00:00"</f>
        <v>02/08/2017 00:00</v>
      </c>
      <c r="C1597">
        <v>80.7</v>
      </c>
      <c r="D1597" t="s">
        <v>7</v>
      </c>
      <c r="E1597" s="2" t="s">
        <v>12</v>
      </c>
      <c r="F1597">
        <f t="shared" si="24"/>
        <v>160.02810000000002</v>
      </c>
      <c r="G1597" t="s">
        <v>16</v>
      </c>
      <c r="J1597" t="str">
        <f>"02/08/2017 23:45"</f>
        <v>02/08/2017 23:45</v>
      </c>
    </row>
    <row r="1598" spans="1:10" x14ac:dyDescent="0.3">
      <c r="A1598" t="s">
        <v>6</v>
      </c>
      <c r="B1598" t="str">
        <f>"02/09/2017 00:00"</f>
        <v>02/09/2017 00:00</v>
      </c>
      <c r="C1598">
        <v>80.7</v>
      </c>
      <c r="D1598" t="s">
        <v>7</v>
      </c>
      <c r="E1598" s="2" t="s">
        <v>12</v>
      </c>
      <c r="F1598">
        <f t="shared" si="24"/>
        <v>160.02810000000002</v>
      </c>
      <c r="G1598" t="s">
        <v>16</v>
      </c>
      <c r="J1598" t="str">
        <f>"02/09/2017 23:45"</f>
        <v>02/09/2017 23:45</v>
      </c>
    </row>
    <row r="1599" spans="1:10" x14ac:dyDescent="0.3">
      <c r="A1599" t="s">
        <v>6</v>
      </c>
      <c r="B1599" t="str">
        <f>"02/10/2017 00:00"</f>
        <v>02/10/2017 00:00</v>
      </c>
      <c r="C1599">
        <v>80.3</v>
      </c>
      <c r="D1599" t="s">
        <v>7</v>
      </c>
      <c r="E1599" s="2" t="s">
        <v>12</v>
      </c>
      <c r="F1599">
        <f t="shared" si="24"/>
        <v>159.23490000000001</v>
      </c>
      <c r="G1599" t="s">
        <v>16</v>
      </c>
      <c r="J1599" t="str">
        <f>"02/10/2017 23:45"</f>
        <v>02/10/2017 23:45</v>
      </c>
    </row>
    <row r="1600" spans="1:10" x14ac:dyDescent="0.3">
      <c r="A1600" t="s">
        <v>6</v>
      </c>
      <c r="B1600" t="str">
        <f>"02/11/2017 00:00"</f>
        <v>02/11/2017 00:00</v>
      </c>
      <c r="C1600">
        <v>80.599999999999994</v>
      </c>
      <c r="D1600" t="s">
        <v>7</v>
      </c>
      <c r="E1600" s="2" t="s">
        <v>12</v>
      </c>
      <c r="F1600">
        <f t="shared" si="24"/>
        <v>159.82980000000001</v>
      </c>
      <c r="G1600" t="s">
        <v>16</v>
      </c>
      <c r="J1600" t="str">
        <f>"02/11/2017 23:45"</f>
        <v>02/11/2017 23:45</v>
      </c>
    </row>
    <row r="1601" spans="1:10" x14ac:dyDescent="0.3">
      <c r="A1601" t="s">
        <v>6</v>
      </c>
      <c r="B1601" t="str">
        <f>"02/12/2017 00:00"</f>
        <v>02/12/2017 00:00</v>
      </c>
      <c r="C1601">
        <v>80.8</v>
      </c>
      <c r="D1601" t="s">
        <v>7</v>
      </c>
      <c r="E1601" s="2" t="s">
        <v>12</v>
      </c>
      <c r="F1601">
        <f t="shared" si="24"/>
        <v>160.22640000000001</v>
      </c>
      <c r="G1601" t="s">
        <v>16</v>
      </c>
      <c r="J1601" t="str">
        <f>"02/12/2017 23:45"</f>
        <v>02/12/2017 23:45</v>
      </c>
    </row>
    <row r="1602" spans="1:10" x14ac:dyDescent="0.3">
      <c r="A1602" t="s">
        <v>6</v>
      </c>
      <c r="B1602" t="str">
        <f>"02/13/2017 00:00"</f>
        <v>02/13/2017 00:00</v>
      </c>
      <c r="C1602">
        <v>80.7</v>
      </c>
      <c r="D1602" t="s">
        <v>7</v>
      </c>
      <c r="E1602" s="2" t="s">
        <v>12</v>
      </c>
      <c r="F1602">
        <f t="shared" si="24"/>
        <v>160.02810000000002</v>
      </c>
      <c r="G1602" t="s">
        <v>16</v>
      </c>
      <c r="J1602" t="str">
        <f>"02/13/2017 23:45"</f>
        <v>02/13/2017 23:45</v>
      </c>
    </row>
    <row r="1603" spans="1:10" x14ac:dyDescent="0.3">
      <c r="A1603" t="s">
        <v>6</v>
      </c>
      <c r="B1603" t="str">
        <f>"02/14/2017 00:00"</f>
        <v>02/14/2017 00:00</v>
      </c>
      <c r="C1603">
        <v>81.099999999999994</v>
      </c>
      <c r="D1603" t="s">
        <v>7</v>
      </c>
      <c r="E1603" s="2" t="s">
        <v>12</v>
      </c>
      <c r="F1603">
        <f t="shared" si="24"/>
        <v>160.82130000000001</v>
      </c>
      <c r="G1603" t="s">
        <v>16</v>
      </c>
      <c r="J1603" t="str">
        <f>"02/14/2017 23:45"</f>
        <v>02/14/2017 23:45</v>
      </c>
    </row>
    <row r="1604" spans="1:10" x14ac:dyDescent="0.3">
      <c r="A1604" t="s">
        <v>6</v>
      </c>
      <c r="B1604" t="str">
        <f>"02/15/2017 00:00"</f>
        <v>02/15/2017 00:00</v>
      </c>
      <c r="C1604">
        <v>80.8</v>
      </c>
      <c r="D1604" t="s">
        <v>7</v>
      </c>
      <c r="E1604" s="2" t="s">
        <v>12</v>
      </c>
      <c r="F1604">
        <f t="shared" si="24"/>
        <v>160.22640000000001</v>
      </c>
      <c r="G1604" t="s">
        <v>16</v>
      </c>
      <c r="J1604" t="str">
        <f>"02/15/2017 23:45"</f>
        <v>02/15/2017 23:45</v>
      </c>
    </row>
    <row r="1605" spans="1:10" x14ac:dyDescent="0.3">
      <c r="A1605" t="s">
        <v>6</v>
      </c>
      <c r="B1605" t="str">
        <f>"02/16/2017 00:00"</f>
        <v>02/16/2017 00:00</v>
      </c>
      <c r="C1605">
        <v>86.3</v>
      </c>
      <c r="D1605" t="s">
        <v>7</v>
      </c>
      <c r="E1605" s="2" t="s">
        <v>12</v>
      </c>
      <c r="F1605">
        <f t="shared" si="24"/>
        <v>171.13290000000001</v>
      </c>
      <c r="G1605" t="s">
        <v>16</v>
      </c>
      <c r="J1605" t="str">
        <f>"02/16/2017 23:45"</f>
        <v>02/16/2017 23:45</v>
      </c>
    </row>
    <row r="1606" spans="1:10" x14ac:dyDescent="0.3">
      <c r="A1606" t="s">
        <v>6</v>
      </c>
      <c r="B1606" t="str">
        <f>"02/17/2017 00:00"</f>
        <v>02/17/2017 00:00</v>
      </c>
      <c r="C1606">
        <v>101</v>
      </c>
      <c r="D1606" t="s">
        <v>7</v>
      </c>
      <c r="E1606" s="2" t="s">
        <v>12</v>
      </c>
      <c r="F1606">
        <f t="shared" si="24"/>
        <v>200.28300000000002</v>
      </c>
      <c r="G1606" t="s">
        <v>16</v>
      </c>
      <c r="J1606" t="str">
        <f>"02/17/2017 23:45"</f>
        <v>02/17/2017 23:45</v>
      </c>
    </row>
    <row r="1607" spans="1:10" x14ac:dyDescent="0.3">
      <c r="A1607" t="s">
        <v>6</v>
      </c>
      <c r="B1607" t="str">
        <f>"02/18/2017 00:00"</f>
        <v>02/18/2017 00:00</v>
      </c>
      <c r="C1607">
        <v>105</v>
      </c>
      <c r="D1607" t="s">
        <v>7</v>
      </c>
      <c r="E1607" s="2" t="s">
        <v>12</v>
      </c>
      <c r="F1607">
        <f t="shared" ref="F1607:F1670" si="25">C1607*1.983</f>
        <v>208.215</v>
      </c>
      <c r="G1607" t="s">
        <v>16</v>
      </c>
      <c r="J1607" t="str">
        <f>"02/18/2017 23:45"</f>
        <v>02/18/2017 23:45</v>
      </c>
    </row>
    <row r="1608" spans="1:10" x14ac:dyDescent="0.3">
      <c r="A1608" t="s">
        <v>6</v>
      </c>
      <c r="B1608" t="str">
        <f>"02/19/2017 00:00"</f>
        <v>02/19/2017 00:00</v>
      </c>
      <c r="C1608">
        <v>105</v>
      </c>
      <c r="D1608" t="s">
        <v>7</v>
      </c>
      <c r="E1608" s="2" t="s">
        <v>12</v>
      </c>
      <c r="F1608">
        <f t="shared" si="25"/>
        <v>208.215</v>
      </c>
      <c r="G1608" t="s">
        <v>16</v>
      </c>
      <c r="J1608" t="str">
        <f>"02/19/2017 23:45"</f>
        <v>02/19/2017 23:45</v>
      </c>
    </row>
    <row r="1609" spans="1:10" x14ac:dyDescent="0.3">
      <c r="A1609" t="s">
        <v>6</v>
      </c>
      <c r="B1609" t="str">
        <f>"02/20/2017 00:00"</f>
        <v>02/20/2017 00:00</v>
      </c>
      <c r="C1609">
        <v>105</v>
      </c>
      <c r="D1609" t="s">
        <v>7</v>
      </c>
      <c r="E1609" s="2" t="s">
        <v>12</v>
      </c>
      <c r="F1609">
        <f t="shared" si="25"/>
        <v>208.215</v>
      </c>
      <c r="G1609" t="s">
        <v>16</v>
      </c>
      <c r="J1609" t="str">
        <f>"02/20/2017 23:45"</f>
        <v>02/20/2017 23:45</v>
      </c>
    </row>
    <row r="1610" spans="1:10" x14ac:dyDescent="0.3">
      <c r="A1610" t="s">
        <v>6</v>
      </c>
      <c r="B1610" t="str">
        <f>"02/21/2017 00:00"</f>
        <v>02/21/2017 00:00</v>
      </c>
      <c r="C1610">
        <v>105</v>
      </c>
      <c r="D1610" t="s">
        <v>7</v>
      </c>
      <c r="E1610" s="2" t="s">
        <v>12</v>
      </c>
      <c r="F1610">
        <f t="shared" si="25"/>
        <v>208.215</v>
      </c>
      <c r="G1610" t="s">
        <v>16</v>
      </c>
      <c r="J1610" t="str">
        <f>"02/21/2017 23:45"</f>
        <v>02/21/2017 23:45</v>
      </c>
    </row>
    <row r="1611" spans="1:10" x14ac:dyDescent="0.3">
      <c r="A1611" t="s">
        <v>6</v>
      </c>
      <c r="B1611" t="str">
        <f>"02/22/2017 00:00"</f>
        <v>02/22/2017 00:00</v>
      </c>
      <c r="C1611">
        <v>105</v>
      </c>
      <c r="D1611" t="s">
        <v>7</v>
      </c>
      <c r="E1611" s="2" t="s">
        <v>12</v>
      </c>
      <c r="F1611">
        <f t="shared" si="25"/>
        <v>208.215</v>
      </c>
      <c r="G1611" t="s">
        <v>16</v>
      </c>
      <c r="J1611" t="str">
        <f>"02/22/2017 23:45"</f>
        <v>02/22/2017 23:45</v>
      </c>
    </row>
    <row r="1612" spans="1:10" x14ac:dyDescent="0.3">
      <c r="A1612" t="s">
        <v>6</v>
      </c>
      <c r="B1612" t="str">
        <f>"02/23/2017 00:00"</f>
        <v>02/23/2017 00:00</v>
      </c>
      <c r="C1612">
        <v>105</v>
      </c>
      <c r="D1612" t="s">
        <v>7</v>
      </c>
      <c r="E1612" s="2" t="s">
        <v>12</v>
      </c>
      <c r="F1612">
        <f t="shared" si="25"/>
        <v>208.215</v>
      </c>
      <c r="G1612" t="s">
        <v>16</v>
      </c>
      <c r="J1612" t="str">
        <f>"02/23/2017 23:45"</f>
        <v>02/23/2017 23:45</v>
      </c>
    </row>
    <row r="1613" spans="1:10" x14ac:dyDescent="0.3">
      <c r="A1613" t="s">
        <v>6</v>
      </c>
      <c r="B1613" t="str">
        <f>"02/24/2017 00:00"</f>
        <v>02/24/2017 00:00</v>
      </c>
      <c r="C1613">
        <v>105</v>
      </c>
      <c r="D1613" t="s">
        <v>7</v>
      </c>
      <c r="E1613" s="2" t="s">
        <v>12</v>
      </c>
      <c r="F1613">
        <f t="shared" si="25"/>
        <v>208.215</v>
      </c>
      <c r="G1613" t="s">
        <v>16</v>
      </c>
      <c r="J1613" t="str">
        <f>"02/24/2017 23:45"</f>
        <v>02/24/2017 23:45</v>
      </c>
    </row>
    <row r="1614" spans="1:10" x14ac:dyDescent="0.3">
      <c r="A1614" t="s">
        <v>6</v>
      </c>
      <c r="B1614" t="str">
        <f>"02/25/2017 00:00"</f>
        <v>02/25/2017 00:00</v>
      </c>
      <c r="C1614">
        <v>105</v>
      </c>
      <c r="D1614" t="s">
        <v>7</v>
      </c>
      <c r="E1614" s="2" t="s">
        <v>12</v>
      </c>
      <c r="F1614">
        <f t="shared" si="25"/>
        <v>208.215</v>
      </c>
      <c r="G1614" t="s">
        <v>16</v>
      </c>
      <c r="J1614" t="str">
        <f>"02/25/2017 23:45"</f>
        <v>02/25/2017 23:45</v>
      </c>
    </row>
    <row r="1615" spans="1:10" x14ac:dyDescent="0.3">
      <c r="A1615" t="s">
        <v>6</v>
      </c>
      <c r="B1615" t="str">
        <f>"02/26/2017 00:00"</f>
        <v>02/26/2017 00:00</v>
      </c>
      <c r="C1615">
        <v>105</v>
      </c>
      <c r="D1615" t="s">
        <v>7</v>
      </c>
      <c r="E1615" s="2" t="s">
        <v>12</v>
      </c>
      <c r="F1615">
        <f t="shared" si="25"/>
        <v>208.215</v>
      </c>
      <c r="G1615" t="s">
        <v>16</v>
      </c>
      <c r="J1615" t="str">
        <f>"02/26/2017 23:45"</f>
        <v>02/26/2017 23:45</v>
      </c>
    </row>
    <row r="1616" spans="1:10" x14ac:dyDescent="0.3">
      <c r="A1616" t="s">
        <v>6</v>
      </c>
      <c r="B1616" t="str">
        <f>"02/27/2017 00:00"</f>
        <v>02/27/2017 00:00</v>
      </c>
      <c r="C1616">
        <v>105</v>
      </c>
      <c r="D1616" t="s">
        <v>7</v>
      </c>
      <c r="E1616" s="2" t="s">
        <v>12</v>
      </c>
      <c r="F1616">
        <f t="shared" si="25"/>
        <v>208.215</v>
      </c>
      <c r="G1616" t="s">
        <v>16</v>
      </c>
      <c r="J1616" t="str">
        <f>"02/27/2017 23:45"</f>
        <v>02/27/2017 23:45</v>
      </c>
    </row>
    <row r="1617" spans="1:10" x14ac:dyDescent="0.3">
      <c r="A1617" t="s">
        <v>6</v>
      </c>
      <c r="B1617" t="str">
        <f>"02/28/2017 00:00"</f>
        <v>02/28/2017 00:00</v>
      </c>
      <c r="C1617">
        <v>105</v>
      </c>
      <c r="D1617" t="s">
        <v>7</v>
      </c>
      <c r="E1617" s="2" t="s">
        <v>12</v>
      </c>
      <c r="F1617">
        <f t="shared" si="25"/>
        <v>208.215</v>
      </c>
      <c r="G1617" t="s">
        <v>16</v>
      </c>
      <c r="J1617" t="str">
        <f>"02/28/2017 23:45"</f>
        <v>02/28/2017 23:45</v>
      </c>
    </row>
    <row r="1618" spans="1:10" x14ac:dyDescent="0.3">
      <c r="A1618" t="s">
        <v>6</v>
      </c>
      <c r="B1618" t="str">
        <f>"03/01/2017 00:00"</f>
        <v>03/01/2017 00:00</v>
      </c>
      <c r="C1618">
        <v>105</v>
      </c>
      <c r="D1618" t="s">
        <v>7</v>
      </c>
      <c r="E1618" s="2" t="s">
        <v>12</v>
      </c>
      <c r="F1618">
        <f t="shared" si="25"/>
        <v>208.215</v>
      </c>
      <c r="G1618" t="s">
        <v>16</v>
      </c>
      <c r="J1618" t="str">
        <f>"03/01/2017 23:45"</f>
        <v>03/01/2017 23:45</v>
      </c>
    </row>
    <row r="1619" spans="1:10" x14ac:dyDescent="0.3">
      <c r="A1619" t="s">
        <v>6</v>
      </c>
      <c r="B1619" t="str">
        <f>"03/02/2017 00:00"</f>
        <v>03/02/2017 00:00</v>
      </c>
      <c r="C1619">
        <v>105</v>
      </c>
      <c r="D1619" t="s">
        <v>7</v>
      </c>
      <c r="E1619" s="2" t="s">
        <v>12</v>
      </c>
      <c r="F1619">
        <f t="shared" si="25"/>
        <v>208.215</v>
      </c>
      <c r="G1619" t="s">
        <v>16</v>
      </c>
      <c r="J1619" t="str">
        <f>"03/02/2017 23:45"</f>
        <v>03/02/2017 23:45</v>
      </c>
    </row>
    <row r="1620" spans="1:10" x14ac:dyDescent="0.3">
      <c r="A1620" t="s">
        <v>6</v>
      </c>
      <c r="B1620" t="str">
        <f>"03/03/2017 00:00"</f>
        <v>03/03/2017 00:00</v>
      </c>
      <c r="C1620">
        <v>105</v>
      </c>
      <c r="D1620" t="s">
        <v>7</v>
      </c>
      <c r="E1620" s="2" t="s">
        <v>12</v>
      </c>
      <c r="F1620">
        <f t="shared" si="25"/>
        <v>208.215</v>
      </c>
      <c r="G1620" t="s">
        <v>16</v>
      </c>
      <c r="J1620" t="str">
        <f>"03/03/2017 23:45"</f>
        <v>03/03/2017 23:45</v>
      </c>
    </row>
    <row r="1621" spans="1:10" x14ac:dyDescent="0.3">
      <c r="A1621" t="s">
        <v>6</v>
      </c>
      <c r="B1621" t="str">
        <f>"03/04/2017 00:00"</f>
        <v>03/04/2017 00:00</v>
      </c>
      <c r="C1621">
        <v>105</v>
      </c>
      <c r="D1621" t="s">
        <v>7</v>
      </c>
      <c r="E1621" s="2" t="s">
        <v>12</v>
      </c>
      <c r="F1621">
        <f t="shared" si="25"/>
        <v>208.215</v>
      </c>
      <c r="G1621" t="s">
        <v>16</v>
      </c>
      <c r="J1621" t="str">
        <f>"03/04/2017 23:45"</f>
        <v>03/04/2017 23:45</v>
      </c>
    </row>
    <row r="1622" spans="1:10" x14ac:dyDescent="0.3">
      <c r="A1622" t="s">
        <v>6</v>
      </c>
      <c r="B1622" t="str">
        <f>"03/05/2017 00:00"</f>
        <v>03/05/2017 00:00</v>
      </c>
      <c r="C1622">
        <v>105</v>
      </c>
      <c r="D1622" t="s">
        <v>7</v>
      </c>
      <c r="E1622" s="2" t="s">
        <v>12</v>
      </c>
      <c r="F1622">
        <f t="shared" si="25"/>
        <v>208.215</v>
      </c>
      <c r="G1622" t="s">
        <v>16</v>
      </c>
      <c r="J1622" t="str">
        <f>"03/05/2017 23:45"</f>
        <v>03/05/2017 23:45</v>
      </c>
    </row>
    <row r="1623" spans="1:10" x14ac:dyDescent="0.3">
      <c r="A1623" t="s">
        <v>6</v>
      </c>
      <c r="B1623" t="str">
        <f>"03/06/2017 00:00"</f>
        <v>03/06/2017 00:00</v>
      </c>
      <c r="C1623">
        <v>119</v>
      </c>
      <c r="D1623" t="s">
        <v>7</v>
      </c>
      <c r="E1623" s="2" t="s">
        <v>12</v>
      </c>
      <c r="F1623">
        <f t="shared" si="25"/>
        <v>235.977</v>
      </c>
      <c r="G1623" t="s">
        <v>16</v>
      </c>
      <c r="J1623" t="str">
        <f>"03/06/2017 23:45"</f>
        <v>03/06/2017 23:45</v>
      </c>
    </row>
    <row r="1624" spans="1:10" x14ac:dyDescent="0.3">
      <c r="A1624" t="s">
        <v>6</v>
      </c>
      <c r="B1624" t="str">
        <f>"03/07/2017 00:00"</f>
        <v>03/07/2017 00:00</v>
      </c>
      <c r="C1624">
        <v>126</v>
      </c>
      <c r="D1624" t="s">
        <v>7</v>
      </c>
      <c r="E1624" s="2" t="s">
        <v>12</v>
      </c>
      <c r="F1624">
        <f t="shared" si="25"/>
        <v>249.858</v>
      </c>
      <c r="G1624" t="s">
        <v>16</v>
      </c>
      <c r="J1624" t="str">
        <f>"03/07/2017 23:45"</f>
        <v>03/07/2017 23:45</v>
      </c>
    </row>
    <row r="1625" spans="1:10" x14ac:dyDescent="0.3">
      <c r="A1625" t="s">
        <v>6</v>
      </c>
      <c r="B1625" t="str">
        <f>"03/08/2017 00:00"</f>
        <v>03/08/2017 00:00</v>
      </c>
      <c r="C1625">
        <v>125</v>
      </c>
      <c r="D1625" t="s">
        <v>7</v>
      </c>
      <c r="E1625" s="2" t="s">
        <v>12</v>
      </c>
      <c r="F1625">
        <f t="shared" si="25"/>
        <v>247.875</v>
      </c>
      <c r="G1625" t="s">
        <v>16</v>
      </c>
      <c r="J1625" t="str">
        <f>"03/08/2017 23:45"</f>
        <v>03/08/2017 23:45</v>
      </c>
    </row>
    <row r="1626" spans="1:10" x14ac:dyDescent="0.3">
      <c r="A1626" t="s">
        <v>6</v>
      </c>
      <c r="B1626" t="str">
        <f>"03/09/2017 00:00"</f>
        <v>03/09/2017 00:00</v>
      </c>
      <c r="C1626">
        <v>125</v>
      </c>
      <c r="D1626" t="s">
        <v>7</v>
      </c>
      <c r="E1626" s="2" t="s">
        <v>12</v>
      </c>
      <c r="F1626">
        <f t="shared" si="25"/>
        <v>247.875</v>
      </c>
      <c r="G1626" t="s">
        <v>16</v>
      </c>
      <c r="J1626" t="str">
        <f>"03/09/2017 23:45"</f>
        <v>03/09/2017 23:45</v>
      </c>
    </row>
    <row r="1627" spans="1:10" x14ac:dyDescent="0.3">
      <c r="A1627" t="s">
        <v>6</v>
      </c>
      <c r="B1627" t="str">
        <f>"03/10/2017 00:00"</f>
        <v>03/10/2017 00:00</v>
      </c>
      <c r="C1627">
        <v>125</v>
      </c>
      <c r="D1627" t="s">
        <v>7</v>
      </c>
      <c r="E1627" s="2" t="s">
        <v>12</v>
      </c>
      <c r="F1627">
        <f t="shared" si="25"/>
        <v>247.875</v>
      </c>
      <c r="G1627" t="s">
        <v>16</v>
      </c>
      <c r="J1627" t="str">
        <f>"03/10/2017 23:45"</f>
        <v>03/10/2017 23:45</v>
      </c>
    </row>
    <row r="1628" spans="1:10" x14ac:dyDescent="0.3">
      <c r="A1628" t="s">
        <v>6</v>
      </c>
      <c r="B1628" t="str">
        <f>"03/11/2017 00:00"</f>
        <v>03/11/2017 00:00</v>
      </c>
      <c r="C1628">
        <v>125</v>
      </c>
      <c r="D1628" t="s">
        <v>7</v>
      </c>
      <c r="E1628" s="2" t="s">
        <v>12</v>
      </c>
      <c r="F1628">
        <f t="shared" si="25"/>
        <v>247.875</v>
      </c>
      <c r="G1628" t="s">
        <v>16</v>
      </c>
      <c r="J1628" t="str">
        <f>"03/11/2017 23:45"</f>
        <v>03/11/2017 23:45</v>
      </c>
    </row>
    <row r="1629" spans="1:10" x14ac:dyDescent="0.3">
      <c r="A1629" t="s">
        <v>6</v>
      </c>
      <c r="B1629" t="str">
        <f>"03/12/2017 00:00"</f>
        <v>03/12/2017 00:00</v>
      </c>
      <c r="C1629">
        <v>125</v>
      </c>
      <c r="D1629" t="s">
        <v>7</v>
      </c>
      <c r="E1629" s="2" t="s">
        <v>12</v>
      </c>
      <c r="F1629">
        <f t="shared" si="25"/>
        <v>247.875</v>
      </c>
      <c r="G1629" t="s">
        <v>16</v>
      </c>
      <c r="J1629" t="str">
        <f>"03/12/2017 23:45"</f>
        <v>03/12/2017 23:45</v>
      </c>
    </row>
    <row r="1630" spans="1:10" x14ac:dyDescent="0.3">
      <c r="A1630" t="s">
        <v>6</v>
      </c>
      <c r="B1630" t="str">
        <f>"03/13/2017 00:00"</f>
        <v>03/13/2017 00:00</v>
      </c>
      <c r="C1630">
        <v>125</v>
      </c>
      <c r="D1630" t="s">
        <v>7</v>
      </c>
      <c r="E1630" s="2" t="s">
        <v>12</v>
      </c>
      <c r="F1630">
        <f t="shared" si="25"/>
        <v>247.875</v>
      </c>
      <c r="G1630" t="s">
        <v>16</v>
      </c>
      <c r="J1630" t="str">
        <f>"03/13/2017 23:45"</f>
        <v>03/13/2017 23:45</v>
      </c>
    </row>
    <row r="1631" spans="1:10" x14ac:dyDescent="0.3">
      <c r="A1631" t="s">
        <v>6</v>
      </c>
      <c r="B1631" t="str">
        <f>"03/14/2017 00:00"</f>
        <v>03/14/2017 00:00</v>
      </c>
      <c r="C1631">
        <v>125</v>
      </c>
      <c r="D1631" t="s">
        <v>7</v>
      </c>
      <c r="E1631" s="2" t="s">
        <v>12</v>
      </c>
      <c r="F1631">
        <f t="shared" si="25"/>
        <v>247.875</v>
      </c>
      <c r="G1631" t="s">
        <v>16</v>
      </c>
      <c r="J1631" t="str">
        <f>"03/14/2017 23:45"</f>
        <v>03/14/2017 23:45</v>
      </c>
    </row>
    <row r="1632" spans="1:10" x14ac:dyDescent="0.3">
      <c r="A1632" t="s">
        <v>6</v>
      </c>
      <c r="B1632" t="str">
        <f>"03/15/2017 00:00"</f>
        <v>03/15/2017 00:00</v>
      </c>
      <c r="C1632">
        <v>125</v>
      </c>
      <c r="D1632" t="s">
        <v>7</v>
      </c>
      <c r="E1632" s="2" t="s">
        <v>12</v>
      </c>
      <c r="F1632">
        <f t="shared" si="25"/>
        <v>247.875</v>
      </c>
      <c r="G1632" t="s">
        <v>16</v>
      </c>
      <c r="J1632" t="str">
        <f>"03/15/2017 23:45"</f>
        <v>03/15/2017 23:45</v>
      </c>
    </row>
    <row r="1633" spans="1:10" x14ac:dyDescent="0.3">
      <c r="A1633" t="s">
        <v>6</v>
      </c>
      <c r="B1633" t="str">
        <f>"03/16/2017 00:00"</f>
        <v>03/16/2017 00:00</v>
      </c>
      <c r="C1633">
        <v>125</v>
      </c>
      <c r="D1633" t="s">
        <v>7</v>
      </c>
      <c r="E1633" s="2" t="s">
        <v>12</v>
      </c>
      <c r="F1633">
        <f t="shared" si="25"/>
        <v>247.875</v>
      </c>
      <c r="G1633" t="s">
        <v>16</v>
      </c>
      <c r="J1633" t="str">
        <f>"03/16/2017 23:45"</f>
        <v>03/16/2017 23:45</v>
      </c>
    </row>
    <row r="1634" spans="1:10" x14ac:dyDescent="0.3">
      <c r="A1634" t="s">
        <v>6</v>
      </c>
      <c r="B1634" t="str">
        <f>"03/17/2017 00:00"</f>
        <v>03/17/2017 00:00</v>
      </c>
      <c r="C1634">
        <v>125</v>
      </c>
      <c r="D1634" t="s">
        <v>7</v>
      </c>
      <c r="E1634" s="2" t="s">
        <v>12</v>
      </c>
      <c r="F1634">
        <f t="shared" si="25"/>
        <v>247.875</v>
      </c>
      <c r="G1634" t="s">
        <v>16</v>
      </c>
      <c r="J1634" t="str">
        <f>"03/17/2017 23:45"</f>
        <v>03/17/2017 23:45</v>
      </c>
    </row>
    <row r="1635" spans="1:10" x14ac:dyDescent="0.3">
      <c r="A1635" t="s">
        <v>6</v>
      </c>
      <c r="B1635" t="str">
        <f>"03/18/2017 00:00"</f>
        <v>03/18/2017 00:00</v>
      </c>
      <c r="C1635">
        <v>125</v>
      </c>
      <c r="D1635" t="s">
        <v>7</v>
      </c>
      <c r="E1635" s="2" t="s">
        <v>12</v>
      </c>
      <c r="F1635">
        <f t="shared" si="25"/>
        <v>247.875</v>
      </c>
      <c r="G1635" t="s">
        <v>16</v>
      </c>
      <c r="J1635" t="str">
        <f>"03/18/2017 23:45"</f>
        <v>03/18/2017 23:45</v>
      </c>
    </row>
    <row r="1636" spans="1:10" x14ac:dyDescent="0.3">
      <c r="A1636" t="s">
        <v>6</v>
      </c>
      <c r="B1636" t="str">
        <f>"03/19/2017 00:00"</f>
        <v>03/19/2017 00:00</v>
      </c>
      <c r="C1636">
        <v>125</v>
      </c>
      <c r="D1636" t="s">
        <v>7</v>
      </c>
      <c r="E1636" s="2" t="s">
        <v>12</v>
      </c>
      <c r="F1636">
        <f t="shared" si="25"/>
        <v>247.875</v>
      </c>
      <c r="G1636" t="s">
        <v>16</v>
      </c>
      <c r="J1636" t="str">
        <f>"03/19/2017 23:45"</f>
        <v>03/19/2017 23:45</v>
      </c>
    </row>
    <row r="1637" spans="1:10" x14ac:dyDescent="0.3">
      <c r="A1637" t="s">
        <v>6</v>
      </c>
      <c r="B1637" t="str">
        <f>"03/20/2017 00:00"</f>
        <v>03/20/2017 00:00</v>
      </c>
      <c r="C1637">
        <v>124</v>
      </c>
      <c r="D1637" t="s">
        <v>7</v>
      </c>
      <c r="E1637" s="2" t="s">
        <v>12</v>
      </c>
      <c r="F1637">
        <f t="shared" si="25"/>
        <v>245.89200000000002</v>
      </c>
      <c r="G1637" t="s">
        <v>16</v>
      </c>
      <c r="J1637" t="str">
        <f>"03/20/2017 23:45"</f>
        <v>03/20/2017 23:45</v>
      </c>
    </row>
    <row r="1638" spans="1:10" x14ac:dyDescent="0.3">
      <c r="A1638" t="s">
        <v>6</v>
      </c>
      <c r="B1638" t="str">
        <f>"03/21/2017 00:00"</f>
        <v>03/21/2017 00:00</v>
      </c>
      <c r="C1638">
        <v>124</v>
      </c>
      <c r="D1638" t="s">
        <v>7</v>
      </c>
      <c r="E1638" s="2" t="s">
        <v>12</v>
      </c>
      <c r="F1638">
        <f t="shared" si="25"/>
        <v>245.89200000000002</v>
      </c>
      <c r="G1638" t="s">
        <v>16</v>
      </c>
      <c r="J1638" t="str">
        <f>"03/21/2017 23:45"</f>
        <v>03/21/2017 23:45</v>
      </c>
    </row>
    <row r="1639" spans="1:10" x14ac:dyDescent="0.3">
      <c r="A1639" t="s">
        <v>6</v>
      </c>
      <c r="B1639" t="str">
        <f>"03/22/2017 00:00"</f>
        <v>03/22/2017 00:00</v>
      </c>
      <c r="C1639">
        <v>124</v>
      </c>
      <c r="D1639" t="s">
        <v>7</v>
      </c>
      <c r="E1639" s="2" t="s">
        <v>12</v>
      </c>
      <c r="F1639">
        <f t="shared" si="25"/>
        <v>245.89200000000002</v>
      </c>
      <c r="G1639" t="s">
        <v>16</v>
      </c>
      <c r="J1639" t="str">
        <f>"03/22/2017 23:45"</f>
        <v>03/22/2017 23:45</v>
      </c>
    </row>
    <row r="1640" spans="1:10" x14ac:dyDescent="0.3">
      <c r="A1640" t="s">
        <v>6</v>
      </c>
      <c r="B1640" t="str">
        <f>"03/23/2017 00:00"</f>
        <v>03/23/2017 00:00</v>
      </c>
      <c r="C1640">
        <v>124</v>
      </c>
      <c r="D1640" t="s">
        <v>7</v>
      </c>
      <c r="E1640" s="2" t="s">
        <v>12</v>
      </c>
      <c r="F1640">
        <f t="shared" si="25"/>
        <v>245.89200000000002</v>
      </c>
      <c r="G1640" t="s">
        <v>16</v>
      </c>
      <c r="J1640" t="str">
        <f>"03/23/2017 23:45"</f>
        <v>03/23/2017 23:45</v>
      </c>
    </row>
    <row r="1641" spans="1:10" x14ac:dyDescent="0.3">
      <c r="A1641" t="s">
        <v>6</v>
      </c>
      <c r="B1641" t="str">
        <f>"03/24/2017 00:00"</f>
        <v>03/24/2017 00:00</v>
      </c>
      <c r="C1641">
        <v>112</v>
      </c>
      <c r="D1641" t="s">
        <v>7</v>
      </c>
      <c r="E1641" s="2" t="s">
        <v>12</v>
      </c>
      <c r="F1641">
        <f t="shared" si="25"/>
        <v>222.096</v>
      </c>
      <c r="G1641" t="s">
        <v>16</v>
      </c>
      <c r="J1641" t="str">
        <f>"03/24/2017 23:45"</f>
        <v>03/24/2017 23:45</v>
      </c>
    </row>
    <row r="1642" spans="1:10" x14ac:dyDescent="0.3">
      <c r="A1642" t="s">
        <v>6</v>
      </c>
      <c r="B1642" t="str">
        <f>"03/25/2017 00:00"</f>
        <v>03/25/2017 00:00</v>
      </c>
      <c r="C1642">
        <v>102</v>
      </c>
      <c r="D1642" t="s">
        <v>7</v>
      </c>
      <c r="E1642" s="2" t="s">
        <v>12</v>
      </c>
      <c r="F1642">
        <f t="shared" si="25"/>
        <v>202.26600000000002</v>
      </c>
      <c r="G1642" t="s">
        <v>16</v>
      </c>
      <c r="J1642" t="str">
        <f>"03/25/2017 23:45"</f>
        <v>03/25/2017 23:45</v>
      </c>
    </row>
    <row r="1643" spans="1:10" x14ac:dyDescent="0.3">
      <c r="A1643" t="s">
        <v>6</v>
      </c>
      <c r="B1643" t="str">
        <f>"03/26/2017 00:00"</f>
        <v>03/26/2017 00:00</v>
      </c>
      <c r="C1643">
        <v>101</v>
      </c>
      <c r="D1643" t="s">
        <v>7</v>
      </c>
      <c r="E1643" s="2" t="s">
        <v>12</v>
      </c>
      <c r="F1643">
        <f t="shared" si="25"/>
        <v>200.28300000000002</v>
      </c>
      <c r="G1643" t="s">
        <v>16</v>
      </c>
      <c r="J1643" t="str">
        <f>"03/26/2017 23:45"</f>
        <v>03/26/2017 23:45</v>
      </c>
    </row>
    <row r="1644" spans="1:10" x14ac:dyDescent="0.3">
      <c r="A1644" t="s">
        <v>6</v>
      </c>
      <c r="B1644" t="str">
        <f>"03/27/2017 00:00"</f>
        <v>03/27/2017 00:00</v>
      </c>
      <c r="C1644">
        <v>101</v>
      </c>
      <c r="D1644" t="s">
        <v>7</v>
      </c>
      <c r="E1644" s="2" t="s">
        <v>12</v>
      </c>
      <c r="F1644">
        <f t="shared" si="25"/>
        <v>200.28300000000002</v>
      </c>
      <c r="G1644" t="s">
        <v>16</v>
      </c>
      <c r="J1644" t="str">
        <f>"03/27/2017 23:45"</f>
        <v>03/27/2017 23:45</v>
      </c>
    </row>
    <row r="1645" spans="1:10" x14ac:dyDescent="0.3">
      <c r="A1645" t="s">
        <v>6</v>
      </c>
      <c r="B1645" t="str">
        <f>"03/28/2017 00:00"</f>
        <v>03/28/2017 00:00</v>
      </c>
      <c r="C1645">
        <v>101</v>
      </c>
      <c r="D1645" t="s">
        <v>7</v>
      </c>
      <c r="E1645" s="2" t="s">
        <v>12</v>
      </c>
      <c r="F1645">
        <f t="shared" si="25"/>
        <v>200.28300000000002</v>
      </c>
      <c r="G1645" t="s">
        <v>16</v>
      </c>
      <c r="J1645" t="str">
        <f>"03/28/2017 23:45"</f>
        <v>03/28/2017 23:45</v>
      </c>
    </row>
    <row r="1646" spans="1:10" x14ac:dyDescent="0.3">
      <c r="A1646" t="s">
        <v>6</v>
      </c>
      <c r="B1646" t="str">
        <f>"03/29/2017 00:00"</f>
        <v>03/29/2017 00:00</v>
      </c>
      <c r="C1646">
        <v>101</v>
      </c>
      <c r="D1646" t="s">
        <v>7</v>
      </c>
      <c r="E1646" s="2" t="s">
        <v>12</v>
      </c>
      <c r="F1646">
        <f t="shared" si="25"/>
        <v>200.28300000000002</v>
      </c>
      <c r="G1646" t="s">
        <v>16</v>
      </c>
      <c r="J1646" t="str">
        <f>"03/29/2017 23:45"</f>
        <v>03/29/2017 23:45</v>
      </c>
    </row>
    <row r="1647" spans="1:10" x14ac:dyDescent="0.3">
      <c r="A1647" t="s">
        <v>6</v>
      </c>
      <c r="B1647" t="str">
        <f>"03/30/2017 00:00"</f>
        <v>03/30/2017 00:00</v>
      </c>
      <c r="C1647">
        <v>101</v>
      </c>
      <c r="D1647" t="s">
        <v>7</v>
      </c>
      <c r="E1647" s="2" t="s">
        <v>12</v>
      </c>
      <c r="F1647">
        <f t="shared" si="25"/>
        <v>200.28300000000002</v>
      </c>
      <c r="G1647" t="s">
        <v>16</v>
      </c>
      <c r="J1647" t="str">
        <f>"03/30/2017 23:45"</f>
        <v>03/30/2017 23:45</v>
      </c>
    </row>
    <row r="1648" spans="1:10" x14ac:dyDescent="0.3">
      <c r="A1648" t="s">
        <v>6</v>
      </c>
      <c r="B1648" t="str">
        <f>"03/31/2017 00:00"</f>
        <v>03/31/2017 00:00</v>
      </c>
      <c r="C1648">
        <v>101</v>
      </c>
      <c r="D1648" t="s">
        <v>7</v>
      </c>
      <c r="E1648" s="2" t="s">
        <v>12</v>
      </c>
      <c r="F1648">
        <f t="shared" si="25"/>
        <v>200.28300000000002</v>
      </c>
      <c r="G1648" t="s">
        <v>16</v>
      </c>
      <c r="J1648" t="str">
        <f>"03/31/2017 23:45"</f>
        <v>03/31/2017 23:45</v>
      </c>
    </row>
    <row r="1649" spans="1:10" x14ac:dyDescent="0.3">
      <c r="A1649" t="s">
        <v>6</v>
      </c>
      <c r="B1649" t="str">
        <f>"04/01/2017 00:00"</f>
        <v>04/01/2017 00:00</v>
      </c>
      <c r="C1649">
        <v>101</v>
      </c>
      <c r="D1649" t="s">
        <v>7</v>
      </c>
      <c r="E1649" s="2" t="s">
        <v>12</v>
      </c>
      <c r="F1649">
        <f t="shared" si="25"/>
        <v>200.28300000000002</v>
      </c>
      <c r="G1649" t="s">
        <v>16</v>
      </c>
      <c r="J1649" t="str">
        <f>"04/01/2017 23:45"</f>
        <v>04/01/2017 23:45</v>
      </c>
    </row>
    <row r="1650" spans="1:10" x14ac:dyDescent="0.3">
      <c r="A1650" t="s">
        <v>6</v>
      </c>
      <c r="B1650" t="str">
        <f>"04/02/2017 00:00"</f>
        <v>04/02/2017 00:00</v>
      </c>
      <c r="C1650">
        <v>100</v>
      </c>
      <c r="D1650" t="s">
        <v>7</v>
      </c>
      <c r="E1650" s="2" t="s">
        <v>12</v>
      </c>
      <c r="F1650">
        <f t="shared" si="25"/>
        <v>198.3</v>
      </c>
      <c r="G1650" t="s">
        <v>16</v>
      </c>
      <c r="J1650" t="str">
        <f>"04/02/2017 23:45"</f>
        <v>04/02/2017 23:45</v>
      </c>
    </row>
    <row r="1651" spans="1:10" x14ac:dyDescent="0.3">
      <c r="A1651" t="s">
        <v>6</v>
      </c>
      <c r="B1651" t="str">
        <f>"04/03/2017 00:00"</f>
        <v>04/03/2017 00:00</v>
      </c>
      <c r="C1651">
        <v>100</v>
      </c>
      <c r="D1651" t="s">
        <v>7</v>
      </c>
      <c r="E1651" s="2" t="s">
        <v>12</v>
      </c>
      <c r="F1651">
        <f t="shared" si="25"/>
        <v>198.3</v>
      </c>
      <c r="G1651" t="s">
        <v>16</v>
      </c>
      <c r="J1651" t="str">
        <f>"04/03/2017 23:45"</f>
        <v>04/03/2017 23:45</v>
      </c>
    </row>
    <row r="1652" spans="1:10" x14ac:dyDescent="0.3">
      <c r="A1652" t="s">
        <v>6</v>
      </c>
      <c r="B1652" t="str">
        <f>"04/04/2017 00:00"</f>
        <v>04/04/2017 00:00</v>
      </c>
      <c r="C1652">
        <v>100</v>
      </c>
      <c r="D1652" t="s">
        <v>7</v>
      </c>
      <c r="E1652" s="2" t="s">
        <v>12</v>
      </c>
      <c r="F1652">
        <f t="shared" si="25"/>
        <v>198.3</v>
      </c>
      <c r="G1652" t="s">
        <v>16</v>
      </c>
      <c r="J1652" t="str">
        <f>"04/04/2017 23:45"</f>
        <v>04/04/2017 23:45</v>
      </c>
    </row>
    <row r="1653" spans="1:10" x14ac:dyDescent="0.3">
      <c r="A1653" t="s">
        <v>6</v>
      </c>
      <c r="B1653" t="str">
        <f>"04/05/2017 00:00"</f>
        <v>04/05/2017 00:00</v>
      </c>
      <c r="C1653">
        <v>100</v>
      </c>
      <c r="D1653" t="s">
        <v>7</v>
      </c>
      <c r="E1653" s="2" t="s">
        <v>12</v>
      </c>
      <c r="F1653">
        <f t="shared" si="25"/>
        <v>198.3</v>
      </c>
      <c r="G1653" t="s">
        <v>16</v>
      </c>
      <c r="J1653" t="str">
        <f>"04/05/2017 23:45"</f>
        <v>04/05/2017 23:45</v>
      </c>
    </row>
    <row r="1654" spans="1:10" x14ac:dyDescent="0.3">
      <c r="A1654" t="s">
        <v>6</v>
      </c>
      <c r="B1654" t="str">
        <f>"04/06/2017 00:00"</f>
        <v>04/06/2017 00:00</v>
      </c>
      <c r="C1654">
        <v>101</v>
      </c>
      <c r="D1654" t="s">
        <v>7</v>
      </c>
      <c r="E1654" s="2" t="s">
        <v>12</v>
      </c>
      <c r="F1654">
        <f t="shared" si="25"/>
        <v>200.28300000000002</v>
      </c>
      <c r="G1654" t="s">
        <v>16</v>
      </c>
      <c r="J1654" t="str">
        <f>"04/06/2017 23:45"</f>
        <v>04/06/2017 23:45</v>
      </c>
    </row>
    <row r="1655" spans="1:10" x14ac:dyDescent="0.3">
      <c r="A1655" t="s">
        <v>6</v>
      </c>
      <c r="B1655" t="str">
        <f>"04/07/2017 00:00"</f>
        <v>04/07/2017 00:00</v>
      </c>
      <c r="C1655">
        <v>100</v>
      </c>
      <c r="D1655" t="s">
        <v>7</v>
      </c>
      <c r="E1655" s="2" t="s">
        <v>12</v>
      </c>
      <c r="F1655">
        <f t="shared" si="25"/>
        <v>198.3</v>
      </c>
      <c r="G1655" t="s">
        <v>16</v>
      </c>
      <c r="J1655" t="str">
        <f>"04/07/2017 23:45"</f>
        <v>04/07/2017 23:45</v>
      </c>
    </row>
    <row r="1656" spans="1:10" x14ac:dyDescent="0.3">
      <c r="A1656" t="s">
        <v>6</v>
      </c>
      <c r="B1656" t="str">
        <f>"04/08/2017 00:00"</f>
        <v>04/08/2017 00:00</v>
      </c>
      <c r="C1656">
        <v>99.7</v>
      </c>
      <c r="D1656" t="s">
        <v>7</v>
      </c>
      <c r="E1656" s="2" t="s">
        <v>12</v>
      </c>
      <c r="F1656">
        <f t="shared" si="25"/>
        <v>197.70510000000002</v>
      </c>
      <c r="G1656" t="s">
        <v>16</v>
      </c>
      <c r="J1656" t="str">
        <f>"04/08/2017 23:45"</f>
        <v>04/08/2017 23:45</v>
      </c>
    </row>
    <row r="1657" spans="1:10" x14ac:dyDescent="0.3">
      <c r="A1657" t="s">
        <v>6</v>
      </c>
      <c r="B1657" t="str">
        <f>"04/09/2017 00:00"</f>
        <v>04/09/2017 00:00</v>
      </c>
      <c r="C1657">
        <v>100</v>
      </c>
      <c r="D1657" t="s">
        <v>7</v>
      </c>
      <c r="E1657" s="2" t="s">
        <v>12</v>
      </c>
      <c r="F1657">
        <f t="shared" si="25"/>
        <v>198.3</v>
      </c>
      <c r="G1657" t="s">
        <v>16</v>
      </c>
      <c r="J1657" t="str">
        <f>"04/09/2017 23:45"</f>
        <v>04/09/2017 23:45</v>
      </c>
    </row>
    <row r="1658" spans="1:10" x14ac:dyDescent="0.3">
      <c r="A1658" t="s">
        <v>6</v>
      </c>
      <c r="B1658" t="str">
        <f>"04/10/2017 00:00"</f>
        <v>04/10/2017 00:00</v>
      </c>
      <c r="C1658">
        <v>101</v>
      </c>
      <c r="D1658" t="s">
        <v>7</v>
      </c>
      <c r="E1658" s="2" t="s">
        <v>12</v>
      </c>
      <c r="F1658">
        <f t="shared" si="25"/>
        <v>200.28300000000002</v>
      </c>
      <c r="G1658" t="s">
        <v>16</v>
      </c>
      <c r="J1658" t="str">
        <f>"04/10/2017 23:45"</f>
        <v>04/10/2017 23:45</v>
      </c>
    </row>
    <row r="1659" spans="1:10" x14ac:dyDescent="0.3">
      <c r="A1659" t="s">
        <v>6</v>
      </c>
      <c r="B1659" t="str">
        <f>"04/11/2017 00:00"</f>
        <v>04/11/2017 00:00</v>
      </c>
      <c r="C1659">
        <v>114</v>
      </c>
      <c r="D1659" t="s">
        <v>7</v>
      </c>
      <c r="E1659" s="2" t="s">
        <v>12</v>
      </c>
      <c r="F1659">
        <f t="shared" si="25"/>
        <v>226.06200000000001</v>
      </c>
      <c r="G1659" t="s">
        <v>16</v>
      </c>
      <c r="J1659" t="str">
        <f>"04/11/2017 23:45"</f>
        <v>04/11/2017 23:45</v>
      </c>
    </row>
    <row r="1660" spans="1:10" x14ac:dyDescent="0.3">
      <c r="A1660" t="s">
        <v>6</v>
      </c>
      <c r="B1660" t="str">
        <f>"04/12/2017 00:00"</f>
        <v>04/12/2017 00:00</v>
      </c>
      <c r="C1660">
        <v>125</v>
      </c>
      <c r="D1660" t="s">
        <v>7</v>
      </c>
      <c r="E1660" s="2" t="s">
        <v>12</v>
      </c>
      <c r="F1660">
        <f t="shared" si="25"/>
        <v>247.875</v>
      </c>
      <c r="G1660" t="s">
        <v>16</v>
      </c>
      <c r="J1660" t="str">
        <f>"04/12/2017 23:45"</f>
        <v>04/12/2017 23:45</v>
      </c>
    </row>
    <row r="1661" spans="1:10" x14ac:dyDescent="0.3">
      <c r="A1661" t="s">
        <v>6</v>
      </c>
      <c r="B1661" t="str">
        <f>"04/13/2017 00:00"</f>
        <v>04/13/2017 00:00</v>
      </c>
      <c r="C1661">
        <v>125</v>
      </c>
      <c r="D1661" t="s">
        <v>7</v>
      </c>
      <c r="E1661" s="2" t="s">
        <v>12</v>
      </c>
      <c r="F1661">
        <f t="shared" si="25"/>
        <v>247.875</v>
      </c>
      <c r="G1661" t="s">
        <v>16</v>
      </c>
      <c r="J1661" t="str">
        <f>"04/13/2017 23:45"</f>
        <v>04/13/2017 23:45</v>
      </c>
    </row>
    <row r="1662" spans="1:10" x14ac:dyDescent="0.3">
      <c r="A1662" t="s">
        <v>6</v>
      </c>
      <c r="B1662" t="str">
        <f>"04/14/2017 00:00"</f>
        <v>04/14/2017 00:00</v>
      </c>
      <c r="C1662">
        <v>134</v>
      </c>
      <c r="D1662" t="s">
        <v>7</v>
      </c>
      <c r="E1662" s="2" t="s">
        <v>12</v>
      </c>
      <c r="F1662">
        <f t="shared" si="25"/>
        <v>265.72200000000004</v>
      </c>
      <c r="G1662" t="s">
        <v>16</v>
      </c>
      <c r="J1662" t="str">
        <f>"04/14/2017 23:45"</f>
        <v>04/14/2017 23:45</v>
      </c>
    </row>
    <row r="1663" spans="1:10" x14ac:dyDescent="0.3">
      <c r="A1663" t="s">
        <v>6</v>
      </c>
      <c r="B1663" t="str">
        <f>"04/15/2017 00:00"</f>
        <v>04/15/2017 00:00</v>
      </c>
      <c r="C1663">
        <v>140</v>
      </c>
      <c r="D1663" t="s">
        <v>7</v>
      </c>
      <c r="E1663" s="2" t="s">
        <v>12</v>
      </c>
      <c r="F1663">
        <f t="shared" si="25"/>
        <v>277.62</v>
      </c>
      <c r="G1663" t="s">
        <v>16</v>
      </c>
      <c r="J1663" t="str">
        <f>"04/15/2017 23:45"</f>
        <v>04/15/2017 23:45</v>
      </c>
    </row>
    <row r="1664" spans="1:10" x14ac:dyDescent="0.3">
      <c r="A1664" t="s">
        <v>6</v>
      </c>
      <c r="B1664" t="str">
        <f>"04/16/2017 00:00"</f>
        <v>04/16/2017 00:00</v>
      </c>
      <c r="C1664">
        <v>140</v>
      </c>
      <c r="D1664" t="s">
        <v>7</v>
      </c>
      <c r="E1664" s="2" t="s">
        <v>12</v>
      </c>
      <c r="F1664">
        <f t="shared" si="25"/>
        <v>277.62</v>
      </c>
      <c r="G1664" t="s">
        <v>16</v>
      </c>
      <c r="J1664" t="str">
        <f>"04/16/2017 23:45"</f>
        <v>04/16/2017 23:45</v>
      </c>
    </row>
    <row r="1665" spans="1:10" x14ac:dyDescent="0.3">
      <c r="A1665" t="s">
        <v>6</v>
      </c>
      <c r="B1665" t="str">
        <f>"04/17/2017 00:00"</f>
        <v>04/17/2017 00:00</v>
      </c>
      <c r="C1665">
        <v>150</v>
      </c>
      <c r="D1665" t="s">
        <v>7</v>
      </c>
      <c r="E1665" s="2" t="s">
        <v>12</v>
      </c>
      <c r="F1665">
        <f t="shared" si="25"/>
        <v>297.45</v>
      </c>
      <c r="G1665" t="s">
        <v>16</v>
      </c>
      <c r="J1665" t="str">
        <f>"04/17/2017 23:45"</f>
        <v>04/17/2017 23:45</v>
      </c>
    </row>
    <row r="1666" spans="1:10" x14ac:dyDescent="0.3">
      <c r="A1666" t="s">
        <v>6</v>
      </c>
      <c r="B1666" t="str">
        <f>"04/18/2017 00:00"</f>
        <v>04/18/2017 00:00</v>
      </c>
      <c r="C1666">
        <v>155</v>
      </c>
      <c r="D1666" t="s">
        <v>7</v>
      </c>
      <c r="E1666" s="2" t="s">
        <v>12</v>
      </c>
      <c r="F1666">
        <f t="shared" si="25"/>
        <v>307.36500000000001</v>
      </c>
      <c r="G1666" t="s">
        <v>16</v>
      </c>
      <c r="J1666" t="str">
        <f>"04/18/2017 23:45"</f>
        <v>04/18/2017 23:45</v>
      </c>
    </row>
    <row r="1667" spans="1:10" x14ac:dyDescent="0.3">
      <c r="A1667" t="s">
        <v>6</v>
      </c>
      <c r="B1667" t="str">
        <f>"04/19/2017 00:00"</f>
        <v>04/19/2017 00:00</v>
      </c>
      <c r="C1667">
        <v>165</v>
      </c>
      <c r="D1667" t="s">
        <v>7</v>
      </c>
      <c r="E1667" s="2" t="s">
        <v>12</v>
      </c>
      <c r="F1667">
        <f t="shared" si="25"/>
        <v>327.19499999999999</v>
      </c>
      <c r="G1667" t="s">
        <v>16</v>
      </c>
      <c r="J1667" t="str">
        <f>"04/19/2017 23:45"</f>
        <v>04/19/2017 23:45</v>
      </c>
    </row>
    <row r="1668" spans="1:10" x14ac:dyDescent="0.3">
      <c r="A1668" t="s">
        <v>6</v>
      </c>
      <c r="B1668" t="str">
        <f>"04/20/2017 00:00"</f>
        <v>04/20/2017 00:00</v>
      </c>
      <c r="C1668">
        <v>169</v>
      </c>
      <c r="D1668" t="s">
        <v>7</v>
      </c>
      <c r="E1668" s="2" t="s">
        <v>12</v>
      </c>
      <c r="F1668">
        <f t="shared" si="25"/>
        <v>335.12700000000001</v>
      </c>
      <c r="G1668" t="s">
        <v>16</v>
      </c>
      <c r="J1668" t="str">
        <f>"04/20/2017 23:45"</f>
        <v>04/20/2017 23:45</v>
      </c>
    </row>
    <row r="1669" spans="1:10" x14ac:dyDescent="0.3">
      <c r="A1669" t="s">
        <v>6</v>
      </c>
      <c r="B1669" t="str">
        <f>"04/21/2017 00:00"</f>
        <v>04/21/2017 00:00</v>
      </c>
      <c r="C1669">
        <v>169</v>
      </c>
      <c r="D1669" t="s">
        <v>7</v>
      </c>
      <c r="E1669" s="2" t="s">
        <v>12</v>
      </c>
      <c r="F1669">
        <f t="shared" si="25"/>
        <v>335.12700000000001</v>
      </c>
      <c r="G1669" t="s">
        <v>16</v>
      </c>
      <c r="J1669" t="str">
        <f>"04/21/2017 23:45"</f>
        <v>04/21/2017 23:45</v>
      </c>
    </row>
    <row r="1670" spans="1:10" x14ac:dyDescent="0.3">
      <c r="A1670" t="s">
        <v>6</v>
      </c>
      <c r="B1670" t="str">
        <f>"04/22/2017 00:00"</f>
        <v>04/22/2017 00:00</v>
      </c>
      <c r="C1670">
        <v>169</v>
      </c>
      <c r="D1670" t="s">
        <v>7</v>
      </c>
      <c r="E1670" s="2" t="s">
        <v>12</v>
      </c>
      <c r="F1670">
        <f t="shared" si="25"/>
        <v>335.12700000000001</v>
      </c>
      <c r="G1670" t="s">
        <v>16</v>
      </c>
      <c r="J1670" t="str">
        <f>"04/22/2017 23:45"</f>
        <v>04/22/2017 23:45</v>
      </c>
    </row>
    <row r="1671" spans="1:10" x14ac:dyDescent="0.3">
      <c r="A1671" t="s">
        <v>6</v>
      </c>
      <c r="B1671" t="str">
        <f>"04/23/2017 00:00"</f>
        <v>04/23/2017 00:00</v>
      </c>
      <c r="C1671">
        <v>169</v>
      </c>
      <c r="D1671" t="s">
        <v>7</v>
      </c>
      <c r="E1671" s="2" t="s">
        <v>12</v>
      </c>
      <c r="F1671">
        <f t="shared" ref="F1671:F1734" si="26">C1671*1.983</f>
        <v>335.12700000000001</v>
      </c>
      <c r="G1671" t="s">
        <v>16</v>
      </c>
      <c r="J1671" t="str">
        <f>"04/23/2017 23:45"</f>
        <v>04/23/2017 23:45</v>
      </c>
    </row>
    <row r="1672" spans="1:10" x14ac:dyDescent="0.3">
      <c r="A1672" t="s">
        <v>6</v>
      </c>
      <c r="B1672" t="str">
        <f>"04/24/2017 00:00"</f>
        <v>04/24/2017 00:00</v>
      </c>
      <c r="C1672">
        <v>169</v>
      </c>
      <c r="D1672" t="s">
        <v>7</v>
      </c>
      <c r="E1672" s="2" t="s">
        <v>12</v>
      </c>
      <c r="F1672">
        <f t="shared" si="26"/>
        <v>335.12700000000001</v>
      </c>
      <c r="G1672" t="s">
        <v>16</v>
      </c>
      <c r="J1672" t="str">
        <f>"04/24/2017 23:45"</f>
        <v>04/24/2017 23:45</v>
      </c>
    </row>
    <row r="1673" spans="1:10" x14ac:dyDescent="0.3">
      <c r="A1673" t="s">
        <v>6</v>
      </c>
      <c r="B1673" t="str">
        <f>"04/25/2017 00:00"</f>
        <v>04/25/2017 00:00</v>
      </c>
      <c r="C1673">
        <v>159</v>
      </c>
      <c r="D1673" t="s">
        <v>7</v>
      </c>
      <c r="E1673" s="2" t="s">
        <v>12</v>
      </c>
      <c r="F1673">
        <f t="shared" si="26"/>
        <v>315.29700000000003</v>
      </c>
      <c r="G1673" t="s">
        <v>16</v>
      </c>
      <c r="J1673" t="str">
        <f>"04/25/2017 23:45"</f>
        <v>04/25/2017 23:45</v>
      </c>
    </row>
    <row r="1674" spans="1:10" x14ac:dyDescent="0.3">
      <c r="A1674" t="s">
        <v>6</v>
      </c>
      <c r="B1674" t="str">
        <f>"04/26/2017 00:00"</f>
        <v>04/26/2017 00:00</v>
      </c>
      <c r="C1674">
        <v>137</v>
      </c>
      <c r="D1674" t="s">
        <v>7</v>
      </c>
      <c r="E1674" s="2" t="s">
        <v>12</v>
      </c>
      <c r="F1674">
        <f t="shared" si="26"/>
        <v>271.67099999999999</v>
      </c>
      <c r="G1674" t="s">
        <v>16</v>
      </c>
      <c r="J1674" t="str">
        <f>"04/26/2017 23:45"</f>
        <v>04/26/2017 23:45</v>
      </c>
    </row>
    <row r="1675" spans="1:10" x14ac:dyDescent="0.3">
      <c r="A1675" t="s">
        <v>6</v>
      </c>
      <c r="B1675" t="str">
        <f>"04/27/2017 00:00"</f>
        <v>04/27/2017 00:00</v>
      </c>
      <c r="C1675">
        <v>129</v>
      </c>
      <c r="D1675" t="s">
        <v>7</v>
      </c>
      <c r="E1675" s="2" t="s">
        <v>12</v>
      </c>
      <c r="F1675">
        <f t="shared" si="26"/>
        <v>255.80700000000002</v>
      </c>
      <c r="G1675" t="s">
        <v>16</v>
      </c>
      <c r="J1675" t="str">
        <f>"04/27/2017 23:45"</f>
        <v>04/27/2017 23:45</v>
      </c>
    </row>
    <row r="1676" spans="1:10" x14ac:dyDescent="0.3">
      <c r="A1676" t="s">
        <v>6</v>
      </c>
      <c r="B1676" t="str">
        <f>"04/28/2017 00:00"</f>
        <v>04/28/2017 00:00</v>
      </c>
      <c r="C1676">
        <v>129</v>
      </c>
      <c r="D1676" t="s">
        <v>7</v>
      </c>
      <c r="E1676" s="2" t="s">
        <v>12</v>
      </c>
      <c r="F1676">
        <f t="shared" si="26"/>
        <v>255.80700000000002</v>
      </c>
      <c r="G1676" t="s">
        <v>16</v>
      </c>
      <c r="J1676" t="str">
        <f>"04/28/2017 23:45"</f>
        <v>04/28/2017 23:45</v>
      </c>
    </row>
    <row r="1677" spans="1:10" x14ac:dyDescent="0.3">
      <c r="A1677" t="s">
        <v>6</v>
      </c>
      <c r="B1677" t="str">
        <f>"04/29/2017 00:00"</f>
        <v>04/29/2017 00:00</v>
      </c>
      <c r="C1677">
        <v>129</v>
      </c>
      <c r="D1677" t="s">
        <v>7</v>
      </c>
      <c r="E1677" s="2" t="s">
        <v>12</v>
      </c>
      <c r="F1677">
        <f t="shared" si="26"/>
        <v>255.80700000000002</v>
      </c>
      <c r="G1677" t="s">
        <v>16</v>
      </c>
      <c r="J1677" t="str">
        <f>"04/29/2017 23:45"</f>
        <v>04/29/2017 23:45</v>
      </c>
    </row>
    <row r="1678" spans="1:10" x14ac:dyDescent="0.3">
      <c r="A1678" t="s">
        <v>6</v>
      </c>
      <c r="B1678" t="str">
        <f>"04/30/2017 00:00"</f>
        <v>04/30/2017 00:00</v>
      </c>
      <c r="C1678">
        <v>128</v>
      </c>
      <c r="D1678" t="s">
        <v>7</v>
      </c>
      <c r="E1678" s="2" t="s">
        <v>12</v>
      </c>
      <c r="F1678">
        <f t="shared" si="26"/>
        <v>253.82400000000001</v>
      </c>
      <c r="G1678" t="s">
        <v>16</v>
      </c>
      <c r="J1678" t="str">
        <f>"04/30/2017 23:45"</f>
        <v>04/30/2017 23:45</v>
      </c>
    </row>
    <row r="1679" spans="1:10" x14ac:dyDescent="0.3">
      <c r="A1679" t="s">
        <v>6</v>
      </c>
      <c r="B1679" t="str">
        <f>"05/01/2017 00:00"</f>
        <v>05/01/2017 00:00</v>
      </c>
      <c r="C1679">
        <v>129</v>
      </c>
      <c r="D1679" t="s">
        <v>7</v>
      </c>
      <c r="E1679" s="2" t="s">
        <v>12</v>
      </c>
      <c r="F1679">
        <f t="shared" si="26"/>
        <v>255.80700000000002</v>
      </c>
      <c r="G1679" t="s">
        <v>16</v>
      </c>
      <c r="J1679" t="str">
        <f>"05/01/2017 23:45"</f>
        <v>05/01/2017 23:45</v>
      </c>
    </row>
    <row r="1680" spans="1:10" x14ac:dyDescent="0.3">
      <c r="A1680" t="s">
        <v>6</v>
      </c>
      <c r="B1680" t="str">
        <f>"05/02/2017 00:00"</f>
        <v>05/02/2017 00:00</v>
      </c>
      <c r="C1680">
        <v>126</v>
      </c>
      <c r="D1680" t="s">
        <v>7</v>
      </c>
      <c r="E1680" s="2" t="s">
        <v>12</v>
      </c>
      <c r="F1680">
        <f t="shared" si="26"/>
        <v>249.858</v>
      </c>
      <c r="G1680" t="s">
        <v>16</v>
      </c>
      <c r="J1680" t="str">
        <f>"05/02/2017 23:45"</f>
        <v>05/02/2017 23:45</v>
      </c>
    </row>
    <row r="1681" spans="1:10" x14ac:dyDescent="0.3">
      <c r="A1681" t="s">
        <v>6</v>
      </c>
      <c r="B1681" t="str">
        <f>"05/03/2017 00:00"</f>
        <v>05/03/2017 00:00</v>
      </c>
      <c r="C1681">
        <v>124</v>
      </c>
      <c r="D1681" t="s">
        <v>7</v>
      </c>
      <c r="E1681" s="2" t="s">
        <v>12</v>
      </c>
      <c r="F1681">
        <f t="shared" si="26"/>
        <v>245.89200000000002</v>
      </c>
      <c r="G1681" t="s">
        <v>16</v>
      </c>
      <c r="J1681" t="str">
        <f>"05/03/2017 23:45"</f>
        <v>05/03/2017 23:45</v>
      </c>
    </row>
    <row r="1682" spans="1:10" x14ac:dyDescent="0.3">
      <c r="A1682" t="s">
        <v>6</v>
      </c>
      <c r="B1682" t="str">
        <f>"05/04/2017 00:00"</f>
        <v>05/04/2017 00:00</v>
      </c>
      <c r="C1682">
        <v>128</v>
      </c>
      <c r="D1682" t="s">
        <v>7</v>
      </c>
      <c r="E1682" s="2" t="s">
        <v>12</v>
      </c>
      <c r="F1682">
        <f t="shared" si="26"/>
        <v>253.82400000000001</v>
      </c>
      <c r="G1682" t="s">
        <v>16</v>
      </c>
      <c r="J1682" t="str">
        <f>"05/04/2017 23:45"</f>
        <v>05/04/2017 23:45</v>
      </c>
    </row>
    <row r="1683" spans="1:10" x14ac:dyDescent="0.3">
      <c r="A1683" t="s">
        <v>6</v>
      </c>
      <c r="B1683" t="str">
        <f>"05/05/2017 00:00"</f>
        <v>05/05/2017 00:00</v>
      </c>
      <c r="C1683">
        <v>128</v>
      </c>
      <c r="D1683" t="s">
        <v>7</v>
      </c>
      <c r="E1683" s="2" t="s">
        <v>12</v>
      </c>
      <c r="F1683">
        <f t="shared" si="26"/>
        <v>253.82400000000001</v>
      </c>
      <c r="G1683" t="s">
        <v>16</v>
      </c>
      <c r="J1683" t="str">
        <f>"05/05/2017 23:45"</f>
        <v>05/05/2017 23:45</v>
      </c>
    </row>
    <row r="1684" spans="1:10" x14ac:dyDescent="0.3">
      <c r="A1684" t="s">
        <v>6</v>
      </c>
      <c r="B1684" t="str">
        <f>"05/06/2017 00:00"</f>
        <v>05/06/2017 00:00</v>
      </c>
      <c r="C1684">
        <v>128</v>
      </c>
      <c r="D1684" t="s">
        <v>7</v>
      </c>
      <c r="E1684" s="2" t="s">
        <v>12</v>
      </c>
      <c r="F1684">
        <f t="shared" si="26"/>
        <v>253.82400000000001</v>
      </c>
      <c r="G1684" t="s">
        <v>16</v>
      </c>
      <c r="J1684" t="str">
        <f>"05/06/2017 23:45"</f>
        <v>05/06/2017 23:45</v>
      </c>
    </row>
    <row r="1685" spans="1:10" x14ac:dyDescent="0.3">
      <c r="A1685" t="s">
        <v>6</v>
      </c>
      <c r="B1685" t="str">
        <f>"05/07/2017 00:00"</f>
        <v>05/07/2017 00:00</v>
      </c>
      <c r="C1685">
        <v>129</v>
      </c>
      <c r="D1685" t="s">
        <v>7</v>
      </c>
      <c r="E1685" s="2" t="s">
        <v>12</v>
      </c>
      <c r="F1685">
        <f t="shared" si="26"/>
        <v>255.80700000000002</v>
      </c>
      <c r="G1685" t="s">
        <v>16</v>
      </c>
      <c r="J1685" t="str">
        <f>"05/07/2017 23:45"</f>
        <v>05/07/2017 23:45</v>
      </c>
    </row>
    <row r="1686" spans="1:10" x14ac:dyDescent="0.3">
      <c r="A1686" t="s">
        <v>6</v>
      </c>
      <c r="B1686" t="str">
        <f>"05/08/2017 00:00"</f>
        <v>05/08/2017 00:00</v>
      </c>
      <c r="C1686">
        <v>129</v>
      </c>
      <c r="D1686" t="s">
        <v>7</v>
      </c>
      <c r="E1686" s="2" t="s">
        <v>12</v>
      </c>
      <c r="F1686">
        <f t="shared" si="26"/>
        <v>255.80700000000002</v>
      </c>
      <c r="G1686" t="s">
        <v>16</v>
      </c>
      <c r="J1686" t="str">
        <f>"05/08/2017 23:45"</f>
        <v>05/08/2017 23:45</v>
      </c>
    </row>
    <row r="1687" spans="1:10" x14ac:dyDescent="0.3">
      <c r="A1687" t="s">
        <v>6</v>
      </c>
      <c r="B1687" t="str">
        <f>"05/09/2017 00:00"</f>
        <v>05/09/2017 00:00</v>
      </c>
      <c r="C1687">
        <v>83.5</v>
      </c>
      <c r="D1687" t="s">
        <v>7</v>
      </c>
      <c r="E1687" s="2" t="s">
        <v>12</v>
      </c>
      <c r="F1687">
        <f t="shared" si="26"/>
        <v>165.5805</v>
      </c>
      <c r="G1687" t="s">
        <v>16</v>
      </c>
      <c r="J1687" t="str">
        <f>"05/09/2017 23:45"</f>
        <v>05/09/2017 23:45</v>
      </c>
    </row>
    <row r="1688" spans="1:10" x14ac:dyDescent="0.3">
      <c r="A1688" t="s">
        <v>6</v>
      </c>
      <c r="B1688" t="str">
        <f>"05/10/2017 00:00"</f>
        <v>05/10/2017 00:00</v>
      </c>
      <c r="C1688">
        <v>94.8</v>
      </c>
      <c r="D1688" t="s">
        <v>7</v>
      </c>
      <c r="E1688" s="2" t="s">
        <v>12</v>
      </c>
      <c r="F1688">
        <f t="shared" si="26"/>
        <v>187.98840000000001</v>
      </c>
      <c r="G1688" t="s">
        <v>16</v>
      </c>
      <c r="J1688" t="str">
        <f>"05/10/2017 23:45"</f>
        <v>05/10/2017 23:45</v>
      </c>
    </row>
    <row r="1689" spans="1:10" x14ac:dyDescent="0.3">
      <c r="A1689" t="s">
        <v>6</v>
      </c>
      <c r="B1689" t="str">
        <f>"05/11/2017 00:00"</f>
        <v>05/11/2017 00:00</v>
      </c>
      <c r="C1689">
        <v>174</v>
      </c>
      <c r="D1689" t="s">
        <v>7</v>
      </c>
      <c r="E1689" s="2" t="s">
        <v>12</v>
      </c>
      <c r="F1689">
        <f t="shared" si="26"/>
        <v>345.04200000000003</v>
      </c>
      <c r="G1689" t="s">
        <v>16</v>
      </c>
      <c r="J1689" t="str">
        <f>"05/11/2017 23:45"</f>
        <v>05/11/2017 23:45</v>
      </c>
    </row>
    <row r="1690" spans="1:10" x14ac:dyDescent="0.3">
      <c r="A1690" t="s">
        <v>6</v>
      </c>
      <c r="B1690" t="str">
        <f>"05/12/2017 00:00"</f>
        <v>05/12/2017 00:00</v>
      </c>
      <c r="C1690">
        <v>174</v>
      </c>
      <c r="D1690" t="s">
        <v>7</v>
      </c>
      <c r="E1690" s="2" t="s">
        <v>12</v>
      </c>
      <c r="F1690">
        <f t="shared" si="26"/>
        <v>345.04200000000003</v>
      </c>
      <c r="G1690" t="s">
        <v>16</v>
      </c>
      <c r="J1690" t="str">
        <f>"05/12/2017 23:45"</f>
        <v>05/12/2017 23:45</v>
      </c>
    </row>
    <row r="1691" spans="1:10" x14ac:dyDescent="0.3">
      <c r="A1691" t="s">
        <v>6</v>
      </c>
      <c r="B1691" t="str">
        <f>"05/13/2017 00:00"</f>
        <v>05/13/2017 00:00</v>
      </c>
      <c r="C1691">
        <v>175</v>
      </c>
      <c r="D1691" t="s">
        <v>7</v>
      </c>
      <c r="E1691" s="2" t="s">
        <v>12</v>
      </c>
      <c r="F1691">
        <f t="shared" si="26"/>
        <v>347.02500000000003</v>
      </c>
      <c r="G1691" t="s">
        <v>16</v>
      </c>
      <c r="J1691" t="str">
        <f>"05/13/2017 23:45"</f>
        <v>05/13/2017 23:45</v>
      </c>
    </row>
    <row r="1692" spans="1:10" x14ac:dyDescent="0.3">
      <c r="A1692" t="s">
        <v>6</v>
      </c>
      <c r="B1692" t="str">
        <f>"05/14/2017 00:00"</f>
        <v>05/14/2017 00:00</v>
      </c>
      <c r="C1692">
        <v>176</v>
      </c>
      <c r="D1692" t="s">
        <v>7</v>
      </c>
      <c r="E1692" s="2" t="s">
        <v>12</v>
      </c>
      <c r="F1692">
        <f t="shared" si="26"/>
        <v>349.00800000000004</v>
      </c>
      <c r="G1692" t="s">
        <v>16</v>
      </c>
      <c r="J1692" t="str">
        <f>"05/14/2017 23:45"</f>
        <v>05/14/2017 23:45</v>
      </c>
    </row>
    <row r="1693" spans="1:10" x14ac:dyDescent="0.3">
      <c r="A1693" t="s">
        <v>6</v>
      </c>
      <c r="B1693" t="str">
        <f>"05/15/2017 00:00"</f>
        <v>05/15/2017 00:00</v>
      </c>
      <c r="C1693">
        <v>235</v>
      </c>
      <c r="D1693" t="s">
        <v>7</v>
      </c>
      <c r="E1693" s="2" t="s">
        <v>12</v>
      </c>
      <c r="F1693">
        <f t="shared" si="26"/>
        <v>466.005</v>
      </c>
      <c r="G1693" t="s">
        <v>16</v>
      </c>
      <c r="J1693" t="str">
        <f>"05/15/2017 23:45"</f>
        <v>05/15/2017 23:45</v>
      </c>
    </row>
    <row r="1694" spans="1:10" x14ac:dyDescent="0.3">
      <c r="A1694" t="s">
        <v>6</v>
      </c>
      <c r="B1694" t="str">
        <f>"05/16/2017 00:00"</f>
        <v>05/16/2017 00:00</v>
      </c>
      <c r="C1694">
        <v>274</v>
      </c>
      <c r="D1694" t="s">
        <v>7</v>
      </c>
      <c r="E1694" s="2" t="s">
        <v>12</v>
      </c>
      <c r="F1694">
        <f t="shared" si="26"/>
        <v>543.34199999999998</v>
      </c>
      <c r="G1694" t="s">
        <v>16</v>
      </c>
      <c r="J1694" t="str">
        <f>"05/16/2017 23:45"</f>
        <v>05/16/2017 23:45</v>
      </c>
    </row>
    <row r="1695" spans="1:10" x14ac:dyDescent="0.3">
      <c r="A1695" t="s">
        <v>6</v>
      </c>
      <c r="B1695" t="str">
        <f>"05/17/2017 00:00"</f>
        <v>05/17/2017 00:00</v>
      </c>
      <c r="C1695">
        <v>230</v>
      </c>
      <c r="D1695" t="s">
        <v>7</v>
      </c>
      <c r="E1695" s="2" t="s">
        <v>12</v>
      </c>
      <c r="F1695">
        <f t="shared" si="26"/>
        <v>456.09000000000003</v>
      </c>
      <c r="G1695" t="s">
        <v>16</v>
      </c>
      <c r="J1695" t="str">
        <f>"05/17/2017 23:45"</f>
        <v>05/17/2017 23:45</v>
      </c>
    </row>
    <row r="1696" spans="1:10" x14ac:dyDescent="0.3">
      <c r="A1696" t="s">
        <v>6</v>
      </c>
      <c r="B1696" t="str">
        <f>"05/18/2017 00:00"</f>
        <v>05/18/2017 00:00</v>
      </c>
      <c r="C1696">
        <v>165</v>
      </c>
      <c r="D1696" t="s">
        <v>7</v>
      </c>
      <c r="E1696" s="2" t="s">
        <v>12</v>
      </c>
      <c r="F1696">
        <f t="shared" si="26"/>
        <v>327.19499999999999</v>
      </c>
      <c r="G1696" t="s">
        <v>16</v>
      </c>
      <c r="J1696" t="str">
        <f>"05/18/2017 23:45"</f>
        <v>05/18/2017 23:45</v>
      </c>
    </row>
    <row r="1697" spans="1:10" x14ac:dyDescent="0.3">
      <c r="A1697" t="s">
        <v>6</v>
      </c>
      <c r="B1697" t="str">
        <f>"05/19/2017 00:00"</f>
        <v>05/19/2017 00:00</v>
      </c>
      <c r="C1697">
        <v>59.5</v>
      </c>
      <c r="D1697" t="s">
        <v>7</v>
      </c>
      <c r="E1697" s="2" t="s">
        <v>12</v>
      </c>
      <c r="F1697">
        <f t="shared" si="26"/>
        <v>117.9885</v>
      </c>
      <c r="G1697" t="s">
        <v>16</v>
      </c>
      <c r="J1697" t="str">
        <f>"05/19/2017 23:45"</f>
        <v>05/19/2017 23:45</v>
      </c>
    </row>
    <row r="1698" spans="1:10" x14ac:dyDescent="0.3">
      <c r="A1698" t="s">
        <v>6</v>
      </c>
      <c r="B1698" t="str">
        <f>"05/20/2017 00:00"</f>
        <v>05/20/2017 00:00</v>
      </c>
      <c r="C1698">
        <v>0.14199999999999999</v>
      </c>
      <c r="D1698" t="s">
        <v>7</v>
      </c>
      <c r="E1698" s="2" t="s">
        <v>12</v>
      </c>
      <c r="F1698">
        <f t="shared" si="26"/>
        <v>0.281586</v>
      </c>
      <c r="G1698" t="s">
        <v>16</v>
      </c>
      <c r="J1698" t="str">
        <f>"05/20/2017 23:45"</f>
        <v>05/20/2017 23:45</v>
      </c>
    </row>
    <row r="1699" spans="1:10" x14ac:dyDescent="0.3">
      <c r="A1699" t="s">
        <v>6</v>
      </c>
      <c r="B1699" t="str">
        <f>"05/21/2017 00:00"</f>
        <v>05/21/2017 00:00</v>
      </c>
      <c r="C1699">
        <v>4.8000000000000001E-2</v>
      </c>
      <c r="D1699" t="s">
        <v>7</v>
      </c>
      <c r="E1699" s="2" t="s">
        <v>12</v>
      </c>
      <c r="F1699">
        <f t="shared" si="26"/>
        <v>9.5184000000000005E-2</v>
      </c>
      <c r="G1699" t="s">
        <v>16</v>
      </c>
      <c r="J1699" t="str">
        <f>"05/21/2017 23:45"</f>
        <v>05/21/2017 23:45</v>
      </c>
    </row>
    <row r="1700" spans="1:10" x14ac:dyDescent="0.3">
      <c r="A1700" t="s">
        <v>6</v>
      </c>
      <c r="B1700" t="str">
        <f>"05/22/2017 00:00"</f>
        <v>05/22/2017 00:00</v>
      </c>
      <c r="C1700">
        <v>4.8000000000000001E-2</v>
      </c>
      <c r="D1700" t="s">
        <v>7</v>
      </c>
      <c r="E1700" s="2" t="s">
        <v>12</v>
      </c>
      <c r="F1700">
        <f t="shared" si="26"/>
        <v>9.5184000000000005E-2</v>
      </c>
      <c r="G1700" t="s">
        <v>16</v>
      </c>
      <c r="J1700" t="str">
        <f>"05/22/2017 23:45"</f>
        <v>05/22/2017 23:45</v>
      </c>
    </row>
    <row r="1701" spans="1:10" x14ac:dyDescent="0.3">
      <c r="A1701" t="s">
        <v>6</v>
      </c>
      <c r="B1701" t="str">
        <f>"05/23/2017 00:00"</f>
        <v>05/23/2017 00:00</v>
      </c>
      <c r="C1701">
        <v>4.8000000000000001E-2</v>
      </c>
      <c r="D1701" t="s">
        <v>7</v>
      </c>
      <c r="E1701" s="2" t="s">
        <v>12</v>
      </c>
      <c r="F1701">
        <f t="shared" si="26"/>
        <v>9.5184000000000005E-2</v>
      </c>
      <c r="G1701" t="s">
        <v>16</v>
      </c>
      <c r="J1701" t="str">
        <f>"05/23/2017 23:45"</f>
        <v>05/23/2017 23:45</v>
      </c>
    </row>
    <row r="1702" spans="1:10" x14ac:dyDescent="0.3">
      <c r="A1702" t="s">
        <v>6</v>
      </c>
      <c r="B1702" t="str">
        <f>"05/24/2017 00:00"</f>
        <v>05/24/2017 00:00</v>
      </c>
      <c r="C1702">
        <v>4.8000000000000001E-2</v>
      </c>
      <c r="D1702" t="s">
        <v>7</v>
      </c>
      <c r="E1702" s="2" t="s">
        <v>12</v>
      </c>
      <c r="F1702">
        <f t="shared" si="26"/>
        <v>9.5184000000000005E-2</v>
      </c>
      <c r="G1702" t="s">
        <v>16</v>
      </c>
      <c r="J1702" t="str">
        <f>"05/24/2017 23:45"</f>
        <v>05/24/2017 23:45</v>
      </c>
    </row>
    <row r="1703" spans="1:10" x14ac:dyDescent="0.3">
      <c r="A1703" t="s">
        <v>6</v>
      </c>
      <c r="B1703" t="str">
        <f>"05/25/2017 00:00"</f>
        <v>05/25/2017 00:00</v>
      </c>
      <c r="C1703">
        <v>4.8000000000000001E-2</v>
      </c>
      <c r="D1703" t="s">
        <v>7</v>
      </c>
      <c r="E1703" s="2" t="s">
        <v>12</v>
      </c>
      <c r="F1703">
        <f t="shared" si="26"/>
        <v>9.5184000000000005E-2</v>
      </c>
      <c r="G1703" t="s">
        <v>16</v>
      </c>
      <c r="J1703" t="str">
        <f>"05/25/2017 23:45"</f>
        <v>05/25/2017 23:45</v>
      </c>
    </row>
    <row r="1704" spans="1:10" x14ac:dyDescent="0.3">
      <c r="A1704" t="s">
        <v>6</v>
      </c>
      <c r="B1704" t="str">
        <f>"05/26/2017 00:00"</f>
        <v>05/26/2017 00:00</v>
      </c>
      <c r="C1704">
        <v>4.8000000000000001E-2</v>
      </c>
      <c r="D1704" t="s">
        <v>7</v>
      </c>
      <c r="E1704" s="2" t="s">
        <v>12</v>
      </c>
      <c r="F1704">
        <f t="shared" si="26"/>
        <v>9.5184000000000005E-2</v>
      </c>
      <c r="G1704" t="s">
        <v>16</v>
      </c>
      <c r="J1704" t="str">
        <f>"05/26/2017 23:45"</f>
        <v>05/26/2017 23:45</v>
      </c>
    </row>
    <row r="1705" spans="1:10" x14ac:dyDescent="0.3">
      <c r="A1705" t="s">
        <v>6</v>
      </c>
      <c r="B1705" t="str">
        <f>"05/27/2017 00:00"</f>
        <v>05/27/2017 00:00</v>
      </c>
      <c r="C1705">
        <v>4.8000000000000001E-2</v>
      </c>
      <c r="D1705" t="s">
        <v>7</v>
      </c>
      <c r="E1705" s="2" t="s">
        <v>12</v>
      </c>
      <c r="F1705">
        <f t="shared" si="26"/>
        <v>9.5184000000000005E-2</v>
      </c>
      <c r="G1705" t="s">
        <v>16</v>
      </c>
      <c r="J1705" t="str">
        <f>"05/27/2017 23:45"</f>
        <v>05/27/2017 23:45</v>
      </c>
    </row>
    <row r="1706" spans="1:10" x14ac:dyDescent="0.3">
      <c r="A1706" t="s">
        <v>6</v>
      </c>
      <c r="B1706" t="str">
        <f>"05/28/2017 00:00"</f>
        <v>05/28/2017 00:00</v>
      </c>
      <c r="C1706">
        <v>4.8000000000000001E-2</v>
      </c>
      <c r="D1706" t="s">
        <v>7</v>
      </c>
      <c r="E1706" s="2" t="s">
        <v>12</v>
      </c>
      <c r="F1706">
        <f t="shared" si="26"/>
        <v>9.5184000000000005E-2</v>
      </c>
      <c r="G1706" t="s">
        <v>16</v>
      </c>
      <c r="J1706" t="str">
        <f>"05/28/2017 23:45"</f>
        <v>05/28/2017 23:45</v>
      </c>
    </row>
    <row r="1707" spans="1:10" x14ac:dyDescent="0.3">
      <c r="A1707" t="s">
        <v>6</v>
      </c>
      <c r="B1707" t="str">
        <f>"05/29/2017 00:00"</f>
        <v>05/29/2017 00:00</v>
      </c>
      <c r="C1707">
        <v>4.8000000000000001E-2</v>
      </c>
      <c r="D1707" t="s">
        <v>7</v>
      </c>
      <c r="E1707" s="2" t="s">
        <v>12</v>
      </c>
      <c r="F1707">
        <f t="shared" si="26"/>
        <v>9.5184000000000005E-2</v>
      </c>
      <c r="G1707" t="s">
        <v>16</v>
      </c>
      <c r="J1707" t="str">
        <f>"05/29/2017 23:45"</f>
        <v>05/29/2017 23:45</v>
      </c>
    </row>
    <row r="1708" spans="1:10" x14ac:dyDescent="0.3">
      <c r="A1708" t="s">
        <v>6</v>
      </c>
      <c r="B1708" t="str">
        <f>"05/30/2017 00:00"</f>
        <v>05/30/2017 00:00</v>
      </c>
      <c r="C1708">
        <v>4.8000000000000001E-2</v>
      </c>
      <c r="D1708" t="s">
        <v>7</v>
      </c>
      <c r="E1708" s="2" t="s">
        <v>12</v>
      </c>
      <c r="F1708">
        <f t="shared" si="26"/>
        <v>9.5184000000000005E-2</v>
      </c>
      <c r="G1708" t="s">
        <v>16</v>
      </c>
      <c r="J1708" t="str">
        <f>"05/30/2017 23:45"</f>
        <v>05/30/2017 23:45</v>
      </c>
    </row>
    <row r="1709" spans="1:10" x14ac:dyDescent="0.3">
      <c r="A1709" t="s">
        <v>6</v>
      </c>
      <c r="B1709" t="str">
        <f>"05/31/2017 00:00"</f>
        <v>05/31/2017 00:00</v>
      </c>
      <c r="C1709">
        <v>4.8000000000000001E-2</v>
      </c>
      <c r="D1709" t="s">
        <v>7</v>
      </c>
      <c r="E1709" s="2" t="s">
        <v>12</v>
      </c>
      <c r="F1709">
        <f t="shared" si="26"/>
        <v>9.5184000000000005E-2</v>
      </c>
      <c r="G1709" t="s">
        <v>16</v>
      </c>
      <c r="J1709" t="str">
        <f>"05/31/2017 23:45"</f>
        <v>05/31/2017 23:45</v>
      </c>
    </row>
    <row r="1710" spans="1:10" x14ac:dyDescent="0.3">
      <c r="A1710" t="s">
        <v>6</v>
      </c>
      <c r="B1710" t="str">
        <f>"06/01/2017 00:00"</f>
        <v>06/01/2017 00:00</v>
      </c>
      <c r="C1710">
        <v>58.6</v>
      </c>
      <c r="D1710" t="s">
        <v>7</v>
      </c>
      <c r="E1710" s="2" t="s">
        <v>12</v>
      </c>
      <c r="F1710">
        <f t="shared" si="26"/>
        <v>116.20380000000002</v>
      </c>
      <c r="G1710" t="s">
        <v>16</v>
      </c>
      <c r="J1710" t="str">
        <f>"06/01/2017 23:45"</f>
        <v>06/01/2017 23:45</v>
      </c>
    </row>
    <row r="1711" spans="1:10" x14ac:dyDescent="0.3">
      <c r="A1711" t="s">
        <v>6</v>
      </c>
      <c r="B1711" t="str">
        <f>"06/02/2017 00:00"</f>
        <v>06/02/2017 00:00</v>
      </c>
      <c r="C1711">
        <v>102</v>
      </c>
      <c r="D1711" t="s">
        <v>7</v>
      </c>
      <c r="E1711" s="2" t="s">
        <v>12</v>
      </c>
      <c r="F1711">
        <f t="shared" si="26"/>
        <v>202.26600000000002</v>
      </c>
      <c r="G1711" t="s">
        <v>16</v>
      </c>
      <c r="J1711" t="str">
        <f>"06/02/2017 23:45"</f>
        <v>06/02/2017 23:45</v>
      </c>
    </row>
    <row r="1712" spans="1:10" x14ac:dyDescent="0.3">
      <c r="A1712" t="s">
        <v>6</v>
      </c>
      <c r="B1712" t="str">
        <f>"06/03/2017 00:00"</f>
        <v>06/03/2017 00:00</v>
      </c>
      <c r="C1712">
        <v>101</v>
      </c>
      <c r="D1712" t="s">
        <v>7</v>
      </c>
      <c r="E1712" s="2" t="s">
        <v>12</v>
      </c>
      <c r="F1712">
        <f t="shared" si="26"/>
        <v>200.28300000000002</v>
      </c>
      <c r="G1712" t="s">
        <v>16</v>
      </c>
      <c r="J1712" t="str">
        <f>"06/03/2017 23:45"</f>
        <v>06/03/2017 23:45</v>
      </c>
    </row>
    <row r="1713" spans="1:10" x14ac:dyDescent="0.3">
      <c r="A1713" t="s">
        <v>6</v>
      </c>
      <c r="B1713" t="str">
        <f>"06/04/2017 00:00"</f>
        <v>06/04/2017 00:00</v>
      </c>
      <c r="C1713">
        <v>100</v>
      </c>
      <c r="D1713" t="s">
        <v>7</v>
      </c>
      <c r="E1713" s="2" t="s">
        <v>12</v>
      </c>
      <c r="F1713">
        <f t="shared" si="26"/>
        <v>198.3</v>
      </c>
      <c r="G1713" t="s">
        <v>16</v>
      </c>
      <c r="J1713" t="str">
        <f>"06/04/2017 23:45"</f>
        <v>06/04/2017 23:45</v>
      </c>
    </row>
    <row r="1714" spans="1:10" x14ac:dyDescent="0.3">
      <c r="A1714" t="s">
        <v>6</v>
      </c>
      <c r="B1714" t="str">
        <f>"06/05/2017 00:00"</f>
        <v>06/05/2017 00:00</v>
      </c>
      <c r="C1714">
        <v>99.3</v>
      </c>
      <c r="D1714" t="s">
        <v>7</v>
      </c>
      <c r="E1714" s="2" t="s">
        <v>12</v>
      </c>
      <c r="F1714">
        <f t="shared" si="26"/>
        <v>196.9119</v>
      </c>
      <c r="G1714" t="s">
        <v>16</v>
      </c>
      <c r="J1714" t="str">
        <f>"06/05/2017 23:45"</f>
        <v>06/05/2017 23:45</v>
      </c>
    </row>
    <row r="1715" spans="1:10" x14ac:dyDescent="0.3">
      <c r="A1715" t="s">
        <v>6</v>
      </c>
      <c r="B1715" t="str">
        <f>"06/06/2017 00:00"</f>
        <v>06/06/2017 00:00</v>
      </c>
      <c r="C1715">
        <v>82.2</v>
      </c>
      <c r="D1715" t="s">
        <v>7</v>
      </c>
      <c r="E1715" s="2" t="s">
        <v>12</v>
      </c>
      <c r="F1715">
        <f t="shared" si="26"/>
        <v>163.0026</v>
      </c>
      <c r="G1715" t="s">
        <v>16</v>
      </c>
      <c r="J1715" t="str">
        <f>"06/06/2017 23:45"</f>
        <v>06/06/2017 23:45</v>
      </c>
    </row>
    <row r="1716" spans="1:10" x14ac:dyDescent="0.3">
      <c r="A1716" t="s">
        <v>6</v>
      </c>
      <c r="B1716" t="str">
        <f>"06/07/2017 00:00"</f>
        <v>06/07/2017 00:00</v>
      </c>
      <c r="C1716">
        <v>57.2</v>
      </c>
      <c r="D1716" t="s">
        <v>7</v>
      </c>
      <c r="E1716" s="2" t="s">
        <v>12</v>
      </c>
      <c r="F1716">
        <f t="shared" si="26"/>
        <v>113.42760000000001</v>
      </c>
      <c r="G1716" t="s">
        <v>16</v>
      </c>
      <c r="J1716" t="str">
        <f>"06/07/2017 23:45"</f>
        <v>06/07/2017 23:45</v>
      </c>
    </row>
    <row r="1717" spans="1:10" x14ac:dyDescent="0.3">
      <c r="A1717" t="s">
        <v>6</v>
      </c>
      <c r="B1717" t="str">
        <f>"06/08/2017 00:00"</f>
        <v>06/08/2017 00:00</v>
      </c>
      <c r="C1717">
        <v>28</v>
      </c>
      <c r="D1717" t="s">
        <v>7</v>
      </c>
      <c r="E1717" s="2" t="s">
        <v>12</v>
      </c>
      <c r="F1717">
        <f t="shared" si="26"/>
        <v>55.524000000000001</v>
      </c>
      <c r="G1717" t="s">
        <v>16</v>
      </c>
      <c r="J1717" t="str">
        <f>"06/08/2017 23:45"</f>
        <v>06/08/2017 23:45</v>
      </c>
    </row>
    <row r="1718" spans="1:10" x14ac:dyDescent="0.3">
      <c r="A1718" t="s">
        <v>6</v>
      </c>
      <c r="B1718" t="str">
        <f>"06/09/2017 00:00"</f>
        <v>06/09/2017 00:00</v>
      </c>
      <c r="C1718">
        <v>0.14599999999999999</v>
      </c>
      <c r="D1718" t="s">
        <v>7</v>
      </c>
      <c r="E1718" s="2" t="s">
        <v>12</v>
      </c>
      <c r="F1718">
        <f t="shared" si="26"/>
        <v>0.289518</v>
      </c>
      <c r="G1718" t="s">
        <v>16</v>
      </c>
      <c r="J1718" t="str">
        <f>"06/09/2017 23:45"</f>
        <v>06/09/2017 23:45</v>
      </c>
    </row>
    <row r="1719" spans="1:10" x14ac:dyDescent="0.3">
      <c r="A1719" t="s">
        <v>6</v>
      </c>
      <c r="B1719" t="str">
        <f>"06/10/2017 00:00"</f>
        <v>06/10/2017 00:00</v>
      </c>
      <c r="C1719">
        <v>0.111</v>
      </c>
      <c r="D1719" t="s">
        <v>7</v>
      </c>
      <c r="E1719" s="2" t="s">
        <v>12</v>
      </c>
      <c r="F1719">
        <f t="shared" si="26"/>
        <v>0.220113</v>
      </c>
      <c r="G1719" t="s">
        <v>16</v>
      </c>
      <c r="J1719" t="str">
        <f>"06/10/2017 23:45"</f>
        <v>06/10/2017 23:45</v>
      </c>
    </row>
    <row r="1720" spans="1:10" x14ac:dyDescent="0.3">
      <c r="A1720" t="s">
        <v>6</v>
      </c>
      <c r="B1720" t="str">
        <f>"06/11/2017 00:00"</f>
        <v>06/11/2017 00:00</v>
      </c>
      <c r="C1720">
        <v>4.8000000000000001E-2</v>
      </c>
      <c r="D1720" t="s">
        <v>7</v>
      </c>
      <c r="E1720" s="2" t="s">
        <v>12</v>
      </c>
      <c r="F1720">
        <f t="shared" si="26"/>
        <v>9.5184000000000005E-2</v>
      </c>
      <c r="G1720" t="s">
        <v>16</v>
      </c>
      <c r="J1720" t="str">
        <f>"06/11/2017 23:45"</f>
        <v>06/11/2017 23:45</v>
      </c>
    </row>
    <row r="1721" spans="1:10" x14ac:dyDescent="0.3">
      <c r="A1721" t="s">
        <v>6</v>
      </c>
      <c r="B1721" t="str">
        <f>"06/12/2017 00:00"</f>
        <v>06/12/2017 00:00</v>
      </c>
      <c r="C1721">
        <v>4.8000000000000001E-2</v>
      </c>
      <c r="D1721" t="s">
        <v>7</v>
      </c>
      <c r="E1721" s="2" t="s">
        <v>12</v>
      </c>
      <c r="F1721">
        <f t="shared" si="26"/>
        <v>9.5184000000000005E-2</v>
      </c>
      <c r="G1721" t="s">
        <v>16</v>
      </c>
      <c r="J1721" t="str">
        <f>"06/12/2017 23:45"</f>
        <v>06/12/2017 23:45</v>
      </c>
    </row>
    <row r="1722" spans="1:10" x14ac:dyDescent="0.3">
      <c r="A1722" t="s">
        <v>6</v>
      </c>
      <c r="B1722" t="str">
        <f>"06/13/2017 00:00"</f>
        <v>06/13/2017 00:00</v>
      </c>
      <c r="C1722">
        <v>4.8000000000000001E-2</v>
      </c>
      <c r="D1722" t="s">
        <v>7</v>
      </c>
      <c r="E1722" s="2" t="s">
        <v>12</v>
      </c>
      <c r="F1722">
        <f t="shared" si="26"/>
        <v>9.5184000000000005E-2</v>
      </c>
      <c r="G1722" t="s">
        <v>16</v>
      </c>
      <c r="J1722" t="str">
        <f>"06/13/2017 23:45"</f>
        <v>06/13/2017 23:45</v>
      </c>
    </row>
    <row r="1723" spans="1:10" x14ac:dyDescent="0.3">
      <c r="A1723" t="s">
        <v>6</v>
      </c>
      <c r="B1723" t="str">
        <f>"06/14/2017 00:00"</f>
        <v>06/14/2017 00:00</v>
      </c>
      <c r="C1723">
        <v>36</v>
      </c>
      <c r="D1723" t="s">
        <v>7</v>
      </c>
      <c r="E1723" s="2" t="s">
        <v>12</v>
      </c>
      <c r="F1723">
        <f t="shared" si="26"/>
        <v>71.388000000000005</v>
      </c>
      <c r="G1723" t="s">
        <v>16</v>
      </c>
      <c r="J1723" t="str">
        <f>"06/14/2017 23:45"</f>
        <v>06/14/2017 23:45</v>
      </c>
    </row>
    <row r="1724" spans="1:10" x14ac:dyDescent="0.3">
      <c r="A1724" t="s">
        <v>6</v>
      </c>
      <c r="B1724" t="str">
        <f>"06/15/2017 00:00"</f>
        <v>06/15/2017 00:00</v>
      </c>
      <c r="C1724">
        <v>99.7</v>
      </c>
      <c r="D1724" t="s">
        <v>7</v>
      </c>
      <c r="E1724" s="2" t="s">
        <v>12</v>
      </c>
      <c r="F1724">
        <f t="shared" si="26"/>
        <v>197.70510000000002</v>
      </c>
      <c r="G1724" t="s">
        <v>16</v>
      </c>
      <c r="J1724" t="str">
        <f>"06/15/2017 23:45"</f>
        <v>06/15/2017 23:45</v>
      </c>
    </row>
    <row r="1725" spans="1:10" x14ac:dyDescent="0.3">
      <c r="A1725" t="s">
        <v>6</v>
      </c>
      <c r="B1725" t="str">
        <f>"06/16/2017 00:00"</f>
        <v>06/16/2017 00:00</v>
      </c>
      <c r="C1725">
        <v>101</v>
      </c>
      <c r="D1725" t="s">
        <v>7</v>
      </c>
      <c r="E1725" s="2" t="s">
        <v>12</v>
      </c>
      <c r="F1725">
        <f t="shared" si="26"/>
        <v>200.28300000000002</v>
      </c>
      <c r="G1725" t="s">
        <v>16</v>
      </c>
      <c r="J1725" t="str">
        <f>"06/16/2017 23:45"</f>
        <v>06/16/2017 23:45</v>
      </c>
    </row>
    <row r="1726" spans="1:10" x14ac:dyDescent="0.3">
      <c r="A1726" t="s">
        <v>6</v>
      </c>
      <c r="B1726" t="str">
        <f>"06/17/2017 00:00"</f>
        <v>06/17/2017 00:00</v>
      </c>
      <c r="C1726">
        <v>156</v>
      </c>
      <c r="D1726" t="s">
        <v>7</v>
      </c>
      <c r="E1726" s="2" t="s">
        <v>12</v>
      </c>
      <c r="F1726">
        <f t="shared" si="26"/>
        <v>309.34800000000001</v>
      </c>
      <c r="G1726" t="s">
        <v>16</v>
      </c>
      <c r="J1726" t="str">
        <f>"06/17/2017 23:45"</f>
        <v>06/17/2017 23:45</v>
      </c>
    </row>
    <row r="1727" spans="1:10" x14ac:dyDescent="0.3">
      <c r="A1727" t="s">
        <v>6</v>
      </c>
      <c r="B1727" t="str">
        <f>"06/18/2017 00:00"</f>
        <v>06/18/2017 00:00</v>
      </c>
      <c r="C1727">
        <v>243</v>
      </c>
      <c r="D1727" t="s">
        <v>7</v>
      </c>
      <c r="E1727" s="2" t="s">
        <v>12</v>
      </c>
      <c r="F1727">
        <f t="shared" si="26"/>
        <v>481.86900000000003</v>
      </c>
      <c r="G1727" t="s">
        <v>16</v>
      </c>
      <c r="J1727" t="str">
        <f>"06/18/2017 23:45"</f>
        <v>06/18/2017 23:45</v>
      </c>
    </row>
    <row r="1728" spans="1:10" x14ac:dyDescent="0.3">
      <c r="A1728" t="s">
        <v>6</v>
      </c>
      <c r="B1728" t="str">
        <f>"06/19/2017 00:00"</f>
        <v>06/19/2017 00:00</v>
      </c>
      <c r="C1728">
        <v>301</v>
      </c>
      <c r="D1728" t="s">
        <v>7</v>
      </c>
      <c r="E1728" s="2" t="s">
        <v>12</v>
      </c>
      <c r="F1728">
        <f t="shared" si="26"/>
        <v>596.88300000000004</v>
      </c>
      <c r="G1728" t="s">
        <v>16</v>
      </c>
      <c r="J1728" t="str">
        <f>"06/19/2017 23:45"</f>
        <v>06/19/2017 23:45</v>
      </c>
    </row>
    <row r="1729" spans="1:10" x14ac:dyDescent="0.3">
      <c r="A1729" t="s">
        <v>6</v>
      </c>
      <c r="B1729" t="str">
        <f>"06/20/2017 00:00"</f>
        <v>06/20/2017 00:00</v>
      </c>
      <c r="C1729">
        <v>301</v>
      </c>
      <c r="D1729" t="s">
        <v>7</v>
      </c>
      <c r="E1729" s="2" t="s">
        <v>12</v>
      </c>
      <c r="F1729">
        <f t="shared" si="26"/>
        <v>596.88300000000004</v>
      </c>
      <c r="G1729" t="s">
        <v>16</v>
      </c>
      <c r="J1729" t="str">
        <f>"06/20/2017 23:45"</f>
        <v>06/20/2017 23:45</v>
      </c>
    </row>
    <row r="1730" spans="1:10" x14ac:dyDescent="0.3">
      <c r="A1730" t="s">
        <v>6</v>
      </c>
      <c r="B1730" t="str">
        <f>"06/21/2017 00:00"</f>
        <v>06/21/2017 00:00</v>
      </c>
      <c r="C1730">
        <v>301</v>
      </c>
      <c r="D1730" t="s">
        <v>7</v>
      </c>
      <c r="E1730" s="2" t="s">
        <v>12</v>
      </c>
      <c r="F1730">
        <f t="shared" si="26"/>
        <v>596.88300000000004</v>
      </c>
      <c r="G1730" t="s">
        <v>16</v>
      </c>
      <c r="J1730" t="str">
        <f>"06/21/2017 23:45"</f>
        <v>06/21/2017 23:45</v>
      </c>
    </row>
    <row r="1731" spans="1:10" x14ac:dyDescent="0.3">
      <c r="A1731" t="s">
        <v>6</v>
      </c>
      <c r="B1731" t="str">
        <f>"06/22/2017 00:00"</f>
        <v>06/22/2017 00:00</v>
      </c>
      <c r="C1731">
        <v>334</v>
      </c>
      <c r="D1731" t="s">
        <v>7</v>
      </c>
      <c r="E1731" s="2" t="s">
        <v>12</v>
      </c>
      <c r="F1731">
        <f t="shared" si="26"/>
        <v>662.322</v>
      </c>
      <c r="G1731" t="s">
        <v>16</v>
      </c>
      <c r="J1731" t="str">
        <f>"06/22/2017 23:45"</f>
        <v>06/22/2017 23:45</v>
      </c>
    </row>
    <row r="1732" spans="1:10" x14ac:dyDescent="0.3">
      <c r="A1732" t="s">
        <v>6</v>
      </c>
      <c r="B1732" t="str">
        <f>"06/23/2017 00:00"</f>
        <v>06/23/2017 00:00</v>
      </c>
      <c r="C1732">
        <v>353</v>
      </c>
      <c r="D1732" t="s">
        <v>7</v>
      </c>
      <c r="E1732" s="2" t="s">
        <v>12</v>
      </c>
      <c r="F1732">
        <f t="shared" si="26"/>
        <v>699.99900000000002</v>
      </c>
      <c r="G1732" t="s">
        <v>16</v>
      </c>
      <c r="J1732" t="str">
        <f>"06/23/2017 23:45"</f>
        <v>06/23/2017 23:45</v>
      </c>
    </row>
    <row r="1733" spans="1:10" x14ac:dyDescent="0.3">
      <c r="A1733" t="s">
        <v>6</v>
      </c>
      <c r="B1733" t="str">
        <f>"06/24/2017 00:00"</f>
        <v>06/24/2017 00:00</v>
      </c>
      <c r="C1733">
        <v>352</v>
      </c>
      <c r="D1733" t="s">
        <v>7</v>
      </c>
      <c r="E1733" s="2" t="s">
        <v>12</v>
      </c>
      <c r="F1733">
        <f t="shared" si="26"/>
        <v>698.01600000000008</v>
      </c>
      <c r="G1733" t="s">
        <v>16</v>
      </c>
      <c r="J1733" t="str">
        <f>"06/24/2017 23:45"</f>
        <v>06/24/2017 23:45</v>
      </c>
    </row>
    <row r="1734" spans="1:10" x14ac:dyDescent="0.3">
      <c r="A1734" t="s">
        <v>6</v>
      </c>
      <c r="B1734" t="str">
        <f>"06/25/2017 00:00"</f>
        <v>06/25/2017 00:00</v>
      </c>
      <c r="C1734">
        <v>351</v>
      </c>
      <c r="D1734" t="s">
        <v>7</v>
      </c>
      <c r="E1734" s="2" t="s">
        <v>12</v>
      </c>
      <c r="F1734">
        <f t="shared" si="26"/>
        <v>696.03300000000002</v>
      </c>
      <c r="G1734" t="s">
        <v>16</v>
      </c>
      <c r="J1734" t="str">
        <f>"06/25/2017 23:45"</f>
        <v>06/25/2017 23:45</v>
      </c>
    </row>
    <row r="1735" spans="1:10" x14ac:dyDescent="0.3">
      <c r="A1735" t="s">
        <v>6</v>
      </c>
      <c r="B1735" t="str">
        <f>"06/26/2017 00:00"</f>
        <v>06/26/2017 00:00</v>
      </c>
      <c r="C1735">
        <v>381</v>
      </c>
      <c r="D1735" t="s">
        <v>7</v>
      </c>
      <c r="E1735" s="2" t="s">
        <v>12</v>
      </c>
      <c r="F1735">
        <f t="shared" ref="F1735:F1798" si="27">C1735*1.983</f>
        <v>755.52300000000002</v>
      </c>
      <c r="G1735" t="s">
        <v>16</v>
      </c>
      <c r="J1735" t="str">
        <f>"06/26/2017 23:45"</f>
        <v>06/26/2017 23:45</v>
      </c>
    </row>
    <row r="1736" spans="1:10" x14ac:dyDescent="0.3">
      <c r="A1736" t="s">
        <v>6</v>
      </c>
      <c r="B1736" t="str">
        <f>"06/27/2017 00:00"</f>
        <v>06/27/2017 00:00</v>
      </c>
      <c r="C1736">
        <v>401</v>
      </c>
      <c r="D1736" t="s">
        <v>7</v>
      </c>
      <c r="E1736" s="2" t="s">
        <v>12</v>
      </c>
      <c r="F1736">
        <f t="shared" si="27"/>
        <v>795.18299999999999</v>
      </c>
      <c r="G1736" t="s">
        <v>16</v>
      </c>
      <c r="J1736" t="str">
        <f>"06/27/2017 23:45"</f>
        <v>06/27/2017 23:45</v>
      </c>
    </row>
    <row r="1737" spans="1:10" x14ac:dyDescent="0.3">
      <c r="A1737" t="s">
        <v>6</v>
      </c>
      <c r="B1737" t="str">
        <f>"06/28/2017 00:00"</f>
        <v>06/28/2017 00:00</v>
      </c>
      <c r="C1737">
        <v>401</v>
      </c>
      <c r="D1737" t="s">
        <v>7</v>
      </c>
      <c r="E1737" s="2" t="s">
        <v>12</v>
      </c>
      <c r="F1737">
        <f t="shared" si="27"/>
        <v>795.18299999999999</v>
      </c>
      <c r="G1737" t="s">
        <v>16</v>
      </c>
      <c r="J1737" t="str">
        <f>"06/28/2017 23:45"</f>
        <v>06/28/2017 23:45</v>
      </c>
    </row>
    <row r="1738" spans="1:10" x14ac:dyDescent="0.3">
      <c r="A1738" t="s">
        <v>6</v>
      </c>
      <c r="B1738" t="str">
        <f>"06/29/2017 00:00"</f>
        <v>06/29/2017 00:00</v>
      </c>
      <c r="C1738">
        <v>401</v>
      </c>
      <c r="D1738" t="s">
        <v>7</v>
      </c>
      <c r="E1738" s="2" t="s">
        <v>12</v>
      </c>
      <c r="F1738">
        <f t="shared" si="27"/>
        <v>795.18299999999999</v>
      </c>
      <c r="G1738" t="s">
        <v>16</v>
      </c>
      <c r="J1738" t="str">
        <f>"06/29/2017 23:45"</f>
        <v>06/29/2017 23:45</v>
      </c>
    </row>
    <row r="1739" spans="1:10" x14ac:dyDescent="0.3">
      <c r="A1739" t="s">
        <v>6</v>
      </c>
      <c r="B1739" t="str">
        <f>"06/30/2017 00:00"</f>
        <v>06/30/2017 00:00</v>
      </c>
      <c r="C1739">
        <v>400</v>
      </c>
      <c r="D1739" t="s">
        <v>7</v>
      </c>
      <c r="E1739" s="2" t="s">
        <v>12</v>
      </c>
      <c r="F1739">
        <f t="shared" si="27"/>
        <v>793.2</v>
      </c>
      <c r="G1739" t="s">
        <v>16</v>
      </c>
      <c r="J1739" t="str">
        <f>"06/30/2017 23:45"</f>
        <v>06/30/2017 23:45</v>
      </c>
    </row>
    <row r="1740" spans="1:10" x14ac:dyDescent="0.3">
      <c r="A1740" t="s">
        <v>6</v>
      </c>
      <c r="B1740" t="str">
        <f>"07/01/2017 00:00"</f>
        <v>07/01/2017 00:00</v>
      </c>
      <c r="C1740">
        <v>347</v>
      </c>
      <c r="D1740" t="s">
        <v>7</v>
      </c>
      <c r="E1740" s="2" t="s">
        <v>12</v>
      </c>
      <c r="F1740">
        <f t="shared" si="27"/>
        <v>688.101</v>
      </c>
      <c r="G1740" t="s">
        <v>16</v>
      </c>
      <c r="J1740" t="str">
        <f>"07/01/2017 23:45"</f>
        <v>07/01/2017 23:45</v>
      </c>
    </row>
    <row r="1741" spans="1:10" x14ac:dyDescent="0.3">
      <c r="A1741" t="s">
        <v>6</v>
      </c>
      <c r="B1741" t="str">
        <f>"07/02/2017 00:00"</f>
        <v>07/02/2017 00:00</v>
      </c>
      <c r="C1741">
        <v>267</v>
      </c>
      <c r="D1741" t="s">
        <v>7</v>
      </c>
      <c r="E1741" s="2" t="s">
        <v>12</v>
      </c>
      <c r="F1741">
        <f t="shared" si="27"/>
        <v>529.46100000000001</v>
      </c>
      <c r="G1741" t="s">
        <v>16</v>
      </c>
      <c r="J1741" t="str">
        <f>"07/02/2017 23:45"</f>
        <v>07/02/2017 23:45</v>
      </c>
    </row>
    <row r="1742" spans="1:10" x14ac:dyDescent="0.3">
      <c r="A1742" t="s">
        <v>6</v>
      </c>
      <c r="B1742" t="str">
        <f>"07/03/2017 00:00"</f>
        <v>07/03/2017 00:00</v>
      </c>
      <c r="C1742">
        <v>243</v>
      </c>
      <c r="D1742" t="s">
        <v>7</v>
      </c>
      <c r="E1742" s="2" t="s">
        <v>12</v>
      </c>
      <c r="F1742">
        <f t="shared" si="27"/>
        <v>481.86900000000003</v>
      </c>
      <c r="G1742" t="s">
        <v>16</v>
      </c>
      <c r="J1742" t="str">
        <f>"07/03/2017 23:45"</f>
        <v>07/03/2017 23:45</v>
      </c>
    </row>
    <row r="1743" spans="1:10" x14ac:dyDescent="0.3">
      <c r="A1743" t="s">
        <v>6</v>
      </c>
      <c r="B1743" t="str">
        <f>"07/04/2017 00:00"</f>
        <v>07/04/2017 00:00</v>
      </c>
      <c r="C1743">
        <v>243</v>
      </c>
      <c r="D1743" t="s">
        <v>7</v>
      </c>
      <c r="E1743" s="2" t="s">
        <v>12</v>
      </c>
      <c r="F1743">
        <f t="shared" si="27"/>
        <v>481.86900000000003</v>
      </c>
      <c r="G1743" t="s">
        <v>16</v>
      </c>
      <c r="J1743" t="str">
        <f>"07/04/2017 23:45"</f>
        <v>07/04/2017 23:45</v>
      </c>
    </row>
    <row r="1744" spans="1:10" x14ac:dyDescent="0.3">
      <c r="A1744" t="s">
        <v>6</v>
      </c>
      <c r="B1744" t="str">
        <f>"07/05/2017 00:00"</f>
        <v>07/05/2017 00:00</v>
      </c>
      <c r="C1744">
        <v>243</v>
      </c>
      <c r="D1744" t="s">
        <v>7</v>
      </c>
      <c r="E1744" s="2" t="s">
        <v>12</v>
      </c>
      <c r="F1744">
        <f t="shared" si="27"/>
        <v>481.86900000000003</v>
      </c>
      <c r="G1744" t="s">
        <v>16</v>
      </c>
      <c r="J1744" t="str">
        <f>"07/05/2017 23:45"</f>
        <v>07/05/2017 23:45</v>
      </c>
    </row>
    <row r="1745" spans="1:10" x14ac:dyDescent="0.3">
      <c r="A1745" t="s">
        <v>6</v>
      </c>
      <c r="B1745" t="str">
        <f>"07/06/2017 00:00"</f>
        <v>07/06/2017 00:00</v>
      </c>
      <c r="C1745">
        <v>242</v>
      </c>
      <c r="D1745" t="s">
        <v>7</v>
      </c>
      <c r="E1745" s="2" t="s">
        <v>12</v>
      </c>
      <c r="F1745">
        <f t="shared" si="27"/>
        <v>479.88600000000002</v>
      </c>
      <c r="G1745" t="s">
        <v>16</v>
      </c>
      <c r="J1745" t="str">
        <f>"07/06/2017 23:45"</f>
        <v>07/06/2017 23:45</v>
      </c>
    </row>
    <row r="1746" spans="1:10" x14ac:dyDescent="0.3">
      <c r="A1746" t="s">
        <v>6</v>
      </c>
      <c r="B1746" t="str">
        <f>"07/07/2017 00:00"</f>
        <v>07/07/2017 00:00</v>
      </c>
      <c r="C1746">
        <v>242</v>
      </c>
      <c r="D1746" t="s">
        <v>7</v>
      </c>
      <c r="E1746" s="2" t="s">
        <v>12</v>
      </c>
      <c r="F1746">
        <f t="shared" si="27"/>
        <v>479.88600000000002</v>
      </c>
      <c r="G1746" t="s">
        <v>16</v>
      </c>
      <c r="J1746" t="str">
        <f>"07/07/2017 23:45"</f>
        <v>07/07/2017 23:45</v>
      </c>
    </row>
    <row r="1747" spans="1:10" x14ac:dyDescent="0.3">
      <c r="A1747" t="s">
        <v>6</v>
      </c>
      <c r="B1747" t="str">
        <f>"07/08/2017 00:00"</f>
        <v>07/08/2017 00:00</v>
      </c>
      <c r="C1747">
        <v>241</v>
      </c>
      <c r="D1747" t="s">
        <v>7</v>
      </c>
      <c r="E1747" s="2" t="s">
        <v>12</v>
      </c>
      <c r="F1747">
        <f t="shared" si="27"/>
        <v>477.90300000000002</v>
      </c>
      <c r="G1747" t="s">
        <v>16</v>
      </c>
      <c r="J1747" t="str">
        <f>"07/08/2017 23:45"</f>
        <v>07/08/2017 23:45</v>
      </c>
    </row>
    <row r="1748" spans="1:10" x14ac:dyDescent="0.3">
      <c r="A1748" t="s">
        <v>6</v>
      </c>
      <c r="B1748" t="str">
        <f>"07/09/2017 00:00"</f>
        <v>07/09/2017 00:00</v>
      </c>
      <c r="C1748">
        <v>242</v>
      </c>
      <c r="D1748" t="s">
        <v>7</v>
      </c>
      <c r="E1748" s="2" t="s">
        <v>12</v>
      </c>
      <c r="F1748">
        <f t="shared" si="27"/>
        <v>479.88600000000002</v>
      </c>
      <c r="G1748" t="s">
        <v>16</v>
      </c>
      <c r="J1748" t="str">
        <f>"07/09/2017 23:45"</f>
        <v>07/09/2017 23:45</v>
      </c>
    </row>
    <row r="1749" spans="1:10" x14ac:dyDescent="0.3">
      <c r="A1749" t="s">
        <v>6</v>
      </c>
      <c r="B1749" t="str">
        <f>"07/10/2017 00:00"</f>
        <v>07/10/2017 00:00</v>
      </c>
      <c r="C1749">
        <v>270</v>
      </c>
      <c r="D1749" t="s">
        <v>7</v>
      </c>
      <c r="E1749" s="2" t="s">
        <v>12</v>
      </c>
      <c r="F1749">
        <f t="shared" si="27"/>
        <v>535.41000000000008</v>
      </c>
      <c r="G1749" t="s">
        <v>16</v>
      </c>
      <c r="J1749" t="str">
        <f>"07/10/2017 23:45"</f>
        <v>07/10/2017 23:45</v>
      </c>
    </row>
    <row r="1750" spans="1:10" x14ac:dyDescent="0.3">
      <c r="A1750" t="s">
        <v>6</v>
      </c>
      <c r="B1750" t="str">
        <f>"07/11/2017 00:00"</f>
        <v>07/11/2017 00:00</v>
      </c>
      <c r="C1750">
        <v>289</v>
      </c>
      <c r="D1750" t="s">
        <v>7</v>
      </c>
      <c r="E1750" s="2" t="s">
        <v>12</v>
      </c>
      <c r="F1750">
        <f t="shared" si="27"/>
        <v>573.08699999999999</v>
      </c>
      <c r="G1750" t="s">
        <v>16</v>
      </c>
      <c r="J1750" t="str">
        <f>"07/11/2017 23:45"</f>
        <v>07/11/2017 23:45</v>
      </c>
    </row>
    <row r="1751" spans="1:10" x14ac:dyDescent="0.3">
      <c r="A1751" t="s">
        <v>6</v>
      </c>
      <c r="B1751" t="str">
        <f>"07/12/2017 00:00"</f>
        <v>07/12/2017 00:00</v>
      </c>
      <c r="C1751">
        <v>293</v>
      </c>
      <c r="D1751" t="s">
        <v>7</v>
      </c>
      <c r="E1751" s="2" t="s">
        <v>12</v>
      </c>
      <c r="F1751">
        <f t="shared" si="27"/>
        <v>581.01900000000001</v>
      </c>
      <c r="G1751" t="s">
        <v>16</v>
      </c>
      <c r="J1751" t="str">
        <f>"07/12/2017 23:45"</f>
        <v>07/12/2017 23:45</v>
      </c>
    </row>
    <row r="1752" spans="1:10" x14ac:dyDescent="0.3">
      <c r="A1752" t="s">
        <v>6</v>
      </c>
      <c r="B1752" t="str">
        <f>"07/13/2017 00:00"</f>
        <v>07/13/2017 00:00</v>
      </c>
      <c r="C1752">
        <v>293</v>
      </c>
      <c r="D1752" t="s">
        <v>7</v>
      </c>
      <c r="E1752" s="2" t="s">
        <v>12</v>
      </c>
      <c r="F1752">
        <f t="shared" si="27"/>
        <v>581.01900000000001</v>
      </c>
      <c r="G1752" t="s">
        <v>16</v>
      </c>
      <c r="J1752" t="str">
        <f>"07/13/2017 23:45"</f>
        <v>07/13/2017 23:45</v>
      </c>
    </row>
    <row r="1753" spans="1:10" x14ac:dyDescent="0.3">
      <c r="A1753" t="s">
        <v>6</v>
      </c>
      <c r="B1753" t="str">
        <f>"07/14/2017 00:00"</f>
        <v>07/14/2017 00:00</v>
      </c>
      <c r="C1753">
        <v>293</v>
      </c>
      <c r="D1753" t="s">
        <v>7</v>
      </c>
      <c r="E1753" s="2" t="s">
        <v>12</v>
      </c>
      <c r="F1753">
        <f t="shared" si="27"/>
        <v>581.01900000000001</v>
      </c>
      <c r="G1753" t="s">
        <v>16</v>
      </c>
      <c r="J1753" t="str">
        <f>"07/14/2017 23:45"</f>
        <v>07/14/2017 23:45</v>
      </c>
    </row>
    <row r="1754" spans="1:10" x14ac:dyDescent="0.3">
      <c r="A1754" t="s">
        <v>6</v>
      </c>
      <c r="B1754" t="str">
        <f>"07/15/2017 00:00"</f>
        <v>07/15/2017 00:00</v>
      </c>
      <c r="C1754">
        <v>293</v>
      </c>
      <c r="D1754" t="s">
        <v>7</v>
      </c>
      <c r="E1754" s="2" t="s">
        <v>12</v>
      </c>
      <c r="F1754">
        <f t="shared" si="27"/>
        <v>581.01900000000001</v>
      </c>
      <c r="G1754" t="s">
        <v>16</v>
      </c>
      <c r="J1754" t="str">
        <f>"07/15/2017 23:45"</f>
        <v>07/15/2017 23:45</v>
      </c>
    </row>
    <row r="1755" spans="1:10" x14ac:dyDescent="0.3">
      <c r="A1755" t="s">
        <v>6</v>
      </c>
      <c r="B1755" t="str">
        <f>"07/16/2017 00:00"</f>
        <v>07/16/2017 00:00</v>
      </c>
      <c r="C1755">
        <v>293</v>
      </c>
      <c r="D1755" t="s">
        <v>7</v>
      </c>
      <c r="E1755" s="2" t="s">
        <v>12</v>
      </c>
      <c r="F1755">
        <f t="shared" si="27"/>
        <v>581.01900000000001</v>
      </c>
      <c r="G1755" t="s">
        <v>16</v>
      </c>
      <c r="J1755" t="str">
        <f>"07/16/2017 23:45"</f>
        <v>07/16/2017 23:45</v>
      </c>
    </row>
    <row r="1756" spans="1:10" x14ac:dyDescent="0.3">
      <c r="A1756" t="s">
        <v>6</v>
      </c>
      <c r="B1756" t="str">
        <f>"07/17/2017 00:00"</f>
        <v>07/17/2017 00:00</v>
      </c>
      <c r="C1756">
        <v>293</v>
      </c>
      <c r="D1756" t="s">
        <v>7</v>
      </c>
      <c r="E1756" s="2" t="s">
        <v>12</v>
      </c>
      <c r="F1756">
        <f t="shared" si="27"/>
        <v>581.01900000000001</v>
      </c>
      <c r="G1756" t="s">
        <v>16</v>
      </c>
      <c r="J1756" t="str">
        <f>"07/17/2017 23:45"</f>
        <v>07/17/2017 23:45</v>
      </c>
    </row>
    <row r="1757" spans="1:10" x14ac:dyDescent="0.3">
      <c r="A1757" t="s">
        <v>6</v>
      </c>
      <c r="B1757" t="str">
        <f>"07/18/2017 00:00"</f>
        <v>07/18/2017 00:00</v>
      </c>
      <c r="C1757">
        <v>293</v>
      </c>
      <c r="D1757" t="s">
        <v>7</v>
      </c>
      <c r="E1757" s="2" t="s">
        <v>12</v>
      </c>
      <c r="F1757">
        <f t="shared" si="27"/>
        <v>581.01900000000001</v>
      </c>
      <c r="G1757" t="s">
        <v>16</v>
      </c>
      <c r="J1757" t="str">
        <f>"07/18/2017 23:45"</f>
        <v>07/18/2017 23:45</v>
      </c>
    </row>
    <row r="1758" spans="1:10" x14ac:dyDescent="0.3">
      <c r="A1758" t="s">
        <v>6</v>
      </c>
      <c r="B1758" t="str">
        <f>"07/19/2017 00:00"</f>
        <v>07/19/2017 00:00</v>
      </c>
      <c r="C1758">
        <v>293</v>
      </c>
      <c r="D1758" t="s">
        <v>7</v>
      </c>
      <c r="E1758" s="2" t="s">
        <v>12</v>
      </c>
      <c r="F1758">
        <f t="shared" si="27"/>
        <v>581.01900000000001</v>
      </c>
      <c r="G1758" t="s">
        <v>16</v>
      </c>
      <c r="J1758" t="str">
        <f>"07/19/2017 23:45"</f>
        <v>07/19/2017 23:45</v>
      </c>
    </row>
    <row r="1759" spans="1:10" x14ac:dyDescent="0.3">
      <c r="A1759" t="s">
        <v>6</v>
      </c>
      <c r="B1759" t="str">
        <f>"07/20/2017 00:00"</f>
        <v>07/20/2017 00:00</v>
      </c>
      <c r="C1759">
        <v>293</v>
      </c>
      <c r="D1759" t="s">
        <v>7</v>
      </c>
      <c r="E1759" s="2" t="s">
        <v>12</v>
      </c>
      <c r="F1759">
        <f t="shared" si="27"/>
        <v>581.01900000000001</v>
      </c>
      <c r="G1759" t="s">
        <v>16</v>
      </c>
      <c r="J1759" t="str">
        <f>"07/20/2017 23:45"</f>
        <v>07/20/2017 23:45</v>
      </c>
    </row>
    <row r="1760" spans="1:10" x14ac:dyDescent="0.3">
      <c r="A1760" t="s">
        <v>6</v>
      </c>
      <c r="B1760" t="str">
        <f>"07/21/2017 00:00"</f>
        <v>07/21/2017 00:00</v>
      </c>
      <c r="C1760">
        <v>232</v>
      </c>
      <c r="D1760" t="s">
        <v>7</v>
      </c>
      <c r="E1760" s="2" t="s">
        <v>12</v>
      </c>
      <c r="F1760">
        <f t="shared" si="27"/>
        <v>460.05600000000004</v>
      </c>
      <c r="G1760" t="s">
        <v>16</v>
      </c>
      <c r="J1760" t="str">
        <f>"07/21/2017 23:45"</f>
        <v>07/21/2017 23:45</v>
      </c>
    </row>
    <row r="1761" spans="1:10" x14ac:dyDescent="0.3">
      <c r="A1761" t="s">
        <v>6</v>
      </c>
      <c r="B1761" t="str">
        <f>"07/22/2017 00:00"</f>
        <v>07/22/2017 00:00</v>
      </c>
      <c r="C1761">
        <v>193</v>
      </c>
      <c r="D1761" t="s">
        <v>7</v>
      </c>
      <c r="E1761" s="2" t="s">
        <v>12</v>
      </c>
      <c r="F1761">
        <f t="shared" si="27"/>
        <v>382.71899999999999</v>
      </c>
      <c r="G1761" t="s">
        <v>16</v>
      </c>
      <c r="J1761" t="str">
        <f>"07/22/2017 23:45"</f>
        <v>07/22/2017 23:45</v>
      </c>
    </row>
    <row r="1762" spans="1:10" x14ac:dyDescent="0.3">
      <c r="A1762" t="s">
        <v>6</v>
      </c>
      <c r="B1762" t="str">
        <f>"07/23/2017 00:00"</f>
        <v>07/23/2017 00:00</v>
      </c>
      <c r="C1762">
        <v>219</v>
      </c>
      <c r="D1762" t="s">
        <v>7</v>
      </c>
      <c r="E1762" s="2" t="s">
        <v>12</v>
      </c>
      <c r="F1762">
        <f t="shared" si="27"/>
        <v>434.27700000000004</v>
      </c>
      <c r="G1762" t="s">
        <v>16</v>
      </c>
      <c r="J1762" t="str">
        <f>"07/23/2017 23:45"</f>
        <v>07/23/2017 23:45</v>
      </c>
    </row>
    <row r="1763" spans="1:10" x14ac:dyDescent="0.3">
      <c r="A1763" t="s">
        <v>6</v>
      </c>
      <c r="B1763" t="str">
        <f>"07/24/2017 00:00"</f>
        <v>07/24/2017 00:00</v>
      </c>
      <c r="C1763">
        <v>238</v>
      </c>
      <c r="D1763" t="s">
        <v>7</v>
      </c>
      <c r="E1763" s="2" t="s">
        <v>12</v>
      </c>
      <c r="F1763">
        <f t="shared" si="27"/>
        <v>471.95400000000001</v>
      </c>
      <c r="G1763" t="s">
        <v>16</v>
      </c>
      <c r="J1763" t="str">
        <f>"07/24/2017 23:45"</f>
        <v>07/24/2017 23:45</v>
      </c>
    </row>
    <row r="1764" spans="1:10" x14ac:dyDescent="0.3">
      <c r="A1764" t="s">
        <v>6</v>
      </c>
      <c r="B1764" t="str">
        <f>"07/25/2017 00:00"</f>
        <v>07/25/2017 00:00</v>
      </c>
      <c r="C1764">
        <v>161</v>
      </c>
      <c r="D1764" t="s">
        <v>7</v>
      </c>
      <c r="E1764" s="2" t="s">
        <v>12</v>
      </c>
      <c r="F1764">
        <f t="shared" si="27"/>
        <v>319.26300000000003</v>
      </c>
      <c r="G1764" t="s">
        <v>16</v>
      </c>
      <c r="J1764" t="str">
        <f>"07/25/2017 23:45"</f>
        <v>07/25/2017 23:45</v>
      </c>
    </row>
    <row r="1765" spans="1:10" x14ac:dyDescent="0.3">
      <c r="A1765" t="s">
        <v>6</v>
      </c>
      <c r="B1765" t="str">
        <f>"07/26/2017 00:00"</f>
        <v>07/26/2017 00:00</v>
      </c>
      <c r="C1765">
        <v>138</v>
      </c>
      <c r="D1765" t="s">
        <v>7</v>
      </c>
      <c r="E1765" s="2" t="s">
        <v>12</v>
      </c>
      <c r="F1765">
        <f t="shared" si="27"/>
        <v>273.654</v>
      </c>
      <c r="G1765" t="s">
        <v>16</v>
      </c>
      <c r="J1765" t="str">
        <f>"07/26/2017 23:45"</f>
        <v>07/26/2017 23:45</v>
      </c>
    </row>
    <row r="1766" spans="1:10" x14ac:dyDescent="0.3">
      <c r="A1766" t="s">
        <v>6</v>
      </c>
      <c r="B1766" t="str">
        <f>"07/27/2017 00:00"</f>
        <v>07/27/2017 00:00</v>
      </c>
      <c r="C1766">
        <v>48.3</v>
      </c>
      <c r="D1766" t="s">
        <v>7</v>
      </c>
      <c r="E1766" s="2" t="s">
        <v>12</v>
      </c>
      <c r="F1766">
        <f t="shared" si="27"/>
        <v>95.778899999999993</v>
      </c>
      <c r="G1766" t="s">
        <v>16</v>
      </c>
      <c r="J1766" t="str">
        <f>"07/27/2017 23:45"</f>
        <v>07/27/2017 23:45</v>
      </c>
    </row>
    <row r="1767" spans="1:10" x14ac:dyDescent="0.3">
      <c r="A1767" t="s">
        <v>6</v>
      </c>
      <c r="B1767" t="str">
        <f>"07/28/2017 00:00"</f>
        <v>07/28/2017 00:00</v>
      </c>
      <c r="C1767">
        <v>0.17100000000000001</v>
      </c>
      <c r="D1767" t="s">
        <v>7</v>
      </c>
      <c r="E1767" s="2" t="s">
        <v>12</v>
      </c>
      <c r="F1767">
        <f t="shared" si="27"/>
        <v>0.33909300000000003</v>
      </c>
      <c r="G1767" t="s">
        <v>16</v>
      </c>
      <c r="J1767" t="str">
        <f>"07/28/2017 23:45"</f>
        <v>07/28/2017 23:45</v>
      </c>
    </row>
    <row r="1768" spans="1:10" x14ac:dyDescent="0.3">
      <c r="A1768" t="s">
        <v>6</v>
      </c>
      <c r="B1768" t="str">
        <f>"07/29/2017 00:00"</f>
        <v>07/29/2017 00:00</v>
      </c>
      <c r="C1768">
        <v>0.14599999999999999</v>
      </c>
      <c r="D1768" t="s">
        <v>7</v>
      </c>
      <c r="E1768" s="2" t="s">
        <v>12</v>
      </c>
      <c r="F1768">
        <f t="shared" si="27"/>
        <v>0.289518</v>
      </c>
      <c r="G1768" t="s">
        <v>16</v>
      </c>
      <c r="J1768" t="str">
        <f>"07/29/2017 23:45"</f>
        <v>07/29/2017 23:45</v>
      </c>
    </row>
    <row r="1769" spans="1:10" x14ac:dyDescent="0.3">
      <c r="A1769" t="s">
        <v>6</v>
      </c>
      <c r="B1769" t="str">
        <f>"07/30/2017 00:00"</f>
        <v>07/30/2017 00:00</v>
      </c>
      <c r="C1769">
        <v>0.14599999999999999</v>
      </c>
      <c r="D1769" t="s">
        <v>7</v>
      </c>
      <c r="E1769" s="2" t="s">
        <v>12</v>
      </c>
      <c r="F1769">
        <f t="shared" si="27"/>
        <v>0.289518</v>
      </c>
      <c r="G1769" t="s">
        <v>16</v>
      </c>
      <c r="J1769" t="str">
        <f>"07/30/2017 23:45"</f>
        <v>07/30/2017 23:45</v>
      </c>
    </row>
    <row r="1770" spans="1:10" x14ac:dyDescent="0.3">
      <c r="A1770" t="s">
        <v>6</v>
      </c>
      <c r="B1770" t="str">
        <f>"07/31/2017 00:00"</f>
        <v>07/31/2017 00:00</v>
      </c>
      <c r="C1770">
        <v>0.14599999999999999</v>
      </c>
      <c r="D1770" t="s">
        <v>7</v>
      </c>
      <c r="E1770" s="2" t="s">
        <v>12</v>
      </c>
      <c r="F1770">
        <f t="shared" si="27"/>
        <v>0.289518</v>
      </c>
      <c r="G1770" t="s">
        <v>16</v>
      </c>
      <c r="J1770" t="str">
        <f>"07/31/2017 23:45"</f>
        <v>07/31/2017 23:45</v>
      </c>
    </row>
    <row r="1771" spans="1:10" x14ac:dyDescent="0.3">
      <c r="A1771" t="s">
        <v>6</v>
      </c>
      <c r="B1771" t="str">
        <f>"08/01/2017 00:00"</f>
        <v>08/01/2017 00:00</v>
      </c>
      <c r="C1771">
        <v>0.14599999999999999</v>
      </c>
      <c r="D1771" t="s">
        <v>7</v>
      </c>
      <c r="E1771" s="2" t="s">
        <v>12</v>
      </c>
      <c r="F1771">
        <f t="shared" si="27"/>
        <v>0.289518</v>
      </c>
      <c r="G1771" t="s">
        <v>16</v>
      </c>
      <c r="J1771" t="str">
        <f>"08/01/2017 23:45"</f>
        <v>08/01/2017 23:45</v>
      </c>
    </row>
    <row r="1772" spans="1:10" x14ac:dyDescent="0.3">
      <c r="A1772" t="s">
        <v>6</v>
      </c>
      <c r="B1772" t="str">
        <f>"08/02/2017 00:00"</f>
        <v>08/02/2017 00:00</v>
      </c>
      <c r="C1772">
        <v>0.14599999999999999</v>
      </c>
      <c r="D1772" t="s">
        <v>7</v>
      </c>
      <c r="E1772" s="2" t="s">
        <v>12</v>
      </c>
      <c r="F1772">
        <f t="shared" si="27"/>
        <v>0.289518</v>
      </c>
      <c r="G1772" t="s">
        <v>16</v>
      </c>
      <c r="J1772" t="str">
        <f>"08/02/2017 23:45"</f>
        <v>08/02/2017 23:45</v>
      </c>
    </row>
    <row r="1773" spans="1:10" x14ac:dyDescent="0.3">
      <c r="A1773" t="s">
        <v>6</v>
      </c>
      <c r="B1773" t="str">
        <f>"08/03/2017 00:00"</f>
        <v>08/03/2017 00:00</v>
      </c>
      <c r="C1773">
        <v>0.14599999999999999</v>
      </c>
      <c r="D1773" t="s">
        <v>7</v>
      </c>
      <c r="E1773" s="2" t="s">
        <v>12</v>
      </c>
      <c r="F1773">
        <f t="shared" si="27"/>
        <v>0.289518</v>
      </c>
      <c r="G1773" t="s">
        <v>16</v>
      </c>
      <c r="J1773" t="str">
        <f>"08/03/2017 23:45"</f>
        <v>08/03/2017 23:45</v>
      </c>
    </row>
    <row r="1774" spans="1:10" x14ac:dyDescent="0.3">
      <c r="A1774" t="s">
        <v>6</v>
      </c>
      <c r="B1774" t="str">
        <f>"08/04/2017 00:00"</f>
        <v>08/04/2017 00:00</v>
      </c>
      <c r="C1774">
        <v>0.14599999999999999</v>
      </c>
      <c r="D1774" t="s">
        <v>7</v>
      </c>
      <c r="E1774" s="2" t="s">
        <v>12</v>
      </c>
      <c r="F1774">
        <f t="shared" si="27"/>
        <v>0.289518</v>
      </c>
      <c r="G1774" t="s">
        <v>16</v>
      </c>
      <c r="J1774" t="str">
        <f>"08/04/2017 23:45"</f>
        <v>08/04/2017 23:45</v>
      </c>
    </row>
    <row r="1775" spans="1:10" x14ac:dyDescent="0.3">
      <c r="A1775" t="s">
        <v>6</v>
      </c>
      <c r="B1775" t="str">
        <f>"08/05/2017 00:00"</f>
        <v>08/05/2017 00:00</v>
      </c>
      <c r="C1775">
        <v>0.14599999999999999</v>
      </c>
      <c r="D1775" t="s">
        <v>7</v>
      </c>
      <c r="E1775" s="2" t="s">
        <v>12</v>
      </c>
      <c r="F1775">
        <f t="shared" si="27"/>
        <v>0.289518</v>
      </c>
      <c r="G1775" t="s">
        <v>16</v>
      </c>
      <c r="J1775" t="str">
        <f>"08/05/2017 23:45"</f>
        <v>08/05/2017 23:45</v>
      </c>
    </row>
    <row r="1776" spans="1:10" x14ac:dyDescent="0.3">
      <c r="A1776" t="s">
        <v>6</v>
      </c>
      <c r="B1776" t="str">
        <f>"08/06/2017 00:00"</f>
        <v>08/06/2017 00:00</v>
      </c>
      <c r="C1776">
        <v>0.14599999999999999</v>
      </c>
      <c r="D1776" t="s">
        <v>7</v>
      </c>
      <c r="E1776" s="2" t="s">
        <v>12</v>
      </c>
      <c r="F1776">
        <f t="shared" si="27"/>
        <v>0.289518</v>
      </c>
      <c r="G1776" t="s">
        <v>16</v>
      </c>
      <c r="J1776" t="str">
        <f>"08/06/2017 23:45"</f>
        <v>08/06/2017 23:45</v>
      </c>
    </row>
    <row r="1777" spans="1:10" x14ac:dyDescent="0.3">
      <c r="A1777" t="s">
        <v>6</v>
      </c>
      <c r="B1777" t="str">
        <f>"08/07/2017 00:00"</f>
        <v>08/07/2017 00:00</v>
      </c>
      <c r="C1777">
        <v>0.14599999999999999</v>
      </c>
      <c r="D1777" t="s">
        <v>7</v>
      </c>
      <c r="E1777" s="2" t="s">
        <v>12</v>
      </c>
      <c r="F1777">
        <f t="shared" si="27"/>
        <v>0.289518</v>
      </c>
      <c r="G1777" t="s">
        <v>16</v>
      </c>
      <c r="J1777" t="str">
        <f>"08/07/2017 23:45"</f>
        <v>08/07/2017 23:45</v>
      </c>
    </row>
    <row r="1778" spans="1:10" x14ac:dyDescent="0.3">
      <c r="A1778" t="s">
        <v>6</v>
      </c>
      <c r="B1778" t="str">
        <f>"08/08/2017 00:00"</f>
        <v>08/08/2017 00:00</v>
      </c>
      <c r="C1778">
        <v>0.14599999999999999</v>
      </c>
      <c r="D1778" t="s">
        <v>7</v>
      </c>
      <c r="E1778" s="2" t="s">
        <v>12</v>
      </c>
      <c r="F1778">
        <f t="shared" si="27"/>
        <v>0.289518</v>
      </c>
      <c r="G1778" t="s">
        <v>16</v>
      </c>
      <c r="J1778" t="str">
        <f>"08/08/2017 23:45"</f>
        <v>08/08/2017 23:45</v>
      </c>
    </row>
    <row r="1779" spans="1:10" x14ac:dyDescent="0.3">
      <c r="A1779" t="s">
        <v>6</v>
      </c>
      <c r="B1779" t="str">
        <f>"08/09/2017 00:00"</f>
        <v>08/09/2017 00:00</v>
      </c>
      <c r="C1779">
        <v>0.14599999999999999</v>
      </c>
      <c r="D1779" t="s">
        <v>7</v>
      </c>
      <c r="E1779" s="2" t="s">
        <v>12</v>
      </c>
      <c r="F1779">
        <f t="shared" si="27"/>
        <v>0.289518</v>
      </c>
      <c r="G1779" t="s">
        <v>16</v>
      </c>
      <c r="J1779" t="str">
        <f>"08/09/2017 23:45"</f>
        <v>08/09/2017 23:45</v>
      </c>
    </row>
    <row r="1780" spans="1:10" x14ac:dyDescent="0.3">
      <c r="A1780" t="s">
        <v>6</v>
      </c>
      <c r="B1780" t="str">
        <f>"08/10/2017 00:00"</f>
        <v>08/10/2017 00:00</v>
      </c>
      <c r="C1780">
        <v>0.14599999999999999</v>
      </c>
      <c r="D1780" t="s">
        <v>7</v>
      </c>
      <c r="E1780" s="2" t="s">
        <v>12</v>
      </c>
      <c r="F1780">
        <f t="shared" si="27"/>
        <v>0.289518</v>
      </c>
      <c r="G1780" t="s">
        <v>16</v>
      </c>
      <c r="J1780" t="str">
        <f>"08/10/2017 23:45"</f>
        <v>08/10/2017 23:45</v>
      </c>
    </row>
    <row r="1781" spans="1:10" x14ac:dyDescent="0.3">
      <c r="A1781" t="s">
        <v>6</v>
      </c>
      <c r="B1781" t="str">
        <f>"08/11/2017 00:00"</f>
        <v>08/11/2017 00:00</v>
      </c>
      <c r="C1781">
        <v>0.14599999999999999</v>
      </c>
      <c r="D1781" t="s">
        <v>7</v>
      </c>
      <c r="E1781" s="2" t="s">
        <v>12</v>
      </c>
      <c r="F1781">
        <f t="shared" si="27"/>
        <v>0.289518</v>
      </c>
      <c r="G1781" t="s">
        <v>16</v>
      </c>
      <c r="J1781" t="str">
        <f>"08/11/2017 23:45"</f>
        <v>08/11/2017 23:45</v>
      </c>
    </row>
    <row r="1782" spans="1:10" x14ac:dyDescent="0.3">
      <c r="A1782" t="s">
        <v>6</v>
      </c>
      <c r="B1782" t="str">
        <f>"08/12/2017 00:00"</f>
        <v>08/12/2017 00:00</v>
      </c>
      <c r="C1782">
        <v>0.14599999999999999</v>
      </c>
      <c r="D1782" t="s">
        <v>7</v>
      </c>
      <c r="E1782" s="2" t="s">
        <v>12</v>
      </c>
      <c r="F1782">
        <f t="shared" si="27"/>
        <v>0.289518</v>
      </c>
      <c r="G1782" t="s">
        <v>16</v>
      </c>
      <c r="J1782" t="str">
        <f>"08/12/2017 23:45"</f>
        <v>08/12/2017 23:45</v>
      </c>
    </row>
    <row r="1783" spans="1:10" x14ac:dyDescent="0.3">
      <c r="A1783" t="s">
        <v>6</v>
      </c>
      <c r="B1783" t="str">
        <f>"08/13/2017 00:00"</f>
        <v>08/13/2017 00:00</v>
      </c>
      <c r="C1783">
        <v>5.5100000000000003E-2</v>
      </c>
      <c r="D1783" t="s">
        <v>7</v>
      </c>
      <c r="E1783" s="2" t="s">
        <v>12</v>
      </c>
      <c r="F1783">
        <f t="shared" si="27"/>
        <v>0.10926330000000001</v>
      </c>
      <c r="G1783" t="s">
        <v>16</v>
      </c>
      <c r="J1783" t="str">
        <f>"08/13/2017 23:45"</f>
        <v>08/13/2017 23:45</v>
      </c>
    </row>
    <row r="1784" spans="1:10" x14ac:dyDescent="0.3">
      <c r="A1784" t="s">
        <v>6</v>
      </c>
      <c r="B1784" t="str">
        <f>"08/14/2017 00:00"</f>
        <v>08/14/2017 00:00</v>
      </c>
      <c r="C1784">
        <v>4.8000000000000001E-2</v>
      </c>
      <c r="D1784" t="s">
        <v>7</v>
      </c>
      <c r="E1784" s="2" t="s">
        <v>12</v>
      </c>
      <c r="F1784">
        <f t="shared" si="27"/>
        <v>9.5184000000000005E-2</v>
      </c>
      <c r="G1784" t="s">
        <v>16</v>
      </c>
      <c r="J1784" t="str">
        <f>"08/14/2017 23:45"</f>
        <v>08/14/2017 23:45</v>
      </c>
    </row>
    <row r="1785" spans="1:10" x14ac:dyDescent="0.3">
      <c r="A1785" t="s">
        <v>6</v>
      </c>
      <c r="B1785" t="str">
        <f>"08/15/2017 00:00"</f>
        <v>08/15/2017 00:00</v>
      </c>
      <c r="C1785">
        <v>45.9</v>
      </c>
      <c r="D1785" t="s">
        <v>7</v>
      </c>
      <c r="E1785" s="2" t="s">
        <v>12</v>
      </c>
      <c r="F1785">
        <f t="shared" si="27"/>
        <v>91.0197</v>
      </c>
      <c r="G1785" t="s">
        <v>16</v>
      </c>
      <c r="J1785" t="str">
        <f>"08/15/2017 23:45"</f>
        <v>08/15/2017 23:45</v>
      </c>
    </row>
    <row r="1786" spans="1:10" x14ac:dyDescent="0.3">
      <c r="A1786" t="s">
        <v>6</v>
      </c>
      <c r="B1786" t="str">
        <f>"08/16/2017 00:00"</f>
        <v>08/16/2017 00:00</v>
      </c>
      <c r="C1786">
        <v>152</v>
      </c>
      <c r="D1786" t="s">
        <v>7</v>
      </c>
      <c r="E1786" s="2" t="s">
        <v>12</v>
      </c>
      <c r="F1786">
        <f t="shared" si="27"/>
        <v>301.416</v>
      </c>
      <c r="G1786" t="s">
        <v>16</v>
      </c>
      <c r="J1786" t="str">
        <f>"08/16/2017 23:45"</f>
        <v>08/16/2017 23:45</v>
      </c>
    </row>
    <row r="1787" spans="1:10" x14ac:dyDescent="0.3">
      <c r="A1787" t="s">
        <v>6</v>
      </c>
      <c r="B1787" t="str">
        <f>"08/17/2017 00:00"</f>
        <v>08/17/2017 00:00</v>
      </c>
      <c r="C1787">
        <v>146</v>
      </c>
      <c r="D1787" t="s">
        <v>7</v>
      </c>
      <c r="E1787" s="2" t="s">
        <v>12</v>
      </c>
      <c r="F1787">
        <f t="shared" si="27"/>
        <v>289.51800000000003</v>
      </c>
      <c r="G1787" t="s">
        <v>16</v>
      </c>
      <c r="J1787" t="str">
        <f>"08/17/2017 23:45"</f>
        <v>08/17/2017 23:45</v>
      </c>
    </row>
    <row r="1788" spans="1:10" x14ac:dyDescent="0.3">
      <c r="A1788" t="s">
        <v>6</v>
      </c>
      <c r="B1788" t="str">
        <f>"08/18/2017 00:00"</f>
        <v>08/18/2017 00:00</v>
      </c>
      <c r="C1788">
        <v>148</v>
      </c>
      <c r="D1788" t="s">
        <v>7</v>
      </c>
      <c r="E1788" s="2" t="s">
        <v>12</v>
      </c>
      <c r="F1788">
        <f t="shared" si="27"/>
        <v>293.48400000000004</v>
      </c>
      <c r="G1788" t="s">
        <v>16</v>
      </c>
      <c r="J1788" t="str">
        <f>"08/18/2017 23:45"</f>
        <v>08/18/2017 23:45</v>
      </c>
    </row>
    <row r="1789" spans="1:10" x14ac:dyDescent="0.3">
      <c r="A1789" t="s">
        <v>6</v>
      </c>
      <c r="B1789" t="str">
        <f>"08/19/2017 00:00"</f>
        <v>08/19/2017 00:00</v>
      </c>
      <c r="C1789">
        <v>182</v>
      </c>
      <c r="D1789" t="s">
        <v>7</v>
      </c>
      <c r="E1789" s="2" t="s">
        <v>12</v>
      </c>
      <c r="F1789">
        <f t="shared" si="27"/>
        <v>360.90600000000001</v>
      </c>
      <c r="G1789" t="s">
        <v>16</v>
      </c>
      <c r="J1789" t="str">
        <f>"08/19/2017 23:45"</f>
        <v>08/19/2017 23:45</v>
      </c>
    </row>
    <row r="1790" spans="1:10" x14ac:dyDescent="0.3">
      <c r="A1790" t="s">
        <v>6</v>
      </c>
      <c r="B1790" t="str">
        <f>"08/20/2017 00:00"</f>
        <v>08/20/2017 00:00</v>
      </c>
      <c r="C1790">
        <v>201</v>
      </c>
      <c r="D1790" t="s">
        <v>7</v>
      </c>
      <c r="E1790" s="2" t="s">
        <v>12</v>
      </c>
      <c r="F1790">
        <f t="shared" si="27"/>
        <v>398.58300000000003</v>
      </c>
      <c r="G1790" t="s">
        <v>16</v>
      </c>
      <c r="J1790" t="str">
        <f>"08/20/2017 23:45"</f>
        <v>08/20/2017 23:45</v>
      </c>
    </row>
    <row r="1791" spans="1:10" x14ac:dyDescent="0.3">
      <c r="A1791" t="s">
        <v>6</v>
      </c>
      <c r="B1791" t="str">
        <f>"08/21/2017 00:00"</f>
        <v>08/21/2017 00:00</v>
      </c>
      <c r="C1791">
        <v>244</v>
      </c>
      <c r="D1791" t="s">
        <v>7</v>
      </c>
      <c r="E1791" s="2" t="s">
        <v>12</v>
      </c>
      <c r="F1791">
        <f t="shared" si="27"/>
        <v>483.85200000000003</v>
      </c>
      <c r="G1791" t="s">
        <v>16</v>
      </c>
      <c r="J1791" t="str">
        <f>"08/21/2017 23:45"</f>
        <v>08/21/2017 23:45</v>
      </c>
    </row>
    <row r="1792" spans="1:10" x14ac:dyDescent="0.3">
      <c r="A1792" t="s">
        <v>6</v>
      </c>
      <c r="B1792" t="str">
        <f>"08/22/2017 00:00"</f>
        <v>08/22/2017 00:00</v>
      </c>
      <c r="C1792">
        <v>274</v>
      </c>
      <c r="D1792" t="s">
        <v>7</v>
      </c>
      <c r="E1792" s="2" t="s">
        <v>12</v>
      </c>
      <c r="F1792">
        <f t="shared" si="27"/>
        <v>543.34199999999998</v>
      </c>
      <c r="G1792" t="s">
        <v>16</v>
      </c>
      <c r="J1792" t="str">
        <f>"08/22/2017 23:45"</f>
        <v>08/22/2017 23:45</v>
      </c>
    </row>
    <row r="1793" spans="1:10" x14ac:dyDescent="0.3">
      <c r="A1793" t="s">
        <v>6</v>
      </c>
      <c r="B1793" t="str">
        <f>"08/23/2017 00:00"</f>
        <v>08/23/2017 00:00</v>
      </c>
      <c r="C1793">
        <v>274</v>
      </c>
      <c r="D1793" t="s">
        <v>7</v>
      </c>
      <c r="E1793" s="2" t="s">
        <v>12</v>
      </c>
      <c r="F1793">
        <f t="shared" si="27"/>
        <v>543.34199999999998</v>
      </c>
      <c r="G1793" t="s">
        <v>16</v>
      </c>
      <c r="J1793" t="str">
        <f>"08/23/2017 23:45"</f>
        <v>08/23/2017 23:45</v>
      </c>
    </row>
    <row r="1794" spans="1:10" x14ac:dyDescent="0.3">
      <c r="A1794" t="s">
        <v>6</v>
      </c>
      <c r="B1794" t="str">
        <f>"08/24/2017 00:00"</f>
        <v>08/24/2017 00:00</v>
      </c>
      <c r="C1794">
        <v>274</v>
      </c>
      <c r="D1794" t="s">
        <v>7</v>
      </c>
      <c r="E1794" s="2" t="s">
        <v>12</v>
      </c>
      <c r="F1794">
        <f t="shared" si="27"/>
        <v>543.34199999999998</v>
      </c>
      <c r="G1794" t="s">
        <v>16</v>
      </c>
      <c r="J1794" t="str">
        <f>"08/24/2017 23:45"</f>
        <v>08/24/2017 23:45</v>
      </c>
    </row>
    <row r="1795" spans="1:10" x14ac:dyDescent="0.3">
      <c r="A1795" t="s">
        <v>6</v>
      </c>
      <c r="B1795" t="str">
        <f>"08/25/2017 00:00"</f>
        <v>08/25/2017 00:00</v>
      </c>
      <c r="C1795">
        <v>233</v>
      </c>
      <c r="D1795" t="s">
        <v>7</v>
      </c>
      <c r="E1795" s="2" t="s">
        <v>12</v>
      </c>
      <c r="F1795">
        <f t="shared" si="27"/>
        <v>462.03900000000004</v>
      </c>
      <c r="G1795" t="s">
        <v>16</v>
      </c>
      <c r="J1795" t="str">
        <f>"08/25/2017 23:45"</f>
        <v>08/25/2017 23:45</v>
      </c>
    </row>
    <row r="1796" spans="1:10" x14ac:dyDescent="0.3">
      <c r="A1796" t="s">
        <v>6</v>
      </c>
      <c r="B1796" t="str">
        <f>"08/26/2017 00:00"</f>
        <v>08/26/2017 00:00</v>
      </c>
      <c r="C1796">
        <v>176</v>
      </c>
      <c r="D1796" t="s">
        <v>7</v>
      </c>
      <c r="E1796" s="2" t="s">
        <v>12</v>
      </c>
      <c r="F1796">
        <f t="shared" si="27"/>
        <v>349.00800000000004</v>
      </c>
      <c r="G1796" t="s">
        <v>16</v>
      </c>
      <c r="J1796" t="str">
        <f>"08/26/2017 23:45"</f>
        <v>08/26/2017 23:45</v>
      </c>
    </row>
    <row r="1797" spans="1:10" x14ac:dyDescent="0.3">
      <c r="A1797" t="s">
        <v>6</v>
      </c>
      <c r="B1797" t="str">
        <f>"08/27/2017 00:00"</f>
        <v>08/27/2017 00:00</v>
      </c>
      <c r="C1797">
        <v>217</v>
      </c>
      <c r="D1797" t="s">
        <v>7</v>
      </c>
      <c r="E1797" s="2" t="s">
        <v>12</v>
      </c>
      <c r="F1797">
        <f t="shared" si="27"/>
        <v>430.31100000000004</v>
      </c>
      <c r="G1797" t="s">
        <v>16</v>
      </c>
      <c r="J1797" t="str">
        <f>"08/27/2017 23:45"</f>
        <v>08/27/2017 23:45</v>
      </c>
    </row>
    <row r="1798" spans="1:10" x14ac:dyDescent="0.3">
      <c r="A1798" t="s">
        <v>6</v>
      </c>
      <c r="B1798" t="str">
        <f>"08/28/2017 00:00"</f>
        <v>08/28/2017 00:00</v>
      </c>
      <c r="C1798">
        <v>248</v>
      </c>
      <c r="D1798" t="s">
        <v>7</v>
      </c>
      <c r="E1798" s="2" t="s">
        <v>12</v>
      </c>
      <c r="F1798">
        <f t="shared" si="27"/>
        <v>491.78400000000005</v>
      </c>
      <c r="G1798" t="s">
        <v>16</v>
      </c>
      <c r="J1798" t="str">
        <f>"08/28/2017 23:45"</f>
        <v>08/28/2017 23:45</v>
      </c>
    </row>
    <row r="1799" spans="1:10" x14ac:dyDescent="0.3">
      <c r="A1799" t="s">
        <v>6</v>
      </c>
      <c r="B1799" t="str">
        <f>"08/29/2017 00:00"</f>
        <v>08/29/2017 00:00</v>
      </c>
      <c r="C1799">
        <v>247</v>
      </c>
      <c r="D1799" t="s">
        <v>7</v>
      </c>
      <c r="E1799" s="2" t="s">
        <v>12</v>
      </c>
      <c r="F1799">
        <f t="shared" ref="F1799:F1863" si="28">C1799*1.983</f>
        <v>489.80100000000004</v>
      </c>
      <c r="G1799" t="s">
        <v>16</v>
      </c>
      <c r="J1799" t="str">
        <f>"08/29/2017 23:45"</f>
        <v>08/29/2017 23:45</v>
      </c>
    </row>
    <row r="1800" spans="1:10" x14ac:dyDescent="0.3">
      <c r="A1800" t="s">
        <v>6</v>
      </c>
      <c r="B1800" t="str">
        <f>"08/30/2017 00:00"</f>
        <v>08/30/2017 00:00</v>
      </c>
      <c r="C1800">
        <v>267</v>
      </c>
      <c r="D1800" t="s">
        <v>7</v>
      </c>
      <c r="E1800" s="2" t="s">
        <v>12</v>
      </c>
      <c r="F1800">
        <f t="shared" si="28"/>
        <v>529.46100000000001</v>
      </c>
      <c r="G1800" t="s">
        <v>16</v>
      </c>
      <c r="J1800" t="str">
        <f>"08/30/2017 23:45"</f>
        <v>08/30/2017 23:45</v>
      </c>
    </row>
    <row r="1801" spans="1:10" x14ac:dyDescent="0.3">
      <c r="A1801" t="s">
        <v>6</v>
      </c>
      <c r="B1801" t="str">
        <f>"08/31/2017 00:00"</f>
        <v>08/31/2017 00:00</v>
      </c>
      <c r="C1801">
        <v>278</v>
      </c>
      <c r="D1801" t="s">
        <v>7</v>
      </c>
      <c r="E1801" s="2" t="s">
        <v>12</v>
      </c>
      <c r="F1801">
        <f t="shared" si="28"/>
        <v>551.274</v>
      </c>
      <c r="G1801" t="s">
        <v>16</v>
      </c>
      <c r="J1801" t="str">
        <f>"08/31/2017 23:45"</f>
        <v>08/31/2017 23:45</v>
      </c>
    </row>
    <row r="1802" spans="1:10" x14ac:dyDescent="0.3">
      <c r="A1802" t="s">
        <v>6</v>
      </c>
      <c r="B1802" t="str">
        <f>"09/01/2017 00:00"</f>
        <v>09/01/2017 00:00</v>
      </c>
      <c r="C1802">
        <v>281</v>
      </c>
      <c r="D1802" t="s">
        <v>7</v>
      </c>
      <c r="E1802" s="2" t="s">
        <v>12</v>
      </c>
      <c r="F1802">
        <f t="shared" si="28"/>
        <v>557.22300000000007</v>
      </c>
      <c r="G1802" t="s">
        <v>16</v>
      </c>
      <c r="J1802" t="str">
        <f>"09/01/2017 23:45"</f>
        <v>09/01/2017 23:45</v>
      </c>
    </row>
    <row r="1803" spans="1:10" x14ac:dyDescent="0.3">
      <c r="A1803" t="s">
        <v>6</v>
      </c>
      <c r="B1803" t="str">
        <f>"09/02/2017 00:00"</f>
        <v>09/02/2017 00:00</v>
      </c>
      <c r="C1803">
        <v>281</v>
      </c>
      <c r="D1803" t="s">
        <v>7</v>
      </c>
      <c r="E1803" s="2" t="s">
        <v>12</v>
      </c>
      <c r="F1803">
        <f t="shared" si="28"/>
        <v>557.22300000000007</v>
      </c>
      <c r="G1803" t="s">
        <v>16</v>
      </c>
      <c r="J1803" t="str">
        <f>"09/02/2017 23:45"</f>
        <v>09/02/2017 23:45</v>
      </c>
    </row>
    <row r="1804" spans="1:10" x14ac:dyDescent="0.3">
      <c r="A1804" t="s">
        <v>6</v>
      </c>
      <c r="B1804" t="str">
        <f>"09/03/2017 00:00"</f>
        <v>09/03/2017 00:00</v>
      </c>
      <c r="C1804">
        <v>281</v>
      </c>
      <c r="D1804" t="s">
        <v>7</v>
      </c>
      <c r="E1804" s="2" t="s">
        <v>12</v>
      </c>
      <c r="F1804">
        <f t="shared" si="28"/>
        <v>557.22300000000007</v>
      </c>
      <c r="G1804" t="s">
        <v>16</v>
      </c>
      <c r="J1804" t="str">
        <f>"09/03/2017 23:45"</f>
        <v>09/03/2017 23:45</v>
      </c>
    </row>
    <row r="1805" spans="1:10" x14ac:dyDescent="0.3">
      <c r="A1805" t="s">
        <v>6</v>
      </c>
      <c r="B1805" t="str">
        <f>"09/04/2017 00:00"</f>
        <v>09/04/2017 00:00</v>
      </c>
      <c r="C1805">
        <v>281</v>
      </c>
      <c r="D1805" t="s">
        <v>7</v>
      </c>
      <c r="E1805" s="2" t="s">
        <v>12</v>
      </c>
      <c r="F1805">
        <f t="shared" si="28"/>
        <v>557.22300000000007</v>
      </c>
      <c r="G1805" t="s">
        <v>16</v>
      </c>
      <c r="J1805" t="str">
        <f>"09/04/2017 23:45"</f>
        <v>09/04/2017 23:45</v>
      </c>
    </row>
    <row r="1806" spans="1:10" x14ac:dyDescent="0.3">
      <c r="A1806" t="s">
        <v>6</v>
      </c>
      <c r="B1806" t="str">
        <f>"09/05/2017 00:00"</f>
        <v>09/05/2017 00:00</v>
      </c>
      <c r="C1806">
        <v>280</v>
      </c>
      <c r="D1806" t="s">
        <v>7</v>
      </c>
      <c r="E1806" s="2" t="s">
        <v>12</v>
      </c>
      <c r="F1806">
        <f t="shared" si="28"/>
        <v>555.24</v>
      </c>
      <c r="G1806" t="s">
        <v>16</v>
      </c>
      <c r="J1806" t="str">
        <f>"09/05/2017 23:45"</f>
        <v>09/05/2017 23:45</v>
      </c>
    </row>
    <row r="1807" spans="1:10" x14ac:dyDescent="0.3">
      <c r="A1807" t="s">
        <v>6</v>
      </c>
      <c r="B1807" t="str">
        <f>"09/06/2017 00:00"</f>
        <v>09/06/2017 00:00</v>
      </c>
      <c r="C1807">
        <v>279</v>
      </c>
      <c r="D1807" t="s">
        <v>7</v>
      </c>
      <c r="E1807" s="2" t="s">
        <v>12</v>
      </c>
      <c r="F1807">
        <f t="shared" si="28"/>
        <v>553.25700000000006</v>
      </c>
      <c r="G1807" t="s">
        <v>16</v>
      </c>
      <c r="J1807" t="str">
        <f>"09/06/2017 23:45"</f>
        <v>09/06/2017 23:45</v>
      </c>
    </row>
    <row r="1808" spans="1:10" x14ac:dyDescent="0.3">
      <c r="A1808" t="s">
        <v>6</v>
      </c>
      <c r="B1808" t="str">
        <f>"09/07/2017 00:00"</f>
        <v>09/07/2017 00:00</v>
      </c>
      <c r="C1808">
        <v>279</v>
      </c>
      <c r="D1808" t="s">
        <v>7</v>
      </c>
      <c r="E1808" s="2" t="s">
        <v>12</v>
      </c>
      <c r="F1808">
        <f t="shared" si="28"/>
        <v>553.25700000000006</v>
      </c>
      <c r="G1808" t="s">
        <v>16</v>
      </c>
      <c r="J1808" t="str">
        <f>"09/07/2017 23:45"</f>
        <v>09/07/2017 23:45</v>
      </c>
    </row>
    <row r="1809" spans="1:10" x14ac:dyDescent="0.3">
      <c r="A1809" t="s">
        <v>6</v>
      </c>
      <c r="B1809" t="str">
        <f>"09/08/2017 00:00"</f>
        <v>09/08/2017 00:00</v>
      </c>
      <c r="C1809">
        <v>249</v>
      </c>
      <c r="D1809" t="s">
        <v>7</v>
      </c>
      <c r="E1809" s="2" t="s">
        <v>12</v>
      </c>
      <c r="F1809">
        <f t="shared" si="28"/>
        <v>493.767</v>
      </c>
      <c r="G1809" t="s">
        <v>16</v>
      </c>
      <c r="J1809" t="str">
        <f>"09/08/2017 23:45"</f>
        <v>09/08/2017 23:45</v>
      </c>
    </row>
    <row r="1810" spans="1:10" x14ac:dyDescent="0.3">
      <c r="A1810" t="s">
        <v>6</v>
      </c>
      <c r="B1810" t="str">
        <f>"09/09/2017 00:00"</f>
        <v>09/09/2017 00:00</v>
      </c>
      <c r="C1810">
        <v>218</v>
      </c>
      <c r="D1810" t="s">
        <v>7</v>
      </c>
      <c r="E1810" s="2" t="s">
        <v>12</v>
      </c>
      <c r="F1810">
        <f t="shared" si="28"/>
        <v>432.29400000000004</v>
      </c>
      <c r="G1810" t="s">
        <v>16</v>
      </c>
      <c r="J1810" t="str">
        <f>"09/09/2017 23:45"</f>
        <v>09/09/2017 23:45</v>
      </c>
    </row>
    <row r="1811" spans="1:10" x14ac:dyDescent="0.3">
      <c r="A1811" t="s">
        <v>6</v>
      </c>
      <c r="B1811" t="str">
        <f>"09/10/2017 00:00"</f>
        <v>09/10/2017 00:00</v>
      </c>
      <c r="C1811">
        <v>218</v>
      </c>
      <c r="D1811" t="s">
        <v>7</v>
      </c>
      <c r="E1811" s="2" t="s">
        <v>12</v>
      </c>
      <c r="F1811">
        <f t="shared" si="28"/>
        <v>432.29400000000004</v>
      </c>
      <c r="G1811" t="s">
        <v>16</v>
      </c>
      <c r="J1811" t="str">
        <f>"09/10/2017 23:45"</f>
        <v>09/10/2017 23:45</v>
      </c>
    </row>
    <row r="1812" spans="1:10" x14ac:dyDescent="0.3">
      <c r="A1812" t="s">
        <v>6</v>
      </c>
      <c r="B1812" t="str">
        <f>"09/11/2017 00:00"</f>
        <v>09/11/2017 00:00</v>
      </c>
      <c r="C1812">
        <v>218</v>
      </c>
      <c r="D1812" t="s">
        <v>7</v>
      </c>
      <c r="E1812" s="2" t="s">
        <v>12</v>
      </c>
      <c r="F1812">
        <f t="shared" si="28"/>
        <v>432.29400000000004</v>
      </c>
      <c r="G1812" t="s">
        <v>16</v>
      </c>
      <c r="J1812" t="str">
        <f>"09/11/2017 23:45"</f>
        <v>09/11/2017 23:45</v>
      </c>
    </row>
    <row r="1813" spans="1:10" x14ac:dyDescent="0.3">
      <c r="A1813" t="s">
        <v>6</v>
      </c>
      <c r="B1813" t="str">
        <f>"09/12/2017 00:00"</f>
        <v>09/12/2017 00:00</v>
      </c>
      <c r="C1813">
        <v>218</v>
      </c>
      <c r="D1813" t="s">
        <v>7</v>
      </c>
      <c r="E1813" s="2" t="s">
        <v>12</v>
      </c>
      <c r="F1813">
        <f t="shared" si="28"/>
        <v>432.29400000000004</v>
      </c>
      <c r="G1813" t="s">
        <v>16</v>
      </c>
      <c r="J1813" t="str">
        <f>"09/12/2017 23:45"</f>
        <v>09/12/2017 23:45</v>
      </c>
    </row>
    <row r="1814" spans="1:10" x14ac:dyDescent="0.3">
      <c r="A1814" t="s">
        <v>6</v>
      </c>
      <c r="B1814" t="str">
        <f>"09/13/2017 00:00"</f>
        <v>09/13/2017 00:00</v>
      </c>
      <c r="C1814">
        <v>217</v>
      </c>
      <c r="D1814" t="s">
        <v>7</v>
      </c>
      <c r="E1814" s="2" t="s">
        <v>12</v>
      </c>
      <c r="F1814">
        <f t="shared" si="28"/>
        <v>430.31100000000004</v>
      </c>
      <c r="G1814" t="s">
        <v>16</v>
      </c>
      <c r="J1814" t="str">
        <f>"09/13/2017 23:45"</f>
        <v>09/13/2017 23:45</v>
      </c>
    </row>
    <row r="1815" spans="1:10" x14ac:dyDescent="0.3">
      <c r="A1815" t="s">
        <v>6</v>
      </c>
      <c r="B1815" t="str">
        <f>"09/14/2017 00:00"</f>
        <v>09/14/2017 00:00</v>
      </c>
      <c r="C1815">
        <v>218</v>
      </c>
      <c r="D1815" t="s">
        <v>7</v>
      </c>
      <c r="E1815" s="2" t="s">
        <v>12</v>
      </c>
      <c r="F1815">
        <f t="shared" si="28"/>
        <v>432.29400000000004</v>
      </c>
      <c r="G1815" t="s">
        <v>16</v>
      </c>
      <c r="J1815" t="str">
        <f>"09/14/2017 23:45"</f>
        <v>09/14/2017 23:45</v>
      </c>
    </row>
    <row r="1816" spans="1:10" x14ac:dyDescent="0.3">
      <c r="A1816" t="s">
        <v>6</v>
      </c>
      <c r="B1816" t="str">
        <f>"09/15/2017 00:00"</f>
        <v>09/15/2017 00:00</v>
      </c>
      <c r="C1816">
        <v>200</v>
      </c>
      <c r="D1816" t="s">
        <v>7</v>
      </c>
      <c r="E1816" s="2" t="s">
        <v>12</v>
      </c>
      <c r="F1816">
        <f t="shared" si="28"/>
        <v>396.6</v>
      </c>
      <c r="G1816" t="s">
        <v>16</v>
      </c>
      <c r="J1816" t="str">
        <f>"09/15/2017 23:45"</f>
        <v>09/15/2017 23:45</v>
      </c>
    </row>
    <row r="1817" spans="1:10" x14ac:dyDescent="0.3">
      <c r="A1817" t="s">
        <v>6</v>
      </c>
      <c r="B1817" t="str">
        <f>"09/16/2017 00:00"</f>
        <v>09/16/2017 00:00</v>
      </c>
      <c r="C1817">
        <v>189</v>
      </c>
      <c r="D1817" t="s">
        <v>7</v>
      </c>
      <c r="E1817" s="2" t="s">
        <v>12</v>
      </c>
      <c r="F1817">
        <f t="shared" si="28"/>
        <v>374.78700000000003</v>
      </c>
      <c r="G1817" t="s">
        <v>16</v>
      </c>
      <c r="J1817" t="str">
        <f>"09/16/2017 23:45"</f>
        <v>09/16/2017 23:45</v>
      </c>
    </row>
    <row r="1818" spans="1:10" x14ac:dyDescent="0.3">
      <c r="A1818" t="s">
        <v>6</v>
      </c>
      <c r="B1818" t="str">
        <f>"09/17/2017 00:00"</f>
        <v>09/17/2017 00:00</v>
      </c>
      <c r="C1818">
        <v>141</v>
      </c>
      <c r="D1818" t="s">
        <v>7</v>
      </c>
      <c r="E1818" s="2" t="s">
        <v>12</v>
      </c>
      <c r="F1818">
        <f t="shared" si="28"/>
        <v>279.60300000000001</v>
      </c>
      <c r="G1818" t="s">
        <v>16</v>
      </c>
      <c r="J1818" t="str">
        <f>"09/17/2017 23:45"</f>
        <v>09/17/2017 23:45</v>
      </c>
    </row>
    <row r="1819" spans="1:10" x14ac:dyDescent="0.3">
      <c r="A1819" t="s">
        <v>6</v>
      </c>
      <c r="B1819" t="str">
        <f>"09/18/2017 00:00"</f>
        <v>09/18/2017 00:00</v>
      </c>
      <c r="C1819">
        <v>115</v>
      </c>
      <c r="D1819" t="s">
        <v>7</v>
      </c>
      <c r="E1819" s="2" t="s">
        <v>12</v>
      </c>
      <c r="F1819">
        <f t="shared" si="28"/>
        <v>228.04500000000002</v>
      </c>
      <c r="G1819" t="s">
        <v>16</v>
      </c>
      <c r="J1819" t="str">
        <f>"09/18/2017 23:45"</f>
        <v>09/18/2017 23:45</v>
      </c>
    </row>
    <row r="1820" spans="1:10" x14ac:dyDescent="0.3">
      <c r="A1820" t="s">
        <v>6</v>
      </c>
      <c r="B1820" t="str">
        <f>"09/19/2017 00:00"</f>
        <v>09/19/2017 00:00</v>
      </c>
      <c r="C1820">
        <v>172</v>
      </c>
      <c r="D1820" t="s">
        <v>7</v>
      </c>
      <c r="E1820" s="2" t="s">
        <v>12</v>
      </c>
      <c r="F1820">
        <f t="shared" si="28"/>
        <v>341.07600000000002</v>
      </c>
      <c r="G1820" t="s">
        <v>16</v>
      </c>
      <c r="J1820" t="str">
        <f>"09/19/2017 23:45"</f>
        <v>09/19/2017 23:45</v>
      </c>
    </row>
    <row r="1821" spans="1:10" x14ac:dyDescent="0.3">
      <c r="A1821" t="s">
        <v>6</v>
      </c>
      <c r="B1821" t="str">
        <f>"09/20/2017 00:00"</f>
        <v>09/20/2017 00:00</v>
      </c>
      <c r="C1821">
        <v>213</v>
      </c>
      <c r="D1821" t="s">
        <v>7</v>
      </c>
      <c r="E1821" s="2" t="s">
        <v>12</v>
      </c>
      <c r="F1821">
        <f t="shared" si="28"/>
        <v>422.37900000000002</v>
      </c>
      <c r="G1821" t="s">
        <v>16</v>
      </c>
      <c r="J1821" t="str">
        <f>"09/20/2017 23:45"</f>
        <v>09/20/2017 23:45</v>
      </c>
    </row>
    <row r="1822" spans="1:10" x14ac:dyDescent="0.3">
      <c r="A1822" t="s">
        <v>6</v>
      </c>
      <c r="B1822" t="str">
        <f>"09/21/2017 00:00"</f>
        <v>09/21/2017 00:00</v>
      </c>
      <c r="C1822">
        <v>253</v>
      </c>
      <c r="D1822" t="s">
        <v>7</v>
      </c>
      <c r="E1822" s="2" t="s">
        <v>12</v>
      </c>
      <c r="F1822">
        <f t="shared" si="28"/>
        <v>501.69900000000001</v>
      </c>
      <c r="G1822" t="s">
        <v>16</v>
      </c>
      <c r="J1822" t="str">
        <f>"09/21/2017 23:45"</f>
        <v>09/21/2017 23:45</v>
      </c>
    </row>
    <row r="1823" spans="1:10" x14ac:dyDescent="0.3">
      <c r="A1823" t="s">
        <v>6</v>
      </c>
      <c r="B1823" t="str">
        <f>"09/22/2017 00:00"</f>
        <v>09/22/2017 00:00</v>
      </c>
      <c r="C1823">
        <v>314</v>
      </c>
      <c r="D1823" t="s">
        <v>7</v>
      </c>
      <c r="E1823" s="2" t="s">
        <v>12</v>
      </c>
      <c r="F1823">
        <f t="shared" si="28"/>
        <v>622.66200000000003</v>
      </c>
      <c r="G1823" t="s">
        <v>16</v>
      </c>
      <c r="J1823" t="str">
        <f>"09/22/2017 23:45"</f>
        <v>09/22/2017 23:45</v>
      </c>
    </row>
    <row r="1824" spans="1:10" x14ac:dyDescent="0.3">
      <c r="A1824" t="s">
        <v>6</v>
      </c>
      <c r="B1824" t="str">
        <f>"09/23/2017 00:00"</f>
        <v>09/23/2017 00:00</v>
      </c>
      <c r="C1824">
        <v>298</v>
      </c>
      <c r="D1824" t="s">
        <v>7</v>
      </c>
      <c r="E1824" s="2" t="s">
        <v>12</v>
      </c>
      <c r="F1824">
        <f t="shared" si="28"/>
        <v>590.93400000000008</v>
      </c>
      <c r="G1824" t="s">
        <v>16</v>
      </c>
      <c r="J1824" t="str">
        <f>"09/23/2017 23:45"</f>
        <v>09/23/2017 23:45</v>
      </c>
    </row>
    <row r="1825" spans="1:10" x14ac:dyDescent="0.3">
      <c r="A1825" t="s">
        <v>6</v>
      </c>
      <c r="B1825" t="str">
        <f>"09/24/2017 00:00"</f>
        <v>09/24/2017 00:00</v>
      </c>
      <c r="C1825">
        <v>170</v>
      </c>
      <c r="D1825" t="s">
        <v>7</v>
      </c>
      <c r="E1825" s="2" t="s">
        <v>12</v>
      </c>
      <c r="F1825">
        <f t="shared" si="28"/>
        <v>337.11</v>
      </c>
      <c r="G1825" t="s">
        <v>16</v>
      </c>
      <c r="J1825" t="str">
        <f>"09/24/2017 23:45"</f>
        <v>09/24/2017 23:45</v>
      </c>
    </row>
    <row r="1826" spans="1:10" x14ac:dyDescent="0.3">
      <c r="A1826" t="s">
        <v>6</v>
      </c>
      <c r="B1826" t="str">
        <f>"09/25/2017 00:00"</f>
        <v>09/25/2017 00:00</v>
      </c>
      <c r="C1826">
        <v>81</v>
      </c>
      <c r="D1826" t="s">
        <v>7</v>
      </c>
      <c r="E1826" s="2" t="s">
        <v>12</v>
      </c>
      <c r="F1826">
        <f t="shared" si="28"/>
        <v>160.62300000000002</v>
      </c>
      <c r="G1826" t="s">
        <v>16</v>
      </c>
      <c r="J1826" t="str">
        <f>"09/25/2017 23:45"</f>
        <v>09/25/2017 23:45</v>
      </c>
    </row>
    <row r="1827" spans="1:10" x14ac:dyDescent="0.3">
      <c r="A1827" t="s">
        <v>6</v>
      </c>
      <c r="B1827" t="str">
        <f>"09/26/2017 00:00"</f>
        <v>09/26/2017 00:00</v>
      </c>
      <c r="C1827">
        <v>81</v>
      </c>
      <c r="D1827" t="s">
        <v>7</v>
      </c>
      <c r="E1827" s="2" t="s">
        <v>12</v>
      </c>
      <c r="F1827">
        <f t="shared" si="28"/>
        <v>160.62300000000002</v>
      </c>
      <c r="G1827" t="s">
        <v>16</v>
      </c>
      <c r="J1827" t="str">
        <f>"09/26/2017 23:45"</f>
        <v>09/26/2017 23:45</v>
      </c>
    </row>
    <row r="1828" spans="1:10" x14ac:dyDescent="0.3">
      <c r="A1828" t="s">
        <v>6</v>
      </c>
      <c r="B1828" t="str">
        <f>"09/27/2017 00:00"</f>
        <v>09/27/2017 00:00</v>
      </c>
      <c r="C1828">
        <v>81.3</v>
      </c>
      <c r="D1828" t="s">
        <v>7</v>
      </c>
      <c r="E1828" s="2" t="s">
        <v>12</v>
      </c>
      <c r="F1828">
        <f t="shared" si="28"/>
        <v>161.21790000000001</v>
      </c>
      <c r="G1828" t="s">
        <v>16</v>
      </c>
      <c r="J1828" t="str">
        <f>"09/27/2017 23:45"</f>
        <v>09/27/2017 23:45</v>
      </c>
    </row>
    <row r="1829" spans="1:10" x14ac:dyDescent="0.3">
      <c r="A1829" t="s">
        <v>6</v>
      </c>
      <c r="B1829" t="str">
        <f>"09/28/2017 00:00"</f>
        <v>09/28/2017 00:00</v>
      </c>
      <c r="C1829">
        <v>81.5</v>
      </c>
      <c r="D1829" t="s">
        <v>7</v>
      </c>
      <c r="E1829" s="2" t="s">
        <v>12</v>
      </c>
      <c r="F1829">
        <f t="shared" si="28"/>
        <v>161.61450000000002</v>
      </c>
      <c r="G1829" t="s">
        <v>16</v>
      </c>
      <c r="J1829" t="str">
        <f>"09/28/2017 23:45"</f>
        <v>09/28/2017 23:45</v>
      </c>
    </row>
    <row r="1830" spans="1:10" x14ac:dyDescent="0.3">
      <c r="A1830" t="s">
        <v>6</v>
      </c>
      <c r="B1830" t="str">
        <f>"09/29/2017 00:00"</f>
        <v>09/29/2017 00:00</v>
      </c>
      <c r="C1830">
        <v>67.7</v>
      </c>
      <c r="D1830" t="s">
        <v>7</v>
      </c>
      <c r="E1830" s="2" t="s">
        <v>12</v>
      </c>
      <c r="F1830">
        <f t="shared" si="28"/>
        <v>134.2491</v>
      </c>
      <c r="G1830" t="s">
        <v>16</v>
      </c>
      <c r="J1830" t="str">
        <f>"09/29/2017 23:45"</f>
        <v>09/29/2017 23:45</v>
      </c>
    </row>
    <row r="1831" spans="1:10" x14ac:dyDescent="0.3">
      <c r="A1831" t="s">
        <v>6</v>
      </c>
      <c r="B1831" t="str">
        <f>"09/30/2017 00:00"</f>
        <v>09/30/2017 00:00</v>
      </c>
      <c r="C1831">
        <v>74.400000000000006</v>
      </c>
      <c r="D1831" t="s">
        <v>7</v>
      </c>
      <c r="E1831" s="2" t="s">
        <v>12</v>
      </c>
      <c r="F1831">
        <f t="shared" si="28"/>
        <v>147.53520000000003</v>
      </c>
      <c r="G1831" t="s">
        <v>16</v>
      </c>
      <c r="J1831" t="str">
        <f>"09/30/2017 23:45"</f>
        <v>09/30/2017 23:45</v>
      </c>
    </row>
    <row r="1832" spans="1:10" s="4" customFormat="1" x14ac:dyDescent="0.3">
      <c r="B1832" s="4" t="s">
        <v>23</v>
      </c>
      <c r="E1832" s="2" t="s">
        <v>12</v>
      </c>
      <c r="F1832" s="5">
        <f>SUM(F1467:F1831)</f>
        <v>91850.805243300085</v>
      </c>
      <c r="G1832" s="4" t="s">
        <v>19</v>
      </c>
    </row>
    <row r="1833" spans="1:10" x14ac:dyDescent="0.3">
      <c r="A1833" t="s">
        <v>6</v>
      </c>
      <c r="B1833" t="str">
        <f>"10/01/2017 00:00"</f>
        <v>10/01/2017 00:00</v>
      </c>
      <c r="C1833">
        <v>38.799999999999997</v>
      </c>
      <c r="D1833" t="s">
        <v>7</v>
      </c>
      <c r="E1833" s="2" t="s">
        <v>12</v>
      </c>
      <c r="F1833">
        <f t="shared" si="28"/>
        <v>76.940399999999997</v>
      </c>
      <c r="G1833" t="s">
        <v>16</v>
      </c>
      <c r="J1833" t="str">
        <f>"10/01/2017 23:45"</f>
        <v>10/01/2017 23:45</v>
      </c>
    </row>
    <row r="1834" spans="1:10" x14ac:dyDescent="0.3">
      <c r="A1834" t="s">
        <v>6</v>
      </c>
      <c r="B1834" t="str">
        <f>"10/02/2017 00:00"</f>
        <v>10/02/2017 00:00</v>
      </c>
      <c r="C1834">
        <v>8.35</v>
      </c>
      <c r="D1834" t="s">
        <v>7</v>
      </c>
      <c r="E1834" s="2" t="s">
        <v>12</v>
      </c>
      <c r="F1834">
        <f t="shared" si="28"/>
        <v>16.558050000000001</v>
      </c>
      <c r="G1834" t="s">
        <v>16</v>
      </c>
      <c r="J1834" t="str">
        <f>"10/02/2017 23:45"</f>
        <v>10/02/2017 23:45</v>
      </c>
    </row>
    <row r="1835" spans="1:10" x14ac:dyDescent="0.3">
      <c r="A1835" t="s">
        <v>6</v>
      </c>
      <c r="B1835" t="str">
        <f>"10/03/2017 00:00"</f>
        <v>10/03/2017 00:00</v>
      </c>
      <c r="C1835">
        <v>9.09</v>
      </c>
      <c r="D1835" t="s">
        <v>7</v>
      </c>
      <c r="E1835" s="2" t="s">
        <v>12</v>
      </c>
      <c r="F1835">
        <f t="shared" si="28"/>
        <v>18.025470000000002</v>
      </c>
      <c r="G1835" t="s">
        <v>16</v>
      </c>
      <c r="J1835" t="str">
        <f>"10/03/2017 23:45"</f>
        <v>10/03/2017 23:45</v>
      </c>
    </row>
    <row r="1836" spans="1:10" x14ac:dyDescent="0.3">
      <c r="A1836" t="s">
        <v>6</v>
      </c>
      <c r="B1836" t="str">
        <f>"10/04/2017 00:00"</f>
        <v>10/04/2017 00:00</v>
      </c>
      <c r="C1836">
        <v>8.81</v>
      </c>
      <c r="D1836" t="s">
        <v>7</v>
      </c>
      <c r="E1836" s="2" t="s">
        <v>12</v>
      </c>
      <c r="F1836">
        <f t="shared" si="28"/>
        <v>17.470230000000001</v>
      </c>
      <c r="G1836" t="s">
        <v>16</v>
      </c>
      <c r="J1836" t="str">
        <f>"10/04/2017 23:45"</f>
        <v>10/04/2017 23:45</v>
      </c>
    </row>
    <row r="1837" spans="1:10" x14ac:dyDescent="0.3">
      <c r="A1837" t="s">
        <v>6</v>
      </c>
      <c r="B1837" t="str">
        <f>"10/05/2017 00:00"</f>
        <v>10/05/2017 00:00</v>
      </c>
      <c r="C1837">
        <v>8.32</v>
      </c>
      <c r="D1837" t="s">
        <v>7</v>
      </c>
      <c r="E1837" s="2" t="s">
        <v>12</v>
      </c>
      <c r="F1837">
        <f t="shared" si="28"/>
        <v>16.498560000000001</v>
      </c>
      <c r="G1837" t="s">
        <v>16</v>
      </c>
      <c r="J1837" t="str">
        <f>"10/05/2017 23:45"</f>
        <v>10/05/2017 23:45</v>
      </c>
    </row>
    <row r="1838" spans="1:10" x14ac:dyDescent="0.3">
      <c r="A1838" t="s">
        <v>6</v>
      </c>
      <c r="B1838" t="str">
        <f>"10/06/2017 00:00"</f>
        <v>10/06/2017 00:00</v>
      </c>
      <c r="C1838">
        <v>8.16</v>
      </c>
      <c r="D1838" t="s">
        <v>7</v>
      </c>
      <c r="E1838" s="2" t="s">
        <v>12</v>
      </c>
      <c r="F1838">
        <f t="shared" si="28"/>
        <v>16.181280000000001</v>
      </c>
      <c r="G1838" t="s">
        <v>16</v>
      </c>
      <c r="J1838" t="str">
        <f>"10/06/2017 23:45"</f>
        <v>10/06/2017 23:45</v>
      </c>
    </row>
    <row r="1839" spans="1:10" x14ac:dyDescent="0.3">
      <c r="A1839" t="s">
        <v>6</v>
      </c>
      <c r="B1839" t="str">
        <f>"10/07/2017 00:00"</f>
        <v>10/07/2017 00:00</v>
      </c>
      <c r="C1839">
        <v>7.77</v>
      </c>
      <c r="D1839" t="s">
        <v>7</v>
      </c>
      <c r="E1839" s="2" t="s">
        <v>12</v>
      </c>
      <c r="F1839">
        <f t="shared" si="28"/>
        <v>15.407909999999999</v>
      </c>
      <c r="G1839" t="s">
        <v>16</v>
      </c>
      <c r="J1839" t="str">
        <f>"10/07/2017 23:45"</f>
        <v>10/07/2017 23:45</v>
      </c>
    </row>
    <row r="1840" spans="1:10" x14ac:dyDescent="0.3">
      <c r="A1840" t="s">
        <v>6</v>
      </c>
      <c r="B1840" t="str">
        <f>"10/08/2017 00:00"</f>
        <v>10/08/2017 00:00</v>
      </c>
      <c r="C1840">
        <v>7.77</v>
      </c>
      <c r="D1840" t="s">
        <v>7</v>
      </c>
      <c r="E1840" s="2" t="s">
        <v>12</v>
      </c>
      <c r="F1840">
        <f t="shared" si="28"/>
        <v>15.407909999999999</v>
      </c>
      <c r="G1840" t="s">
        <v>16</v>
      </c>
      <c r="J1840" t="str">
        <f>"10/08/2017 23:45"</f>
        <v>10/08/2017 23:45</v>
      </c>
    </row>
    <row r="1841" spans="1:10" x14ac:dyDescent="0.3">
      <c r="A1841" t="s">
        <v>6</v>
      </c>
      <c r="B1841" t="str">
        <f>"10/09/2017 00:00"</f>
        <v>10/09/2017 00:00</v>
      </c>
      <c r="C1841">
        <v>7.77</v>
      </c>
      <c r="D1841" t="s">
        <v>7</v>
      </c>
      <c r="E1841" s="2" t="s">
        <v>12</v>
      </c>
      <c r="F1841">
        <f t="shared" si="28"/>
        <v>15.407909999999999</v>
      </c>
      <c r="G1841" t="s">
        <v>16</v>
      </c>
      <c r="J1841" t="str">
        <f>"10/09/2017 23:45"</f>
        <v>10/09/2017 23:45</v>
      </c>
    </row>
    <row r="1842" spans="1:10" x14ac:dyDescent="0.3">
      <c r="A1842" t="s">
        <v>6</v>
      </c>
      <c r="B1842" t="str">
        <f>"10/10/2017 00:00"</f>
        <v>10/10/2017 00:00</v>
      </c>
      <c r="C1842">
        <v>7.36</v>
      </c>
      <c r="D1842" t="s">
        <v>7</v>
      </c>
      <c r="E1842" s="2" t="s">
        <v>12</v>
      </c>
      <c r="F1842">
        <f t="shared" si="28"/>
        <v>14.594880000000002</v>
      </c>
      <c r="G1842" t="s">
        <v>16</v>
      </c>
      <c r="J1842" t="str">
        <f>"10/10/2017 23:45"</f>
        <v>10/10/2017 23:45</v>
      </c>
    </row>
    <row r="1843" spans="1:10" x14ac:dyDescent="0.3">
      <c r="A1843" t="s">
        <v>6</v>
      </c>
      <c r="B1843" t="str">
        <f>"10/11/2017 00:00"</f>
        <v>10/11/2017 00:00</v>
      </c>
      <c r="C1843">
        <v>7.26</v>
      </c>
      <c r="D1843" t="s">
        <v>7</v>
      </c>
      <c r="E1843" s="2" t="s">
        <v>12</v>
      </c>
      <c r="F1843">
        <f t="shared" si="28"/>
        <v>14.39658</v>
      </c>
      <c r="G1843" t="s">
        <v>16</v>
      </c>
      <c r="J1843" t="str">
        <f>"10/11/2017 23:45"</f>
        <v>10/11/2017 23:45</v>
      </c>
    </row>
    <row r="1844" spans="1:10" x14ac:dyDescent="0.3">
      <c r="A1844" t="s">
        <v>6</v>
      </c>
      <c r="B1844" t="str">
        <f>"10/12/2017 00:00"</f>
        <v>10/12/2017 00:00</v>
      </c>
      <c r="C1844">
        <v>4.4000000000000004</v>
      </c>
      <c r="D1844" t="s">
        <v>7</v>
      </c>
      <c r="E1844" s="2" t="s">
        <v>12</v>
      </c>
      <c r="F1844">
        <f t="shared" si="28"/>
        <v>8.725200000000001</v>
      </c>
      <c r="G1844" t="s">
        <v>16</v>
      </c>
      <c r="J1844" t="str">
        <f>"10/12/2017 23:45"</f>
        <v>10/12/2017 23:45</v>
      </c>
    </row>
    <row r="1845" spans="1:10" x14ac:dyDescent="0.3">
      <c r="A1845" t="s">
        <v>6</v>
      </c>
      <c r="B1845" t="str">
        <f>"10/13/2017 00:00"</f>
        <v>10/13/2017 00:00</v>
      </c>
      <c r="C1845">
        <v>0.32500000000000001</v>
      </c>
      <c r="D1845" t="s">
        <v>7</v>
      </c>
      <c r="E1845" s="2" t="s">
        <v>12</v>
      </c>
      <c r="F1845">
        <f t="shared" si="28"/>
        <v>0.64447500000000002</v>
      </c>
      <c r="G1845" t="s">
        <v>16</v>
      </c>
      <c r="J1845" t="str">
        <f>"10/13/2017 23:45"</f>
        <v>10/13/2017 23:45</v>
      </c>
    </row>
    <row r="1846" spans="1:10" x14ac:dyDescent="0.3">
      <c r="A1846" t="s">
        <v>6</v>
      </c>
      <c r="B1846" t="str">
        <f>"10/14/2017 00:00"</f>
        <v>10/14/2017 00:00</v>
      </c>
      <c r="C1846">
        <v>0.27900000000000003</v>
      </c>
      <c r="D1846" t="s">
        <v>7</v>
      </c>
      <c r="E1846" s="2" t="s">
        <v>12</v>
      </c>
      <c r="F1846">
        <f t="shared" si="28"/>
        <v>0.55325700000000011</v>
      </c>
      <c r="G1846" t="s">
        <v>16</v>
      </c>
      <c r="J1846" t="str">
        <f>"10/14/2017 23:45"</f>
        <v>10/14/2017 23:45</v>
      </c>
    </row>
    <row r="1847" spans="1:10" x14ac:dyDescent="0.3">
      <c r="A1847" t="s">
        <v>6</v>
      </c>
      <c r="B1847" t="str">
        <f>"10/15/2017 00:00"</f>
        <v>10/15/2017 00:00</v>
      </c>
      <c r="C1847">
        <v>0.27900000000000003</v>
      </c>
      <c r="D1847" t="s">
        <v>7</v>
      </c>
      <c r="E1847" s="2" t="s">
        <v>12</v>
      </c>
      <c r="F1847">
        <f t="shared" si="28"/>
        <v>0.55325700000000011</v>
      </c>
      <c r="G1847" t="s">
        <v>16</v>
      </c>
      <c r="J1847" t="str">
        <f>"10/15/2017 23:45"</f>
        <v>10/15/2017 23:45</v>
      </c>
    </row>
    <row r="1848" spans="1:10" x14ac:dyDescent="0.3">
      <c r="A1848" t="s">
        <v>6</v>
      </c>
      <c r="B1848" t="str">
        <f>"10/16/2017 00:00"</f>
        <v>10/16/2017 00:00</v>
      </c>
      <c r="C1848">
        <v>0.186</v>
      </c>
      <c r="D1848" t="s">
        <v>7</v>
      </c>
      <c r="E1848" s="2" t="s">
        <v>12</v>
      </c>
      <c r="F1848">
        <f t="shared" si="28"/>
        <v>0.368838</v>
      </c>
      <c r="G1848" t="s">
        <v>16</v>
      </c>
      <c r="J1848" t="str">
        <f>"10/16/2017 23:45"</f>
        <v>10/16/2017 23:45</v>
      </c>
    </row>
    <row r="1849" spans="1:10" x14ac:dyDescent="0.3">
      <c r="A1849" t="s">
        <v>6</v>
      </c>
      <c r="B1849" t="str">
        <f>"10/17/2017 00:00"</f>
        <v>10/17/2017 00:00</v>
      </c>
      <c r="C1849">
        <v>0.14599999999999999</v>
      </c>
      <c r="D1849" t="s">
        <v>7</v>
      </c>
      <c r="E1849" s="2" t="s">
        <v>12</v>
      </c>
      <c r="F1849">
        <f t="shared" si="28"/>
        <v>0.289518</v>
      </c>
      <c r="G1849" t="s">
        <v>16</v>
      </c>
      <c r="J1849" t="str">
        <f>"10/17/2017 23:45"</f>
        <v>10/17/2017 23:45</v>
      </c>
    </row>
    <row r="1850" spans="1:10" x14ac:dyDescent="0.3">
      <c r="A1850" t="s">
        <v>6</v>
      </c>
      <c r="B1850" t="str">
        <f>"10/18/2017 00:00"</f>
        <v>10/18/2017 00:00</v>
      </c>
      <c r="C1850">
        <v>0.14599999999999999</v>
      </c>
      <c r="D1850" t="s">
        <v>7</v>
      </c>
      <c r="E1850" s="2" t="s">
        <v>12</v>
      </c>
      <c r="F1850">
        <f t="shared" si="28"/>
        <v>0.289518</v>
      </c>
      <c r="G1850" t="s">
        <v>16</v>
      </c>
      <c r="J1850" t="str">
        <f>"10/18/2017 23:45"</f>
        <v>10/18/2017 23:45</v>
      </c>
    </row>
    <row r="1851" spans="1:10" x14ac:dyDescent="0.3">
      <c r="A1851" t="s">
        <v>6</v>
      </c>
      <c r="B1851" t="str">
        <f>"10/19/2017 00:00"</f>
        <v>10/19/2017 00:00</v>
      </c>
      <c r="C1851">
        <v>0.14599999999999999</v>
      </c>
      <c r="D1851" t="s">
        <v>7</v>
      </c>
      <c r="E1851" s="2" t="s">
        <v>12</v>
      </c>
      <c r="F1851">
        <f t="shared" si="28"/>
        <v>0.289518</v>
      </c>
      <c r="G1851" t="s">
        <v>16</v>
      </c>
      <c r="J1851" t="str">
        <f>"10/19/2017 23:45"</f>
        <v>10/19/2017 23:45</v>
      </c>
    </row>
    <row r="1852" spans="1:10" x14ac:dyDescent="0.3">
      <c r="A1852" t="s">
        <v>6</v>
      </c>
      <c r="B1852" t="str">
        <f>"10/20/2017 00:00"</f>
        <v>10/20/2017 00:00</v>
      </c>
      <c r="C1852">
        <v>0.14599999999999999</v>
      </c>
      <c r="D1852" t="s">
        <v>7</v>
      </c>
      <c r="E1852" s="2" t="s">
        <v>12</v>
      </c>
      <c r="F1852">
        <f t="shared" si="28"/>
        <v>0.289518</v>
      </c>
      <c r="G1852" t="s">
        <v>16</v>
      </c>
      <c r="J1852" t="str">
        <f>"10/20/2017 23:45"</f>
        <v>10/20/2017 23:45</v>
      </c>
    </row>
    <row r="1853" spans="1:10" x14ac:dyDescent="0.3">
      <c r="A1853" t="s">
        <v>6</v>
      </c>
      <c r="B1853" t="str">
        <f>"10/21/2017 00:00"</f>
        <v>10/21/2017 00:00</v>
      </c>
      <c r="C1853">
        <v>0.14599999999999999</v>
      </c>
      <c r="D1853" t="s">
        <v>7</v>
      </c>
      <c r="E1853" s="2" t="s">
        <v>12</v>
      </c>
      <c r="F1853">
        <f t="shared" si="28"/>
        <v>0.289518</v>
      </c>
      <c r="G1853" t="s">
        <v>16</v>
      </c>
      <c r="J1853" t="str">
        <f>"10/21/2017 23:45"</f>
        <v>10/21/2017 23:45</v>
      </c>
    </row>
    <row r="1854" spans="1:10" x14ac:dyDescent="0.3">
      <c r="A1854" t="s">
        <v>6</v>
      </c>
      <c r="B1854" t="str">
        <f>"10/22/2017 00:00"</f>
        <v>10/22/2017 00:00</v>
      </c>
      <c r="C1854">
        <v>0.14599999999999999</v>
      </c>
      <c r="D1854" t="s">
        <v>7</v>
      </c>
      <c r="E1854" s="2" t="s">
        <v>12</v>
      </c>
      <c r="F1854">
        <f t="shared" si="28"/>
        <v>0.289518</v>
      </c>
      <c r="G1854" t="s">
        <v>16</v>
      </c>
      <c r="J1854" t="str">
        <f>"10/22/2017 23:45"</f>
        <v>10/22/2017 23:45</v>
      </c>
    </row>
    <row r="1855" spans="1:10" x14ac:dyDescent="0.3">
      <c r="A1855" t="s">
        <v>6</v>
      </c>
      <c r="B1855" t="str">
        <f>"10/23/2017 00:00"</f>
        <v>10/23/2017 00:00</v>
      </c>
      <c r="C1855">
        <v>6.6400000000000001E-2</v>
      </c>
      <c r="D1855" t="s">
        <v>7</v>
      </c>
      <c r="E1855" s="2" t="s">
        <v>12</v>
      </c>
      <c r="F1855">
        <f t="shared" si="28"/>
        <v>0.13167120000000002</v>
      </c>
      <c r="G1855" t="s">
        <v>16</v>
      </c>
      <c r="J1855" t="str">
        <f>"10/23/2017 23:45"</f>
        <v>10/23/2017 23:45</v>
      </c>
    </row>
    <row r="1856" spans="1:10" x14ac:dyDescent="0.3">
      <c r="A1856" t="s">
        <v>6</v>
      </c>
      <c r="B1856" t="str">
        <f>"10/24/2017 00:00"</f>
        <v>10/24/2017 00:00</v>
      </c>
      <c r="C1856">
        <v>4.8000000000000001E-2</v>
      </c>
      <c r="D1856" t="s">
        <v>7</v>
      </c>
      <c r="E1856" s="2" t="s">
        <v>12</v>
      </c>
      <c r="F1856">
        <f t="shared" si="28"/>
        <v>9.5184000000000005E-2</v>
      </c>
      <c r="G1856" t="s">
        <v>16</v>
      </c>
      <c r="J1856" t="str">
        <f>"10/24/2017 23:45"</f>
        <v>10/24/2017 23:45</v>
      </c>
    </row>
    <row r="1857" spans="1:10" x14ac:dyDescent="0.3">
      <c r="A1857" t="s">
        <v>6</v>
      </c>
      <c r="B1857" t="str">
        <f>"10/25/2017 00:00"</f>
        <v>10/25/2017 00:00</v>
      </c>
      <c r="C1857">
        <v>4.8000000000000001E-2</v>
      </c>
      <c r="D1857" t="s">
        <v>7</v>
      </c>
      <c r="E1857" s="2" t="s">
        <v>12</v>
      </c>
      <c r="F1857">
        <f t="shared" si="28"/>
        <v>9.5184000000000005E-2</v>
      </c>
      <c r="G1857" t="s">
        <v>16</v>
      </c>
      <c r="J1857" t="str">
        <f>"10/25/2017 23:45"</f>
        <v>10/25/2017 23:45</v>
      </c>
    </row>
    <row r="1858" spans="1:10" x14ac:dyDescent="0.3">
      <c r="A1858" t="s">
        <v>6</v>
      </c>
      <c r="B1858" t="str">
        <f>"10/26/2017 00:00"</f>
        <v>10/26/2017 00:00</v>
      </c>
      <c r="C1858">
        <v>4.8000000000000001E-2</v>
      </c>
      <c r="D1858" t="s">
        <v>7</v>
      </c>
      <c r="E1858" s="2" t="s">
        <v>12</v>
      </c>
      <c r="F1858">
        <f t="shared" si="28"/>
        <v>9.5184000000000005E-2</v>
      </c>
      <c r="G1858" t="s">
        <v>16</v>
      </c>
      <c r="J1858" t="str">
        <f>"10/26/2017 23:45"</f>
        <v>10/26/2017 23:45</v>
      </c>
    </row>
    <row r="1859" spans="1:10" x14ac:dyDescent="0.3">
      <c r="A1859" t="s">
        <v>6</v>
      </c>
      <c r="B1859" t="str">
        <f>"10/27/2017 00:00"</f>
        <v>10/27/2017 00:00</v>
      </c>
      <c r="C1859">
        <v>4.8000000000000001E-2</v>
      </c>
      <c r="D1859" t="s">
        <v>7</v>
      </c>
      <c r="E1859" s="2" t="s">
        <v>12</v>
      </c>
      <c r="F1859">
        <f t="shared" si="28"/>
        <v>9.5184000000000005E-2</v>
      </c>
      <c r="G1859" t="s">
        <v>16</v>
      </c>
      <c r="J1859" t="str">
        <f>"10/27/2017 23:45"</f>
        <v>10/27/2017 23:45</v>
      </c>
    </row>
    <row r="1860" spans="1:10" x14ac:dyDescent="0.3">
      <c r="A1860" t="s">
        <v>6</v>
      </c>
      <c r="B1860" t="str">
        <f>"10/28/2017 00:00"</f>
        <v>10/28/2017 00:00</v>
      </c>
      <c r="C1860">
        <v>4.8000000000000001E-2</v>
      </c>
      <c r="D1860" t="s">
        <v>7</v>
      </c>
      <c r="E1860" s="2" t="s">
        <v>12</v>
      </c>
      <c r="F1860">
        <f t="shared" si="28"/>
        <v>9.5184000000000005E-2</v>
      </c>
      <c r="G1860" t="s">
        <v>16</v>
      </c>
      <c r="J1860" t="str">
        <f>"10/28/2017 23:45"</f>
        <v>10/28/2017 23:45</v>
      </c>
    </row>
    <row r="1861" spans="1:10" x14ac:dyDescent="0.3">
      <c r="A1861" t="s">
        <v>6</v>
      </c>
      <c r="B1861" t="str">
        <f>"10/29/2017 00:00"</f>
        <v>10/29/2017 00:00</v>
      </c>
      <c r="C1861">
        <v>4.8000000000000001E-2</v>
      </c>
      <c r="D1861" t="s">
        <v>7</v>
      </c>
      <c r="E1861" s="2" t="s">
        <v>12</v>
      </c>
      <c r="F1861">
        <f t="shared" si="28"/>
        <v>9.5184000000000005E-2</v>
      </c>
      <c r="G1861" t="s">
        <v>16</v>
      </c>
      <c r="J1861" t="str">
        <f>"10/29/2017 23:45"</f>
        <v>10/29/2017 23:45</v>
      </c>
    </row>
    <row r="1862" spans="1:10" x14ac:dyDescent="0.3">
      <c r="A1862" t="s">
        <v>6</v>
      </c>
      <c r="B1862" t="str">
        <f>"10/30/2017 00:00"</f>
        <v>10/30/2017 00:00</v>
      </c>
      <c r="C1862">
        <v>4.8000000000000001E-2</v>
      </c>
      <c r="D1862" t="s">
        <v>7</v>
      </c>
      <c r="E1862" s="2" t="s">
        <v>12</v>
      </c>
      <c r="F1862">
        <f t="shared" si="28"/>
        <v>9.5184000000000005E-2</v>
      </c>
      <c r="G1862" t="s">
        <v>16</v>
      </c>
      <c r="J1862" t="str">
        <f>"10/30/2017 23:45"</f>
        <v>10/30/2017 23:45</v>
      </c>
    </row>
    <row r="1863" spans="1:10" x14ac:dyDescent="0.3">
      <c r="A1863" t="s">
        <v>6</v>
      </c>
      <c r="B1863" t="str">
        <f>"10/31/2017 00:00"</f>
        <v>10/31/2017 00:00</v>
      </c>
      <c r="C1863">
        <v>4.8000000000000001E-2</v>
      </c>
      <c r="D1863" t="s">
        <v>7</v>
      </c>
      <c r="E1863" s="2" t="s">
        <v>12</v>
      </c>
      <c r="F1863">
        <f t="shared" si="28"/>
        <v>9.5184000000000005E-2</v>
      </c>
      <c r="G1863" t="s">
        <v>16</v>
      </c>
      <c r="J1863" t="str">
        <f>"10/31/2017 23:45"</f>
        <v>10/31/2017 23:45</v>
      </c>
    </row>
    <row r="1864" spans="1:10" x14ac:dyDescent="0.3">
      <c r="A1864" t="s">
        <v>6</v>
      </c>
      <c r="B1864" t="str">
        <f>"11/01/2017 00:00"</f>
        <v>11/01/2017 00:00</v>
      </c>
      <c r="C1864">
        <v>4.8000000000000001E-2</v>
      </c>
      <c r="D1864" t="s">
        <v>7</v>
      </c>
      <c r="E1864" s="2" t="s">
        <v>12</v>
      </c>
      <c r="F1864">
        <f t="shared" ref="F1864:F1927" si="29">C1864*1.983</f>
        <v>9.5184000000000005E-2</v>
      </c>
      <c r="G1864" t="s">
        <v>16</v>
      </c>
      <c r="J1864" t="str">
        <f>"11/01/2017 23:45"</f>
        <v>11/01/2017 23:45</v>
      </c>
    </row>
    <row r="1865" spans="1:10" x14ac:dyDescent="0.3">
      <c r="A1865" t="s">
        <v>6</v>
      </c>
      <c r="B1865" t="str">
        <f>"11/02/2017 00:00"</f>
        <v>11/02/2017 00:00</v>
      </c>
      <c r="C1865">
        <v>2.6499999999999999E-2</v>
      </c>
      <c r="D1865" t="s">
        <v>7</v>
      </c>
      <c r="E1865" s="2" t="s">
        <v>12</v>
      </c>
      <c r="F1865">
        <f t="shared" si="29"/>
        <v>5.2549499999999999E-2</v>
      </c>
      <c r="G1865" t="s">
        <v>16</v>
      </c>
      <c r="J1865" t="str">
        <f>"11/02/2017 23:45"</f>
        <v>11/02/2017 23:45</v>
      </c>
    </row>
    <row r="1866" spans="1:10" x14ac:dyDescent="0.3">
      <c r="A1866" t="s">
        <v>6</v>
      </c>
      <c r="B1866" t="str">
        <f>"11/03/2017 00:00"</f>
        <v>11/03/2017 00:00</v>
      </c>
      <c r="C1866">
        <v>1.5E-3</v>
      </c>
      <c r="D1866" t="s">
        <v>7</v>
      </c>
      <c r="E1866" s="2" t="s">
        <v>12</v>
      </c>
      <c r="F1866">
        <f t="shared" si="29"/>
        <v>2.9745000000000001E-3</v>
      </c>
      <c r="G1866" t="s">
        <v>16</v>
      </c>
      <c r="J1866" t="str">
        <f>"11/03/2017 23:45"</f>
        <v>11/03/2017 23:45</v>
      </c>
    </row>
    <row r="1867" spans="1:10" x14ac:dyDescent="0.3">
      <c r="A1867" t="s">
        <v>6</v>
      </c>
      <c r="B1867" t="str">
        <f>"11/04/2017 00:00"</f>
        <v>11/04/2017 00:00</v>
      </c>
      <c r="C1867">
        <v>0</v>
      </c>
      <c r="D1867" t="s">
        <v>7</v>
      </c>
      <c r="E1867" s="2" t="s">
        <v>12</v>
      </c>
      <c r="F1867">
        <f t="shared" si="29"/>
        <v>0</v>
      </c>
      <c r="G1867" t="s">
        <v>16</v>
      </c>
      <c r="J1867" t="str">
        <f>"11/04/2017 23:45"</f>
        <v>11/04/2017 23:45</v>
      </c>
    </row>
    <row r="1868" spans="1:10" x14ac:dyDescent="0.3">
      <c r="A1868" t="s">
        <v>6</v>
      </c>
      <c r="B1868" t="str">
        <f>"11/05/2017 00:00"</f>
        <v>11/05/2017 00:00</v>
      </c>
      <c r="C1868">
        <v>0</v>
      </c>
      <c r="D1868" t="s">
        <v>7</v>
      </c>
      <c r="E1868" s="2" t="s">
        <v>12</v>
      </c>
      <c r="F1868">
        <f t="shared" si="29"/>
        <v>0</v>
      </c>
      <c r="G1868" t="s">
        <v>16</v>
      </c>
      <c r="J1868" t="str">
        <f>"11/05/2017 23:45"</f>
        <v>11/05/2017 23:45</v>
      </c>
    </row>
    <row r="1869" spans="1:10" x14ac:dyDescent="0.3">
      <c r="A1869" t="s">
        <v>6</v>
      </c>
      <c r="B1869" t="str">
        <f>"11/06/2017 00:00"</f>
        <v>11/06/2017 00:00</v>
      </c>
      <c r="C1869">
        <v>0</v>
      </c>
      <c r="D1869" t="s">
        <v>7</v>
      </c>
      <c r="E1869" s="2" t="s">
        <v>12</v>
      </c>
      <c r="F1869">
        <f t="shared" si="29"/>
        <v>0</v>
      </c>
      <c r="G1869" t="s">
        <v>16</v>
      </c>
      <c r="J1869" t="str">
        <f>"11/06/2017 23:45"</f>
        <v>11/06/2017 23:45</v>
      </c>
    </row>
    <row r="1870" spans="1:10" x14ac:dyDescent="0.3">
      <c r="A1870" t="s">
        <v>6</v>
      </c>
      <c r="B1870" t="str">
        <f>"11/07/2017 00:00"</f>
        <v>11/07/2017 00:00</v>
      </c>
      <c r="C1870">
        <v>0</v>
      </c>
      <c r="D1870" t="s">
        <v>7</v>
      </c>
      <c r="E1870" s="2" t="s">
        <v>12</v>
      </c>
      <c r="F1870">
        <f t="shared" si="29"/>
        <v>0</v>
      </c>
      <c r="G1870" t="s">
        <v>16</v>
      </c>
      <c r="J1870" t="str">
        <f>"11/07/2017 23:45"</f>
        <v>11/07/2017 23:45</v>
      </c>
    </row>
    <row r="1871" spans="1:10" x14ac:dyDescent="0.3">
      <c r="A1871" t="s">
        <v>6</v>
      </c>
      <c r="B1871" t="str">
        <f>"11/08/2017 00:00"</f>
        <v>11/08/2017 00:00</v>
      </c>
      <c r="C1871">
        <v>0</v>
      </c>
      <c r="D1871" t="s">
        <v>7</v>
      </c>
      <c r="E1871" s="2" t="s">
        <v>12</v>
      </c>
      <c r="F1871">
        <f t="shared" si="29"/>
        <v>0</v>
      </c>
      <c r="G1871" t="s">
        <v>16</v>
      </c>
      <c r="J1871" t="str">
        <f>"11/08/2017 23:45"</f>
        <v>11/08/2017 23:45</v>
      </c>
    </row>
    <row r="1872" spans="1:10" x14ac:dyDescent="0.3">
      <c r="A1872" t="s">
        <v>6</v>
      </c>
      <c r="B1872" t="str">
        <f>"11/09/2017 00:00"</f>
        <v>11/09/2017 00:00</v>
      </c>
      <c r="C1872">
        <v>0</v>
      </c>
      <c r="D1872" t="s">
        <v>7</v>
      </c>
      <c r="E1872" s="2" t="s">
        <v>12</v>
      </c>
      <c r="F1872">
        <f t="shared" si="29"/>
        <v>0</v>
      </c>
      <c r="G1872" t="s">
        <v>16</v>
      </c>
      <c r="J1872" t="str">
        <f>"11/09/2017 23:45"</f>
        <v>11/09/2017 23:45</v>
      </c>
    </row>
    <row r="1873" spans="1:10" x14ac:dyDescent="0.3">
      <c r="A1873" t="s">
        <v>6</v>
      </c>
      <c r="B1873" t="str">
        <f>"11/10/2017 00:00"</f>
        <v>11/10/2017 00:00</v>
      </c>
      <c r="C1873">
        <v>0</v>
      </c>
      <c r="D1873" t="s">
        <v>7</v>
      </c>
      <c r="E1873" s="2" t="s">
        <v>12</v>
      </c>
      <c r="F1873">
        <f t="shared" si="29"/>
        <v>0</v>
      </c>
      <c r="G1873" t="s">
        <v>16</v>
      </c>
      <c r="J1873" t="str">
        <f>"11/10/2017 23:45"</f>
        <v>11/10/2017 23:45</v>
      </c>
    </row>
    <row r="1874" spans="1:10" x14ac:dyDescent="0.3">
      <c r="A1874" t="s">
        <v>6</v>
      </c>
      <c r="B1874" t="str">
        <f>"11/11/2017 00:00"</f>
        <v>11/11/2017 00:00</v>
      </c>
      <c r="C1874">
        <v>0</v>
      </c>
      <c r="D1874" t="s">
        <v>7</v>
      </c>
      <c r="E1874" s="2" t="s">
        <v>12</v>
      </c>
      <c r="F1874">
        <f t="shared" si="29"/>
        <v>0</v>
      </c>
      <c r="G1874" t="s">
        <v>16</v>
      </c>
      <c r="J1874" t="str">
        <f>"11/11/2017 23:45"</f>
        <v>11/11/2017 23:45</v>
      </c>
    </row>
    <row r="1875" spans="1:10" x14ac:dyDescent="0.3">
      <c r="A1875" t="s">
        <v>6</v>
      </c>
      <c r="B1875" t="str">
        <f>"11/12/2017 00:00"</f>
        <v>11/12/2017 00:00</v>
      </c>
      <c r="C1875">
        <v>0</v>
      </c>
      <c r="D1875" t="s">
        <v>7</v>
      </c>
      <c r="E1875" s="2" t="s">
        <v>12</v>
      </c>
      <c r="F1875">
        <f t="shared" si="29"/>
        <v>0</v>
      </c>
      <c r="G1875" t="s">
        <v>16</v>
      </c>
      <c r="J1875" t="str">
        <f>"11/12/2017 23:45"</f>
        <v>11/12/2017 23:45</v>
      </c>
    </row>
    <row r="1876" spans="1:10" x14ac:dyDescent="0.3">
      <c r="A1876" t="s">
        <v>6</v>
      </c>
      <c r="B1876" t="str">
        <f>"11/13/2017 00:00"</f>
        <v>11/13/2017 00:00</v>
      </c>
      <c r="C1876">
        <v>0</v>
      </c>
      <c r="D1876" t="s">
        <v>7</v>
      </c>
      <c r="E1876" s="2" t="s">
        <v>12</v>
      </c>
      <c r="F1876">
        <f t="shared" si="29"/>
        <v>0</v>
      </c>
      <c r="G1876" t="s">
        <v>16</v>
      </c>
      <c r="J1876" t="str">
        <f>"11/13/2017 23:45"</f>
        <v>11/13/2017 23:45</v>
      </c>
    </row>
    <row r="1877" spans="1:10" x14ac:dyDescent="0.3">
      <c r="A1877" t="s">
        <v>6</v>
      </c>
      <c r="B1877" t="str">
        <f>"11/14/2017 00:00"</f>
        <v>11/14/2017 00:00</v>
      </c>
      <c r="C1877">
        <v>0</v>
      </c>
      <c r="D1877" t="s">
        <v>7</v>
      </c>
      <c r="E1877" s="2" t="s">
        <v>12</v>
      </c>
      <c r="F1877">
        <f t="shared" si="29"/>
        <v>0</v>
      </c>
      <c r="G1877" t="s">
        <v>16</v>
      </c>
      <c r="J1877" t="str">
        <f>"11/14/2017 23:45"</f>
        <v>11/14/2017 23:45</v>
      </c>
    </row>
    <row r="1878" spans="1:10" x14ac:dyDescent="0.3">
      <c r="A1878" t="s">
        <v>6</v>
      </c>
      <c r="B1878" t="str">
        <f>"11/15/2017 00:00"</f>
        <v>11/15/2017 00:00</v>
      </c>
      <c r="C1878">
        <v>0</v>
      </c>
      <c r="D1878" t="s">
        <v>7</v>
      </c>
      <c r="E1878" s="2" t="s">
        <v>12</v>
      </c>
      <c r="F1878">
        <f t="shared" si="29"/>
        <v>0</v>
      </c>
      <c r="G1878" t="s">
        <v>16</v>
      </c>
      <c r="J1878" t="str">
        <f>"11/15/2017 23:45"</f>
        <v>11/15/2017 23:45</v>
      </c>
    </row>
    <row r="1879" spans="1:10" x14ac:dyDescent="0.3">
      <c r="A1879" t="s">
        <v>6</v>
      </c>
      <c r="B1879" t="str">
        <f>"11/16/2017 00:00"</f>
        <v>11/16/2017 00:00</v>
      </c>
      <c r="C1879">
        <v>0</v>
      </c>
      <c r="D1879" t="s">
        <v>7</v>
      </c>
      <c r="E1879" s="2" t="s">
        <v>12</v>
      </c>
      <c r="F1879">
        <f t="shared" si="29"/>
        <v>0</v>
      </c>
      <c r="G1879" t="s">
        <v>16</v>
      </c>
      <c r="J1879" t="str">
        <f>"11/16/2017 23:45"</f>
        <v>11/16/2017 23:45</v>
      </c>
    </row>
    <row r="1880" spans="1:10" x14ac:dyDescent="0.3">
      <c r="A1880" t="s">
        <v>6</v>
      </c>
      <c r="B1880" t="str">
        <f>"11/17/2017 00:00"</f>
        <v>11/17/2017 00:00</v>
      </c>
      <c r="C1880">
        <v>0</v>
      </c>
      <c r="D1880" t="s">
        <v>7</v>
      </c>
      <c r="E1880" s="2" t="s">
        <v>12</v>
      </c>
      <c r="F1880">
        <f t="shared" si="29"/>
        <v>0</v>
      </c>
      <c r="G1880" t="s">
        <v>16</v>
      </c>
      <c r="J1880" t="str">
        <f>"11/17/2017 23:45"</f>
        <v>11/17/2017 23:45</v>
      </c>
    </row>
    <row r="1881" spans="1:10" x14ac:dyDescent="0.3">
      <c r="A1881" t="s">
        <v>6</v>
      </c>
      <c r="B1881" t="str">
        <f>"11/18/2017 00:00"</f>
        <v>11/18/2017 00:00</v>
      </c>
      <c r="C1881">
        <v>0</v>
      </c>
      <c r="D1881" t="s">
        <v>7</v>
      </c>
      <c r="E1881" s="2" t="s">
        <v>12</v>
      </c>
      <c r="F1881">
        <f t="shared" si="29"/>
        <v>0</v>
      </c>
      <c r="G1881" t="s">
        <v>16</v>
      </c>
      <c r="J1881" t="str">
        <f>"11/18/2017 23:45"</f>
        <v>11/18/2017 23:45</v>
      </c>
    </row>
    <row r="1882" spans="1:10" x14ac:dyDescent="0.3">
      <c r="A1882" t="s">
        <v>6</v>
      </c>
      <c r="B1882" t="str">
        <f>"11/19/2017 00:00"</f>
        <v>11/19/2017 00:00</v>
      </c>
      <c r="C1882">
        <v>0</v>
      </c>
      <c r="D1882" t="s">
        <v>7</v>
      </c>
      <c r="E1882" s="2" t="s">
        <v>12</v>
      </c>
      <c r="F1882">
        <f t="shared" si="29"/>
        <v>0</v>
      </c>
      <c r="G1882" t="s">
        <v>16</v>
      </c>
      <c r="J1882" t="str">
        <f>"11/19/2017 23:45"</f>
        <v>11/19/2017 23:45</v>
      </c>
    </row>
    <row r="1883" spans="1:10" x14ac:dyDescent="0.3">
      <c r="A1883" t="s">
        <v>6</v>
      </c>
      <c r="B1883" t="str">
        <f>"11/20/2017 00:00"</f>
        <v>11/20/2017 00:00</v>
      </c>
      <c r="C1883">
        <v>0</v>
      </c>
      <c r="D1883" t="s">
        <v>7</v>
      </c>
      <c r="E1883" s="2" t="s">
        <v>12</v>
      </c>
      <c r="F1883">
        <f t="shared" si="29"/>
        <v>0</v>
      </c>
      <c r="G1883" t="s">
        <v>16</v>
      </c>
      <c r="J1883" t="str">
        <f>"11/20/2017 23:45"</f>
        <v>11/20/2017 23:45</v>
      </c>
    </row>
    <row r="1884" spans="1:10" x14ac:dyDescent="0.3">
      <c r="A1884" t="s">
        <v>6</v>
      </c>
      <c r="B1884" t="str">
        <f>"11/21/2017 00:00"</f>
        <v>11/21/2017 00:00</v>
      </c>
      <c r="C1884">
        <v>0</v>
      </c>
      <c r="D1884" t="s">
        <v>7</v>
      </c>
      <c r="E1884" s="2" t="s">
        <v>12</v>
      </c>
      <c r="F1884">
        <f t="shared" si="29"/>
        <v>0</v>
      </c>
      <c r="G1884" t="s">
        <v>16</v>
      </c>
      <c r="J1884" t="str">
        <f>"11/21/2017 23:45"</f>
        <v>11/21/2017 23:45</v>
      </c>
    </row>
    <row r="1885" spans="1:10" x14ac:dyDescent="0.3">
      <c r="A1885" t="s">
        <v>6</v>
      </c>
      <c r="B1885" t="str">
        <f>"11/22/2017 00:00"</f>
        <v>11/22/2017 00:00</v>
      </c>
      <c r="C1885">
        <v>0</v>
      </c>
      <c r="D1885" t="s">
        <v>7</v>
      </c>
      <c r="E1885" s="2" t="s">
        <v>12</v>
      </c>
      <c r="F1885">
        <f t="shared" si="29"/>
        <v>0</v>
      </c>
      <c r="G1885" t="s">
        <v>16</v>
      </c>
      <c r="J1885" t="str">
        <f>"11/22/2017 23:45"</f>
        <v>11/22/2017 23:45</v>
      </c>
    </row>
    <row r="1886" spans="1:10" x14ac:dyDescent="0.3">
      <c r="A1886" t="s">
        <v>6</v>
      </c>
      <c r="B1886" t="str">
        <f>"11/23/2017 00:00"</f>
        <v>11/23/2017 00:00</v>
      </c>
      <c r="C1886">
        <v>0</v>
      </c>
      <c r="D1886" t="s">
        <v>7</v>
      </c>
      <c r="E1886" s="2" t="s">
        <v>12</v>
      </c>
      <c r="F1886">
        <f t="shared" si="29"/>
        <v>0</v>
      </c>
      <c r="G1886" t="s">
        <v>16</v>
      </c>
      <c r="J1886" t="str">
        <f>"11/23/2017 23:45"</f>
        <v>11/23/2017 23:45</v>
      </c>
    </row>
    <row r="1887" spans="1:10" x14ac:dyDescent="0.3">
      <c r="A1887" t="s">
        <v>6</v>
      </c>
      <c r="B1887" t="str">
        <f>"11/24/2017 00:00"</f>
        <v>11/24/2017 00:00</v>
      </c>
      <c r="C1887">
        <v>0</v>
      </c>
      <c r="D1887" t="s">
        <v>7</v>
      </c>
      <c r="E1887" s="2" t="s">
        <v>12</v>
      </c>
      <c r="F1887">
        <f t="shared" si="29"/>
        <v>0</v>
      </c>
      <c r="G1887" t="s">
        <v>16</v>
      </c>
      <c r="J1887" t="str">
        <f>"11/24/2017 23:45"</f>
        <v>11/24/2017 23:45</v>
      </c>
    </row>
    <row r="1888" spans="1:10" x14ac:dyDescent="0.3">
      <c r="A1888" t="s">
        <v>6</v>
      </c>
      <c r="B1888" t="str">
        <f>"11/25/2017 00:00"</f>
        <v>11/25/2017 00:00</v>
      </c>
      <c r="C1888">
        <v>0</v>
      </c>
      <c r="D1888" t="s">
        <v>7</v>
      </c>
      <c r="E1888" s="2" t="s">
        <v>12</v>
      </c>
      <c r="F1888">
        <f t="shared" si="29"/>
        <v>0</v>
      </c>
      <c r="G1888" t="s">
        <v>16</v>
      </c>
      <c r="J1888" t="str">
        <f>"11/25/2017 23:45"</f>
        <v>11/25/2017 23:45</v>
      </c>
    </row>
    <row r="1889" spans="1:10" x14ac:dyDescent="0.3">
      <c r="A1889" t="s">
        <v>6</v>
      </c>
      <c r="B1889" t="str">
        <f>"11/26/2017 00:00"</f>
        <v>11/26/2017 00:00</v>
      </c>
      <c r="C1889">
        <v>0</v>
      </c>
      <c r="D1889" t="s">
        <v>7</v>
      </c>
      <c r="E1889" s="2" t="s">
        <v>12</v>
      </c>
      <c r="F1889">
        <f t="shared" si="29"/>
        <v>0</v>
      </c>
      <c r="G1889" t="s">
        <v>16</v>
      </c>
      <c r="J1889" t="str">
        <f>"11/26/2017 23:45"</f>
        <v>11/26/2017 23:45</v>
      </c>
    </row>
    <row r="1890" spans="1:10" x14ac:dyDescent="0.3">
      <c r="A1890" t="s">
        <v>6</v>
      </c>
      <c r="B1890" t="str">
        <f>"11/27/2017 00:00"</f>
        <v>11/27/2017 00:00</v>
      </c>
      <c r="C1890">
        <v>0</v>
      </c>
      <c r="D1890" t="s">
        <v>7</v>
      </c>
      <c r="E1890" s="2" t="s">
        <v>12</v>
      </c>
      <c r="F1890">
        <f t="shared" si="29"/>
        <v>0</v>
      </c>
      <c r="G1890" t="s">
        <v>16</v>
      </c>
      <c r="J1890" t="str">
        <f>"11/27/2017 23:45"</f>
        <v>11/27/2017 23:45</v>
      </c>
    </row>
    <row r="1891" spans="1:10" x14ac:dyDescent="0.3">
      <c r="A1891" t="s">
        <v>6</v>
      </c>
      <c r="B1891" t="str">
        <f>"11/28/2017 00:00"</f>
        <v>11/28/2017 00:00</v>
      </c>
      <c r="C1891">
        <v>0</v>
      </c>
      <c r="D1891" t="s">
        <v>7</v>
      </c>
      <c r="E1891" s="2" t="s">
        <v>12</v>
      </c>
      <c r="F1891">
        <f t="shared" si="29"/>
        <v>0</v>
      </c>
      <c r="G1891" t="s">
        <v>16</v>
      </c>
      <c r="J1891" t="str">
        <f>"11/28/2017 23:45"</f>
        <v>11/28/2017 23:45</v>
      </c>
    </row>
    <row r="1892" spans="1:10" x14ac:dyDescent="0.3">
      <c r="A1892" t="s">
        <v>6</v>
      </c>
      <c r="B1892" t="str">
        <f>"11/29/2017 00:00"</f>
        <v>11/29/2017 00:00</v>
      </c>
      <c r="C1892">
        <v>0</v>
      </c>
      <c r="D1892" t="s">
        <v>7</v>
      </c>
      <c r="E1892" s="2" t="s">
        <v>12</v>
      </c>
      <c r="F1892">
        <f t="shared" si="29"/>
        <v>0</v>
      </c>
      <c r="G1892" t="s">
        <v>16</v>
      </c>
      <c r="J1892" t="str">
        <f>"11/29/2017 23:45"</f>
        <v>11/29/2017 23:45</v>
      </c>
    </row>
    <row r="1893" spans="1:10" x14ac:dyDescent="0.3">
      <c r="A1893" t="s">
        <v>6</v>
      </c>
      <c r="B1893" t="str">
        <f>"11/30/2017 00:00"</f>
        <v>11/30/2017 00:00</v>
      </c>
      <c r="C1893">
        <v>0</v>
      </c>
      <c r="D1893" t="s">
        <v>7</v>
      </c>
      <c r="E1893" s="2" t="s">
        <v>12</v>
      </c>
      <c r="F1893">
        <f t="shared" si="29"/>
        <v>0</v>
      </c>
      <c r="G1893" t="s">
        <v>16</v>
      </c>
      <c r="J1893" t="str">
        <f>"11/30/2017 23:45"</f>
        <v>11/30/2017 23:45</v>
      </c>
    </row>
    <row r="1894" spans="1:10" x14ac:dyDescent="0.3">
      <c r="A1894" t="s">
        <v>6</v>
      </c>
      <c r="B1894" t="str">
        <f>"12/01/2017 00:00"</f>
        <v>12/01/2017 00:00</v>
      </c>
      <c r="C1894">
        <v>0</v>
      </c>
      <c r="D1894" t="s">
        <v>7</v>
      </c>
      <c r="E1894" s="2" t="s">
        <v>12</v>
      </c>
      <c r="F1894">
        <f t="shared" si="29"/>
        <v>0</v>
      </c>
      <c r="G1894" t="s">
        <v>16</v>
      </c>
      <c r="J1894" t="str">
        <f>"12/01/2017 23:45"</f>
        <v>12/01/2017 23:45</v>
      </c>
    </row>
    <row r="1895" spans="1:10" x14ac:dyDescent="0.3">
      <c r="A1895" t="s">
        <v>6</v>
      </c>
      <c r="B1895" t="str">
        <f>"12/02/2017 00:00"</f>
        <v>12/02/2017 00:00</v>
      </c>
      <c r="C1895">
        <v>0</v>
      </c>
      <c r="D1895" t="s">
        <v>7</v>
      </c>
      <c r="E1895" s="2" t="s">
        <v>12</v>
      </c>
      <c r="F1895">
        <f t="shared" si="29"/>
        <v>0</v>
      </c>
      <c r="G1895" t="s">
        <v>16</v>
      </c>
      <c r="J1895" t="str">
        <f>"12/02/2017 23:45"</f>
        <v>12/02/2017 23:45</v>
      </c>
    </row>
    <row r="1896" spans="1:10" x14ac:dyDescent="0.3">
      <c r="A1896" t="s">
        <v>6</v>
      </c>
      <c r="B1896" t="str">
        <f>"12/03/2017 00:00"</f>
        <v>12/03/2017 00:00</v>
      </c>
      <c r="C1896">
        <v>0</v>
      </c>
      <c r="D1896" t="s">
        <v>7</v>
      </c>
      <c r="E1896" s="2" t="s">
        <v>12</v>
      </c>
      <c r="F1896">
        <f t="shared" si="29"/>
        <v>0</v>
      </c>
      <c r="G1896" t="s">
        <v>16</v>
      </c>
      <c r="J1896" t="str">
        <f>"12/03/2017 23:45"</f>
        <v>12/03/2017 23:45</v>
      </c>
    </row>
    <row r="1897" spans="1:10" x14ac:dyDescent="0.3">
      <c r="A1897" t="s">
        <v>6</v>
      </c>
      <c r="B1897" t="str">
        <f>"12/04/2017 00:00"</f>
        <v>12/04/2017 00:00</v>
      </c>
      <c r="C1897">
        <v>0</v>
      </c>
      <c r="D1897" t="s">
        <v>7</v>
      </c>
      <c r="E1897" s="2" t="s">
        <v>12</v>
      </c>
      <c r="F1897">
        <f t="shared" si="29"/>
        <v>0</v>
      </c>
      <c r="G1897" t="s">
        <v>16</v>
      </c>
      <c r="J1897" t="str">
        <f>"12/04/2017 23:45"</f>
        <v>12/04/2017 23:45</v>
      </c>
    </row>
    <row r="1898" spans="1:10" x14ac:dyDescent="0.3">
      <c r="A1898" t="s">
        <v>6</v>
      </c>
      <c r="B1898" t="str">
        <f>"12/05/2017 00:00"</f>
        <v>12/05/2017 00:00</v>
      </c>
      <c r="C1898">
        <v>0</v>
      </c>
      <c r="D1898" t="s">
        <v>7</v>
      </c>
      <c r="E1898" s="2" t="s">
        <v>12</v>
      </c>
      <c r="F1898">
        <f t="shared" si="29"/>
        <v>0</v>
      </c>
      <c r="G1898" t="s">
        <v>16</v>
      </c>
      <c r="J1898" t="str">
        <f>"12/05/2017 23:45"</f>
        <v>12/05/2017 23:45</v>
      </c>
    </row>
    <row r="1899" spans="1:10" x14ac:dyDescent="0.3">
      <c r="A1899" t="s">
        <v>6</v>
      </c>
      <c r="B1899" t="str">
        <f>"12/06/2017 00:00"</f>
        <v>12/06/2017 00:00</v>
      </c>
      <c r="C1899">
        <v>0</v>
      </c>
      <c r="D1899" t="s">
        <v>7</v>
      </c>
      <c r="E1899" s="2" t="s">
        <v>12</v>
      </c>
      <c r="F1899">
        <f t="shared" si="29"/>
        <v>0</v>
      </c>
      <c r="G1899" t="s">
        <v>16</v>
      </c>
      <c r="J1899" t="str">
        <f>"12/06/2017 23:45"</f>
        <v>12/06/2017 23:45</v>
      </c>
    </row>
    <row r="1900" spans="1:10" x14ac:dyDescent="0.3">
      <c r="A1900" t="s">
        <v>6</v>
      </c>
      <c r="B1900" t="str">
        <f>"12/07/2017 00:00"</f>
        <v>12/07/2017 00:00</v>
      </c>
      <c r="C1900">
        <v>0</v>
      </c>
      <c r="D1900" t="s">
        <v>7</v>
      </c>
      <c r="E1900" s="2" t="s">
        <v>12</v>
      </c>
      <c r="F1900">
        <f t="shared" si="29"/>
        <v>0</v>
      </c>
      <c r="G1900" t="s">
        <v>16</v>
      </c>
      <c r="J1900" t="str">
        <f>"12/07/2017 23:45"</f>
        <v>12/07/2017 23:45</v>
      </c>
    </row>
    <row r="1901" spans="1:10" x14ac:dyDescent="0.3">
      <c r="A1901" t="s">
        <v>6</v>
      </c>
      <c r="B1901" t="str">
        <f>"12/08/2017 00:00"</f>
        <v>12/08/2017 00:00</v>
      </c>
      <c r="C1901">
        <v>0</v>
      </c>
      <c r="D1901" t="s">
        <v>7</v>
      </c>
      <c r="E1901" s="2" t="s">
        <v>12</v>
      </c>
      <c r="F1901">
        <f t="shared" si="29"/>
        <v>0</v>
      </c>
      <c r="G1901" t="s">
        <v>16</v>
      </c>
      <c r="J1901" t="str">
        <f>"12/08/2017 23:45"</f>
        <v>12/08/2017 23:45</v>
      </c>
    </row>
    <row r="1902" spans="1:10" x14ac:dyDescent="0.3">
      <c r="A1902" t="s">
        <v>6</v>
      </c>
      <c r="B1902" t="str">
        <f>"12/09/2017 00:00"</f>
        <v>12/09/2017 00:00</v>
      </c>
      <c r="C1902">
        <v>0</v>
      </c>
      <c r="D1902" t="s">
        <v>7</v>
      </c>
      <c r="E1902" s="2" t="s">
        <v>12</v>
      </c>
      <c r="F1902">
        <f t="shared" si="29"/>
        <v>0</v>
      </c>
      <c r="G1902" t="s">
        <v>16</v>
      </c>
      <c r="J1902" t="str">
        <f>"12/09/2017 23:45"</f>
        <v>12/09/2017 23:45</v>
      </c>
    </row>
    <row r="1903" spans="1:10" x14ac:dyDescent="0.3">
      <c r="A1903" t="s">
        <v>6</v>
      </c>
      <c r="B1903" t="str">
        <f>"12/10/2017 00:00"</f>
        <v>12/10/2017 00:00</v>
      </c>
      <c r="C1903">
        <v>0</v>
      </c>
      <c r="D1903" t="s">
        <v>7</v>
      </c>
      <c r="E1903" s="2" t="s">
        <v>12</v>
      </c>
      <c r="F1903">
        <f t="shared" si="29"/>
        <v>0</v>
      </c>
      <c r="G1903" t="s">
        <v>16</v>
      </c>
      <c r="J1903" t="str">
        <f>"12/10/2017 23:45"</f>
        <v>12/10/2017 23:45</v>
      </c>
    </row>
    <row r="1904" spans="1:10" x14ac:dyDescent="0.3">
      <c r="A1904" t="s">
        <v>6</v>
      </c>
      <c r="B1904" t="str">
        <f>"12/11/2017 00:00"</f>
        <v>12/11/2017 00:00</v>
      </c>
      <c r="C1904">
        <v>0</v>
      </c>
      <c r="D1904" t="s">
        <v>7</v>
      </c>
      <c r="E1904" s="2" t="s">
        <v>12</v>
      </c>
      <c r="F1904">
        <f t="shared" si="29"/>
        <v>0</v>
      </c>
      <c r="G1904" t="s">
        <v>16</v>
      </c>
      <c r="J1904" t="str">
        <f>"12/11/2017 23:45"</f>
        <v>12/11/2017 23:45</v>
      </c>
    </row>
    <row r="1905" spans="1:10" x14ac:dyDescent="0.3">
      <c r="A1905" t="s">
        <v>6</v>
      </c>
      <c r="B1905" t="str">
        <f>"12/12/2017 00:00"</f>
        <v>12/12/2017 00:00</v>
      </c>
      <c r="C1905">
        <v>0</v>
      </c>
      <c r="D1905" t="s">
        <v>7</v>
      </c>
      <c r="E1905" s="2" t="s">
        <v>12</v>
      </c>
      <c r="F1905">
        <f t="shared" si="29"/>
        <v>0</v>
      </c>
      <c r="G1905" t="s">
        <v>16</v>
      </c>
      <c r="J1905" t="str">
        <f>"12/12/2017 23:45"</f>
        <v>12/12/2017 23:45</v>
      </c>
    </row>
    <row r="1906" spans="1:10" x14ac:dyDescent="0.3">
      <c r="A1906" t="s">
        <v>6</v>
      </c>
      <c r="B1906" t="str">
        <f>"12/13/2017 00:00"</f>
        <v>12/13/2017 00:00</v>
      </c>
      <c r="C1906">
        <v>0</v>
      </c>
      <c r="D1906" t="s">
        <v>7</v>
      </c>
      <c r="E1906" s="2" t="s">
        <v>12</v>
      </c>
      <c r="F1906">
        <f t="shared" si="29"/>
        <v>0</v>
      </c>
      <c r="G1906" t="s">
        <v>16</v>
      </c>
      <c r="J1906" t="str">
        <f>"12/13/2017 23:45"</f>
        <v>12/13/2017 23:45</v>
      </c>
    </row>
    <row r="1907" spans="1:10" x14ac:dyDescent="0.3">
      <c r="A1907" t="s">
        <v>6</v>
      </c>
      <c r="B1907" t="str">
        <f>"12/14/2017 00:00"</f>
        <v>12/14/2017 00:00</v>
      </c>
      <c r="C1907">
        <v>0</v>
      </c>
      <c r="D1907" t="s">
        <v>7</v>
      </c>
      <c r="E1907" s="2" t="s">
        <v>12</v>
      </c>
      <c r="F1907">
        <f t="shared" si="29"/>
        <v>0</v>
      </c>
      <c r="G1907" t="s">
        <v>16</v>
      </c>
      <c r="J1907" t="str">
        <f>"12/14/2017 23:45"</f>
        <v>12/14/2017 23:45</v>
      </c>
    </row>
    <row r="1908" spans="1:10" x14ac:dyDescent="0.3">
      <c r="A1908" t="s">
        <v>6</v>
      </c>
      <c r="B1908" t="str">
        <f>"12/15/2017 00:00"</f>
        <v>12/15/2017 00:00</v>
      </c>
      <c r="C1908">
        <v>0</v>
      </c>
      <c r="D1908" t="s">
        <v>7</v>
      </c>
      <c r="E1908" s="2" t="s">
        <v>12</v>
      </c>
      <c r="F1908">
        <f t="shared" si="29"/>
        <v>0</v>
      </c>
      <c r="G1908" t="s">
        <v>16</v>
      </c>
      <c r="J1908" t="str">
        <f>"12/15/2017 23:45"</f>
        <v>12/15/2017 23:45</v>
      </c>
    </row>
    <row r="1909" spans="1:10" x14ac:dyDescent="0.3">
      <c r="A1909" t="s">
        <v>6</v>
      </c>
      <c r="B1909" t="str">
        <f>"12/16/2017 00:00"</f>
        <v>12/16/2017 00:00</v>
      </c>
      <c r="C1909">
        <v>1.6299999999999999E-2</v>
      </c>
      <c r="D1909" t="s">
        <v>7</v>
      </c>
      <c r="E1909" s="2" t="s">
        <v>12</v>
      </c>
      <c r="F1909">
        <f t="shared" si="29"/>
        <v>3.2322900000000002E-2</v>
      </c>
      <c r="G1909" t="s">
        <v>16</v>
      </c>
      <c r="J1909" t="str">
        <f>"12/16/2017 23:45"</f>
        <v>12/16/2017 23:45</v>
      </c>
    </row>
    <row r="1910" spans="1:10" x14ac:dyDescent="0.3">
      <c r="A1910" t="s">
        <v>6</v>
      </c>
      <c r="B1910" t="str">
        <f>"12/17/2017 00:00"</f>
        <v>12/17/2017 00:00</v>
      </c>
      <c r="C1910">
        <v>0.437</v>
      </c>
      <c r="D1910" t="s">
        <v>7</v>
      </c>
      <c r="E1910" s="2" t="s">
        <v>12</v>
      </c>
      <c r="F1910">
        <f t="shared" si="29"/>
        <v>0.86657100000000009</v>
      </c>
      <c r="G1910" t="s">
        <v>16</v>
      </c>
      <c r="J1910" t="str">
        <f>"12/17/2017 23:45"</f>
        <v>12/17/2017 23:45</v>
      </c>
    </row>
    <row r="1911" spans="1:10" x14ac:dyDescent="0.3">
      <c r="A1911" t="s">
        <v>6</v>
      </c>
      <c r="B1911" t="str">
        <f>"12/18/2017 00:00"</f>
        <v>12/18/2017 00:00</v>
      </c>
      <c r="C1911">
        <v>0.442</v>
      </c>
      <c r="D1911" t="s">
        <v>7</v>
      </c>
      <c r="E1911" s="2" t="s">
        <v>12</v>
      </c>
      <c r="F1911">
        <f t="shared" si="29"/>
        <v>0.8764860000000001</v>
      </c>
      <c r="G1911" t="s">
        <v>16</v>
      </c>
      <c r="J1911" t="str">
        <f>"12/18/2017 23:45"</f>
        <v>12/18/2017 23:45</v>
      </c>
    </row>
    <row r="1912" spans="1:10" x14ac:dyDescent="0.3">
      <c r="A1912" t="s">
        <v>6</v>
      </c>
      <c r="B1912" t="str">
        <f>"12/19/2017 00:00"</f>
        <v>12/19/2017 00:00</v>
      </c>
      <c r="C1912">
        <v>0.442</v>
      </c>
      <c r="D1912" t="s">
        <v>7</v>
      </c>
      <c r="E1912" s="2" t="s">
        <v>12</v>
      </c>
      <c r="F1912">
        <f t="shared" si="29"/>
        <v>0.8764860000000001</v>
      </c>
      <c r="G1912" t="s">
        <v>16</v>
      </c>
      <c r="J1912" t="str">
        <f>"12/19/2017 23:45"</f>
        <v>12/19/2017 23:45</v>
      </c>
    </row>
    <row r="1913" spans="1:10" x14ac:dyDescent="0.3">
      <c r="A1913" t="s">
        <v>6</v>
      </c>
      <c r="B1913" t="str">
        <f>"12/20/2017 00:00"</f>
        <v>12/20/2017 00:00</v>
      </c>
      <c r="C1913">
        <v>0.442</v>
      </c>
      <c r="D1913" t="s">
        <v>7</v>
      </c>
      <c r="E1913" s="2" t="s">
        <v>12</v>
      </c>
      <c r="F1913">
        <f t="shared" si="29"/>
        <v>0.8764860000000001</v>
      </c>
      <c r="G1913" t="s">
        <v>16</v>
      </c>
      <c r="J1913" t="str">
        <f>"12/20/2017 23:45"</f>
        <v>12/20/2017 23:45</v>
      </c>
    </row>
    <row r="1914" spans="1:10" x14ac:dyDescent="0.3">
      <c r="A1914" t="s">
        <v>6</v>
      </c>
      <c r="B1914" t="str">
        <f>"12/21/2017 00:00"</f>
        <v>12/21/2017 00:00</v>
      </c>
      <c r="C1914">
        <v>0.442</v>
      </c>
      <c r="D1914" t="s">
        <v>7</v>
      </c>
      <c r="E1914" s="2" t="s">
        <v>12</v>
      </c>
      <c r="F1914">
        <f t="shared" si="29"/>
        <v>0.8764860000000001</v>
      </c>
      <c r="G1914" t="s">
        <v>16</v>
      </c>
      <c r="J1914" t="str">
        <f>"12/21/2017 23:45"</f>
        <v>12/21/2017 23:45</v>
      </c>
    </row>
    <row r="1915" spans="1:10" x14ac:dyDescent="0.3">
      <c r="A1915" t="s">
        <v>6</v>
      </c>
      <c r="B1915" t="str">
        <f>"12/22/2017 00:00"</f>
        <v>12/22/2017 00:00</v>
      </c>
      <c r="C1915">
        <v>0.442</v>
      </c>
      <c r="D1915" t="s">
        <v>7</v>
      </c>
      <c r="E1915" s="2" t="s">
        <v>12</v>
      </c>
      <c r="F1915">
        <f t="shared" si="29"/>
        <v>0.8764860000000001</v>
      </c>
      <c r="G1915" t="s">
        <v>16</v>
      </c>
      <c r="J1915" t="str">
        <f>"12/22/2017 23:45"</f>
        <v>12/22/2017 23:45</v>
      </c>
    </row>
    <row r="1916" spans="1:10" x14ac:dyDescent="0.3">
      <c r="A1916" t="s">
        <v>6</v>
      </c>
      <c r="B1916" t="str">
        <f>"12/23/2017 00:00"</f>
        <v>12/23/2017 00:00</v>
      </c>
      <c r="C1916">
        <v>0.36599999999999999</v>
      </c>
      <c r="D1916" t="s">
        <v>7</v>
      </c>
      <c r="E1916" s="2" t="s">
        <v>12</v>
      </c>
      <c r="F1916">
        <f t="shared" si="29"/>
        <v>0.72577800000000003</v>
      </c>
      <c r="G1916" t="s">
        <v>16</v>
      </c>
      <c r="J1916" t="str">
        <f>"12/23/2017 23:45"</f>
        <v>12/23/2017 23:45</v>
      </c>
    </row>
    <row r="1917" spans="1:10" x14ac:dyDescent="0.3">
      <c r="A1917" t="s">
        <v>6</v>
      </c>
      <c r="B1917" t="str">
        <f>"12/24/2017 00:00"</f>
        <v>12/24/2017 00:00</v>
      </c>
      <c r="C1917">
        <v>0.27900000000000003</v>
      </c>
      <c r="D1917" t="s">
        <v>7</v>
      </c>
      <c r="E1917" s="2" t="s">
        <v>12</v>
      </c>
      <c r="F1917">
        <f t="shared" si="29"/>
        <v>0.55325700000000011</v>
      </c>
      <c r="G1917" t="s">
        <v>16</v>
      </c>
      <c r="J1917" t="str">
        <f>"12/24/2017 23:45"</f>
        <v>12/24/2017 23:45</v>
      </c>
    </row>
    <row r="1918" spans="1:10" x14ac:dyDescent="0.3">
      <c r="A1918" t="s">
        <v>6</v>
      </c>
      <c r="B1918" t="str">
        <f>"12/25/2017 00:00"</f>
        <v>12/25/2017 00:00</v>
      </c>
      <c r="C1918">
        <v>0.27900000000000003</v>
      </c>
      <c r="D1918" t="s">
        <v>7</v>
      </c>
      <c r="E1918" s="2" t="s">
        <v>12</v>
      </c>
      <c r="F1918">
        <f t="shared" si="29"/>
        <v>0.55325700000000011</v>
      </c>
      <c r="G1918" t="s">
        <v>16</v>
      </c>
      <c r="J1918" t="str">
        <f>"12/25/2017 23:45"</f>
        <v>12/25/2017 23:45</v>
      </c>
    </row>
    <row r="1919" spans="1:10" x14ac:dyDescent="0.3">
      <c r="A1919" t="s">
        <v>6</v>
      </c>
      <c r="B1919" t="str">
        <f>"12/26/2017 00:00"</f>
        <v>12/26/2017 00:00</v>
      </c>
      <c r="C1919">
        <v>0.73599999999999999</v>
      </c>
      <c r="D1919" t="s">
        <v>7</v>
      </c>
      <c r="E1919" s="2" t="s">
        <v>12</v>
      </c>
      <c r="F1919">
        <f t="shared" si="29"/>
        <v>1.4594880000000001</v>
      </c>
      <c r="G1919" t="s">
        <v>16</v>
      </c>
      <c r="J1919" t="str">
        <f>"12/26/2017 23:45"</f>
        <v>12/26/2017 23:45</v>
      </c>
    </row>
    <row r="1920" spans="1:10" x14ac:dyDescent="0.3">
      <c r="A1920" t="s">
        <v>6</v>
      </c>
      <c r="B1920" t="str">
        <f>"12/27/2017 00:00"</f>
        <v>12/27/2017 00:00</v>
      </c>
      <c r="C1920">
        <v>1.51</v>
      </c>
      <c r="D1920" t="s">
        <v>7</v>
      </c>
      <c r="E1920" s="2" t="s">
        <v>12</v>
      </c>
      <c r="F1920">
        <f t="shared" si="29"/>
        <v>2.9943300000000002</v>
      </c>
      <c r="G1920" t="s">
        <v>16</v>
      </c>
      <c r="J1920" t="str">
        <f>"12/27/2017 23:45"</f>
        <v>12/27/2017 23:45</v>
      </c>
    </row>
    <row r="1921" spans="1:10" x14ac:dyDescent="0.3">
      <c r="A1921" t="s">
        <v>6</v>
      </c>
      <c r="B1921" t="str">
        <f>"12/28/2017 00:00"</f>
        <v>12/28/2017 00:00</v>
      </c>
      <c r="C1921">
        <v>1.92</v>
      </c>
      <c r="D1921" t="s">
        <v>7</v>
      </c>
      <c r="E1921" s="2" t="s">
        <v>12</v>
      </c>
      <c r="F1921">
        <f t="shared" si="29"/>
        <v>3.8073600000000001</v>
      </c>
      <c r="G1921" t="s">
        <v>16</v>
      </c>
      <c r="J1921" t="str">
        <f>"12/28/2017 23:45"</f>
        <v>12/28/2017 23:45</v>
      </c>
    </row>
    <row r="1922" spans="1:10" x14ac:dyDescent="0.3">
      <c r="A1922" t="s">
        <v>6</v>
      </c>
      <c r="B1922" t="str">
        <f>"12/29/2017 00:00"</f>
        <v>12/29/2017 00:00</v>
      </c>
      <c r="C1922">
        <v>1.92</v>
      </c>
      <c r="D1922" t="s">
        <v>7</v>
      </c>
      <c r="E1922" s="2" t="s">
        <v>12</v>
      </c>
      <c r="F1922">
        <f t="shared" si="29"/>
        <v>3.8073600000000001</v>
      </c>
      <c r="G1922" t="s">
        <v>16</v>
      </c>
      <c r="J1922" t="str">
        <f>"12/29/2017 23:45"</f>
        <v>12/29/2017 23:45</v>
      </c>
    </row>
    <row r="1923" spans="1:10" x14ac:dyDescent="0.3">
      <c r="A1923" t="s">
        <v>6</v>
      </c>
      <c r="B1923" t="str">
        <f>"12/30/2017 00:00"</f>
        <v>12/30/2017 00:00</v>
      </c>
      <c r="C1923">
        <v>1.89</v>
      </c>
      <c r="D1923" t="s">
        <v>7</v>
      </c>
      <c r="E1923" s="2" t="s">
        <v>12</v>
      </c>
      <c r="F1923">
        <f t="shared" si="29"/>
        <v>3.7478699999999998</v>
      </c>
      <c r="G1923" t="s">
        <v>16</v>
      </c>
      <c r="J1923" t="str">
        <f>"12/30/2017 23:45"</f>
        <v>12/30/2017 23:45</v>
      </c>
    </row>
    <row r="1924" spans="1:10" x14ac:dyDescent="0.3">
      <c r="A1924" t="s">
        <v>6</v>
      </c>
      <c r="B1924" t="str">
        <f>"12/31/2017 00:00"</f>
        <v>12/31/2017 00:00</v>
      </c>
      <c r="C1924">
        <v>1.62</v>
      </c>
      <c r="D1924" t="s">
        <v>7</v>
      </c>
      <c r="E1924" s="2" t="s">
        <v>12</v>
      </c>
      <c r="F1924">
        <f t="shared" si="29"/>
        <v>3.2124600000000005</v>
      </c>
      <c r="G1924" t="s">
        <v>16</v>
      </c>
      <c r="J1924" t="str">
        <f>"12/31/2017 23:45"</f>
        <v>12/31/2017 23:45</v>
      </c>
    </row>
    <row r="1925" spans="1:10" x14ac:dyDescent="0.3">
      <c r="A1925" t="s">
        <v>6</v>
      </c>
      <c r="B1925" t="str">
        <f>"01/01/2018 00:00"</f>
        <v>01/01/2018 00:00</v>
      </c>
      <c r="C1925">
        <v>1.62</v>
      </c>
      <c r="D1925" t="s">
        <v>7</v>
      </c>
      <c r="E1925" s="2" t="s">
        <v>12</v>
      </c>
      <c r="F1925">
        <f t="shared" si="29"/>
        <v>3.2124600000000005</v>
      </c>
      <c r="G1925" t="s">
        <v>16</v>
      </c>
      <c r="J1925" t="str">
        <f>"01/01/2018 23:45"</f>
        <v>01/01/2018 23:45</v>
      </c>
    </row>
    <row r="1926" spans="1:10" x14ac:dyDescent="0.3">
      <c r="A1926" t="s">
        <v>6</v>
      </c>
      <c r="B1926" t="str">
        <f>"01/02/2018 00:00"</f>
        <v>01/02/2018 00:00</v>
      </c>
      <c r="C1926">
        <v>1.62</v>
      </c>
      <c r="D1926" t="s">
        <v>7</v>
      </c>
      <c r="E1926" s="2" t="s">
        <v>12</v>
      </c>
      <c r="F1926">
        <f t="shared" si="29"/>
        <v>3.2124600000000005</v>
      </c>
      <c r="G1926" t="s">
        <v>16</v>
      </c>
      <c r="J1926" t="str">
        <f>"01/02/2018 23:45"</f>
        <v>01/02/2018 23:45</v>
      </c>
    </row>
    <row r="1927" spans="1:10" x14ac:dyDescent="0.3">
      <c r="A1927" t="s">
        <v>6</v>
      </c>
      <c r="B1927" t="str">
        <f>"01/03/2018 00:00"</f>
        <v>01/03/2018 00:00</v>
      </c>
      <c r="C1927">
        <v>1.62</v>
      </c>
      <c r="D1927" t="s">
        <v>7</v>
      </c>
      <c r="E1927" s="2" t="s">
        <v>12</v>
      </c>
      <c r="F1927">
        <f t="shared" si="29"/>
        <v>3.2124600000000005</v>
      </c>
      <c r="G1927" t="s">
        <v>16</v>
      </c>
      <c r="J1927" t="str">
        <f>"01/03/2018 23:45"</f>
        <v>01/03/2018 23:45</v>
      </c>
    </row>
    <row r="1928" spans="1:10" x14ac:dyDescent="0.3">
      <c r="A1928" t="s">
        <v>6</v>
      </c>
      <c r="B1928" t="str">
        <f>"01/04/2018 00:00"</f>
        <v>01/04/2018 00:00</v>
      </c>
      <c r="C1928">
        <v>1.62</v>
      </c>
      <c r="D1928" t="s">
        <v>7</v>
      </c>
      <c r="E1928" s="2" t="s">
        <v>12</v>
      </c>
      <c r="F1928">
        <f t="shared" ref="F1928:F1991" si="30">C1928*1.983</f>
        <v>3.2124600000000005</v>
      </c>
      <c r="G1928" t="s">
        <v>16</v>
      </c>
      <c r="J1928" t="str">
        <f>"01/04/2018 23:45"</f>
        <v>01/04/2018 23:45</v>
      </c>
    </row>
    <row r="1929" spans="1:10" x14ac:dyDescent="0.3">
      <c r="A1929" t="s">
        <v>6</v>
      </c>
      <c r="B1929" t="str">
        <f>"01/05/2018 00:00"</f>
        <v>01/05/2018 00:00</v>
      </c>
      <c r="C1929">
        <v>1.62</v>
      </c>
      <c r="D1929" t="s">
        <v>7</v>
      </c>
      <c r="E1929" s="2" t="s">
        <v>12</v>
      </c>
      <c r="F1929">
        <f t="shared" si="30"/>
        <v>3.2124600000000005</v>
      </c>
      <c r="G1929" t="s">
        <v>16</v>
      </c>
      <c r="J1929" t="str">
        <f>"01/05/2018 23:45"</f>
        <v>01/05/2018 23:45</v>
      </c>
    </row>
    <row r="1930" spans="1:10" x14ac:dyDescent="0.3">
      <c r="A1930" t="s">
        <v>6</v>
      </c>
      <c r="B1930" t="str">
        <f>"01/06/2018 00:00"</f>
        <v>01/06/2018 00:00</v>
      </c>
      <c r="C1930">
        <v>1.62</v>
      </c>
      <c r="D1930" t="s">
        <v>7</v>
      </c>
      <c r="E1930" s="2" t="s">
        <v>12</v>
      </c>
      <c r="F1930">
        <f t="shared" si="30"/>
        <v>3.2124600000000005</v>
      </c>
      <c r="G1930" t="s">
        <v>16</v>
      </c>
      <c r="J1930" t="str">
        <f>"01/06/2018 23:45"</f>
        <v>01/06/2018 23:45</v>
      </c>
    </row>
    <row r="1931" spans="1:10" x14ac:dyDescent="0.3">
      <c r="A1931" t="s">
        <v>6</v>
      </c>
      <c r="B1931" t="str">
        <f>"01/07/2018 00:00"</f>
        <v>01/07/2018 00:00</v>
      </c>
      <c r="C1931">
        <v>1.62</v>
      </c>
      <c r="D1931" t="s">
        <v>7</v>
      </c>
      <c r="E1931" s="2" t="s">
        <v>12</v>
      </c>
      <c r="F1931">
        <f t="shared" si="30"/>
        <v>3.2124600000000005</v>
      </c>
      <c r="G1931" t="s">
        <v>16</v>
      </c>
      <c r="J1931" t="str">
        <f>"01/07/2018 23:45"</f>
        <v>01/07/2018 23:45</v>
      </c>
    </row>
    <row r="1932" spans="1:10" x14ac:dyDescent="0.3">
      <c r="A1932" t="s">
        <v>6</v>
      </c>
      <c r="B1932" t="str">
        <f>"01/08/2018 00:00"</f>
        <v>01/08/2018 00:00</v>
      </c>
      <c r="C1932">
        <v>1.62</v>
      </c>
      <c r="D1932" t="s">
        <v>7</v>
      </c>
      <c r="E1932" s="2" t="s">
        <v>12</v>
      </c>
      <c r="F1932">
        <f t="shared" si="30"/>
        <v>3.2124600000000005</v>
      </c>
      <c r="G1932" t="s">
        <v>16</v>
      </c>
      <c r="J1932" t="str">
        <f>"01/08/2018 23:45"</f>
        <v>01/08/2018 23:45</v>
      </c>
    </row>
    <row r="1933" spans="1:10" x14ac:dyDescent="0.3">
      <c r="A1933" t="s">
        <v>6</v>
      </c>
      <c r="B1933" t="str">
        <f>"01/09/2018 00:00"</f>
        <v>01/09/2018 00:00</v>
      </c>
      <c r="C1933">
        <v>1.53</v>
      </c>
      <c r="D1933" t="s">
        <v>7</v>
      </c>
      <c r="E1933" s="2" t="s">
        <v>12</v>
      </c>
      <c r="F1933">
        <f t="shared" si="30"/>
        <v>3.0339900000000002</v>
      </c>
      <c r="G1933" t="s">
        <v>16</v>
      </c>
      <c r="J1933" t="str">
        <f>"01/09/2018 23:45"</f>
        <v>01/09/2018 23:45</v>
      </c>
    </row>
    <row r="1934" spans="1:10" x14ac:dyDescent="0.3">
      <c r="A1934" t="s">
        <v>6</v>
      </c>
      <c r="B1934" t="str">
        <f>"01/10/2018 00:00"</f>
        <v>01/10/2018 00:00</v>
      </c>
      <c r="C1934">
        <v>0.622</v>
      </c>
      <c r="D1934" t="s">
        <v>7</v>
      </c>
      <c r="E1934" s="2" t="s">
        <v>12</v>
      </c>
      <c r="F1934">
        <f t="shared" si="30"/>
        <v>1.2334260000000001</v>
      </c>
      <c r="G1934" t="s">
        <v>16</v>
      </c>
      <c r="J1934" t="str">
        <f>"01/10/2018 23:45"</f>
        <v>01/10/2018 23:45</v>
      </c>
    </row>
    <row r="1935" spans="1:10" x14ac:dyDescent="0.3">
      <c r="A1935" t="s">
        <v>6</v>
      </c>
      <c r="B1935" t="str">
        <f>"01/11/2018 00:00"</f>
        <v>01/11/2018 00:00</v>
      </c>
      <c r="C1935">
        <v>0.27900000000000003</v>
      </c>
      <c r="D1935" t="s">
        <v>7</v>
      </c>
      <c r="E1935" s="2" t="s">
        <v>12</v>
      </c>
      <c r="F1935">
        <f t="shared" si="30"/>
        <v>0.55325700000000011</v>
      </c>
      <c r="G1935" t="s">
        <v>16</v>
      </c>
      <c r="J1935" t="str">
        <f>"01/11/2018 23:45"</f>
        <v>01/11/2018 23:45</v>
      </c>
    </row>
    <row r="1936" spans="1:10" x14ac:dyDescent="0.3">
      <c r="A1936" t="s">
        <v>6</v>
      </c>
      <c r="B1936" t="str">
        <f>"01/12/2018 00:00"</f>
        <v>01/12/2018 00:00</v>
      </c>
      <c r="C1936">
        <v>0.27900000000000003</v>
      </c>
      <c r="D1936" t="s">
        <v>7</v>
      </c>
      <c r="E1936" s="2" t="s">
        <v>12</v>
      </c>
      <c r="F1936">
        <f t="shared" si="30"/>
        <v>0.55325700000000011</v>
      </c>
      <c r="G1936" t="s">
        <v>16</v>
      </c>
      <c r="J1936" t="str">
        <f>"01/12/2018 23:45"</f>
        <v>01/12/2018 23:45</v>
      </c>
    </row>
    <row r="1937" spans="1:10" x14ac:dyDescent="0.3">
      <c r="A1937" t="s">
        <v>6</v>
      </c>
      <c r="B1937" t="str">
        <f>"01/13/2018 00:00"</f>
        <v>01/13/2018 00:00</v>
      </c>
      <c r="C1937">
        <v>0.27900000000000003</v>
      </c>
      <c r="D1937" t="s">
        <v>7</v>
      </c>
      <c r="E1937" s="2" t="s">
        <v>12</v>
      </c>
      <c r="F1937">
        <f t="shared" si="30"/>
        <v>0.55325700000000011</v>
      </c>
      <c r="G1937" t="s">
        <v>16</v>
      </c>
      <c r="J1937" t="str">
        <f>"01/13/2018 23:45"</f>
        <v>01/13/2018 23:45</v>
      </c>
    </row>
    <row r="1938" spans="1:10" x14ac:dyDescent="0.3">
      <c r="A1938" t="s">
        <v>6</v>
      </c>
      <c r="B1938" t="str">
        <f>"01/14/2018 00:00"</f>
        <v>01/14/2018 00:00</v>
      </c>
      <c r="C1938">
        <v>0.27900000000000003</v>
      </c>
      <c r="D1938" t="s">
        <v>7</v>
      </c>
      <c r="E1938" s="2" t="s">
        <v>12</v>
      </c>
      <c r="F1938">
        <f t="shared" si="30"/>
        <v>0.55325700000000011</v>
      </c>
      <c r="G1938" t="s">
        <v>16</v>
      </c>
      <c r="J1938" t="str">
        <f>"01/14/2018 23:45"</f>
        <v>01/14/2018 23:45</v>
      </c>
    </row>
    <row r="1939" spans="1:10" x14ac:dyDescent="0.3">
      <c r="A1939" t="s">
        <v>6</v>
      </c>
      <c r="B1939" t="str">
        <f>"01/15/2018 00:00"</f>
        <v>01/15/2018 00:00</v>
      </c>
      <c r="C1939">
        <v>0.27900000000000003</v>
      </c>
      <c r="D1939" t="s">
        <v>7</v>
      </c>
      <c r="E1939" s="2" t="s">
        <v>12</v>
      </c>
      <c r="F1939">
        <f t="shared" si="30"/>
        <v>0.55325700000000011</v>
      </c>
      <c r="G1939" t="s">
        <v>16</v>
      </c>
      <c r="J1939" t="str">
        <f>"01/15/2018 23:45"</f>
        <v>01/15/2018 23:45</v>
      </c>
    </row>
    <row r="1940" spans="1:10" x14ac:dyDescent="0.3">
      <c r="A1940" t="s">
        <v>6</v>
      </c>
      <c r="B1940" t="str">
        <f>"01/16/2018 00:00"</f>
        <v>01/16/2018 00:00</v>
      </c>
      <c r="C1940">
        <v>0.27900000000000003</v>
      </c>
      <c r="D1940" t="s">
        <v>7</v>
      </c>
      <c r="E1940" s="2" t="s">
        <v>12</v>
      </c>
      <c r="F1940">
        <f t="shared" si="30"/>
        <v>0.55325700000000011</v>
      </c>
      <c r="G1940" t="s">
        <v>16</v>
      </c>
      <c r="J1940" t="str">
        <f>"01/16/2018 23:45"</f>
        <v>01/16/2018 23:45</v>
      </c>
    </row>
    <row r="1941" spans="1:10" x14ac:dyDescent="0.3">
      <c r="A1941" t="s">
        <v>6</v>
      </c>
      <c r="B1941" t="str">
        <f>"01/17/2018 00:00"</f>
        <v>01/17/2018 00:00</v>
      </c>
      <c r="C1941">
        <v>0.27900000000000003</v>
      </c>
      <c r="D1941" t="s">
        <v>7</v>
      </c>
      <c r="E1941" s="2" t="s">
        <v>12</v>
      </c>
      <c r="F1941">
        <f t="shared" si="30"/>
        <v>0.55325700000000011</v>
      </c>
      <c r="G1941" t="s">
        <v>16</v>
      </c>
      <c r="J1941" t="str">
        <f>"01/17/2018 23:45"</f>
        <v>01/17/2018 23:45</v>
      </c>
    </row>
    <row r="1942" spans="1:10" x14ac:dyDescent="0.3">
      <c r="A1942" t="s">
        <v>6</v>
      </c>
      <c r="B1942" t="str">
        <f>"01/18/2018 00:00"</f>
        <v>01/18/2018 00:00</v>
      </c>
      <c r="C1942">
        <v>0.27900000000000003</v>
      </c>
      <c r="D1942" t="s">
        <v>7</v>
      </c>
      <c r="E1942" s="2" t="s">
        <v>12</v>
      </c>
      <c r="F1942">
        <f t="shared" si="30"/>
        <v>0.55325700000000011</v>
      </c>
      <c r="G1942" t="s">
        <v>16</v>
      </c>
      <c r="J1942" t="str">
        <f>"01/18/2018 23:45"</f>
        <v>01/18/2018 23:45</v>
      </c>
    </row>
    <row r="1943" spans="1:10" x14ac:dyDescent="0.3">
      <c r="A1943" t="s">
        <v>6</v>
      </c>
      <c r="B1943" t="str">
        <f>"01/19/2018 00:00"</f>
        <v>01/19/2018 00:00</v>
      </c>
      <c r="C1943">
        <v>0.27900000000000003</v>
      </c>
      <c r="D1943" t="s">
        <v>7</v>
      </c>
      <c r="E1943" s="2" t="s">
        <v>12</v>
      </c>
      <c r="F1943">
        <f t="shared" si="30"/>
        <v>0.55325700000000011</v>
      </c>
      <c r="G1943" t="s">
        <v>16</v>
      </c>
      <c r="J1943" t="str">
        <f>"01/19/2018 23:45"</f>
        <v>01/19/2018 23:45</v>
      </c>
    </row>
    <row r="1944" spans="1:10" x14ac:dyDescent="0.3">
      <c r="A1944" t="s">
        <v>6</v>
      </c>
      <c r="B1944" t="str">
        <f>"01/20/2018 00:00"</f>
        <v>01/20/2018 00:00</v>
      </c>
      <c r="C1944">
        <v>0.27900000000000003</v>
      </c>
      <c r="D1944" t="s">
        <v>7</v>
      </c>
      <c r="E1944" s="2" t="s">
        <v>12</v>
      </c>
      <c r="F1944">
        <f t="shared" si="30"/>
        <v>0.55325700000000011</v>
      </c>
      <c r="G1944" t="s">
        <v>16</v>
      </c>
      <c r="J1944" t="str">
        <f>"01/20/2018 23:45"</f>
        <v>01/20/2018 23:45</v>
      </c>
    </row>
    <row r="1945" spans="1:10" x14ac:dyDescent="0.3">
      <c r="A1945" t="s">
        <v>6</v>
      </c>
      <c r="B1945" t="str">
        <f>"01/21/2018 00:00"</f>
        <v>01/21/2018 00:00</v>
      </c>
      <c r="C1945">
        <v>0.27900000000000003</v>
      </c>
      <c r="D1945" t="s">
        <v>7</v>
      </c>
      <c r="E1945" s="2" t="s">
        <v>12</v>
      </c>
      <c r="F1945">
        <f t="shared" si="30"/>
        <v>0.55325700000000011</v>
      </c>
      <c r="G1945" t="s">
        <v>16</v>
      </c>
      <c r="J1945" t="str">
        <f>"01/21/2018 23:45"</f>
        <v>01/21/2018 23:45</v>
      </c>
    </row>
    <row r="1946" spans="1:10" x14ac:dyDescent="0.3">
      <c r="A1946" t="s">
        <v>6</v>
      </c>
      <c r="B1946" t="str">
        <f>"01/22/2018 00:00"</f>
        <v>01/22/2018 00:00</v>
      </c>
      <c r="C1946">
        <v>0.217</v>
      </c>
      <c r="D1946" t="s">
        <v>7</v>
      </c>
      <c r="E1946" s="2" t="s">
        <v>12</v>
      </c>
      <c r="F1946">
        <f t="shared" si="30"/>
        <v>0.430311</v>
      </c>
      <c r="G1946" t="s">
        <v>16</v>
      </c>
      <c r="J1946" t="str">
        <f>"01/22/2018 23:45"</f>
        <v>01/22/2018 23:45</v>
      </c>
    </row>
    <row r="1947" spans="1:10" x14ac:dyDescent="0.3">
      <c r="A1947" t="s">
        <v>6</v>
      </c>
      <c r="B1947" t="str">
        <f>"01/23/2018 00:00"</f>
        <v>01/23/2018 00:00</v>
      </c>
      <c r="C1947">
        <v>0.14599999999999999</v>
      </c>
      <c r="D1947" t="s">
        <v>7</v>
      </c>
      <c r="E1947" s="2" t="s">
        <v>12</v>
      </c>
      <c r="F1947">
        <f t="shared" si="30"/>
        <v>0.289518</v>
      </c>
      <c r="G1947" t="s">
        <v>16</v>
      </c>
      <c r="J1947" t="str">
        <f>"01/23/2018 23:45"</f>
        <v>01/23/2018 23:45</v>
      </c>
    </row>
    <row r="1948" spans="1:10" x14ac:dyDescent="0.3">
      <c r="A1948" t="s">
        <v>6</v>
      </c>
      <c r="B1948" t="str">
        <f>"01/24/2018 00:00"</f>
        <v>01/24/2018 00:00</v>
      </c>
      <c r="C1948">
        <v>0.14599999999999999</v>
      </c>
      <c r="D1948" t="s">
        <v>7</v>
      </c>
      <c r="E1948" s="2" t="s">
        <v>12</v>
      </c>
      <c r="F1948">
        <f t="shared" si="30"/>
        <v>0.289518</v>
      </c>
      <c r="G1948" t="s">
        <v>16</v>
      </c>
      <c r="J1948" t="str">
        <f>"01/24/2018 23:45"</f>
        <v>01/24/2018 23:45</v>
      </c>
    </row>
    <row r="1949" spans="1:10" x14ac:dyDescent="0.3">
      <c r="A1949" t="s">
        <v>6</v>
      </c>
      <c r="B1949" t="str">
        <f>"01/25/2018 00:00"</f>
        <v>01/25/2018 00:00</v>
      </c>
      <c r="C1949">
        <v>0.14599999999999999</v>
      </c>
      <c r="D1949" t="s">
        <v>7</v>
      </c>
      <c r="E1949" s="2" t="s">
        <v>12</v>
      </c>
      <c r="F1949">
        <f t="shared" si="30"/>
        <v>0.289518</v>
      </c>
      <c r="G1949" t="s">
        <v>16</v>
      </c>
      <c r="J1949" t="str">
        <f>"01/25/2018 23:45"</f>
        <v>01/25/2018 23:45</v>
      </c>
    </row>
    <row r="1950" spans="1:10" x14ac:dyDescent="0.3">
      <c r="A1950" t="s">
        <v>6</v>
      </c>
      <c r="B1950" t="str">
        <f>"01/26/2018 00:00"</f>
        <v>01/26/2018 00:00</v>
      </c>
      <c r="C1950">
        <v>0.14599999999999999</v>
      </c>
      <c r="D1950" t="s">
        <v>7</v>
      </c>
      <c r="E1950" s="2" t="s">
        <v>12</v>
      </c>
      <c r="F1950">
        <f t="shared" si="30"/>
        <v>0.289518</v>
      </c>
      <c r="G1950" t="s">
        <v>16</v>
      </c>
      <c r="J1950" t="str">
        <f>"01/26/2018 23:45"</f>
        <v>01/26/2018 23:45</v>
      </c>
    </row>
    <row r="1951" spans="1:10" x14ac:dyDescent="0.3">
      <c r="A1951" t="s">
        <v>6</v>
      </c>
      <c r="B1951" t="str">
        <f>"01/27/2018 00:00"</f>
        <v>01/27/2018 00:00</v>
      </c>
      <c r="C1951">
        <v>0.14599999999999999</v>
      </c>
      <c r="D1951" t="s">
        <v>7</v>
      </c>
      <c r="E1951" s="2" t="s">
        <v>12</v>
      </c>
      <c r="F1951">
        <f t="shared" si="30"/>
        <v>0.289518</v>
      </c>
      <c r="G1951" t="s">
        <v>16</v>
      </c>
      <c r="J1951" t="str">
        <f>"01/27/2018 23:45"</f>
        <v>01/27/2018 23:45</v>
      </c>
    </row>
    <row r="1952" spans="1:10" x14ac:dyDescent="0.3">
      <c r="A1952" t="s">
        <v>6</v>
      </c>
      <c r="B1952" t="str">
        <f>"01/28/2018 00:00"</f>
        <v>01/28/2018 00:00</v>
      </c>
      <c r="C1952">
        <v>0.14599999999999999</v>
      </c>
      <c r="D1952" t="s">
        <v>7</v>
      </c>
      <c r="E1952" s="2" t="s">
        <v>12</v>
      </c>
      <c r="F1952">
        <f t="shared" si="30"/>
        <v>0.289518</v>
      </c>
      <c r="G1952" t="s">
        <v>16</v>
      </c>
      <c r="J1952" t="str">
        <f>"01/28/2018 23:45"</f>
        <v>01/28/2018 23:45</v>
      </c>
    </row>
    <row r="1953" spans="1:10" x14ac:dyDescent="0.3">
      <c r="A1953" t="s">
        <v>6</v>
      </c>
      <c r="B1953" t="str">
        <f>"01/29/2018 00:00"</f>
        <v>01/29/2018 00:00</v>
      </c>
      <c r="C1953">
        <v>0.14599999999999999</v>
      </c>
      <c r="D1953" t="s">
        <v>7</v>
      </c>
      <c r="E1953" s="2" t="s">
        <v>12</v>
      </c>
      <c r="F1953">
        <f t="shared" si="30"/>
        <v>0.289518</v>
      </c>
      <c r="G1953" t="s">
        <v>16</v>
      </c>
      <c r="J1953" t="str">
        <f>"01/29/2018 23:45"</f>
        <v>01/29/2018 23:45</v>
      </c>
    </row>
    <row r="1954" spans="1:10" x14ac:dyDescent="0.3">
      <c r="A1954" t="s">
        <v>6</v>
      </c>
      <c r="B1954" t="str">
        <f>"01/30/2018 00:00"</f>
        <v>01/30/2018 00:00</v>
      </c>
      <c r="C1954">
        <v>0.14599999999999999</v>
      </c>
      <c r="D1954" t="s">
        <v>7</v>
      </c>
      <c r="E1954" s="2" t="s">
        <v>12</v>
      </c>
      <c r="F1954">
        <f t="shared" si="30"/>
        <v>0.289518</v>
      </c>
      <c r="G1954" t="s">
        <v>16</v>
      </c>
      <c r="J1954" t="str">
        <f>"01/30/2018 23:45"</f>
        <v>01/30/2018 23:45</v>
      </c>
    </row>
    <row r="1955" spans="1:10" x14ac:dyDescent="0.3">
      <c r="A1955" t="s">
        <v>6</v>
      </c>
      <c r="B1955" t="str">
        <f>"01/31/2018 00:00"</f>
        <v>01/31/2018 00:00</v>
      </c>
      <c r="C1955">
        <v>0.14599999999999999</v>
      </c>
      <c r="D1955" t="s">
        <v>7</v>
      </c>
      <c r="E1955" s="2" t="s">
        <v>12</v>
      </c>
      <c r="F1955">
        <f t="shared" si="30"/>
        <v>0.289518</v>
      </c>
      <c r="G1955" t="s">
        <v>16</v>
      </c>
      <c r="J1955" t="str">
        <f>"01/31/2018 23:45"</f>
        <v>01/31/2018 23:45</v>
      </c>
    </row>
    <row r="1956" spans="1:10" x14ac:dyDescent="0.3">
      <c r="A1956" t="s">
        <v>6</v>
      </c>
      <c r="B1956" t="str">
        <f>"02/01/2018 00:00"</f>
        <v>02/01/2018 00:00</v>
      </c>
      <c r="C1956">
        <v>4.9000000000000002E-2</v>
      </c>
      <c r="D1956" t="s">
        <v>7</v>
      </c>
      <c r="E1956" s="2" t="s">
        <v>12</v>
      </c>
      <c r="F1956">
        <f t="shared" si="30"/>
        <v>9.7167000000000003E-2</v>
      </c>
      <c r="G1956" t="s">
        <v>16</v>
      </c>
      <c r="J1956" t="str">
        <f>"02/01/2018 23:45"</f>
        <v>02/01/2018 23:45</v>
      </c>
    </row>
    <row r="1957" spans="1:10" x14ac:dyDescent="0.3">
      <c r="A1957" t="s">
        <v>6</v>
      </c>
      <c r="B1957" t="str">
        <f>"02/02/2018 00:00"</f>
        <v>02/02/2018 00:00</v>
      </c>
      <c r="C1957">
        <v>4.8000000000000001E-2</v>
      </c>
      <c r="D1957" t="s">
        <v>7</v>
      </c>
      <c r="E1957" s="2" t="s">
        <v>12</v>
      </c>
      <c r="F1957">
        <f t="shared" si="30"/>
        <v>9.5184000000000005E-2</v>
      </c>
      <c r="G1957" t="s">
        <v>16</v>
      </c>
      <c r="J1957" t="str">
        <f>"02/02/2018 23:45"</f>
        <v>02/02/2018 23:45</v>
      </c>
    </row>
    <row r="1958" spans="1:10" x14ac:dyDescent="0.3">
      <c r="A1958" t="s">
        <v>6</v>
      </c>
      <c r="B1958" t="str">
        <f>"02/03/2018 00:00"</f>
        <v>02/03/2018 00:00</v>
      </c>
      <c r="C1958">
        <v>4.8000000000000001E-2</v>
      </c>
      <c r="D1958" t="s">
        <v>7</v>
      </c>
      <c r="E1958" s="2" t="s">
        <v>12</v>
      </c>
      <c r="F1958">
        <f t="shared" si="30"/>
        <v>9.5184000000000005E-2</v>
      </c>
      <c r="G1958" t="s">
        <v>16</v>
      </c>
      <c r="J1958" t="str">
        <f>"02/03/2018 23:45"</f>
        <v>02/03/2018 23:45</v>
      </c>
    </row>
    <row r="1959" spans="1:10" x14ac:dyDescent="0.3">
      <c r="A1959" t="s">
        <v>6</v>
      </c>
      <c r="B1959" t="str">
        <f>"02/04/2018 00:00"</f>
        <v>02/04/2018 00:00</v>
      </c>
      <c r="C1959">
        <v>4.8000000000000001E-2</v>
      </c>
      <c r="D1959" t="s">
        <v>7</v>
      </c>
      <c r="E1959" s="2" t="s">
        <v>12</v>
      </c>
      <c r="F1959">
        <f t="shared" si="30"/>
        <v>9.5184000000000005E-2</v>
      </c>
      <c r="G1959" t="s">
        <v>16</v>
      </c>
      <c r="J1959" t="str">
        <f>"02/04/2018 23:45"</f>
        <v>02/04/2018 23:45</v>
      </c>
    </row>
    <row r="1960" spans="1:10" x14ac:dyDescent="0.3">
      <c r="A1960" t="s">
        <v>6</v>
      </c>
      <c r="B1960" t="str">
        <f>"02/05/2018 00:00"</f>
        <v>02/05/2018 00:00</v>
      </c>
      <c r="C1960">
        <v>4.8000000000000001E-2</v>
      </c>
      <c r="D1960" t="s">
        <v>7</v>
      </c>
      <c r="E1960" s="2" t="s">
        <v>12</v>
      </c>
      <c r="F1960">
        <f t="shared" si="30"/>
        <v>9.5184000000000005E-2</v>
      </c>
      <c r="G1960" t="s">
        <v>16</v>
      </c>
      <c r="J1960" t="str">
        <f>"02/05/2018 23:45"</f>
        <v>02/05/2018 23:45</v>
      </c>
    </row>
    <row r="1961" spans="1:10" x14ac:dyDescent="0.3">
      <c r="A1961" t="s">
        <v>6</v>
      </c>
      <c r="B1961" t="str">
        <f>"02/06/2018 00:00"</f>
        <v>02/06/2018 00:00</v>
      </c>
      <c r="C1961">
        <v>4.8000000000000001E-2</v>
      </c>
      <c r="D1961" t="s">
        <v>7</v>
      </c>
      <c r="E1961" s="2" t="s">
        <v>12</v>
      </c>
      <c r="F1961">
        <f t="shared" si="30"/>
        <v>9.5184000000000005E-2</v>
      </c>
      <c r="G1961" t="s">
        <v>16</v>
      </c>
      <c r="J1961" t="str">
        <f>"02/06/2018 23:45"</f>
        <v>02/06/2018 23:45</v>
      </c>
    </row>
    <row r="1962" spans="1:10" x14ac:dyDescent="0.3">
      <c r="A1962" t="s">
        <v>6</v>
      </c>
      <c r="B1962" t="str">
        <f>"02/07/2018 00:00"</f>
        <v>02/07/2018 00:00</v>
      </c>
      <c r="C1962">
        <v>1.6500000000000001E-2</v>
      </c>
      <c r="D1962" t="s">
        <v>7</v>
      </c>
      <c r="E1962" s="2" t="s">
        <v>12</v>
      </c>
      <c r="F1962">
        <f t="shared" si="30"/>
        <v>3.2719500000000006E-2</v>
      </c>
      <c r="G1962" t="s">
        <v>16</v>
      </c>
      <c r="J1962" t="str">
        <f>"02/07/2018 23:45"</f>
        <v>02/07/2018 23:45</v>
      </c>
    </row>
    <row r="1963" spans="1:10" x14ac:dyDescent="0.3">
      <c r="A1963" t="s">
        <v>6</v>
      </c>
      <c r="B1963" t="str">
        <f>"02/08/2018 00:00"</f>
        <v>02/08/2018 00:00</v>
      </c>
      <c r="C1963">
        <v>0</v>
      </c>
      <c r="D1963" t="s">
        <v>7</v>
      </c>
      <c r="E1963" s="2" t="s">
        <v>12</v>
      </c>
      <c r="F1963">
        <f t="shared" si="30"/>
        <v>0</v>
      </c>
      <c r="G1963" t="s">
        <v>16</v>
      </c>
      <c r="J1963" t="str">
        <f>"02/08/2018 23:45"</f>
        <v>02/08/2018 23:45</v>
      </c>
    </row>
    <row r="1964" spans="1:10" x14ac:dyDescent="0.3">
      <c r="A1964" t="s">
        <v>6</v>
      </c>
      <c r="B1964" t="str">
        <f>"02/09/2018 00:00"</f>
        <v>02/09/2018 00:00</v>
      </c>
      <c r="C1964">
        <v>0</v>
      </c>
      <c r="D1964" t="s">
        <v>7</v>
      </c>
      <c r="E1964" s="2" t="s">
        <v>12</v>
      </c>
      <c r="F1964">
        <f t="shared" si="30"/>
        <v>0</v>
      </c>
      <c r="G1964" t="s">
        <v>16</v>
      </c>
      <c r="J1964" t="str">
        <f>"02/09/2018 23:45"</f>
        <v>02/09/2018 23:45</v>
      </c>
    </row>
    <row r="1965" spans="1:10" x14ac:dyDescent="0.3">
      <c r="A1965" t="s">
        <v>6</v>
      </c>
      <c r="B1965" t="str">
        <f>"02/10/2018 00:00"</f>
        <v>02/10/2018 00:00</v>
      </c>
      <c r="C1965">
        <v>0</v>
      </c>
      <c r="D1965" t="s">
        <v>7</v>
      </c>
      <c r="E1965" s="2" t="s">
        <v>12</v>
      </c>
      <c r="F1965">
        <f t="shared" si="30"/>
        <v>0</v>
      </c>
      <c r="G1965" t="s">
        <v>16</v>
      </c>
      <c r="J1965" t="str">
        <f>"02/10/2018 23:45"</f>
        <v>02/10/2018 23:45</v>
      </c>
    </row>
    <row r="1966" spans="1:10" x14ac:dyDescent="0.3">
      <c r="A1966" t="s">
        <v>6</v>
      </c>
      <c r="B1966" t="str">
        <f>"02/11/2018 00:00"</f>
        <v>02/11/2018 00:00</v>
      </c>
      <c r="C1966">
        <v>0</v>
      </c>
      <c r="D1966" t="s">
        <v>7</v>
      </c>
      <c r="E1966" s="2" t="s">
        <v>12</v>
      </c>
      <c r="F1966">
        <f t="shared" si="30"/>
        <v>0</v>
      </c>
      <c r="G1966" t="s">
        <v>16</v>
      </c>
      <c r="J1966" t="str">
        <f>"02/11/2018 23:45"</f>
        <v>02/11/2018 23:45</v>
      </c>
    </row>
    <row r="1967" spans="1:10" x14ac:dyDescent="0.3">
      <c r="A1967" t="s">
        <v>6</v>
      </c>
      <c r="B1967" t="str">
        <f>"02/12/2018 00:00"</f>
        <v>02/12/2018 00:00</v>
      </c>
      <c r="C1967">
        <v>0</v>
      </c>
      <c r="D1967" t="s">
        <v>7</v>
      </c>
      <c r="E1967" s="2" t="s">
        <v>12</v>
      </c>
      <c r="F1967">
        <f t="shared" si="30"/>
        <v>0</v>
      </c>
      <c r="G1967" t="s">
        <v>16</v>
      </c>
      <c r="J1967" t="str">
        <f>"02/12/2018 23:45"</f>
        <v>02/12/2018 23:45</v>
      </c>
    </row>
    <row r="1968" spans="1:10" x14ac:dyDescent="0.3">
      <c r="A1968" t="s">
        <v>6</v>
      </c>
      <c r="B1968" t="str">
        <f>"02/13/2018 00:00"</f>
        <v>02/13/2018 00:00</v>
      </c>
      <c r="C1968">
        <v>0</v>
      </c>
      <c r="D1968" t="s">
        <v>7</v>
      </c>
      <c r="E1968" s="2" t="s">
        <v>12</v>
      </c>
      <c r="F1968">
        <f t="shared" si="30"/>
        <v>0</v>
      </c>
      <c r="G1968" t="s">
        <v>16</v>
      </c>
      <c r="J1968" t="str">
        <f>"02/13/2018 23:45"</f>
        <v>02/13/2018 23:45</v>
      </c>
    </row>
    <row r="1969" spans="1:10" x14ac:dyDescent="0.3">
      <c r="A1969" t="s">
        <v>6</v>
      </c>
      <c r="B1969" t="str">
        <f>"02/14/2018 00:00"</f>
        <v>02/14/2018 00:00</v>
      </c>
      <c r="C1969">
        <v>0</v>
      </c>
      <c r="D1969" t="s">
        <v>7</v>
      </c>
      <c r="E1969" s="2" t="s">
        <v>12</v>
      </c>
      <c r="F1969">
        <f t="shared" si="30"/>
        <v>0</v>
      </c>
      <c r="G1969" t="s">
        <v>16</v>
      </c>
      <c r="J1969" t="str">
        <f>"02/14/2018 23:45"</f>
        <v>02/14/2018 23:45</v>
      </c>
    </row>
    <row r="1970" spans="1:10" x14ac:dyDescent="0.3">
      <c r="A1970" t="s">
        <v>6</v>
      </c>
      <c r="B1970" t="str">
        <f>"02/15/2018 00:00"</f>
        <v>02/15/2018 00:00</v>
      </c>
      <c r="C1970">
        <v>0</v>
      </c>
      <c r="D1970" t="s">
        <v>7</v>
      </c>
      <c r="E1970" s="2" t="s">
        <v>12</v>
      </c>
      <c r="F1970">
        <f t="shared" si="30"/>
        <v>0</v>
      </c>
      <c r="G1970" t="s">
        <v>16</v>
      </c>
      <c r="J1970" t="str">
        <f>"02/15/2018 23:45"</f>
        <v>02/15/2018 23:45</v>
      </c>
    </row>
    <row r="1971" spans="1:10" x14ac:dyDescent="0.3">
      <c r="A1971" t="s">
        <v>6</v>
      </c>
      <c r="B1971" t="str">
        <f>"02/16/2018 00:00"</f>
        <v>02/16/2018 00:00</v>
      </c>
      <c r="C1971">
        <v>0</v>
      </c>
      <c r="D1971" t="s">
        <v>7</v>
      </c>
      <c r="E1971" s="2" t="s">
        <v>12</v>
      </c>
      <c r="F1971">
        <f t="shared" si="30"/>
        <v>0</v>
      </c>
      <c r="G1971" t="s">
        <v>16</v>
      </c>
      <c r="J1971" t="str">
        <f>"02/16/2018 23:45"</f>
        <v>02/16/2018 23:45</v>
      </c>
    </row>
    <row r="1972" spans="1:10" x14ac:dyDescent="0.3">
      <c r="A1972" t="s">
        <v>6</v>
      </c>
      <c r="B1972" t="str">
        <f>"02/17/2018 00:00"</f>
        <v>02/17/2018 00:00</v>
      </c>
      <c r="C1972">
        <v>0</v>
      </c>
      <c r="D1972" t="s">
        <v>7</v>
      </c>
      <c r="E1972" s="2" t="s">
        <v>12</v>
      </c>
      <c r="F1972">
        <f t="shared" si="30"/>
        <v>0</v>
      </c>
      <c r="G1972" t="s">
        <v>16</v>
      </c>
      <c r="J1972" t="str">
        <f>"02/17/2018 23:45"</f>
        <v>02/17/2018 23:45</v>
      </c>
    </row>
    <row r="1973" spans="1:10" x14ac:dyDescent="0.3">
      <c r="A1973" t="s">
        <v>6</v>
      </c>
      <c r="B1973" t="str">
        <f>"02/18/2018 00:00"</f>
        <v>02/18/2018 00:00</v>
      </c>
      <c r="C1973">
        <v>0</v>
      </c>
      <c r="D1973" t="s">
        <v>7</v>
      </c>
      <c r="E1973" s="2" t="s">
        <v>12</v>
      </c>
      <c r="F1973">
        <f t="shared" si="30"/>
        <v>0</v>
      </c>
      <c r="G1973" t="s">
        <v>16</v>
      </c>
      <c r="J1973" t="str">
        <f>"02/18/2018 23:45"</f>
        <v>02/18/2018 23:45</v>
      </c>
    </row>
    <row r="1974" spans="1:10" x14ac:dyDescent="0.3">
      <c r="A1974" t="s">
        <v>6</v>
      </c>
      <c r="B1974" t="str">
        <f>"02/19/2018 00:00"</f>
        <v>02/19/2018 00:00</v>
      </c>
      <c r="C1974">
        <v>0</v>
      </c>
      <c r="D1974" t="s">
        <v>7</v>
      </c>
      <c r="E1974" s="2" t="s">
        <v>12</v>
      </c>
      <c r="F1974">
        <f t="shared" si="30"/>
        <v>0</v>
      </c>
      <c r="G1974" t="s">
        <v>16</v>
      </c>
      <c r="J1974" t="str">
        <f>"02/19/2018 23:45"</f>
        <v>02/19/2018 23:45</v>
      </c>
    </row>
    <row r="1975" spans="1:10" x14ac:dyDescent="0.3">
      <c r="A1975" t="s">
        <v>6</v>
      </c>
      <c r="B1975" t="str">
        <f>"02/20/2018 00:00"</f>
        <v>02/20/2018 00:00</v>
      </c>
      <c r="C1975">
        <v>0</v>
      </c>
      <c r="D1975" t="s">
        <v>7</v>
      </c>
      <c r="E1975" s="2" t="s">
        <v>12</v>
      </c>
      <c r="F1975">
        <f t="shared" si="30"/>
        <v>0</v>
      </c>
      <c r="G1975" t="s">
        <v>16</v>
      </c>
      <c r="J1975" t="str">
        <f>"02/20/2018 23:45"</f>
        <v>02/20/2018 23:45</v>
      </c>
    </row>
    <row r="1976" spans="1:10" x14ac:dyDescent="0.3">
      <c r="A1976" t="s">
        <v>6</v>
      </c>
      <c r="B1976" t="str">
        <f>"02/21/2018 00:00"</f>
        <v>02/21/2018 00:00</v>
      </c>
      <c r="C1976">
        <v>0</v>
      </c>
      <c r="D1976" t="s">
        <v>7</v>
      </c>
      <c r="E1976" s="2" t="s">
        <v>12</v>
      </c>
      <c r="F1976">
        <f t="shared" si="30"/>
        <v>0</v>
      </c>
      <c r="G1976" t="s">
        <v>16</v>
      </c>
      <c r="J1976" t="str">
        <f>"02/21/2018 23:45"</f>
        <v>02/21/2018 23:45</v>
      </c>
    </row>
    <row r="1977" spans="1:10" x14ac:dyDescent="0.3">
      <c r="A1977" t="s">
        <v>6</v>
      </c>
      <c r="B1977" t="str">
        <f>"02/22/2018 00:00"</f>
        <v>02/22/2018 00:00</v>
      </c>
      <c r="C1977">
        <v>0</v>
      </c>
      <c r="D1977" t="s">
        <v>7</v>
      </c>
      <c r="E1977" s="2" t="s">
        <v>12</v>
      </c>
      <c r="F1977">
        <f t="shared" si="30"/>
        <v>0</v>
      </c>
      <c r="G1977" t="s">
        <v>16</v>
      </c>
      <c r="J1977" t="str">
        <f>"02/22/2018 23:45"</f>
        <v>02/22/2018 23:45</v>
      </c>
    </row>
    <row r="1978" spans="1:10" x14ac:dyDescent="0.3">
      <c r="A1978" t="s">
        <v>6</v>
      </c>
      <c r="B1978" t="str">
        <f>"02/23/2018 00:00"</f>
        <v>02/23/2018 00:00</v>
      </c>
      <c r="C1978">
        <v>0</v>
      </c>
      <c r="D1978" t="s">
        <v>7</v>
      </c>
      <c r="E1978" s="2" t="s">
        <v>12</v>
      </c>
      <c r="F1978">
        <f t="shared" si="30"/>
        <v>0</v>
      </c>
      <c r="G1978" t="s">
        <v>16</v>
      </c>
      <c r="J1978" t="str">
        <f>"02/23/2018 23:45"</f>
        <v>02/23/2018 23:45</v>
      </c>
    </row>
    <row r="1979" spans="1:10" x14ac:dyDescent="0.3">
      <c r="A1979" t="s">
        <v>6</v>
      </c>
      <c r="B1979" t="str">
        <f>"02/24/2018 00:00"</f>
        <v>02/24/2018 00:00</v>
      </c>
      <c r="C1979">
        <v>0</v>
      </c>
      <c r="D1979" t="s">
        <v>7</v>
      </c>
      <c r="E1979" s="2" t="s">
        <v>12</v>
      </c>
      <c r="F1979">
        <f t="shared" si="30"/>
        <v>0</v>
      </c>
      <c r="G1979" t="s">
        <v>16</v>
      </c>
      <c r="J1979" t="str">
        <f>"02/24/2018 23:45"</f>
        <v>02/24/2018 23:45</v>
      </c>
    </row>
    <row r="1980" spans="1:10" x14ac:dyDescent="0.3">
      <c r="A1980" t="s">
        <v>6</v>
      </c>
      <c r="B1980" t="str">
        <f>"02/25/2018 00:00"</f>
        <v>02/25/2018 00:00</v>
      </c>
      <c r="C1980">
        <v>0</v>
      </c>
      <c r="D1980" t="s">
        <v>7</v>
      </c>
      <c r="E1980" s="2" t="s">
        <v>12</v>
      </c>
      <c r="F1980">
        <f t="shared" si="30"/>
        <v>0</v>
      </c>
      <c r="G1980" t="s">
        <v>16</v>
      </c>
      <c r="J1980" t="str">
        <f>"02/25/2018 23:45"</f>
        <v>02/25/2018 23:45</v>
      </c>
    </row>
    <row r="1981" spans="1:10" x14ac:dyDescent="0.3">
      <c r="A1981" t="s">
        <v>6</v>
      </c>
      <c r="B1981" t="str">
        <f>"02/26/2018 00:00"</f>
        <v>02/26/2018 00:00</v>
      </c>
      <c r="C1981">
        <v>0</v>
      </c>
      <c r="D1981" t="s">
        <v>7</v>
      </c>
      <c r="E1981" s="2" t="s">
        <v>12</v>
      </c>
      <c r="F1981">
        <f t="shared" si="30"/>
        <v>0</v>
      </c>
      <c r="G1981" t="s">
        <v>16</v>
      </c>
      <c r="J1981" t="str">
        <f>"02/26/2018 23:45"</f>
        <v>02/26/2018 23:45</v>
      </c>
    </row>
    <row r="1982" spans="1:10" x14ac:dyDescent="0.3">
      <c r="A1982" t="s">
        <v>6</v>
      </c>
      <c r="B1982" t="str">
        <f>"02/27/2018 00:00"</f>
        <v>02/27/2018 00:00</v>
      </c>
      <c r="C1982">
        <v>0</v>
      </c>
      <c r="D1982" t="s">
        <v>7</v>
      </c>
      <c r="E1982" s="2" t="s">
        <v>12</v>
      </c>
      <c r="F1982">
        <f t="shared" si="30"/>
        <v>0</v>
      </c>
      <c r="G1982" t="s">
        <v>16</v>
      </c>
      <c r="J1982" t="str">
        <f>"02/27/2018 23:45"</f>
        <v>02/27/2018 23:45</v>
      </c>
    </row>
    <row r="1983" spans="1:10" x14ac:dyDescent="0.3">
      <c r="A1983" t="s">
        <v>6</v>
      </c>
      <c r="B1983" t="str">
        <f>"02/28/2018 00:00"</f>
        <v>02/28/2018 00:00</v>
      </c>
      <c r="C1983">
        <v>0</v>
      </c>
      <c r="D1983" t="s">
        <v>7</v>
      </c>
      <c r="E1983" s="2" t="s">
        <v>12</v>
      </c>
      <c r="F1983">
        <f t="shared" si="30"/>
        <v>0</v>
      </c>
      <c r="G1983" t="s">
        <v>16</v>
      </c>
      <c r="J1983" t="str">
        <f>"02/28/2018 23:45"</f>
        <v>02/28/2018 23:45</v>
      </c>
    </row>
    <row r="1984" spans="1:10" x14ac:dyDescent="0.3">
      <c r="A1984" t="s">
        <v>6</v>
      </c>
      <c r="B1984" t="str">
        <f>"03/01/2018 00:00"</f>
        <v>03/01/2018 00:00</v>
      </c>
      <c r="C1984">
        <v>0</v>
      </c>
      <c r="D1984" t="s">
        <v>7</v>
      </c>
      <c r="E1984" s="2" t="s">
        <v>12</v>
      </c>
      <c r="F1984">
        <f t="shared" si="30"/>
        <v>0</v>
      </c>
      <c r="G1984" t="s">
        <v>16</v>
      </c>
      <c r="J1984" t="str">
        <f>"03/01/2018 23:45"</f>
        <v>03/01/2018 23:45</v>
      </c>
    </row>
    <row r="1985" spans="1:10" x14ac:dyDescent="0.3">
      <c r="A1985" t="s">
        <v>6</v>
      </c>
      <c r="B1985" t="str">
        <f>"03/02/2018 00:00"</f>
        <v>03/02/2018 00:00</v>
      </c>
      <c r="C1985">
        <v>0</v>
      </c>
      <c r="D1985" t="s">
        <v>7</v>
      </c>
      <c r="E1985" s="2" t="s">
        <v>12</v>
      </c>
      <c r="F1985">
        <f t="shared" si="30"/>
        <v>0</v>
      </c>
      <c r="G1985" t="s">
        <v>16</v>
      </c>
      <c r="J1985" t="str">
        <f>"03/02/2018 23:45"</f>
        <v>03/02/2018 23:45</v>
      </c>
    </row>
    <row r="1986" spans="1:10" x14ac:dyDescent="0.3">
      <c r="A1986" t="s">
        <v>6</v>
      </c>
      <c r="B1986" t="str">
        <f>"03/03/2018 00:00"</f>
        <v>03/03/2018 00:00</v>
      </c>
      <c r="C1986">
        <v>0</v>
      </c>
      <c r="D1986" t="s">
        <v>7</v>
      </c>
      <c r="E1986" s="2" t="s">
        <v>12</v>
      </c>
      <c r="F1986">
        <f t="shared" si="30"/>
        <v>0</v>
      </c>
      <c r="G1986" t="s">
        <v>16</v>
      </c>
      <c r="J1986" t="str">
        <f>"03/03/2018 23:45"</f>
        <v>03/03/2018 23:45</v>
      </c>
    </row>
    <row r="1987" spans="1:10" x14ac:dyDescent="0.3">
      <c r="A1987" t="s">
        <v>6</v>
      </c>
      <c r="B1987" t="str">
        <f>"03/04/2018 00:00"</f>
        <v>03/04/2018 00:00</v>
      </c>
      <c r="C1987">
        <v>0</v>
      </c>
      <c r="D1987" t="s">
        <v>7</v>
      </c>
      <c r="E1987" s="2" t="s">
        <v>12</v>
      </c>
      <c r="F1987">
        <f t="shared" si="30"/>
        <v>0</v>
      </c>
      <c r="G1987" t="s">
        <v>16</v>
      </c>
      <c r="J1987" t="str">
        <f>"03/04/2018 23:45"</f>
        <v>03/04/2018 23:45</v>
      </c>
    </row>
    <row r="1988" spans="1:10" x14ac:dyDescent="0.3">
      <c r="A1988" t="s">
        <v>6</v>
      </c>
      <c r="B1988" t="str">
        <f>"03/05/2018 00:00"</f>
        <v>03/05/2018 00:00</v>
      </c>
      <c r="C1988">
        <v>0</v>
      </c>
      <c r="D1988" t="s">
        <v>7</v>
      </c>
      <c r="E1988" s="2" t="s">
        <v>12</v>
      </c>
      <c r="F1988">
        <f t="shared" si="30"/>
        <v>0</v>
      </c>
      <c r="G1988" t="s">
        <v>16</v>
      </c>
      <c r="J1988" t="str">
        <f>"03/05/2018 23:45"</f>
        <v>03/05/2018 23:45</v>
      </c>
    </row>
    <row r="1989" spans="1:10" x14ac:dyDescent="0.3">
      <c r="A1989" t="s">
        <v>6</v>
      </c>
      <c r="B1989" t="str">
        <f>"03/06/2018 00:00"</f>
        <v>03/06/2018 00:00</v>
      </c>
      <c r="C1989">
        <v>0</v>
      </c>
      <c r="D1989" t="s">
        <v>7</v>
      </c>
      <c r="E1989" s="2" t="s">
        <v>12</v>
      </c>
      <c r="F1989">
        <f t="shared" si="30"/>
        <v>0</v>
      </c>
      <c r="G1989" t="s">
        <v>16</v>
      </c>
      <c r="J1989" t="str">
        <f>"03/06/2018 23:45"</f>
        <v>03/06/2018 23:45</v>
      </c>
    </row>
    <row r="1990" spans="1:10" x14ac:dyDescent="0.3">
      <c r="A1990" t="s">
        <v>6</v>
      </c>
      <c r="B1990" t="str">
        <f>"03/07/2018 00:00"</f>
        <v>03/07/2018 00:00</v>
      </c>
      <c r="C1990">
        <v>0</v>
      </c>
      <c r="D1990" t="s">
        <v>7</v>
      </c>
      <c r="E1990" s="2" t="s">
        <v>12</v>
      </c>
      <c r="F1990">
        <f t="shared" si="30"/>
        <v>0</v>
      </c>
      <c r="G1990" t="s">
        <v>16</v>
      </c>
      <c r="J1990" t="str">
        <f>"03/07/2018 23:45"</f>
        <v>03/07/2018 23:45</v>
      </c>
    </row>
    <row r="1991" spans="1:10" x14ac:dyDescent="0.3">
      <c r="A1991" t="s">
        <v>6</v>
      </c>
      <c r="B1991" t="str">
        <f>"03/08/2018 00:00"</f>
        <v>03/08/2018 00:00</v>
      </c>
      <c r="C1991">
        <v>1.45</v>
      </c>
      <c r="D1991" t="s">
        <v>7</v>
      </c>
      <c r="E1991" s="2" t="s">
        <v>12</v>
      </c>
      <c r="F1991">
        <f t="shared" si="30"/>
        <v>2.8753500000000001</v>
      </c>
      <c r="G1991" t="s">
        <v>16</v>
      </c>
      <c r="J1991" t="str">
        <f>"03/08/2018 23:45"</f>
        <v>03/08/2018 23:45</v>
      </c>
    </row>
    <row r="1992" spans="1:10" x14ac:dyDescent="0.3">
      <c r="A1992" t="s">
        <v>6</v>
      </c>
      <c r="B1992" t="str">
        <f>"03/09/2018 00:00"</f>
        <v>03/09/2018 00:00</v>
      </c>
      <c r="C1992">
        <v>4.0599999999999996</v>
      </c>
      <c r="D1992" t="s">
        <v>7</v>
      </c>
      <c r="E1992" s="2" t="s">
        <v>12</v>
      </c>
      <c r="F1992">
        <f t="shared" ref="F1992:F2055" si="31">C1992*1.983</f>
        <v>8.0509799999999991</v>
      </c>
      <c r="G1992" t="s">
        <v>16</v>
      </c>
      <c r="J1992" t="str">
        <f>"03/09/2018 23:45"</f>
        <v>03/09/2018 23:45</v>
      </c>
    </row>
    <row r="1993" spans="1:10" x14ac:dyDescent="0.3">
      <c r="A1993" t="s">
        <v>6</v>
      </c>
      <c r="B1993" t="str">
        <f>"03/10/2018 00:00"</f>
        <v>03/10/2018 00:00</v>
      </c>
      <c r="C1993">
        <v>4.0599999999999996</v>
      </c>
      <c r="D1993" t="s">
        <v>7</v>
      </c>
      <c r="E1993" s="2" t="s">
        <v>12</v>
      </c>
      <c r="F1993">
        <f t="shared" si="31"/>
        <v>8.0509799999999991</v>
      </c>
      <c r="G1993" t="s">
        <v>16</v>
      </c>
      <c r="J1993" t="str">
        <f>"03/10/2018 23:45"</f>
        <v>03/10/2018 23:45</v>
      </c>
    </row>
    <row r="1994" spans="1:10" x14ac:dyDescent="0.3">
      <c r="A1994" t="s">
        <v>6</v>
      </c>
      <c r="B1994" t="str">
        <f>"03/11/2018 00:00"</f>
        <v>03/11/2018 00:00</v>
      </c>
      <c r="C1994">
        <v>6.18</v>
      </c>
      <c r="D1994" t="s">
        <v>7</v>
      </c>
      <c r="E1994" s="2" t="s">
        <v>12</v>
      </c>
      <c r="F1994">
        <f t="shared" si="31"/>
        <v>12.25494</v>
      </c>
      <c r="G1994" t="s">
        <v>16</v>
      </c>
      <c r="J1994" t="str">
        <f>"03/11/2018 23:45"</f>
        <v>03/11/2018 23:45</v>
      </c>
    </row>
    <row r="1995" spans="1:10" x14ac:dyDescent="0.3">
      <c r="A1995" t="s">
        <v>6</v>
      </c>
      <c r="B1995" t="str">
        <f>"03/12/2018 00:00"</f>
        <v>03/12/2018 00:00</v>
      </c>
      <c r="C1995">
        <v>7.73</v>
      </c>
      <c r="D1995" t="s">
        <v>7</v>
      </c>
      <c r="E1995" s="2" t="s">
        <v>12</v>
      </c>
      <c r="F1995">
        <f t="shared" si="31"/>
        <v>15.328590000000002</v>
      </c>
      <c r="G1995" t="s">
        <v>16</v>
      </c>
      <c r="J1995" t="str">
        <f>"03/12/2018 23:45"</f>
        <v>03/12/2018 23:45</v>
      </c>
    </row>
    <row r="1996" spans="1:10" x14ac:dyDescent="0.3">
      <c r="A1996" t="s">
        <v>6</v>
      </c>
      <c r="B1996" t="str">
        <f>"03/13/2018 00:00"</f>
        <v>03/13/2018 00:00</v>
      </c>
      <c r="C1996">
        <v>9.33</v>
      </c>
      <c r="D1996" t="s">
        <v>7</v>
      </c>
      <c r="E1996" s="2" t="s">
        <v>12</v>
      </c>
      <c r="F1996">
        <f t="shared" si="31"/>
        <v>18.501390000000001</v>
      </c>
      <c r="G1996" t="s">
        <v>16</v>
      </c>
      <c r="J1996" t="str">
        <f>"03/13/2018 23:45"</f>
        <v>03/13/2018 23:45</v>
      </c>
    </row>
    <row r="1997" spans="1:10" x14ac:dyDescent="0.3">
      <c r="A1997" t="s">
        <v>6</v>
      </c>
      <c r="B1997" t="str">
        <f>"03/14/2018 00:00"</f>
        <v>03/14/2018 00:00</v>
      </c>
      <c r="C1997">
        <v>9.7100000000000009</v>
      </c>
      <c r="D1997" t="s">
        <v>7</v>
      </c>
      <c r="E1997" s="2" t="s">
        <v>12</v>
      </c>
      <c r="F1997">
        <f t="shared" si="31"/>
        <v>19.254930000000002</v>
      </c>
      <c r="G1997" t="s">
        <v>16</v>
      </c>
      <c r="J1997" t="str">
        <f>"03/14/2018 23:45"</f>
        <v>03/14/2018 23:45</v>
      </c>
    </row>
    <row r="1998" spans="1:10" x14ac:dyDescent="0.3">
      <c r="A1998" t="s">
        <v>6</v>
      </c>
      <c r="B1998" t="str">
        <f>"03/15/2018 00:00"</f>
        <v>03/15/2018 00:00</v>
      </c>
      <c r="C1998">
        <v>11</v>
      </c>
      <c r="D1998" t="s">
        <v>7</v>
      </c>
      <c r="E1998" s="2" t="s">
        <v>12</v>
      </c>
      <c r="F1998">
        <f t="shared" si="31"/>
        <v>21.813000000000002</v>
      </c>
      <c r="G1998" t="s">
        <v>16</v>
      </c>
      <c r="J1998" t="str">
        <f>"03/15/2018 23:45"</f>
        <v>03/15/2018 23:45</v>
      </c>
    </row>
    <row r="1999" spans="1:10" x14ac:dyDescent="0.3">
      <c r="A1999" t="s">
        <v>6</v>
      </c>
      <c r="B1999" t="str">
        <f>"03/16/2018 00:00"</f>
        <v>03/16/2018 00:00</v>
      </c>
      <c r="C1999">
        <v>13.7</v>
      </c>
      <c r="D1999" t="s">
        <v>7</v>
      </c>
      <c r="E1999" s="2" t="s">
        <v>12</v>
      </c>
      <c r="F1999">
        <f t="shared" si="31"/>
        <v>27.167100000000001</v>
      </c>
      <c r="G1999" t="s">
        <v>16</v>
      </c>
      <c r="J1999" t="str">
        <f>"03/16/2018 23:45"</f>
        <v>03/16/2018 23:45</v>
      </c>
    </row>
    <row r="2000" spans="1:10" x14ac:dyDescent="0.3">
      <c r="A2000" t="s">
        <v>6</v>
      </c>
      <c r="B2000" t="str">
        <f>"03/17/2018 00:00"</f>
        <v>03/17/2018 00:00</v>
      </c>
      <c r="C2000">
        <v>15.5</v>
      </c>
      <c r="D2000" t="s">
        <v>7</v>
      </c>
      <c r="E2000" s="2" t="s">
        <v>12</v>
      </c>
      <c r="F2000">
        <f t="shared" si="31"/>
        <v>30.736500000000003</v>
      </c>
      <c r="G2000" t="s">
        <v>16</v>
      </c>
      <c r="J2000" t="str">
        <f>"03/17/2018 23:45"</f>
        <v>03/17/2018 23:45</v>
      </c>
    </row>
    <row r="2001" spans="1:10" x14ac:dyDescent="0.3">
      <c r="A2001" t="s">
        <v>6</v>
      </c>
      <c r="B2001" t="str">
        <f>"03/18/2018 00:00"</f>
        <v>03/18/2018 00:00</v>
      </c>
      <c r="C2001">
        <v>15.5</v>
      </c>
      <c r="D2001" t="s">
        <v>7</v>
      </c>
      <c r="E2001" s="2" t="s">
        <v>12</v>
      </c>
      <c r="F2001">
        <f t="shared" si="31"/>
        <v>30.736500000000003</v>
      </c>
      <c r="G2001" t="s">
        <v>16</v>
      </c>
      <c r="J2001" t="str">
        <f>"03/18/2018 23:45"</f>
        <v>03/18/2018 23:45</v>
      </c>
    </row>
    <row r="2002" spans="1:10" x14ac:dyDescent="0.3">
      <c r="A2002" t="s">
        <v>6</v>
      </c>
      <c r="B2002" t="str">
        <f>"03/19/2018 00:00"</f>
        <v>03/19/2018 00:00</v>
      </c>
      <c r="C2002">
        <v>21.6</v>
      </c>
      <c r="D2002" t="s">
        <v>7</v>
      </c>
      <c r="E2002" s="2" t="s">
        <v>12</v>
      </c>
      <c r="F2002">
        <f t="shared" si="31"/>
        <v>42.832800000000006</v>
      </c>
      <c r="G2002" t="s">
        <v>16</v>
      </c>
      <c r="J2002" t="str">
        <f>"03/19/2018 23:45"</f>
        <v>03/19/2018 23:45</v>
      </c>
    </row>
    <row r="2003" spans="1:10" x14ac:dyDescent="0.3">
      <c r="A2003" t="s">
        <v>6</v>
      </c>
      <c r="B2003" t="str">
        <f>"03/20/2018 00:00"</f>
        <v>03/20/2018 00:00</v>
      </c>
      <c r="C2003">
        <v>29.1</v>
      </c>
      <c r="D2003" t="s">
        <v>7</v>
      </c>
      <c r="E2003" s="2" t="s">
        <v>12</v>
      </c>
      <c r="F2003">
        <f t="shared" si="31"/>
        <v>57.705300000000008</v>
      </c>
      <c r="G2003" t="s">
        <v>16</v>
      </c>
      <c r="J2003" t="str">
        <f>"03/20/2018 23:45"</f>
        <v>03/20/2018 23:45</v>
      </c>
    </row>
    <row r="2004" spans="1:10" x14ac:dyDescent="0.3">
      <c r="A2004" t="s">
        <v>6</v>
      </c>
      <c r="B2004" t="str">
        <f>"03/21/2018 00:00"</f>
        <v>03/21/2018 00:00</v>
      </c>
      <c r="C2004">
        <v>35.799999999999997</v>
      </c>
      <c r="D2004" t="s">
        <v>7</v>
      </c>
      <c r="E2004" s="2" t="s">
        <v>12</v>
      </c>
      <c r="F2004">
        <f t="shared" si="31"/>
        <v>70.991399999999999</v>
      </c>
      <c r="G2004" t="s">
        <v>16</v>
      </c>
      <c r="J2004" t="str">
        <f>"03/21/2018 23:45"</f>
        <v>03/21/2018 23:45</v>
      </c>
    </row>
    <row r="2005" spans="1:10" x14ac:dyDescent="0.3">
      <c r="A2005" t="s">
        <v>6</v>
      </c>
      <c r="B2005" t="str">
        <f>"03/22/2018 00:00"</f>
        <v>03/22/2018 00:00</v>
      </c>
      <c r="C2005">
        <v>45.1</v>
      </c>
      <c r="D2005" t="s">
        <v>7</v>
      </c>
      <c r="E2005" s="2" t="s">
        <v>12</v>
      </c>
      <c r="F2005">
        <f t="shared" si="31"/>
        <v>89.433300000000003</v>
      </c>
      <c r="G2005" t="s">
        <v>16</v>
      </c>
      <c r="J2005" t="str">
        <f>"03/22/2018 23:45"</f>
        <v>03/22/2018 23:45</v>
      </c>
    </row>
    <row r="2006" spans="1:10" x14ac:dyDescent="0.3">
      <c r="A2006" t="s">
        <v>6</v>
      </c>
      <c r="B2006" t="str">
        <f>"03/23/2018 00:00"</f>
        <v>03/23/2018 00:00</v>
      </c>
      <c r="C2006">
        <v>54.7</v>
      </c>
      <c r="D2006" t="s">
        <v>7</v>
      </c>
      <c r="E2006" s="2" t="s">
        <v>12</v>
      </c>
      <c r="F2006">
        <f t="shared" si="31"/>
        <v>108.47010000000002</v>
      </c>
      <c r="G2006" t="s">
        <v>16</v>
      </c>
      <c r="J2006" t="str">
        <f>"03/23/2018 23:45"</f>
        <v>03/23/2018 23:45</v>
      </c>
    </row>
    <row r="2007" spans="1:10" x14ac:dyDescent="0.3">
      <c r="A2007" t="s">
        <v>6</v>
      </c>
      <c r="B2007" t="str">
        <f>"03/24/2018 00:00"</f>
        <v>03/24/2018 00:00</v>
      </c>
      <c r="C2007">
        <v>64.2</v>
      </c>
      <c r="D2007" t="s">
        <v>7</v>
      </c>
      <c r="E2007" s="2" t="s">
        <v>12</v>
      </c>
      <c r="F2007">
        <f t="shared" si="31"/>
        <v>127.30860000000001</v>
      </c>
      <c r="G2007" t="s">
        <v>16</v>
      </c>
      <c r="J2007" t="str">
        <f>"03/24/2018 23:45"</f>
        <v>03/24/2018 23:45</v>
      </c>
    </row>
    <row r="2008" spans="1:10" x14ac:dyDescent="0.3">
      <c r="A2008" t="s">
        <v>6</v>
      </c>
      <c r="B2008" t="str">
        <f>"03/25/2018 00:00"</f>
        <v>03/25/2018 00:00</v>
      </c>
      <c r="C2008">
        <v>69.3</v>
      </c>
      <c r="D2008" t="s">
        <v>7</v>
      </c>
      <c r="E2008" s="2" t="s">
        <v>12</v>
      </c>
      <c r="F2008">
        <f t="shared" si="31"/>
        <v>137.42189999999999</v>
      </c>
      <c r="G2008" t="s">
        <v>16</v>
      </c>
      <c r="J2008" t="str">
        <f>"03/25/2018 23:45"</f>
        <v>03/25/2018 23:45</v>
      </c>
    </row>
    <row r="2009" spans="1:10" x14ac:dyDescent="0.3">
      <c r="A2009" t="s">
        <v>6</v>
      </c>
      <c r="B2009" t="str">
        <f>"03/26/2018 00:00"</f>
        <v>03/26/2018 00:00</v>
      </c>
      <c r="C2009">
        <v>76</v>
      </c>
      <c r="D2009" t="s">
        <v>7</v>
      </c>
      <c r="E2009" s="2" t="s">
        <v>12</v>
      </c>
      <c r="F2009">
        <f t="shared" si="31"/>
        <v>150.708</v>
      </c>
      <c r="G2009" t="s">
        <v>16</v>
      </c>
      <c r="J2009" t="str">
        <f>"03/26/2018 23:45"</f>
        <v>03/26/2018 23:45</v>
      </c>
    </row>
    <row r="2010" spans="1:10" x14ac:dyDescent="0.3">
      <c r="A2010" t="s">
        <v>6</v>
      </c>
      <c r="B2010" t="str">
        <f>"03/27/2018 00:00"</f>
        <v>03/27/2018 00:00</v>
      </c>
      <c r="C2010">
        <v>80.8</v>
      </c>
      <c r="D2010" t="s">
        <v>7</v>
      </c>
      <c r="E2010" s="2" t="s">
        <v>12</v>
      </c>
      <c r="F2010">
        <f t="shared" si="31"/>
        <v>160.22640000000001</v>
      </c>
      <c r="G2010" t="s">
        <v>16</v>
      </c>
      <c r="J2010" t="str">
        <f>"03/27/2018 23:45"</f>
        <v>03/27/2018 23:45</v>
      </c>
    </row>
    <row r="2011" spans="1:10" x14ac:dyDescent="0.3">
      <c r="A2011" t="s">
        <v>6</v>
      </c>
      <c r="B2011" t="str">
        <f>"03/28/2018 00:00"</f>
        <v>03/28/2018 00:00</v>
      </c>
      <c r="C2011">
        <v>61.2</v>
      </c>
      <c r="D2011" t="s">
        <v>7</v>
      </c>
      <c r="E2011" s="2" t="s">
        <v>12</v>
      </c>
      <c r="F2011">
        <f t="shared" si="31"/>
        <v>121.35960000000001</v>
      </c>
      <c r="G2011" t="s">
        <v>16</v>
      </c>
      <c r="J2011" t="str">
        <f>"03/28/2018 23:45"</f>
        <v>03/28/2018 23:45</v>
      </c>
    </row>
    <row r="2012" spans="1:10" x14ac:dyDescent="0.3">
      <c r="A2012" t="s">
        <v>6</v>
      </c>
      <c r="B2012" t="str">
        <f>"03/29/2018 00:00"</f>
        <v>03/29/2018 00:00</v>
      </c>
      <c r="C2012">
        <v>49</v>
      </c>
      <c r="D2012" t="s">
        <v>7</v>
      </c>
      <c r="E2012" s="2" t="s">
        <v>12</v>
      </c>
      <c r="F2012">
        <f t="shared" si="31"/>
        <v>97.167000000000002</v>
      </c>
      <c r="G2012" t="s">
        <v>16</v>
      </c>
      <c r="J2012" t="str">
        <f>"03/29/2018 23:45"</f>
        <v>03/29/2018 23:45</v>
      </c>
    </row>
    <row r="2013" spans="1:10" x14ac:dyDescent="0.3">
      <c r="A2013" t="s">
        <v>6</v>
      </c>
      <c r="B2013" t="str">
        <f>"03/30/2018 00:00"</f>
        <v>03/30/2018 00:00</v>
      </c>
      <c r="C2013">
        <v>48.3</v>
      </c>
      <c r="D2013" t="s">
        <v>7</v>
      </c>
      <c r="E2013" s="2" t="s">
        <v>12</v>
      </c>
      <c r="F2013">
        <f t="shared" si="31"/>
        <v>95.778899999999993</v>
      </c>
      <c r="G2013" t="s">
        <v>16</v>
      </c>
      <c r="J2013" t="str">
        <f>"03/30/2018 23:45"</f>
        <v>03/30/2018 23:45</v>
      </c>
    </row>
    <row r="2014" spans="1:10" x14ac:dyDescent="0.3">
      <c r="A2014" t="s">
        <v>6</v>
      </c>
      <c r="B2014" t="str">
        <f>"03/31/2018 00:00"</f>
        <v>03/31/2018 00:00</v>
      </c>
      <c r="C2014">
        <v>48.8</v>
      </c>
      <c r="D2014" t="s">
        <v>7</v>
      </c>
      <c r="E2014" s="2" t="s">
        <v>12</v>
      </c>
      <c r="F2014">
        <f t="shared" si="31"/>
        <v>96.770399999999995</v>
      </c>
      <c r="G2014" t="s">
        <v>16</v>
      </c>
      <c r="J2014" t="str">
        <f>"03/31/2018 23:45"</f>
        <v>03/31/2018 23:45</v>
      </c>
    </row>
    <row r="2015" spans="1:10" x14ac:dyDescent="0.3">
      <c r="A2015" t="s">
        <v>6</v>
      </c>
      <c r="B2015" t="str">
        <f>"04/01/2018 00:00"</f>
        <v>04/01/2018 00:00</v>
      </c>
      <c r="C2015">
        <v>48.5</v>
      </c>
      <c r="D2015" t="s">
        <v>7</v>
      </c>
      <c r="E2015" s="2" t="s">
        <v>12</v>
      </c>
      <c r="F2015">
        <f t="shared" si="31"/>
        <v>96.1755</v>
      </c>
      <c r="G2015" t="s">
        <v>16</v>
      </c>
      <c r="J2015" t="str">
        <f>"04/01/2018 23:45"</f>
        <v>04/01/2018 23:45</v>
      </c>
    </row>
    <row r="2016" spans="1:10" x14ac:dyDescent="0.3">
      <c r="A2016" t="s">
        <v>6</v>
      </c>
      <c r="B2016" t="str">
        <f>"04/02/2018 00:00"</f>
        <v>04/02/2018 00:00</v>
      </c>
      <c r="C2016">
        <v>62.1</v>
      </c>
      <c r="D2016" t="s">
        <v>7</v>
      </c>
      <c r="E2016" s="2" t="s">
        <v>12</v>
      </c>
      <c r="F2016">
        <f t="shared" si="31"/>
        <v>123.14430000000002</v>
      </c>
      <c r="G2016" t="s">
        <v>16</v>
      </c>
      <c r="J2016" t="str">
        <f>"04/02/2018 23:45"</f>
        <v>04/02/2018 23:45</v>
      </c>
    </row>
    <row r="2017" spans="1:10" x14ac:dyDescent="0.3">
      <c r="A2017" t="s">
        <v>6</v>
      </c>
      <c r="B2017" t="str">
        <f>"04/03/2018 00:00"</f>
        <v>04/03/2018 00:00</v>
      </c>
      <c r="C2017">
        <v>80.2</v>
      </c>
      <c r="D2017" t="s">
        <v>7</v>
      </c>
      <c r="E2017" s="2" t="s">
        <v>12</v>
      </c>
      <c r="F2017">
        <f t="shared" si="31"/>
        <v>159.03660000000002</v>
      </c>
      <c r="G2017" t="s">
        <v>16</v>
      </c>
      <c r="J2017" t="str">
        <f>"04/03/2018 23:45"</f>
        <v>04/03/2018 23:45</v>
      </c>
    </row>
    <row r="2018" spans="1:10" x14ac:dyDescent="0.3">
      <c r="A2018" t="s">
        <v>6</v>
      </c>
      <c r="B2018" t="str">
        <f>"04/04/2018 00:00"</f>
        <v>04/04/2018 00:00</v>
      </c>
      <c r="C2018">
        <v>80.2</v>
      </c>
      <c r="D2018" t="s">
        <v>7</v>
      </c>
      <c r="E2018" s="2" t="s">
        <v>12</v>
      </c>
      <c r="F2018">
        <f t="shared" si="31"/>
        <v>159.03660000000002</v>
      </c>
      <c r="G2018" t="s">
        <v>16</v>
      </c>
      <c r="J2018" t="str">
        <f>"04/04/2018 23:45"</f>
        <v>04/04/2018 23:45</v>
      </c>
    </row>
    <row r="2019" spans="1:10" x14ac:dyDescent="0.3">
      <c r="A2019" t="s">
        <v>6</v>
      </c>
      <c r="B2019" t="str">
        <f>"04/05/2018 00:00"</f>
        <v>04/05/2018 00:00</v>
      </c>
      <c r="C2019">
        <v>80.400000000000006</v>
      </c>
      <c r="D2019" t="s">
        <v>7</v>
      </c>
      <c r="E2019" s="2" t="s">
        <v>12</v>
      </c>
      <c r="F2019">
        <f t="shared" si="31"/>
        <v>159.43320000000003</v>
      </c>
      <c r="G2019" t="s">
        <v>16</v>
      </c>
      <c r="J2019" t="str">
        <f>"04/05/2018 23:45"</f>
        <v>04/05/2018 23:45</v>
      </c>
    </row>
    <row r="2020" spans="1:10" x14ac:dyDescent="0.3">
      <c r="A2020" t="s">
        <v>6</v>
      </c>
      <c r="B2020" t="str">
        <f>"04/06/2018 00:00"</f>
        <v>04/06/2018 00:00</v>
      </c>
      <c r="C2020">
        <v>95.6</v>
      </c>
      <c r="D2020" t="s">
        <v>7</v>
      </c>
      <c r="E2020" s="2" t="s">
        <v>12</v>
      </c>
      <c r="F2020">
        <f t="shared" si="31"/>
        <v>189.57480000000001</v>
      </c>
      <c r="G2020" t="s">
        <v>16</v>
      </c>
      <c r="J2020" t="str">
        <f>"04/06/2018 23:45"</f>
        <v>04/06/2018 23:45</v>
      </c>
    </row>
    <row r="2021" spans="1:10" x14ac:dyDescent="0.3">
      <c r="A2021" t="s">
        <v>6</v>
      </c>
      <c r="B2021" t="str">
        <f>"04/07/2018 00:00"</f>
        <v>04/07/2018 00:00</v>
      </c>
      <c r="C2021">
        <v>111</v>
      </c>
      <c r="D2021" t="s">
        <v>7</v>
      </c>
      <c r="E2021" s="2" t="s">
        <v>12</v>
      </c>
      <c r="F2021">
        <f t="shared" si="31"/>
        <v>220.113</v>
      </c>
      <c r="G2021" t="s">
        <v>16</v>
      </c>
      <c r="J2021" t="str">
        <f>"04/07/2018 23:45"</f>
        <v>04/07/2018 23:45</v>
      </c>
    </row>
    <row r="2022" spans="1:10" x14ac:dyDescent="0.3">
      <c r="A2022" t="s">
        <v>6</v>
      </c>
      <c r="B2022" t="str">
        <f>"04/08/2018 00:00"</f>
        <v>04/08/2018 00:00</v>
      </c>
      <c r="C2022">
        <v>111</v>
      </c>
      <c r="D2022" t="s">
        <v>7</v>
      </c>
      <c r="E2022" s="2" t="s">
        <v>12</v>
      </c>
      <c r="F2022">
        <f t="shared" si="31"/>
        <v>220.113</v>
      </c>
      <c r="G2022" t="s">
        <v>16</v>
      </c>
      <c r="J2022" t="str">
        <f>"04/08/2018 23:45"</f>
        <v>04/08/2018 23:45</v>
      </c>
    </row>
    <row r="2023" spans="1:10" x14ac:dyDescent="0.3">
      <c r="A2023" t="s">
        <v>6</v>
      </c>
      <c r="B2023" t="str">
        <f>"04/09/2018 00:00"</f>
        <v>04/09/2018 00:00</v>
      </c>
      <c r="C2023">
        <v>111</v>
      </c>
      <c r="D2023" t="s">
        <v>7</v>
      </c>
      <c r="E2023" s="2" t="s">
        <v>12</v>
      </c>
      <c r="F2023">
        <f t="shared" si="31"/>
        <v>220.113</v>
      </c>
      <c r="G2023" t="s">
        <v>16</v>
      </c>
      <c r="J2023" t="str">
        <f>"04/09/2018 23:45"</f>
        <v>04/09/2018 23:45</v>
      </c>
    </row>
    <row r="2024" spans="1:10" x14ac:dyDescent="0.3">
      <c r="A2024" t="s">
        <v>6</v>
      </c>
      <c r="B2024" t="str">
        <f>"04/10/2018 00:00"</f>
        <v>04/10/2018 00:00</v>
      </c>
      <c r="C2024">
        <v>124</v>
      </c>
      <c r="D2024" t="s">
        <v>7</v>
      </c>
      <c r="E2024" s="2" t="s">
        <v>12</v>
      </c>
      <c r="F2024">
        <f t="shared" si="31"/>
        <v>245.89200000000002</v>
      </c>
      <c r="G2024" t="s">
        <v>16</v>
      </c>
      <c r="J2024" t="str">
        <f>"04/10/2018 23:45"</f>
        <v>04/10/2018 23:45</v>
      </c>
    </row>
    <row r="2025" spans="1:10" x14ac:dyDescent="0.3">
      <c r="A2025" t="s">
        <v>6</v>
      </c>
      <c r="B2025" t="str">
        <f>"04/11/2018 00:00"</f>
        <v>04/11/2018 00:00</v>
      </c>
      <c r="C2025">
        <v>145</v>
      </c>
      <c r="D2025" t="s">
        <v>7</v>
      </c>
      <c r="E2025" s="2" t="s">
        <v>12</v>
      </c>
      <c r="F2025">
        <f t="shared" si="31"/>
        <v>287.53500000000003</v>
      </c>
      <c r="G2025" t="s">
        <v>16</v>
      </c>
      <c r="J2025" t="str">
        <f>"04/11/2018 23:45"</f>
        <v>04/11/2018 23:45</v>
      </c>
    </row>
    <row r="2026" spans="1:10" x14ac:dyDescent="0.3">
      <c r="A2026" t="s">
        <v>6</v>
      </c>
      <c r="B2026" t="str">
        <f>"04/12/2018 00:00"</f>
        <v>04/12/2018 00:00</v>
      </c>
      <c r="C2026">
        <v>144</v>
      </c>
      <c r="D2026" t="s">
        <v>7</v>
      </c>
      <c r="E2026" s="2" t="s">
        <v>12</v>
      </c>
      <c r="F2026">
        <f t="shared" si="31"/>
        <v>285.55200000000002</v>
      </c>
      <c r="G2026" t="s">
        <v>16</v>
      </c>
      <c r="J2026" t="str">
        <f>"04/12/2018 23:45"</f>
        <v>04/12/2018 23:45</v>
      </c>
    </row>
    <row r="2027" spans="1:10" x14ac:dyDescent="0.3">
      <c r="A2027" t="s">
        <v>6</v>
      </c>
      <c r="B2027" t="str">
        <f>"04/13/2018 00:00"</f>
        <v>04/13/2018 00:00</v>
      </c>
      <c r="C2027">
        <v>144</v>
      </c>
      <c r="D2027" t="s">
        <v>7</v>
      </c>
      <c r="E2027" s="2" t="s">
        <v>12</v>
      </c>
      <c r="F2027">
        <f t="shared" si="31"/>
        <v>285.55200000000002</v>
      </c>
      <c r="G2027" t="s">
        <v>16</v>
      </c>
      <c r="J2027" t="str">
        <f>"04/13/2018 23:45"</f>
        <v>04/13/2018 23:45</v>
      </c>
    </row>
    <row r="2028" spans="1:10" x14ac:dyDescent="0.3">
      <c r="A2028" t="s">
        <v>6</v>
      </c>
      <c r="B2028" t="str">
        <f>"04/14/2018 00:00"</f>
        <v>04/14/2018 00:00</v>
      </c>
      <c r="C2028">
        <v>130</v>
      </c>
      <c r="D2028" t="s">
        <v>7</v>
      </c>
      <c r="E2028" s="2" t="s">
        <v>12</v>
      </c>
      <c r="F2028">
        <f t="shared" si="31"/>
        <v>257.79000000000002</v>
      </c>
      <c r="G2028" t="s">
        <v>16</v>
      </c>
      <c r="J2028" t="str">
        <f>"04/14/2018 23:45"</f>
        <v>04/14/2018 23:45</v>
      </c>
    </row>
    <row r="2029" spans="1:10" x14ac:dyDescent="0.3">
      <c r="A2029" t="s">
        <v>6</v>
      </c>
      <c r="B2029" t="str">
        <f>"04/15/2018 00:00"</f>
        <v>04/15/2018 00:00</v>
      </c>
      <c r="C2029">
        <v>88.5</v>
      </c>
      <c r="D2029" t="s">
        <v>7</v>
      </c>
      <c r="E2029" s="2" t="s">
        <v>12</v>
      </c>
      <c r="F2029">
        <f t="shared" si="31"/>
        <v>175.49550000000002</v>
      </c>
      <c r="G2029" t="s">
        <v>16</v>
      </c>
      <c r="J2029" t="str">
        <f>"04/15/2018 23:45"</f>
        <v>04/15/2018 23:45</v>
      </c>
    </row>
    <row r="2030" spans="1:10" x14ac:dyDescent="0.3">
      <c r="A2030" t="s">
        <v>6</v>
      </c>
      <c r="B2030" t="str">
        <f>"04/16/2018 00:00"</f>
        <v>04/16/2018 00:00</v>
      </c>
      <c r="C2030">
        <v>110</v>
      </c>
      <c r="D2030" t="s">
        <v>7</v>
      </c>
      <c r="E2030" s="2" t="s">
        <v>12</v>
      </c>
      <c r="F2030">
        <f t="shared" si="31"/>
        <v>218.13000000000002</v>
      </c>
      <c r="G2030" t="s">
        <v>16</v>
      </c>
      <c r="J2030" t="str">
        <f>"04/16/2018 23:45"</f>
        <v>04/16/2018 23:45</v>
      </c>
    </row>
    <row r="2031" spans="1:10" x14ac:dyDescent="0.3">
      <c r="A2031" t="s">
        <v>6</v>
      </c>
      <c r="B2031" t="str">
        <f>"04/17/2018 00:00"</f>
        <v>04/17/2018 00:00</v>
      </c>
      <c r="C2031">
        <v>144</v>
      </c>
      <c r="D2031" t="s">
        <v>7</v>
      </c>
      <c r="E2031" s="2" t="s">
        <v>12</v>
      </c>
      <c r="F2031">
        <f t="shared" si="31"/>
        <v>285.55200000000002</v>
      </c>
      <c r="G2031" t="s">
        <v>16</v>
      </c>
      <c r="J2031" t="str">
        <f>"04/17/2018 23:45"</f>
        <v>04/17/2018 23:45</v>
      </c>
    </row>
    <row r="2032" spans="1:10" x14ac:dyDescent="0.3">
      <c r="A2032" t="s">
        <v>6</v>
      </c>
      <c r="B2032" t="str">
        <f>"04/18/2018 00:00"</f>
        <v>04/18/2018 00:00</v>
      </c>
      <c r="C2032">
        <v>144</v>
      </c>
      <c r="D2032" t="s">
        <v>7</v>
      </c>
      <c r="E2032" s="2" t="s">
        <v>12</v>
      </c>
      <c r="F2032">
        <f t="shared" si="31"/>
        <v>285.55200000000002</v>
      </c>
      <c r="G2032" t="s">
        <v>16</v>
      </c>
      <c r="J2032" t="str">
        <f>"04/18/2018 23:45"</f>
        <v>04/18/2018 23:45</v>
      </c>
    </row>
    <row r="2033" spans="1:10" x14ac:dyDescent="0.3">
      <c r="A2033" t="s">
        <v>6</v>
      </c>
      <c r="B2033" t="str">
        <f>"04/19/2018 00:00"</f>
        <v>04/19/2018 00:00</v>
      </c>
      <c r="C2033">
        <v>144</v>
      </c>
      <c r="D2033" t="s">
        <v>7</v>
      </c>
      <c r="E2033" s="2" t="s">
        <v>12</v>
      </c>
      <c r="F2033">
        <f t="shared" si="31"/>
        <v>285.55200000000002</v>
      </c>
      <c r="G2033" t="s">
        <v>16</v>
      </c>
      <c r="J2033" t="str">
        <f>"04/19/2018 23:45"</f>
        <v>04/19/2018 23:45</v>
      </c>
    </row>
    <row r="2034" spans="1:10" x14ac:dyDescent="0.3">
      <c r="A2034" t="s">
        <v>6</v>
      </c>
      <c r="B2034" t="str">
        <f>"04/20/2018 00:00"</f>
        <v>04/20/2018 00:00</v>
      </c>
      <c r="C2034">
        <v>145</v>
      </c>
      <c r="D2034" t="s">
        <v>7</v>
      </c>
      <c r="E2034" s="2" t="s">
        <v>12</v>
      </c>
      <c r="F2034">
        <f t="shared" si="31"/>
        <v>287.53500000000003</v>
      </c>
      <c r="G2034" t="s">
        <v>16</v>
      </c>
      <c r="J2034" t="str">
        <f>"04/20/2018 23:45"</f>
        <v>04/20/2018 23:45</v>
      </c>
    </row>
    <row r="2035" spans="1:10" x14ac:dyDescent="0.3">
      <c r="A2035" t="s">
        <v>6</v>
      </c>
      <c r="B2035" t="str">
        <f>"04/21/2018 00:00"</f>
        <v>04/21/2018 00:00</v>
      </c>
      <c r="C2035">
        <v>145</v>
      </c>
      <c r="D2035" t="s">
        <v>7</v>
      </c>
      <c r="E2035" s="2" t="s">
        <v>12</v>
      </c>
      <c r="F2035">
        <f t="shared" si="31"/>
        <v>287.53500000000003</v>
      </c>
      <c r="G2035" t="s">
        <v>16</v>
      </c>
      <c r="J2035" t="str">
        <f>"04/21/2018 23:45"</f>
        <v>04/21/2018 23:45</v>
      </c>
    </row>
    <row r="2036" spans="1:10" x14ac:dyDescent="0.3">
      <c r="A2036" t="s">
        <v>6</v>
      </c>
      <c r="B2036" t="str">
        <f>"04/22/2018 00:00"</f>
        <v>04/22/2018 00:00</v>
      </c>
      <c r="C2036">
        <v>145</v>
      </c>
      <c r="D2036" t="s">
        <v>7</v>
      </c>
      <c r="E2036" s="2" t="s">
        <v>12</v>
      </c>
      <c r="F2036">
        <f t="shared" si="31"/>
        <v>287.53500000000003</v>
      </c>
      <c r="G2036" t="s">
        <v>16</v>
      </c>
      <c r="J2036" t="str">
        <f>"04/22/2018 23:45"</f>
        <v>04/22/2018 23:45</v>
      </c>
    </row>
    <row r="2037" spans="1:10" x14ac:dyDescent="0.3">
      <c r="A2037" t="s">
        <v>6</v>
      </c>
      <c r="B2037" t="str">
        <f>"04/23/2018 00:00"</f>
        <v>04/23/2018 00:00</v>
      </c>
      <c r="C2037">
        <v>145</v>
      </c>
      <c r="D2037" t="s">
        <v>7</v>
      </c>
      <c r="E2037" s="2" t="s">
        <v>12</v>
      </c>
      <c r="F2037">
        <f t="shared" si="31"/>
        <v>287.53500000000003</v>
      </c>
      <c r="G2037" t="s">
        <v>16</v>
      </c>
      <c r="J2037" t="str">
        <f>"04/23/2018 23:45"</f>
        <v>04/23/2018 23:45</v>
      </c>
    </row>
    <row r="2038" spans="1:10" x14ac:dyDescent="0.3">
      <c r="A2038" t="s">
        <v>6</v>
      </c>
      <c r="B2038" t="str">
        <f>"04/24/2018 00:00"</f>
        <v>04/24/2018 00:00</v>
      </c>
      <c r="C2038">
        <v>145</v>
      </c>
      <c r="D2038" t="s">
        <v>7</v>
      </c>
      <c r="E2038" s="2" t="s">
        <v>12</v>
      </c>
      <c r="F2038">
        <f t="shared" si="31"/>
        <v>287.53500000000003</v>
      </c>
      <c r="G2038" t="s">
        <v>16</v>
      </c>
      <c r="J2038" t="str">
        <f>"04/24/2018 23:45"</f>
        <v>04/24/2018 23:45</v>
      </c>
    </row>
    <row r="2039" spans="1:10" x14ac:dyDescent="0.3">
      <c r="A2039" t="s">
        <v>6</v>
      </c>
      <c r="B2039" t="str">
        <f>"04/25/2018 00:00"</f>
        <v>04/25/2018 00:00</v>
      </c>
      <c r="C2039">
        <v>145</v>
      </c>
      <c r="D2039" t="s">
        <v>7</v>
      </c>
      <c r="E2039" s="2" t="s">
        <v>12</v>
      </c>
      <c r="F2039">
        <f t="shared" si="31"/>
        <v>287.53500000000003</v>
      </c>
      <c r="G2039" t="s">
        <v>16</v>
      </c>
      <c r="J2039" t="str">
        <f>"04/25/2018 23:45"</f>
        <v>04/25/2018 23:45</v>
      </c>
    </row>
    <row r="2040" spans="1:10" x14ac:dyDescent="0.3">
      <c r="A2040" t="s">
        <v>6</v>
      </c>
      <c r="B2040" t="str">
        <f>"04/26/2018 00:00"</f>
        <v>04/26/2018 00:00</v>
      </c>
      <c r="C2040">
        <v>144</v>
      </c>
      <c r="D2040" t="s">
        <v>7</v>
      </c>
      <c r="E2040" s="2" t="s">
        <v>12</v>
      </c>
      <c r="F2040">
        <f t="shared" si="31"/>
        <v>285.55200000000002</v>
      </c>
      <c r="G2040" t="s">
        <v>16</v>
      </c>
      <c r="J2040" t="str">
        <f>"04/26/2018 23:45"</f>
        <v>04/26/2018 23:45</v>
      </c>
    </row>
    <row r="2041" spans="1:10" x14ac:dyDescent="0.3">
      <c r="A2041" t="s">
        <v>6</v>
      </c>
      <c r="B2041" t="str">
        <f>"04/27/2018 00:00"</f>
        <v>04/27/2018 00:00</v>
      </c>
      <c r="C2041">
        <v>144</v>
      </c>
      <c r="D2041" t="s">
        <v>7</v>
      </c>
      <c r="E2041" s="2" t="s">
        <v>12</v>
      </c>
      <c r="F2041">
        <f t="shared" si="31"/>
        <v>285.55200000000002</v>
      </c>
      <c r="G2041" t="s">
        <v>16</v>
      </c>
      <c r="J2041" t="str">
        <f>"04/27/2018 23:45"</f>
        <v>04/27/2018 23:45</v>
      </c>
    </row>
    <row r="2042" spans="1:10" x14ac:dyDescent="0.3">
      <c r="A2042" t="s">
        <v>6</v>
      </c>
      <c r="B2042" t="str">
        <f>"04/28/2018 00:00"</f>
        <v>04/28/2018 00:00</v>
      </c>
      <c r="C2042">
        <v>144</v>
      </c>
      <c r="D2042" t="s">
        <v>7</v>
      </c>
      <c r="E2042" s="2" t="s">
        <v>12</v>
      </c>
      <c r="F2042">
        <f t="shared" si="31"/>
        <v>285.55200000000002</v>
      </c>
      <c r="G2042" t="s">
        <v>16</v>
      </c>
      <c r="J2042" t="str">
        <f>"04/28/2018 23:45"</f>
        <v>04/28/2018 23:45</v>
      </c>
    </row>
    <row r="2043" spans="1:10" x14ac:dyDescent="0.3">
      <c r="A2043" t="s">
        <v>6</v>
      </c>
      <c r="B2043" t="str">
        <f>"04/29/2018 00:00"</f>
        <v>04/29/2018 00:00</v>
      </c>
      <c r="C2043">
        <v>144</v>
      </c>
      <c r="D2043" t="s">
        <v>7</v>
      </c>
      <c r="E2043" s="2" t="s">
        <v>12</v>
      </c>
      <c r="F2043">
        <f t="shared" si="31"/>
        <v>285.55200000000002</v>
      </c>
      <c r="G2043" t="s">
        <v>16</v>
      </c>
      <c r="J2043" t="str">
        <f>"04/29/2018 23:45"</f>
        <v>04/29/2018 23:45</v>
      </c>
    </row>
    <row r="2044" spans="1:10" x14ac:dyDescent="0.3">
      <c r="A2044" t="s">
        <v>6</v>
      </c>
      <c r="B2044" t="str">
        <f>"04/30/2018 00:00"</f>
        <v>04/30/2018 00:00</v>
      </c>
      <c r="C2044">
        <v>144</v>
      </c>
      <c r="D2044" t="s">
        <v>7</v>
      </c>
      <c r="E2044" s="2" t="s">
        <v>12</v>
      </c>
      <c r="F2044">
        <f t="shared" si="31"/>
        <v>285.55200000000002</v>
      </c>
      <c r="G2044" t="s">
        <v>16</v>
      </c>
      <c r="J2044" t="str">
        <f>"04/30/2018 23:45"</f>
        <v>04/30/2018 23:45</v>
      </c>
    </row>
    <row r="2045" spans="1:10" x14ac:dyDescent="0.3">
      <c r="A2045" t="s">
        <v>6</v>
      </c>
      <c r="B2045" t="str">
        <f>"05/01/2018 00:00"</f>
        <v>05/01/2018 00:00</v>
      </c>
      <c r="C2045">
        <v>144</v>
      </c>
      <c r="D2045" t="s">
        <v>7</v>
      </c>
      <c r="E2045" s="2" t="s">
        <v>12</v>
      </c>
      <c r="F2045">
        <f t="shared" si="31"/>
        <v>285.55200000000002</v>
      </c>
      <c r="G2045" t="s">
        <v>16</v>
      </c>
      <c r="J2045" t="str">
        <f>"05/01/2018 23:45"</f>
        <v>05/01/2018 23:45</v>
      </c>
    </row>
    <row r="2046" spans="1:10" x14ac:dyDescent="0.3">
      <c r="A2046" t="s">
        <v>6</v>
      </c>
      <c r="B2046" t="str">
        <f>"05/02/2018 00:00"</f>
        <v>05/02/2018 00:00</v>
      </c>
      <c r="C2046">
        <v>144</v>
      </c>
      <c r="D2046" t="s">
        <v>7</v>
      </c>
      <c r="E2046" s="2" t="s">
        <v>12</v>
      </c>
      <c r="F2046">
        <f t="shared" si="31"/>
        <v>285.55200000000002</v>
      </c>
      <c r="G2046" t="s">
        <v>16</v>
      </c>
      <c r="J2046" t="str">
        <f>"05/02/2018 23:45"</f>
        <v>05/02/2018 23:45</v>
      </c>
    </row>
    <row r="2047" spans="1:10" x14ac:dyDescent="0.3">
      <c r="A2047" t="s">
        <v>6</v>
      </c>
      <c r="B2047" t="str">
        <f>"05/03/2018 00:00"</f>
        <v>05/03/2018 00:00</v>
      </c>
      <c r="C2047">
        <v>99.2</v>
      </c>
      <c r="D2047" t="s">
        <v>7</v>
      </c>
      <c r="E2047" s="2" t="s">
        <v>12</v>
      </c>
      <c r="F2047">
        <f t="shared" si="31"/>
        <v>196.71360000000001</v>
      </c>
      <c r="G2047" t="s">
        <v>16</v>
      </c>
      <c r="J2047" t="str">
        <f>"05/03/2018 23:45"</f>
        <v>05/03/2018 23:45</v>
      </c>
    </row>
    <row r="2048" spans="1:10" x14ac:dyDescent="0.3">
      <c r="A2048" t="s">
        <v>6</v>
      </c>
      <c r="B2048" t="str">
        <f>"05/04/2018 00:00"</f>
        <v>05/04/2018 00:00</v>
      </c>
      <c r="C2048">
        <v>68.2</v>
      </c>
      <c r="D2048" t="s">
        <v>7</v>
      </c>
      <c r="E2048" s="2" t="s">
        <v>12</v>
      </c>
      <c r="F2048">
        <f t="shared" si="31"/>
        <v>135.2406</v>
      </c>
      <c r="G2048" t="s">
        <v>16</v>
      </c>
      <c r="J2048" t="str">
        <f>"05/04/2018 23:45"</f>
        <v>05/04/2018 23:45</v>
      </c>
    </row>
    <row r="2049" spans="1:10" x14ac:dyDescent="0.3">
      <c r="A2049" t="s">
        <v>6</v>
      </c>
      <c r="B2049" t="str">
        <f>"05/05/2018 00:00"</f>
        <v>05/05/2018 00:00</v>
      </c>
      <c r="C2049">
        <v>68.900000000000006</v>
      </c>
      <c r="D2049" t="s">
        <v>7</v>
      </c>
      <c r="E2049" s="2" t="s">
        <v>12</v>
      </c>
      <c r="F2049">
        <f t="shared" si="31"/>
        <v>136.62870000000001</v>
      </c>
      <c r="G2049" t="s">
        <v>16</v>
      </c>
      <c r="J2049" t="str">
        <f>"05/05/2018 23:45"</f>
        <v>05/05/2018 23:45</v>
      </c>
    </row>
    <row r="2050" spans="1:10" x14ac:dyDescent="0.3">
      <c r="A2050" t="s">
        <v>6</v>
      </c>
      <c r="B2050" t="str">
        <f>"05/06/2018 00:00"</f>
        <v>05/06/2018 00:00</v>
      </c>
      <c r="C2050">
        <v>69.2</v>
      </c>
      <c r="D2050" t="s">
        <v>7</v>
      </c>
      <c r="E2050" s="2" t="s">
        <v>12</v>
      </c>
      <c r="F2050">
        <f t="shared" si="31"/>
        <v>137.2236</v>
      </c>
      <c r="G2050" t="s">
        <v>16</v>
      </c>
      <c r="J2050" t="str">
        <f>"05/06/2018 23:45"</f>
        <v>05/06/2018 23:45</v>
      </c>
    </row>
    <row r="2051" spans="1:10" x14ac:dyDescent="0.3">
      <c r="A2051" t="s">
        <v>6</v>
      </c>
      <c r="B2051" t="str">
        <f>"05/07/2018 00:00"</f>
        <v>05/07/2018 00:00</v>
      </c>
      <c r="C2051">
        <v>71.3</v>
      </c>
      <c r="D2051" t="s">
        <v>7</v>
      </c>
      <c r="E2051" s="2" t="s">
        <v>12</v>
      </c>
      <c r="F2051">
        <f t="shared" si="31"/>
        <v>141.3879</v>
      </c>
      <c r="G2051" t="s">
        <v>16</v>
      </c>
      <c r="J2051" t="str">
        <f>"05/07/2018 23:45"</f>
        <v>05/07/2018 23:45</v>
      </c>
    </row>
    <row r="2052" spans="1:10" x14ac:dyDescent="0.3">
      <c r="A2052" t="s">
        <v>6</v>
      </c>
      <c r="B2052" t="str">
        <f>"05/08/2018 00:00"</f>
        <v>05/08/2018 00:00</v>
      </c>
      <c r="C2052">
        <v>117</v>
      </c>
      <c r="D2052" t="s">
        <v>7</v>
      </c>
      <c r="E2052" s="2" t="s">
        <v>12</v>
      </c>
      <c r="F2052">
        <f t="shared" si="31"/>
        <v>232.01100000000002</v>
      </c>
      <c r="G2052" t="s">
        <v>16</v>
      </c>
      <c r="J2052" t="str">
        <f>"05/08/2018 23:45"</f>
        <v>05/08/2018 23:45</v>
      </c>
    </row>
    <row r="2053" spans="1:10" x14ac:dyDescent="0.3">
      <c r="A2053" t="s">
        <v>6</v>
      </c>
      <c r="B2053" t="str">
        <f>"05/09/2018 00:00"</f>
        <v>05/09/2018 00:00</v>
      </c>
      <c r="C2053">
        <v>151</v>
      </c>
      <c r="D2053" t="s">
        <v>7</v>
      </c>
      <c r="E2053" s="2" t="s">
        <v>12</v>
      </c>
      <c r="F2053">
        <f t="shared" si="31"/>
        <v>299.43299999999999</v>
      </c>
      <c r="G2053" t="s">
        <v>16</v>
      </c>
      <c r="J2053" t="str">
        <f>"05/09/2018 23:45"</f>
        <v>05/09/2018 23:45</v>
      </c>
    </row>
    <row r="2054" spans="1:10" x14ac:dyDescent="0.3">
      <c r="A2054" t="s">
        <v>6</v>
      </c>
      <c r="B2054" t="str">
        <f>"05/10/2018 00:00"</f>
        <v>05/10/2018 00:00</v>
      </c>
      <c r="C2054">
        <v>151</v>
      </c>
      <c r="D2054" t="s">
        <v>7</v>
      </c>
      <c r="E2054" s="2" t="s">
        <v>12</v>
      </c>
      <c r="F2054">
        <f t="shared" si="31"/>
        <v>299.43299999999999</v>
      </c>
      <c r="G2054" t="s">
        <v>16</v>
      </c>
      <c r="J2054" t="str">
        <f>"05/10/2018 23:45"</f>
        <v>05/10/2018 23:45</v>
      </c>
    </row>
    <row r="2055" spans="1:10" x14ac:dyDescent="0.3">
      <c r="A2055" t="s">
        <v>6</v>
      </c>
      <c r="B2055" t="str">
        <f>"05/11/2018 00:00"</f>
        <v>05/11/2018 00:00</v>
      </c>
      <c r="C2055">
        <v>151</v>
      </c>
      <c r="D2055" t="s">
        <v>7</v>
      </c>
      <c r="E2055" s="2" t="s">
        <v>12</v>
      </c>
      <c r="F2055">
        <f t="shared" si="31"/>
        <v>299.43299999999999</v>
      </c>
      <c r="G2055" t="s">
        <v>16</v>
      </c>
      <c r="J2055" t="str">
        <f>"05/11/2018 23:45"</f>
        <v>05/11/2018 23:45</v>
      </c>
    </row>
    <row r="2056" spans="1:10" x14ac:dyDescent="0.3">
      <c r="A2056" t="s">
        <v>6</v>
      </c>
      <c r="B2056" t="str">
        <f>"05/12/2018 00:00"</f>
        <v>05/12/2018 00:00</v>
      </c>
      <c r="C2056">
        <v>151</v>
      </c>
      <c r="D2056" t="s">
        <v>7</v>
      </c>
      <c r="E2056" s="2" t="s">
        <v>12</v>
      </c>
      <c r="F2056">
        <f t="shared" ref="F2056:F2119" si="32">C2056*1.983</f>
        <v>299.43299999999999</v>
      </c>
      <c r="G2056" t="s">
        <v>16</v>
      </c>
      <c r="J2056" t="str">
        <f>"05/12/2018 23:45"</f>
        <v>05/12/2018 23:45</v>
      </c>
    </row>
    <row r="2057" spans="1:10" x14ac:dyDescent="0.3">
      <c r="A2057" t="s">
        <v>6</v>
      </c>
      <c r="B2057" t="str">
        <f>"05/13/2018 00:00"</f>
        <v>05/13/2018 00:00</v>
      </c>
      <c r="C2057">
        <v>151</v>
      </c>
      <c r="D2057" t="s">
        <v>7</v>
      </c>
      <c r="E2057" s="2" t="s">
        <v>12</v>
      </c>
      <c r="F2057">
        <f t="shared" si="32"/>
        <v>299.43299999999999</v>
      </c>
      <c r="G2057" t="s">
        <v>16</v>
      </c>
      <c r="J2057" t="str">
        <f>"05/13/2018 23:45"</f>
        <v>05/13/2018 23:45</v>
      </c>
    </row>
    <row r="2058" spans="1:10" x14ac:dyDescent="0.3">
      <c r="A2058" t="s">
        <v>6</v>
      </c>
      <c r="B2058" t="str">
        <f>"05/14/2018 00:00"</f>
        <v>05/14/2018 00:00</v>
      </c>
      <c r="C2058">
        <v>139</v>
      </c>
      <c r="D2058" t="s">
        <v>7</v>
      </c>
      <c r="E2058" s="2" t="s">
        <v>12</v>
      </c>
      <c r="F2058">
        <f t="shared" si="32"/>
        <v>275.637</v>
      </c>
      <c r="G2058" t="s">
        <v>16</v>
      </c>
      <c r="J2058" t="str">
        <f>"05/14/2018 23:45"</f>
        <v>05/14/2018 23:45</v>
      </c>
    </row>
    <row r="2059" spans="1:10" x14ac:dyDescent="0.3">
      <c r="A2059" t="s">
        <v>6</v>
      </c>
      <c r="B2059" t="str">
        <f>"05/15/2018 00:00"</f>
        <v>05/15/2018 00:00</v>
      </c>
      <c r="C2059">
        <v>123</v>
      </c>
      <c r="D2059" t="s">
        <v>7</v>
      </c>
      <c r="E2059" s="2" t="s">
        <v>12</v>
      </c>
      <c r="F2059">
        <f t="shared" si="32"/>
        <v>243.90900000000002</v>
      </c>
      <c r="G2059" t="s">
        <v>16</v>
      </c>
      <c r="J2059" t="str">
        <f>"05/15/2018 23:45"</f>
        <v>05/15/2018 23:45</v>
      </c>
    </row>
    <row r="2060" spans="1:10" x14ac:dyDescent="0.3">
      <c r="A2060" t="s">
        <v>6</v>
      </c>
      <c r="B2060" t="str">
        <f>"05/16/2018 00:00"</f>
        <v>05/16/2018 00:00</v>
      </c>
      <c r="C2060">
        <v>87.3</v>
      </c>
      <c r="D2060" t="s">
        <v>7</v>
      </c>
      <c r="E2060" s="2" t="s">
        <v>12</v>
      </c>
      <c r="F2060">
        <f t="shared" si="32"/>
        <v>173.11590000000001</v>
      </c>
      <c r="G2060" t="s">
        <v>16</v>
      </c>
      <c r="J2060" t="str">
        <f>"05/16/2018 23:45"</f>
        <v>05/16/2018 23:45</v>
      </c>
    </row>
    <row r="2061" spans="1:10" x14ac:dyDescent="0.3">
      <c r="A2061" t="s">
        <v>6</v>
      </c>
      <c r="B2061" t="str">
        <f>"05/17/2018 00:00"</f>
        <v>05/17/2018 00:00</v>
      </c>
      <c r="C2061">
        <v>58.6</v>
      </c>
      <c r="D2061" t="s">
        <v>7</v>
      </c>
      <c r="E2061" s="2" t="s">
        <v>12</v>
      </c>
      <c r="F2061">
        <f t="shared" si="32"/>
        <v>116.20380000000002</v>
      </c>
      <c r="G2061" t="s">
        <v>16</v>
      </c>
      <c r="J2061" t="str">
        <f>"05/17/2018 23:45"</f>
        <v>05/17/2018 23:45</v>
      </c>
    </row>
    <row r="2062" spans="1:10" x14ac:dyDescent="0.3">
      <c r="A2062" t="s">
        <v>6</v>
      </c>
      <c r="B2062" t="str">
        <f>"05/18/2018 00:00"</f>
        <v>05/18/2018 00:00</v>
      </c>
      <c r="C2062">
        <v>101</v>
      </c>
      <c r="D2062" t="s">
        <v>7</v>
      </c>
      <c r="E2062" s="2" t="s">
        <v>12</v>
      </c>
      <c r="F2062">
        <f t="shared" si="32"/>
        <v>200.28300000000002</v>
      </c>
      <c r="G2062" t="s">
        <v>16</v>
      </c>
      <c r="J2062" t="str">
        <f>"05/18/2018 23:45"</f>
        <v>05/18/2018 23:45</v>
      </c>
    </row>
    <row r="2063" spans="1:10" x14ac:dyDescent="0.3">
      <c r="A2063" t="s">
        <v>6</v>
      </c>
      <c r="B2063" t="str">
        <f>"05/19/2018 00:00"</f>
        <v>05/19/2018 00:00</v>
      </c>
      <c r="C2063">
        <v>145</v>
      </c>
      <c r="D2063" t="s">
        <v>7</v>
      </c>
      <c r="E2063" s="2" t="s">
        <v>12</v>
      </c>
      <c r="F2063">
        <f t="shared" si="32"/>
        <v>287.53500000000003</v>
      </c>
      <c r="G2063" t="s">
        <v>16</v>
      </c>
      <c r="J2063" t="str">
        <f>"05/19/2018 23:45"</f>
        <v>05/19/2018 23:45</v>
      </c>
    </row>
    <row r="2064" spans="1:10" x14ac:dyDescent="0.3">
      <c r="A2064" t="s">
        <v>6</v>
      </c>
      <c r="B2064" t="str">
        <f>"05/20/2018 00:00"</f>
        <v>05/20/2018 00:00</v>
      </c>
      <c r="C2064">
        <v>145</v>
      </c>
      <c r="D2064" t="s">
        <v>7</v>
      </c>
      <c r="E2064" s="2" t="s">
        <v>12</v>
      </c>
      <c r="F2064">
        <f t="shared" si="32"/>
        <v>287.53500000000003</v>
      </c>
      <c r="G2064" t="s">
        <v>16</v>
      </c>
      <c r="J2064" t="str">
        <f>"05/20/2018 23:45"</f>
        <v>05/20/2018 23:45</v>
      </c>
    </row>
    <row r="2065" spans="1:10" x14ac:dyDescent="0.3">
      <c r="A2065" t="s">
        <v>6</v>
      </c>
      <c r="B2065" t="str">
        <f>"05/21/2018 00:00"</f>
        <v>05/21/2018 00:00</v>
      </c>
      <c r="C2065">
        <v>144</v>
      </c>
      <c r="D2065" t="s">
        <v>7</v>
      </c>
      <c r="E2065" s="2" t="s">
        <v>12</v>
      </c>
      <c r="F2065">
        <f t="shared" si="32"/>
        <v>285.55200000000002</v>
      </c>
      <c r="G2065" t="s">
        <v>16</v>
      </c>
      <c r="J2065" t="str">
        <f>"05/21/2018 23:45"</f>
        <v>05/21/2018 23:45</v>
      </c>
    </row>
    <row r="2066" spans="1:10" x14ac:dyDescent="0.3">
      <c r="A2066" t="s">
        <v>6</v>
      </c>
      <c r="B2066" t="str">
        <f>"05/22/2018 00:00"</f>
        <v>05/22/2018 00:00</v>
      </c>
      <c r="C2066">
        <v>220</v>
      </c>
      <c r="D2066" t="s">
        <v>7</v>
      </c>
      <c r="E2066" s="2" t="s">
        <v>12</v>
      </c>
      <c r="F2066">
        <f t="shared" si="32"/>
        <v>436.26000000000005</v>
      </c>
      <c r="G2066" t="s">
        <v>16</v>
      </c>
      <c r="J2066" t="str">
        <f>"05/22/2018 23:45"</f>
        <v>05/22/2018 23:45</v>
      </c>
    </row>
    <row r="2067" spans="1:10" x14ac:dyDescent="0.3">
      <c r="A2067" t="s">
        <v>6</v>
      </c>
      <c r="B2067" t="str">
        <f>"05/23/2018 00:00"</f>
        <v>05/23/2018 00:00</v>
      </c>
      <c r="C2067">
        <v>331</v>
      </c>
      <c r="D2067" t="s">
        <v>7</v>
      </c>
      <c r="E2067" s="2" t="s">
        <v>12</v>
      </c>
      <c r="F2067">
        <f t="shared" si="32"/>
        <v>656.37300000000005</v>
      </c>
      <c r="G2067" t="s">
        <v>16</v>
      </c>
      <c r="J2067" t="str">
        <f>"05/23/2018 23:45"</f>
        <v>05/23/2018 23:45</v>
      </c>
    </row>
    <row r="2068" spans="1:10" x14ac:dyDescent="0.3">
      <c r="A2068" t="s">
        <v>6</v>
      </c>
      <c r="B2068" t="str">
        <f>"05/24/2018 00:00"</f>
        <v>05/24/2018 00:00</v>
      </c>
      <c r="C2068">
        <v>367</v>
      </c>
      <c r="D2068" t="s">
        <v>7</v>
      </c>
      <c r="E2068" s="2" t="s">
        <v>12</v>
      </c>
      <c r="F2068">
        <f t="shared" si="32"/>
        <v>727.76100000000008</v>
      </c>
      <c r="G2068" t="s">
        <v>16</v>
      </c>
      <c r="J2068" t="str">
        <f>"05/24/2018 23:45"</f>
        <v>05/24/2018 23:45</v>
      </c>
    </row>
    <row r="2069" spans="1:10" x14ac:dyDescent="0.3">
      <c r="A2069" t="s">
        <v>6</v>
      </c>
      <c r="B2069" t="str">
        <f>"05/25/2018 00:00"</f>
        <v>05/25/2018 00:00</v>
      </c>
      <c r="C2069">
        <v>366</v>
      </c>
      <c r="D2069" t="s">
        <v>7</v>
      </c>
      <c r="E2069" s="2" t="s">
        <v>12</v>
      </c>
      <c r="F2069">
        <f t="shared" si="32"/>
        <v>725.77800000000002</v>
      </c>
      <c r="G2069" t="s">
        <v>16</v>
      </c>
      <c r="J2069" t="str">
        <f>"05/25/2018 23:45"</f>
        <v>05/25/2018 23:45</v>
      </c>
    </row>
    <row r="2070" spans="1:10" x14ac:dyDescent="0.3">
      <c r="A2070" t="s">
        <v>6</v>
      </c>
      <c r="B2070" t="str">
        <f>"05/26/2018 00:00"</f>
        <v>05/26/2018 00:00</v>
      </c>
      <c r="C2070">
        <v>366</v>
      </c>
      <c r="D2070" t="s">
        <v>7</v>
      </c>
      <c r="E2070" s="2" t="s">
        <v>12</v>
      </c>
      <c r="F2070">
        <f t="shared" si="32"/>
        <v>725.77800000000002</v>
      </c>
      <c r="G2070" t="s">
        <v>16</v>
      </c>
      <c r="J2070" t="str">
        <f>"05/26/2018 23:45"</f>
        <v>05/26/2018 23:45</v>
      </c>
    </row>
    <row r="2071" spans="1:10" x14ac:dyDescent="0.3">
      <c r="A2071" t="s">
        <v>6</v>
      </c>
      <c r="B2071" t="str">
        <f>"05/27/2018 00:00"</f>
        <v>05/27/2018 00:00</v>
      </c>
      <c r="C2071">
        <v>367</v>
      </c>
      <c r="D2071" t="s">
        <v>7</v>
      </c>
      <c r="E2071" s="2" t="s">
        <v>12</v>
      </c>
      <c r="F2071">
        <f t="shared" si="32"/>
        <v>727.76100000000008</v>
      </c>
      <c r="G2071" t="s">
        <v>16</v>
      </c>
      <c r="J2071" t="str">
        <f>"05/27/2018 23:45"</f>
        <v>05/27/2018 23:45</v>
      </c>
    </row>
    <row r="2072" spans="1:10" x14ac:dyDescent="0.3">
      <c r="A2072" t="s">
        <v>6</v>
      </c>
      <c r="B2072" t="str">
        <f>"05/28/2018 00:00"</f>
        <v>05/28/2018 00:00</v>
      </c>
      <c r="C2072">
        <v>367</v>
      </c>
      <c r="D2072" t="s">
        <v>7</v>
      </c>
      <c r="E2072" s="2" t="s">
        <v>12</v>
      </c>
      <c r="F2072">
        <f t="shared" si="32"/>
        <v>727.76100000000008</v>
      </c>
      <c r="G2072" t="s">
        <v>16</v>
      </c>
      <c r="J2072" t="str">
        <f>"05/28/2018 23:45"</f>
        <v>05/28/2018 23:45</v>
      </c>
    </row>
    <row r="2073" spans="1:10" x14ac:dyDescent="0.3">
      <c r="A2073" t="s">
        <v>6</v>
      </c>
      <c r="B2073" t="str">
        <f>"05/29/2018 00:00"</f>
        <v>05/29/2018 00:00</v>
      </c>
      <c r="C2073">
        <v>305</v>
      </c>
      <c r="D2073" t="s">
        <v>7</v>
      </c>
      <c r="E2073" s="2" t="s">
        <v>12</v>
      </c>
      <c r="F2073">
        <f t="shared" si="32"/>
        <v>604.81500000000005</v>
      </c>
      <c r="G2073" t="s">
        <v>16</v>
      </c>
      <c r="J2073" t="str">
        <f>"05/29/2018 23:45"</f>
        <v>05/29/2018 23:45</v>
      </c>
    </row>
    <row r="2074" spans="1:10" x14ac:dyDescent="0.3">
      <c r="A2074" t="s">
        <v>6</v>
      </c>
      <c r="B2074" t="str">
        <f>"05/30/2018 00:00"</f>
        <v>05/30/2018 00:00</v>
      </c>
      <c r="C2074">
        <v>282</v>
      </c>
      <c r="D2074" t="s">
        <v>7</v>
      </c>
      <c r="E2074" s="2" t="s">
        <v>12</v>
      </c>
      <c r="F2074">
        <f t="shared" si="32"/>
        <v>559.20600000000002</v>
      </c>
      <c r="G2074" t="s">
        <v>16</v>
      </c>
      <c r="J2074" t="str">
        <f>"05/30/2018 23:45"</f>
        <v>05/30/2018 23:45</v>
      </c>
    </row>
    <row r="2075" spans="1:10" x14ac:dyDescent="0.3">
      <c r="A2075" t="s">
        <v>6</v>
      </c>
      <c r="B2075" t="str">
        <f>"05/31/2018 00:00"</f>
        <v>05/31/2018 00:00</v>
      </c>
      <c r="C2075">
        <v>331</v>
      </c>
      <c r="D2075" t="s">
        <v>7</v>
      </c>
      <c r="E2075" s="2" t="s">
        <v>12</v>
      </c>
      <c r="F2075">
        <f t="shared" si="32"/>
        <v>656.37300000000005</v>
      </c>
      <c r="G2075" t="s">
        <v>16</v>
      </c>
      <c r="J2075" t="str">
        <f>"05/31/2018 23:45"</f>
        <v>05/31/2018 23:45</v>
      </c>
    </row>
    <row r="2076" spans="1:10" x14ac:dyDescent="0.3">
      <c r="A2076" t="s">
        <v>6</v>
      </c>
      <c r="B2076" t="str">
        <f>"06/01/2018 00:00"</f>
        <v>06/01/2018 00:00</v>
      </c>
      <c r="C2076">
        <v>348</v>
      </c>
      <c r="D2076" t="s">
        <v>7</v>
      </c>
      <c r="E2076" s="2" t="s">
        <v>12</v>
      </c>
      <c r="F2076">
        <f t="shared" si="32"/>
        <v>690.08400000000006</v>
      </c>
      <c r="G2076" t="s">
        <v>16</v>
      </c>
      <c r="J2076" t="str">
        <f>"06/01/2018 23:45"</f>
        <v>06/01/2018 23:45</v>
      </c>
    </row>
    <row r="2077" spans="1:10" x14ac:dyDescent="0.3">
      <c r="A2077" t="s">
        <v>6</v>
      </c>
      <c r="B2077" t="str">
        <f>"06/02/2018 00:00"</f>
        <v>06/02/2018 00:00</v>
      </c>
      <c r="C2077">
        <v>348</v>
      </c>
      <c r="D2077" t="s">
        <v>7</v>
      </c>
      <c r="E2077" s="2" t="s">
        <v>12</v>
      </c>
      <c r="F2077">
        <f t="shared" si="32"/>
        <v>690.08400000000006</v>
      </c>
      <c r="G2077" t="s">
        <v>16</v>
      </c>
      <c r="J2077" t="str">
        <f>"06/02/2018 23:45"</f>
        <v>06/02/2018 23:45</v>
      </c>
    </row>
    <row r="2078" spans="1:10" x14ac:dyDescent="0.3">
      <c r="A2078" t="s">
        <v>6</v>
      </c>
      <c r="B2078" t="str">
        <f>"06/03/2018 00:00"</f>
        <v>06/03/2018 00:00</v>
      </c>
      <c r="C2078">
        <v>348</v>
      </c>
      <c r="D2078" t="s">
        <v>7</v>
      </c>
      <c r="E2078" s="2" t="s">
        <v>12</v>
      </c>
      <c r="F2078">
        <f t="shared" si="32"/>
        <v>690.08400000000006</v>
      </c>
      <c r="G2078" t="s">
        <v>16</v>
      </c>
      <c r="J2078" t="str">
        <f>"06/03/2018 23:45"</f>
        <v>06/03/2018 23:45</v>
      </c>
    </row>
    <row r="2079" spans="1:10" x14ac:dyDescent="0.3">
      <c r="A2079" t="s">
        <v>6</v>
      </c>
      <c r="B2079" t="str">
        <f>"06/04/2018 00:00"</f>
        <v>06/04/2018 00:00</v>
      </c>
      <c r="C2079">
        <v>278</v>
      </c>
      <c r="D2079" t="s">
        <v>7</v>
      </c>
      <c r="E2079" s="2" t="s">
        <v>12</v>
      </c>
      <c r="F2079">
        <f t="shared" si="32"/>
        <v>551.274</v>
      </c>
      <c r="G2079" t="s">
        <v>16</v>
      </c>
      <c r="J2079" t="str">
        <f>"06/04/2018 23:45"</f>
        <v>06/04/2018 23:45</v>
      </c>
    </row>
    <row r="2080" spans="1:10" x14ac:dyDescent="0.3">
      <c r="A2080" t="s">
        <v>6</v>
      </c>
      <c r="B2080" t="str">
        <f>"06/05/2018 00:00"</f>
        <v>06/05/2018 00:00</v>
      </c>
      <c r="C2080">
        <v>275</v>
      </c>
      <c r="D2080" t="s">
        <v>7</v>
      </c>
      <c r="E2080" s="2" t="s">
        <v>12</v>
      </c>
      <c r="F2080">
        <f t="shared" si="32"/>
        <v>545.32500000000005</v>
      </c>
      <c r="G2080" t="s">
        <v>16</v>
      </c>
      <c r="J2080" t="str">
        <f>"06/05/2018 23:45"</f>
        <v>06/05/2018 23:45</v>
      </c>
    </row>
    <row r="2081" spans="1:10" x14ac:dyDescent="0.3">
      <c r="A2081" t="s">
        <v>6</v>
      </c>
      <c r="B2081" t="str">
        <f>"06/06/2018 00:00"</f>
        <v>06/06/2018 00:00</v>
      </c>
      <c r="C2081">
        <v>299</v>
      </c>
      <c r="D2081" t="s">
        <v>7</v>
      </c>
      <c r="E2081" s="2" t="s">
        <v>12</v>
      </c>
      <c r="F2081">
        <f t="shared" si="32"/>
        <v>592.91700000000003</v>
      </c>
      <c r="G2081" t="s">
        <v>16</v>
      </c>
      <c r="J2081" t="str">
        <f>"06/06/2018 23:45"</f>
        <v>06/06/2018 23:45</v>
      </c>
    </row>
    <row r="2082" spans="1:10" x14ac:dyDescent="0.3">
      <c r="A2082" t="s">
        <v>6</v>
      </c>
      <c r="B2082" t="str">
        <f>"06/07/2018 00:00"</f>
        <v>06/07/2018 00:00</v>
      </c>
      <c r="C2082">
        <v>299</v>
      </c>
      <c r="D2082" t="s">
        <v>7</v>
      </c>
      <c r="E2082" s="2" t="s">
        <v>12</v>
      </c>
      <c r="F2082">
        <f t="shared" si="32"/>
        <v>592.91700000000003</v>
      </c>
      <c r="G2082" t="s">
        <v>16</v>
      </c>
      <c r="J2082" t="str">
        <f>"06/07/2018 23:45"</f>
        <v>06/07/2018 23:45</v>
      </c>
    </row>
    <row r="2083" spans="1:10" x14ac:dyDescent="0.3">
      <c r="A2083" t="s">
        <v>6</v>
      </c>
      <c r="B2083" t="str">
        <f>"06/08/2018 00:00"</f>
        <v>06/08/2018 00:00</v>
      </c>
      <c r="C2083">
        <v>299</v>
      </c>
      <c r="D2083" t="s">
        <v>7</v>
      </c>
      <c r="E2083" s="2" t="s">
        <v>12</v>
      </c>
      <c r="F2083">
        <f t="shared" si="32"/>
        <v>592.91700000000003</v>
      </c>
      <c r="G2083" t="s">
        <v>16</v>
      </c>
      <c r="J2083" t="str">
        <f>"06/08/2018 23:45"</f>
        <v>06/08/2018 23:45</v>
      </c>
    </row>
    <row r="2084" spans="1:10" x14ac:dyDescent="0.3">
      <c r="A2084" t="s">
        <v>6</v>
      </c>
      <c r="B2084" t="str">
        <f>"06/09/2018 00:00"</f>
        <v>06/09/2018 00:00</v>
      </c>
      <c r="C2084">
        <v>299</v>
      </c>
      <c r="D2084" t="s">
        <v>7</v>
      </c>
      <c r="E2084" s="2" t="s">
        <v>12</v>
      </c>
      <c r="F2084">
        <f t="shared" si="32"/>
        <v>592.91700000000003</v>
      </c>
      <c r="G2084" t="s">
        <v>16</v>
      </c>
      <c r="J2084" t="str">
        <f>"06/09/2018 23:45"</f>
        <v>06/09/2018 23:45</v>
      </c>
    </row>
    <row r="2085" spans="1:10" x14ac:dyDescent="0.3">
      <c r="A2085" t="s">
        <v>6</v>
      </c>
      <c r="B2085" t="str">
        <f>"06/10/2018 00:00"</f>
        <v>06/10/2018 00:00</v>
      </c>
      <c r="C2085">
        <v>299</v>
      </c>
      <c r="D2085" t="s">
        <v>7</v>
      </c>
      <c r="E2085" s="2" t="s">
        <v>12</v>
      </c>
      <c r="F2085">
        <f t="shared" si="32"/>
        <v>592.91700000000003</v>
      </c>
      <c r="G2085" t="s">
        <v>16</v>
      </c>
      <c r="J2085" t="str">
        <f>"06/10/2018 23:45"</f>
        <v>06/10/2018 23:45</v>
      </c>
    </row>
    <row r="2086" spans="1:10" x14ac:dyDescent="0.3">
      <c r="A2086" t="s">
        <v>6</v>
      </c>
      <c r="B2086" t="str">
        <f>"06/11/2018 00:00"</f>
        <v>06/11/2018 00:00</v>
      </c>
      <c r="C2086">
        <v>299</v>
      </c>
      <c r="D2086" t="s">
        <v>7</v>
      </c>
      <c r="E2086" s="2" t="s">
        <v>12</v>
      </c>
      <c r="F2086">
        <f t="shared" si="32"/>
        <v>592.91700000000003</v>
      </c>
      <c r="G2086" t="s">
        <v>16</v>
      </c>
      <c r="J2086" t="str">
        <f>"06/11/2018 23:45"</f>
        <v>06/11/2018 23:45</v>
      </c>
    </row>
    <row r="2087" spans="1:10" x14ac:dyDescent="0.3">
      <c r="A2087" t="s">
        <v>6</v>
      </c>
      <c r="B2087" t="str">
        <f>"06/12/2018 00:00"</f>
        <v>06/12/2018 00:00</v>
      </c>
      <c r="C2087">
        <v>299</v>
      </c>
      <c r="D2087" t="s">
        <v>7</v>
      </c>
      <c r="E2087" s="2" t="s">
        <v>12</v>
      </c>
      <c r="F2087">
        <f t="shared" si="32"/>
        <v>592.91700000000003</v>
      </c>
      <c r="G2087" t="s">
        <v>16</v>
      </c>
      <c r="J2087" t="str">
        <f>"06/12/2018 23:45"</f>
        <v>06/12/2018 23:45</v>
      </c>
    </row>
    <row r="2088" spans="1:10" x14ac:dyDescent="0.3">
      <c r="A2088" t="s">
        <v>6</v>
      </c>
      <c r="B2088" t="str">
        <f>"06/13/2018 00:00"</f>
        <v>06/13/2018 00:00</v>
      </c>
      <c r="C2088">
        <v>299</v>
      </c>
      <c r="D2088" t="s">
        <v>7</v>
      </c>
      <c r="E2088" s="2" t="s">
        <v>12</v>
      </c>
      <c r="F2088">
        <f t="shared" si="32"/>
        <v>592.91700000000003</v>
      </c>
      <c r="G2088" t="s">
        <v>16</v>
      </c>
      <c r="J2088" t="str">
        <f>"06/13/2018 23:45"</f>
        <v>06/13/2018 23:45</v>
      </c>
    </row>
    <row r="2089" spans="1:10" x14ac:dyDescent="0.3">
      <c r="A2089" t="s">
        <v>6</v>
      </c>
      <c r="B2089" t="str">
        <f>"06/14/2018 00:00"</f>
        <v>06/14/2018 00:00</v>
      </c>
      <c r="C2089">
        <v>299</v>
      </c>
      <c r="D2089" t="s">
        <v>7</v>
      </c>
      <c r="E2089" s="2" t="s">
        <v>12</v>
      </c>
      <c r="F2089">
        <f t="shared" si="32"/>
        <v>592.91700000000003</v>
      </c>
      <c r="G2089" t="s">
        <v>16</v>
      </c>
      <c r="J2089" t="str">
        <f>"06/14/2018 23:45"</f>
        <v>06/14/2018 23:45</v>
      </c>
    </row>
    <row r="2090" spans="1:10" x14ac:dyDescent="0.3">
      <c r="A2090" t="s">
        <v>6</v>
      </c>
      <c r="B2090" t="str">
        <f>"06/15/2018 00:00"</f>
        <v>06/15/2018 00:00</v>
      </c>
      <c r="C2090">
        <v>299</v>
      </c>
      <c r="D2090" t="s">
        <v>7</v>
      </c>
      <c r="E2090" s="2" t="s">
        <v>12</v>
      </c>
      <c r="F2090">
        <f t="shared" si="32"/>
        <v>592.91700000000003</v>
      </c>
      <c r="G2090" t="s">
        <v>16</v>
      </c>
      <c r="J2090" t="str">
        <f>"06/15/2018 23:45"</f>
        <v>06/15/2018 23:45</v>
      </c>
    </row>
    <row r="2091" spans="1:10" x14ac:dyDescent="0.3">
      <c r="A2091" t="s">
        <v>6</v>
      </c>
      <c r="B2091" t="str">
        <f>"06/16/2018 00:00"</f>
        <v>06/16/2018 00:00</v>
      </c>
      <c r="C2091">
        <v>299</v>
      </c>
      <c r="D2091" t="s">
        <v>7</v>
      </c>
      <c r="E2091" s="2" t="s">
        <v>12</v>
      </c>
      <c r="F2091">
        <f t="shared" si="32"/>
        <v>592.91700000000003</v>
      </c>
      <c r="G2091" t="s">
        <v>16</v>
      </c>
      <c r="J2091" t="str">
        <f>"06/16/2018 23:45"</f>
        <v>06/16/2018 23:45</v>
      </c>
    </row>
    <row r="2092" spans="1:10" x14ac:dyDescent="0.3">
      <c r="A2092" t="s">
        <v>6</v>
      </c>
      <c r="B2092" t="str">
        <f>"06/17/2018 00:00"</f>
        <v>06/17/2018 00:00</v>
      </c>
      <c r="C2092">
        <v>300</v>
      </c>
      <c r="D2092" t="s">
        <v>7</v>
      </c>
      <c r="E2092" s="2" t="s">
        <v>12</v>
      </c>
      <c r="F2092">
        <f t="shared" si="32"/>
        <v>594.9</v>
      </c>
      <c r="G2092" t="s">
        <v>16</v>
      </c>
      <c r="J2092" t="str">
        <f>"06/17/2018 23:45"</f>
        <v>06/17/2018 23:45</v>
      </c>
    </row>
    <row r="2093" spans="1:10" x14ac:dyDescent="0.3">
      <c r="A2093" t="s">
        <v>6</v>
      </c>
      <c r="B2093" t="str">
        <f>"06/18/2018 00:00"</f>
        <v>06/18/2018 00:00</v>
      </c>
      <c r="C2093">
        <v>269</v>
      </c>
      <c r="D2093" t="s">
        <v>7</v>
      </c>
      <c r="E2093" s="2" t="s">
        <v>12</v>
      </c>
      <c r="F2093">
        <f t="shared" si="32"/>
        <v>533.42700000000002</v>
      </c>
      <c r="G2093" t="s">
        <v>16</v>
      </c>
      <c r="J2093" t="str">
        <f>"06/18/2018 23:45"</f>
        <v>06/18/2018 23:45</v>
      </c>
    </row>
    <row r="2094" spans="1:10" x14ac:dyDescent="0.3">
      <c r="A2094" t="s">
        <v>6</v>
      </c>
      <c r="B2094" t="str">
        <f>"06/19/2018 00:00"</f>
        <v>06/19/2018 00:00</v>
      </c>
      <c r="C2094">
        <v>251</v>
      </c>
      <c r="D2094" t="s">
        <v>7</v>
      </c>
      <c r="E2094" s="2" t="s">
        <v>12</v>
      </c>
      <c r="F2094">
        <f t="shared" si="32"/>
        <v>497.733</v>
      </c>
      <c r="G2094" t="s">
        <v>16</v>
      </c>
      <c r="J2094" t="str">
        <f>"06/19/2018 23:45"</f>
        <v>06/19/2018 23:45</v>
      </c>
    </row>
    <row r="2095" spans="1:10" x14ac:dyDescent="0.3">
      <c r="A2095" t="s">
        <v>6</v>
      </c>
      <c r="B2095" t="str">
        <f>"06/20/2018 00:00"</f>
        <v>06/20/2018 00:00</v>
      </c>
      <c r="C2095">
        <v>302</v>
      </c>
      <c r="D2095" t="s">
        <v>7</v>
      </c>
      <c r="E2095" s="2" t="s">
        <v>12</v>
      </c>
      <c r="F2095">
        <f t="shared" si="32"/>
        <v>598.86599999999999</v>
      </c>
      <c r="G2095" t="s">
        <v>16</v>
      </c>
      <c r="J2095" t="str">
        <f>"06/20/2018 23:45"</f>
        <v>06/20/2018 23:45</v>
      </c>
    </row>
    <row r="2096" spans="1:10" x14ac:dyDescent="0.3">
      <c r="A2096" t="s">
        <v>6</v>
      </c>
      <c r="B2096" t="str">
        <f>"06/21/2018 00:00"</f>
        <v>06/21/2018 00:00</v>
      </c>
      <c r="C2096">
        <v>313</v>
      </c>
      <c r="D2096" t="s">
        <v>7</v>
      </c>
      <c r="E2096" s="2" t="s">
        <v>12</v>
      </c>
      <c r="F2096">
        <f t="shared" si="32"/>
        <v>620.67899999999997</v>
      </c>
      <c r="G2096" t="s">
        <v>16</v>
      </c>
      <c r="J2096" t="str">
        <f>"06/21/2018 23:45"</f>
        <v>06/21/2018 23:45</v>
      </c>
    </row>
    <row r="2097" spans="1:10" x14ac:dyDescent="0.3">
      <c r="A2097" t="s">
        <v>6</v>
      </c>
      <c r="B2097" t="str">
        <f>"06/22/2018 00:00"</f>
        <v>06/22/2018 00:00</v>
      </c>
      <c r="C2097">
        <v>300</v>
      </c>
      <c r="D2097" t="s">
        <v>7</v>
      </c>
      <c r="E2097" s="2" t="s">
        <v>12</v>
      </c>
      <c r="F2097">
        <f t="shared" si="32"/>
        <v>594.9</v>
      </c>
      <c r="G2097" t="s">
        <v>16</v>
      </c>
      <c r="J2097" t="str">
        <f>"06/22/2018 23:45"</f>
        <v>06/22/2018 23:45</v>
      </c>
    </row>
    <row r="2098" spans="1:10" x14ac:dyDescent="0.3">
      <c r="A2098" t="s">
        <v>6</v>
      </c>
      <c r="B2098" t="str">
        <f>"06/23/2018 00:00"</f>
        <v>06/23/2018 00:00</v>
      </c>
      <c r="C2098">
        <v>300</v>
      </c>
      <c r="D2098" t="s">
        <v>7</v>
      </c>
      <c r="E2098" s="2" t="s">
        <v>12</v>
      </c>
      <c r="F2098">
        <f t="shared" si="32"/>
        <v>594.9</v>
      </c>
      <c r="G2098" t="s">
        <v>16</v>
      </c>
      <c r="J2098" t="str">
        <f>"06/23/2018 23:45"</f>
        <v>06/23/2018 23:45</v>
      </c>
    </row>
    <row r="2099" spans="1:10" x14ac:dyDescent="0.3">
      <c r="A2099" t="s">
        <v>6</v>
      </c>
      <c r="B2099" t="str">
        <f>"06/24/2018 00:00"</f>
        <v>06/24/2018 00:00</v>
      </c>
      <c r="C2099">
        <v>300</v>
      </c>
      <c r="D2099" t="s">
        <v>7</v>
      </c>
      <c r="E2099" s="2" t="s">
        <v>12</v>
      </c>
      <c r="F2099">
        <f t="shared" si="32"/>
        <v>594.9</v>
      </c>
      <c r="G2099" t="s">
        <v>16</v>
      </c>
      <c r="J2099" t="str">
        <f>"06/24/2018 23:45"</f>
        <v>06/24/2018 23:45</v>
      </c>
    </row>
    <row r="2100" spans="1:10" x14ac:dyDescent="0.3">
      <c r="A2100" t="s">
        <v>6</v>
      </c>
      <c r="B2100" t="str">
        <f>"06/25/2018 00:00"</f>
        <v>06/25/2018 00:00</v>
      </c>
      <c r="C2100">
        <v>300</v>
      </c>
      <c r="D2100" t="s">
        <v>7</v>
      </c>
      <c r="E2100" s="2" t="s">
        <v>12</v>
      </c>
      <c r="F2100">
        <f t="shared" si="32"/>
        <v>594.9</v>
      </c>
      <c r="G2100" t="s">
        <v>16</v>
      </c>
      <c r="J2100" t="str">
        <f>"06/25/2018 23:45"</f>
        <v>06/25/2018 23:45</v>
      </c>
    </row>
    <row r="2101" spans="1:10" x14ac:dyDescent="0.3">
      <c r="A2101" t="s">
        <v>6</v>
      </c>
      <c r="B2101" t="str">
        <f>"06/26/2018 00:00"</f>
        <v>06/26/2018 00:00</v>
      </c>
      <c r="C2101">
        <v>300</v>
      </c>
      <c r="D2101" t="s">
        <v>7</v>
      </c>
      <c r="E2101" s="2" t="s">
        <v>12</v>
      </c>
      <c r="F2101">
        <f t="shared" si="32"/>
        <v>594.9</v>
      </c>
      <c r="G2101" t="s">
        <v>16</v>
      </c>
      <c r="J2101" t="str">
        <f>"06/26/2018 23:45"</f>
        <v>06/26/2018 23:45</v>
      </c>
    </row>
    <row r="2102" spans="1:10" x14ac:dyDescent="0.3">
      <c r="A2102" t="s">
        <v>6</v>
      </c>
      <c r="B2102" t="str">
        <f>"06/27/2018 00:00"</f>
        <v>06/27/2018 00:00</v>
      </c>
      <c r="C2102">
        <v>353</v>
      </c>
      <c r="D2102" t="s">
        <v>7</v>
      </c>
      <c r="E2102" s="2" t="s">
        <v>12</v>
      </c>
      <c r="F2102">
        <f t="shared" si="32"/>
        <v>699.99900000000002</v>
      </c>
      <c r="G2102" t="s">
        <v>16</v>
      </c>
      <c r="J2102" t="str">
        <f>"06/27/2018 23:45"</f>
        <v>06/27/2018 23:45</v>
      </c>
    </row>
    <row r="2103" spans="1:10" x14ac:dyDescent="0.3">
      <c r="A2103" t="s">
        <v>6</v>
      </c>
      <c r="B2103" t="str">
        <f>"06/28/2018 00:00"</f>
        <v>06/28/2018 00:00</v>
      </c>
      <c r="C2103">
        <v>398</v>
      </c>
      <c r="D2103" t="s">
        <v>7</v>
      </c>
      <c r="E2103" s="2" t="s">
        <v>12</v>
      </c>
      <c r="F2103">
        <f t="shared" si="32"/>
        <v>789.23400000000004</v>
      </c>
      <c r="G2103" t="s">
        <v>16</v>
      </c>
      <c r="J2103" t="str">
        <f>"06/28/2018 23:45"</f>
        <v>06/28/2018 23:45</v>
      </c>
    </row>
    <row r="2104" spans="1:10" x14ac:dyDescent="0.3">
      <c r="A2104" t="s">
        <v>6</v>
      </c>
      <c r="B2104" t="str">
        <f>"06/29/2018 00:00"</f>
        <v>06/29/2018 00:00</v>
      </c>
      <c r="C2104">
        <v>398</v>
      </c>
      <c r="D2104" t="s">
        <v>7</v>
      </c>
      <c r="E2104" s="2" t="s">
        <v>12</v>
      </c>
      <c r="F2104">
        <f t="shared" si="32"/>
        <v>789.23400000000004</v>
      </c>
      <c r="G2104" t="s">
        <v>16</v>
      </c>
      <c r="J2104" t="str">
        <f>"06/29/2018 23:45"</f>
        <v>06/29/2018 23:45</v>
      </c>
    </row>
    <row r="2105" spans="1:10" x14ac:dyDescent="0.3">
      <c r="A2105" t="s">
        <v>6</v>
      </c>
      <c r="B2105" t="str">
        <f>"06/30/2018 00:00"</f>
        <v>06/30/2018 00:00</v>
      </c>
      <c r="C2105">
        <v>398</v>
      </c>
      <c r="D2105" t="s">
        <v>7</v>
      </c>
      <c r="E2105" s="2" t="s">
        <v>12</v>
      </c>
      <c r="F2105">
        <f t="shared" si="32"/>
        <v>789.23400000000004</v>
      </c>
      <c r="G2105" t="s">
        <v>16</v>
      </c>
      <c r="J2105" t="str">
        <f>"06/30/2018 23:45"</f>
        <v>06/30/2018 23:45</v>
      </c>
    </row>
    <row r="2106" spans="1:10" x14ac:dyDescent="0.3">
      <c r="A2106" t="s">
        <v>6</v>
      </c>
      <c r="B2106" t="str">
        <f>"07/01/2018 00:00"</f>
        <v>07/01/2018 00:00</v>
      </c>
      <c r="C2106">
        <v>398</v>
      </c>
      <c r="D2106" t="s">
        <v>7</v>
      </c>
      <c r="E2106" s="2" t="s">
        <v>12</v>
      </c>
      <c r="F2106">
        <f t="shared" si="32"/>
        <v>789.23400000000004</v>
      </c>
      <c r="G2106" t="s">
        <v>16</v>
      </c>
      <c r="J2106" t="str">
        <f>"07/01/2018 23:45"</f>
        <v>07/01/2018 23:45</v>
      </c>
    </row>
    <row r="2107" spans="1:10" x14ac:dyDescent="0.3">
      <c r="A2107" t="s">
        <v>6</v>
      </c>
      <c r="B2107" t="str">
        <f>"07/02/2018 00:00"</f>
        <v>07/02/2018 00:00</v>
      </c>
      <c r="C2107">
        <v>356</v>
      </c>
      <c r="D2107" t="s">
        <v>7</v>
      </c>
      <c r="E2107" s="2" t="s">
        <v>12</v>
      </c>
      <c r="F2107">
        <f t="shared" si="32"/>
        <v>705.94799999999998</v>
      </c>
      <c r="G2107" t="s">
        <v>16</v>
      </c>
      <c r="J2107" t="str">
        <f>"07/02/2018 23:45"</f>
        <v>07/02/2018 23:45</v>
      </c>
    </row>
    <row r="2108" spans="1:10" x14ac:dyDescent="0.3">
      <c r="A2108" t="s">
        <v>6</v>
      </c>
      <c r="B2108" t="str">
        <f>"07/03/2018 00:00"</f>
        <v>07/03/2018 00:00</v>
      </c>
      <c r="C2108">
        <v>337</v>
      </c>
      <c r="D2108" t="s">
        <v>7</v>
      </c>
      <c r="E2108" s="2" t="s">
        <v>12</v>
      </c>
      <c r="F2108">
        <f t="shared" si="32"/>
        <v>668.27100000000007</v>
      </c>
      <c r="G2108" t="s">
        <v>16</v>
      </c>
      <c r="J2108" t="str">
        <f>"07/03/2018 23:45"</f>
        <v>07/03/2018 23:45</v>
      </c>
    </row>
    <row r="2109" spans="1:10" x14ac:dyDescent="0.3">
      <c r="A2109" t="s">
        <v>6</v>
      </c>
      <c r="B2109" t="str">
        <f>"07/04/2018 00:00"</f>
        <v>07/04/2018 00:00</v>
      </c>
      <c r="C2109">
        <v>354</v>
      </c>
      <c r="D2109" t="s">
        <v>7</v>
      </c>
      <c r="E2109" s="2" t="s">
        <v>12</v>
      </c>
      <c r="F2109">
        <f t="shared" si="32"/>
        <v>701.98200000000008</v>
      </c>
      <c r="G2109" t="s">
        <v>16</v>
      </c>
      <c r="J2109" t="str">
        <f>"07/04/2018 23:45"</f>
        <v>07/04/2018 23:45</v>
      </c>
    </row>
    <row r="2110" spans="1:10" x14ac:dyDescent="0.3">
      <c r="A2110" t="s">
        <v>6</v>
      </c>
      <c r="B2110" t="str">
        <f>"07/05/2018 00:00"</f>
        <v>07/05/2018 00:00</v>
      </c>
      <c r="C2110">
        <v>329</v>
      </c>
      <c r="D2110" t="s">
        <v>7</v>
      </c>
      <c r="E2110" s="2" t="s">
        <v>12</v>
      </c>
      <c r="F2110">
        <f t="shared" si="32"/>
        <v>652.40700000000004</v>
      </c>
      <c r="G2110" t="s">
        <v>16</v>
      </c>
      <c r="J2110" t="str">
        <f>"07/05/2018 23:45"</f>
        <v>07/05/2018 23:45</v>
      </c>
    </row>
    <row r="2111" spans="1:10" x14ac:dyDescent="0.3">
      <c r="A2111" t="s">
        <v>6</v>
      </c>
      <c r="B2111" t="str">
        <f>"07/06/2018 00:00"</f>
        <v>07/06/2018 00:00</v>
      </c>
      <c r="C2111">
        <v>299</v>
      </c>
      <c r="D2111" t="s">
        <v>7</v>
      </c>
      <c r="E2111" s="2" t="s">
        <v>12</v>
      </c>
      <c r="F2111">
        <f t="shared" si="32"/>
        <v>592.91700000000003</v>
      </c>
      <c r="G2111" t="s">
        <v>16</v>
      </c>
      <c r="J2111" t="str">
        <f>"07/06/2018 23:45"</f>
        <v>07/06/2018 23:45</v>
      </c>
    </row>
    <row r="2112" spans="1:10" x14ac:dyDescent="0.3">
      <c r="A2112" t="s">
        <v>6</v>
      </c>
      <c r="B2112" t="str">
        <f>"07/07/2018 00:00"</f>
        <v>07/07/2018 00:00</v>
      </c>
      <c r="C2112">
        <v>299</v>
      </c>
      <c r="D2112" t="s">
        <v>7</v>
      </c>
      <c r="E2112" s="2" t="s">
        <v>12</v>
      </c>
      <c r="F2112">
        <f t="shared" si="32"/>
        <v>592.91700000000003</v>
      </c>
      <c r="G2112" t="s">
        <v>16</v>
      </c>
      <c r="J2112" t="str">
        <f>"07/07/2018 23:45"</f>
        <v>07/07/2018 23:45</v>
      </c>
    </row>
    <row r="2113" spans="1:10" x14ac:dyDescent="0.3">
      <c r="A2113" t="s">
        <v>6</v>
      </c>
      <c r="B2113" t="str">
        <f>"07/08/2018 00:00"</f>
        <v>07/08/2018 00:00</v>
      </c>
      <c r="C2113">
        <v>299</v>
      </c>
      <c r="D2113" t="s">
        <v>7</v>
      </c>
      <c r="E2113" s="2" t="s">
        <v>12</v>
      </c>
      <c r="F2113">
        <f t="shared" si="32"/>
        <v>592.91700000000003</v>
      </c>
      <c r="G2113" t="s">
        <v>16</v>
      </c>
      <c r="J2113" t="str">
        <f>"07/08/2018 23:45"</f>
        <v>07/08/2018 23:45</v>
      </c>
    </row>
    <row r="2114" spans="1:10" x14ac:dyDescent="0.3">
      <c r="A2114" t="s">
        <v>6</v>
      </c>
      <c r="B2114" t="str">
        <f>"07/09/2018 00:00"</f>
        <v>07/09/2018 00:00</v>
      </c>
      <c r="C2114">
        <v>299</v>
      </c>
      <c r="D2114" t="s">
        <v>7</v>
      </c>
      <c r="E2114" s="2" t="s">
        <v>12</v>
      </c>
      <c r="F2114">
        <f t="shared" si="32"/>
        <v>592.91700000000003</v>
      </c>
      <c r="G2114" t="s">
        <v>16</v>
      </c>
      <c r="J2114" t="str">
        <f>"07/09/2018 23:45"</f>
        <v>07/09/2018 23:45</v>
      </c>
    </row>
    <row r="2115" spans="1:10" x14ac:dyDescent="0.3">
      <c r="A2115" t="s">
        <v>6</v>
      </c>
      <c r="B2115" t="str">
        <f>"07/10/2018 00:00"</f>
        <v>07/10/2018 00:00</v>
      </c>
      <c r="C2115">
        <v>299</v>
      </c>
      <c r="D2115" t="s">
        <v>7</v>
      </c>
      <c r="E2115" s="2" t="s">
        <v>12</v>
      </c>
      <c r="F2115">
        <f t="shared" si="32"/>
        <v>592.91700000000003</v>
      </c>
      <c r="G2115" t="s">
        <v>16</v>
      </c>
      <c r="J2115" t="str">
        <f>"07/10/2018 23:45"</f>
        <v>07/10/2018 23:45</v>
      </c>
    </row>
    <row r="2116" spans="1:10" x14ac:dyDescent="0.3">
      <c r="A2116" t="s">
        <v>6</v>
      </c>
      <c r="B2116" t="str">
        <f>"07/11/2018 00:00"</f>
        <v>07/11/2018 00:00</v>
      </c>
      <c r="C2116">
        <v>299</v>
      </c>
      <c r="D2116" t="s">
        <v>7</v>
      </c>
      <c r="E2116" s="2" t="s">
        <v>12</v>
      </c>
      <c r="F2116">
        <f t="shared" si="32"/>
        <v>592.91700000000003</v>
      </c>
      <c r="G2116" t="s">
        <v>16</v>
      </c>
      <c r="J2116" t="str">
        <f>"07/11/2018 23:45"</f>
        <v>07/11/2018 23:45</v>
      </c>
    </row>
    <row r="2117" spans="1:10" x14ac:dyDescent="0.3">
      <c r="A2117" t="s">
        <v>6</v>
      </c>
      <c r="B2117" t="str">
        <f>"07/12/2018 00:00"</f>
        <v>07/12/2018 00:00</v>
      </c>
      <c r="C2117">
        <v>298</v>
      </c>
      <c r="D2117" t="s">
        <v>7</v>
      </c>
      <c r="E2117" s="2" t="s">
        <v>12</v>
      </c>
      <c r="F2117">
        <f t="shared" si="32"/>
        <v>590.93400000000008</v>
      </c>
      <c r="G2117" t="s">
        <v>16</v>
      </c>
      <c r="J2117" t="str">
        <f>"07/12/2018 23:45"</f>
        <v>07/12/2018 23:45</v>
      </c>
    </row>
    <row r="2118" spans="1:10" x14ac:dyDescent="0.3">
      <c r="A2118" t="s">
        <v>6</v>
      </c>
      <c r="B2118" t="str">
        <f>"07/13/2018 00:00"</f>
        <v>07/13/2018 00:00</v>
      </c>
      <c r="C2118">
        <v>299</v>
      </c>
      <c r="D2118" t="s">
        <v>7</v>
      </c>
      <c r="E2118" s="2" t="s">
        <v>12</v>
      </c>
      <c r="F2118">
        <f t="shared" si="32"/>
        <v>592.91700000000003</v>
      </c>
      <c r="G2118" t="s">
        <v>16</v>
      </c>
      <c r="J2118" t="str">
        <f>"07/13/2018 23:45"</f>
        <v>07/13/2018 23:45</v>
      </c>
    </row>
    <row r="2119" spans="1:10" x14ac:dyDescent="0.3">
      <c r="A2119" t="s">
        <v>6</v>
      </c>
      <c r="B2119" t="str">
        <f>"07/14/2018 00:00"</f>
        <v>07/14/2018 00:00</v>
      </c>
      <c r="C2119">
        <v>300</v>
      </c>
      <c r="D2119" t="s">
        <v>7</v>
      </c>
      <c r="E2119" s="2" t="s">
        <v>12</v>
      </c>
      <c r="F2119">
        <f t="shared" si="32"/>
        <v>594.9</v>
      </c>
      <c r="G2119" t="s">
        <v>16</v>
      </c>
      <c r="J2119" t="str">
        <f>"07/14/2018 23:45"</f>
        <v>07/14/2018 23:45</v>
      </c>
    </row>
    <row r="2120" spans="1:10" x14ac:dyDescent="0.3">
      <c r="A2120" t="s">
        <v>6</v>
      </c>
      <c r="B2120" t="str">
        <f>"07/15/2018 00:00"</f>
        <v>07/15/2018 00:00</v>
      </c>
      <c r="C2120">
        <v>299</v>
      </c>
      <c r="D2120" t="s">
        <v>7</v>
      </c>
      <c r="E2120" s="2" t="s">
        <v>12</v>
      </c>
      <c r="F2120">
        <f t="shared" ref="F2120:F2183" si="33">C2120*1.983</f>
        <v>592.91700000000003</v>
      </c>
      <c r="G2120" t="s">
        <v>16</v>
      </c>
      <c r="J2120" t="str">
        <f>"07/15/2018 23:45"</f>
        <v>07/15/2018 23:45</v>
      </c>
    </row>
    <row r="2121" spans="1:10" x14ac:dyDescent="0.3">
      <c r="A2121" t="s">
        <v>6</v>
      </c>
      <c r="B2121" t="str">
        <f>"07/16/2018 00:00"</f>
        <v>07/16/2018 00:00</v>
      </c>
      <c r="C2121">
        <v>299</v>
      </c>
      <c r="D2121" t="s">
        <v>7</v>
      </c>
      <c r="E2121" s="2" t="s">
        <v>12</v>
      </c>
      <c r="F2121">
        <f t="shared" si="33"/>
        <v>592.91700000000003</v>
      </c>
      <c r="G2121" t="s">
        <v>16</v>
      </c>
      <c r="J2121" t="str">
        <f>"07/16/2018 23:45"</f>
        <v>07/16/2018 23:45</v>
      </c>
    </row>
    <row r="2122" spans="1:10" x14ac:dyDescent="0.3">
      <c r="A2122" t="s">
        <v>6</v>
      </c>
      <c r="B2122" t="str">
        <f>"07/17/2018 00:00"</f>
        <v>07/17/2018 00:00</v>
      </c>
      <c r="C2122">
        <v>299</v>
      </c>
      <c r="D2122" t="s">
        <v>7</v>
      </c>
      <c r="E2122" s="2" t="s">
        <v>12</v>
      </c>
      <c r="F2122">
        <f t="shared" si="33"/>
        <v>592.91700000000003</v>
      </c>
      <c r="G2122" t="s">
        <v>16</v>
      </c>
      <c r="J2122" t="str">
        <f>"07/17/2018 23:45"</f>
        <v>07/17/2018 23:45</v>
      </c>
    </row>
    <row r="2123" spans="1:10" x14ac:dyDescent="0.3">
      <c r="A2123" t="s">
        <v>6</v>
      </c>
      <c r="B2123" t="str">
        <f>"07/18/2018 00:00"</f>
        <v>07/18/2018 00:00</v>
      </c>
      <c r="C2123">
        <v>271</v>
      </c>
      <c r="D2123" t="s">
        <v>7</v>
      </c>
      <c r="E2123" s="2" t="s">
        <v>12</v>
      </c>
      <c r="F2123">
        <f t="shared" si="33"/>
        <v>537.39300000000003</v>
      </c>
      <c r="G2123" t="s">
        <v>16</v>
      </c>
      <c r="J2123" t="str">
        <f>"07/18/2018 23:45"</f>
        <v>07/18/2018 23:45</v>
      </c>
    </row>
    <row r="2124" spans="1:10" x14ac:dyDescent="0.3">
      <c r="A2124" t="s">
        <v>6</v>
      </c>
      <c r="B2124" t="str">
        <f>"07/19/2018 00:00"</f>
        <v>07/19/2018 00:00</v>
      </c>
      <c r="C2124">
        <v>221</v>
      </c>
      <c r="D2124" t="s">
        <v>7</v>
      </c>
      <c r="E2124" s="2" t="s">
        <v>12</v>
      </c>
      <c r="F2124">
        <f t="shared" si="33"/>
        <v>438.24299999999999</v>
      </c>
      <c r="G2124" t="s">
        <v>16</v>
      </c>
      <c r="J2124" t="str">
        <f>"07/19/2018 23:45"</f>
        <v>07/19/2018 23:45</v>
      </c>
    </row>
    <row r="2125" spans="1:10" x14ac:dyDescent="0.3">
      <c r="A2125" t="s">
        <v>6</v>
      </c>
      <c r="B2125" t="str">
        <f>"07/20/2018 00:00"</f>
        <v>07/20/2018 00:00</v>
      </c>
      <c r="C2125">
        <v>198</v>
      </c>
      <c r="D2125" t="s">
        <v>7</v>
      </c>
      <c r="E2125" s="2" t="s">
        <v>12</v>
      </c>
      <c r="F2125">
        <f t="shared" si="33"/>
        <v>392.63400000000001</v>
      </c>
      <c r="G2125" t="s">
        <v>16</v>
      </c>
      <c r="J2125" t="str">
        <f>"07/20/2018 23:45"</f>
        <v>07/20/2018 23:45</v>
      </c>
    </row>
    <row r="2126" spans="1:10" x14ac:dyDescent="0.3">
      <c r="A2126" t="s">
        <v>6</v>
      </c>
      <c r="B2126" t="str">
        <f>"07/21/2018 00:00"</f>
        <v>07/21/2018 00:00</v>
      </c>
      <c r="C2126">
        <v>198</v>
      </c>
      <c r="D2126" t="s">
        <v>7</v>
      </c>
      <c r="E2126" s="2" t="s">
        <v>12</v>
      </c>
      <c r="F2126">
        <f t="shared" si="33"/>
        <v>392.63400000000001</v>
      </c>
      <c r="G2126" t="s">
        <v>16</v>
      </c>
      <c r="J2126" t="str">
        <f>"07/21/2018 23:45"</f>
        <v>07/21/2018 23:45</v>
      </c>
    </row>
    <row r="2127" spans="1:10" x14ac:dyDescent="0.3">
      <c r="A2127" t="s">
        <v>6</v>
      </c>
      <c r="B2127" t="str">
        <f>"07/22/2018 00:00"</f>
        <v>07/22/2018 00:00</v>
      </c>
      <c r="C2127">
        <v>231</v>
      </c>
      <c r="D2127" t="s">
        <v>7</v>
      </c>
      <c r="E2127" s="2" t="s">
        <v>12</v>
      </c>
      <c r="F2127">
        <f t="shared" si="33"/>
        <v>458.07300000000004</v>
      </c>
      <c r="G2127" t="s">
        <v>16</v>
      </c>
      <c r="J2127" t="str">
        <f>"07/22/2018 23:45"</f>
        <v>07/22/2018 23:45</v>
      </c>
    </row>
    <row r="2128" spans="1:10" x14ac:dyDescent="0.3">
      <c r="A2128" t="s">
        <v>6</v>
      </c>
      <c r="B2128" t="str">
        <f>"07/23/2018 00:00"</f>
        <v>07/23/2018 00:00</v>
      </c>
      <c r="C2128">
        <v>251</v>
      </c>
      <c r="D2128" t="s">
        <v>7</v>
      </c>
      <c r="E2128" s="2" t="s">
        <v>12</v>
      </c>
      <c r="F2128">
        <f t="shared" si="33"/>
        <v>497.733</v>
      </c>
      <c r="G2128" t="s">
        <v>16</v>
      </c>
      <c r="J2128" t="str">
        <f>"07/23/2018 23:45"</f>
        <v>07/23/2018 23:45</v>
      </c>
    </row>
    <row r="2129" spans="1:10" x14ac:dyDescent="0.3">
      <c r="A2129" t="s">
        <v>6</v>
      </c>
      <c r="B2129" t="str">
        <f>"07/24/2018 00:00"</f>
        <v>07/24/2018 00:00</v>
      </c>
      <c r="C2129">
        <v>219</v>
      </c>
      <c r="D2129" t="s">
        <v>7</v>
      </c>
      <c r="E2129" s="2" t="s">
        <v>12</v>
      </c>
      <c r="F2129">
        <f t="shared" si="33"/>
        <v>434.27700000000004</v>
      </c>
      <c r="G2129" t="s">
        <v>16</v>
      </c>
      <c r="J2129" t="str">
        <f>"07/24/2018 23:45"</f>
        <v>07/24/2018 23:45</v>
      </c>
    </row>
    <row r="2130" spans="1:10" x14ac:dyDescent="0.3">
      <c r="A2130" t="s">
        <v>6</v>
      </c>
      <c r="B2130" t="str">
        <f>"07/25/2018 00:00"</f>
        <v>07/25/2018 00:00</v>
      </c>
      <c r="C2130">
        <v>160</v>
      </c>
      <c r="D2130" t="s">
        <v>7</v>
      </c>
      <c r="E2130" s="2" t="s">
        <v>12</v>
      </c>
      <c r="F2130">
        <f t="shared" si="33"/>
        <v>317.28000000000003</v>
      </c>
      <c r="G2130" t="s">
        <v>16</v>
      </c>
      <c r="J2130" t="str">
        <f>"07/25/2018 23:45"</f>
        <v>07/25/2018 23:45</v>
      </c>
    </row>
    <row r="2131" spans="1:10" x14ac:dyDescent="0.3">
      <c r="A2131" t="s">
        <v>6</v>
      </c>
      <c r="B2131" t="str">
        <f>"07/26/2018 00:00"</f>
        <v>07/26/2018 00:00</v>
      </c>
      <c r="C2131">
        <v>142</v>
      </c>
      <c r="D2131" t="s">
        <v>7</v>
      </c>
      <c r="E2131" s="2" t="s">
        <v>12</v>
      </c>
      <c r="F2131">
        <f t="shared" si="33"/>
        <v>281.58600000000001</v>
      </c>
      <c r="G2131" t="s">
        <v>16</v>
      </c>
      <c r="J2131" t="str">
        <f>"07/26/2018 23:45"</f>
        <v>07/26/2018 23:45</v>
      </c>
    </row>
    <row r="2132" spans="1:10" x14ac:dyDescent="0.3">
      <c r="A2132" t="s">
        <v>6</v>
      </c>
      <c r="B2132" t="str">
        <f>"07/27/2018 00:00"</f>
        <v>07/27/2018 00:00</v>
      </c>
      <c r="C2132">
        <v>141</v>
      </c>
      <c r="D2132" t="s">
        <v>7</v>
      </c>
      <c r="E2132" s="2" t="s">
        <v>12</v>
      </c>
      <c r="F2132">
        <f t="shared" si="33"/>
        <v>279.60300000000001</v>
      </c>
      <c r="G2132" t="s">
        <v>16</v>
      </c>
      <c r="J2132" t="str">
        <f>"07/27/2018 23:45"</f>
        <v>07/27/2018 23:45</v>
      </c>
    </row>
    <row r="2133" spans="1:10" x14ac:dyDescent="0.3">
      <c r="A2133" t="s">
        <v>6</v>
      </c>
      <c r="B2133" t="str">
        <f>"07/28/2018 00:00"</f>
        <v>07/28/2018 00:00</v>
      </c>
      <c r="C2133">
        <v>141</v>
      </c>
      <c r="D2133" t="s">
        <v>7</v>
      </c>
      <c r="E2133" s="2" t="s">
        <v>12</v>
      </c>
      <c r="F2133">
        <f t="shared" si="33"/>
        <v>279.60300000000001</v>
      </c>
      <c r="G2133" t="s">
        <v>16</v>
      </c>
      <c r="J2133" t="str">
        <f>"07/28/2018 23:45"</f>
        <v>07/28/2018 23:45</v>
      </c>
    </row>
    <row r="2134" spans="1:10" x14ac:dyDescent="0.3">
      <c r="A2134" t="s">
        <v>6</v>
      </c>
      <c r="B2134" t="str">
        <f>"07/29/2018 00:00"</f>
        <v>07/29/2018 00:00</v>
      </c>
      <c r="C2134">
        <v>170</v>
      </c>
      <c r="D2134" t="s">
        <v>7</v>
      </c>
      <c r="E2134" s="2" t="s">
        <v>12</v>
      </c>
      <c r="F2134">
        <f t="shared" si="33"/>
        <v>337.11</v>
      </c>
      <c r="G2134" t="s">
        <v>16</v>
      </c>
      <c r="J2134" t="str">
        <f>"07/29/2018 23:45"</f>
        <v>07/29/2018 23:45</v>
      </c>
    </row>
    <row r="2135" spans="1:10" x14ac:dyDescent="0.3">
      <c r="A2135" t="s">
        <v>6</v>
      </c>
      <c r="B2135" t="str">
        <f>"07/30/2018 00:00"</f>
        <v>07/30/2018 00:00</v>
      </c>
      <c r="C2135">
        <v>192</v>
      </c>
      <c r="D2135" t="s">
        <v>7</v>
      </c>
      <c r="E2135" s="2" t="s">
        <v>12</v>
      </c>
      <c r="F2135">
        <f t="shared" si="33"/>
        <v>380.73599999999999</v>
      </c>
      <c r="G2135" t="s">
        <v>16</v>
      </c>
      <c r="J2135" t="str">
        <f>"07/30/2018 23:45"</f>
        <v>07/30/2018 23:45</v>
      </c>
    </row>
    <row r="2136" spans="1:10" x14ac:dyDescent="0.3">
      <c r="A2136" t="s">
        <v>6</v>
      </c>
      <c r="B2136" t="str">
        <f>"07/31/2018 00:00"</f>
        <v>07/31/2018 00:00</v>
      </c>
      <c r="C2136">
        <v>252</v>
      </c>
      <c r="D2136" t="s">
        <v>7</v>
      </c>
      <c r="E2136" s="2" t="s">
        <v>12</v>
      </c>
      <c r="F2136">
        <f t="shared" si="33"/>
        <v>499.71600000000001</v>
      </c>
      <c r="G2136" t="s">
        <v>16</v>
      </c>
      <c r="J2136" t="str">
        <f>"07/31/2018 23:45"</f>
        <v>07/31/2018 23:45</v>
      </c>
    </row>
    <row r="2137" spans="1:10" x14ac:dyDescent="0.3">
      <c r="A2137" t="s">
        <v>6</v>
      </c>
      <c r="B2137" t="str">
        <f>"08/01/2018 00:00"</f>
        <v>08/01/2018 00:00</v>
      </c>
      <c r="C2137">
        <v>291</v>
      </c>
      <c r="D2137" t="s">
        <v>7</v>
      </c>
      <c r="E2137" s="2" t="s">
        <v>12</v>
      </c>
      <c r="F2137">
        <f t="shared" si="33"/>
        <v>577.053</v>
      </c>
      <c r="G2137" t="s">
        <v>16</v>
      </c>
      <c r="J2137" t="str">
        <f>"08/01/2018 23:45"</f>
        <v>08/01/2018 23:45</v>
      </c>
    </row>
    <row r="2138" spans="1:10" x14ac:dyDescent="0.3">
      <c r="A2138" t="s">
        <v>6</v>
      </c>
      <c r="B2138" t="str">
        <f>"08/02/2018 00:00"</f>
        <v>08/02/2018 00:00</v>
      </c>
      <c r="C2138">
        <v>291</v>
      </c>
      <c r="D2138" t="s">
        <v>7</v>
      </c>
      <c r="E2138" s="2" t="s">
        <v>12</v>
      </c>
      <c r="F2138">
        <f t="shared" si="33"/>
        <v>577.053</v>
      </c>
      <c r="G2138" t="s">
        <v>16</v>
      </c>
      <c r="J2138" t="str">
        <f>"08/02/2018 23:45"</f>
        <v>08/02/2018 23:45</v>
      </c>
    </row>
    <row r="2139" spans="1:10" x14ac:dyDescent="0.3">
      <c r="A2139" t="s">
        <v>6</v>
      </c>
      <c r="B2139" t="str">
        <f>"08/03/2018 00:00"</f>
        <v>08/03/2018 00:00</v>
      </c>
      <c r="C2139">
        <v>291</v>
      </c>
      <c r="D2139" t="s">
        <v>7</v>
      </c>
      <c r="E2139" s="2" t="s">
        <v>12</v>
      </c>
      <c r="F2139">
        <f t="shared" si="33"/>
        <v>577.053</v>
      </c>
      <c r="G2139" t="s">
        <v>16</v>
      </c>
      <c r="J2139" t="str">
        <f>"08/03/2018 23:45"</f>
        <v>08/03/2018 23:45</v>
      </c>
    </row>
    <row r="2140" spans="1:10" x14ac:dyDescent="0.3">
      <c r="A2140" t="s">
        <v>6</v>
      </c>
      <c r="B2140" t="str">
        <f>"08/04/2018 00:00"</f>
        <v>08/04/2018 00:00</v>
      </c>
      <c r="C2140">
        <v>291</v>
      </c>
      <c r="D2140" t="s">
        <v>7</v>
      </c>
      <c r="E2140" s="2" t="s">
        <v>12</v>
      </c>
      <c r="F2140">
        <f t="shared" si="33"/>
        <v>577.053</v>
      </c>
      <c r="G2140" t="s">
        <v>16</v>
      </c>
      <c r="J2140" t="str">
        <f>"08/04/2018 23:45"</f>
        <v>08/04/2018 23:45</v>
      </c>
    </row>
    <row r="2141" spans="1:10" x14ac:dyDescent="0.3">
      <c r="A2141" t="s">
        <v>6</v>
      </c>
      <c r="B2141" t="str">
        <f>"08/05/2018 00:00"</f>
        <v>08/05/2018 00:00</v>
      </c>
      <c r="C2141">
        <v>291</v>
      </c>
      <c r="D2141" t="s">
        <v>7</v>
      </c>
      <c r="E2141" s="2" t="s">
        <v>12</v>
      </c>
      <c r="F2141">
        <f t="shared" si="33"/>
        <v>577.053</v>
      </c>
      <c r="G2141" t="s">
        <v>16</v>
      </c>
      <c r="J2141" t="str">
        <f>"08/05/2018 23:45"</f>
        <v>08/05/2018 23:45</v>
      </c>
    </row>
    <row r="2142" spans="1:10" x14ac:dyDescent="0.3">
      <c r="A2142" t="s">
        <v>6</v>
      </c>
      <c r="B2142" t="str">
        <f>"08/06/2018 00:00"</f>
        <v>08/06/2018 00:00</v>
      </c>
      <c r="C2142">
        <v>260</v>
      </c>
      <c r="D2142" t="s">
        <v>7</v>
      </c>
      <c r="E2142" s="2" t="s">
        <v>12</v>
      </c>
      <c r="F2142">
        <f t="shared" si="33"/>
        <v>515.58000000000004</v>
      </c>
      <c r="G2142" t="s">
        <v>16</v>
      </c>
      <c r="J2142" t="str">
        <f>"08/06/2018 23:45"</f>
        <v>08/06/2018 23:45</v>
      </c>
    </row>
    <row r="2143" spans="1:10" x14ac:dyDescent="0.3">
      <c r="A2143" t="s">
        <v>6</v>
      </c>
      <c r="B2143" t="str">
        <f>"08/07/2018 00:00"</f>
        <v>08/07/2018 00:00</v>
      </c>
      <c r="C2143">
        <v>211</v>
      </c>
      <c r="D2143" t="s">
        <v>7</v>
      </c>
      <c r="E2143" s="2" t="s">
        <v>12</v>
      </c>
      <c r="F2143">
        <f t="shared" si="33"/>
        <v>418.41300000000001</v>
      </c>
      <c r="G2143" t="s">
        <v>16</v>
      </c>
      <c r="J2143" t="str">
        <f>"08/07/2018 23:45"</f>
        <v>08/07/2018 23:45</v>
      </c>
    </row>
    <row r="2144" spans="1:10" x14ac:dyDescent="0.3">
      <c r="A2144" t="s">
        <v>6</v>
      </c>
      <c r="B2144" t="str">
        <f>"08/08/2018 00:00"</f>
        <v>08/08/2018 00:00</v>
      </c>
      <c r="C2144">
        <v>190</v>
      </c>
      <c r="D2144" t="s">
        <v>7</v>
      </c>
      <c r="E2144" s="2" t="s">
        <v>12</v>
      </c>
      <c r="F2144">
        <f t="shared" si="33"/>
        <v>376.77000000000004</v>
      </c>
      <c r="G2144" t="s">
        <v>16</v>
      </c>
      <c r="J2144" t="str">
        <f>"08/08/2018 23:45"</f>
        <v>08/08/2018 23:45</v>
      </c>
    </row>
    <row r="2145" spans="1:10" x14ac:dyDescent="0.3">
      <c r="A2145" t="s">
        <v>6</v>
      </c>
      <c r="B2145" t="str">
        <f>"08/09/2018 00:00"</f>
        <v>08/09/2018 00:00</v>
      </c>
      <c r="C2145">
        <v>213</v>
      </c>
      <c r="D2145" t="s">
        <v>7</v>
      </c>
      <c r="E2145" s="2" t="s">
        <v>12</v>
      </c>
      <c r="F2145">
        <f t="shared" si="33"/>
        <v>422.37900000000002</v>
      </c>
      <c r="G2145" t="s">
        <v>16</v>
      </c>
      <c r="J2145" t="str">
        <f>"08/09/2018 23:45"</f>
        <v>08/09/2018 23:45</v>
      </c>
    </row>
    <row r="2146" spans="1:10" x14ac:dyDescent="0.3">
      <c r="A2146" t="s">
        <v>6</v>
      </c>
      <c r="B2146" t="str">
        <f>"08/10/2018 00:00"</f>
        <v>08/10/2018 00:00</v>
      </c>
      <c r="C2146">
        <v>238</v>
      </c>
      <c r="D2146" t="s">
        <v>7</v>
      </c>
      <c r="E2146" s="2" t="s">
        <v>12</v>
      </c>
      <c r="F2146">
        <f t="shared" si="33"/>
        <v>471.95400000000001</v>
      </c>
      <c r="G2146" t="s">
        <v>16</v>
      </c>
      <c r="J2146" t="str">
        <f>"08/10/2018 23:45"</f>
        <v>08/10/2018 23:45</v>
      </c>
    </row>
    <row r="2147" spans="1:10" x14ac:dyDescent="0.3">
      <c r="A2147" t="s">
        <v>6</v>
      </c>
      <c r="B2147" t="str">
        <f>"08/11/2018 00:00"</f>
        <v>08/11/2018 00:00</v>
      </c>
      <c r="C2147">
        <v>262</v>
      </c>
      <c r="D2147" t="s">
        <v>7</v>
      </c>
      <c r="E2147" s="2" t="s">
        <v>12</v>
      </c>
      <c r="F2147">
        <f t="shared" si="33"/>
        <v>519.54600000000005</v>
      </c>
      <c r="G2147" t="s">
        <v>16</v>
      </c>
      <c r="J2147" t="str">
        <f>"08/11/2018 23:45"</f>
        <v>08/11/2018 23:45</v>
      </c>
    </row>
    <row r="2148" spans="1:10" x14ac:dyDescent="0.3">
      <c r="A2148" t="s">
        <v>6</v>
      </c>
      <c r="B2148" t="str">
        <f>"08/12/2018 00:00"</f>
        <v>08/12/2018 00:00</v>
      </c>
      <c r="C2148">
        <v>279</v>
      </c>
      <c r="D2148" t="s">
        <v>7</v>
      </c>
      <c r="E2148" s="2" t="s">
        <v>12</v>
      </c>
      <c r="F2148">
        <f t="shared" si="33"/>
        <v>553.25700000000006</v>
      </c>
      <c r="G2148" t="s">
        <v>16</v>
      </c>
      <c r="J2148" t="str">
        <f>"08/12/2018 23:45"</f>
        <v>08/12/2018 23:45</v>
      </c>
    </row>
    <row r="2149" spans="1:10" x14ac:dyDescent="0.3">
      <c r="A2149" t="s">
        <v>6</v>
      </c>
      <c r="B2149" t="str">
        <f>"08/13/2018 00:00"</f>
        <v>08/13/2018 00:00</v>
      </c>
      <c r="C2149">
        <v>279</v>
      </c>
      <c r="D2149" t="s">
        <v>7</v>
      </c>
      <c r="E2149" s="2" t="s">
        <v>12</v>
      </c>
      <c r="F2149">
        <f t="shared" si="33"/>
        <v>553.25700000000006</v>
      </c>
      <c r="G2149" t="s">
        <v>16</v>
      </c>
      <c r="J2149" t="str">
        <f>"08/13/2018 23:45"</f>
        <v>08/13/2018 23:45</v>
      </c>
    </row>
    <row r="2150" spans="1:10" x14ac:dyDescent="0.3">
      <c r="A2150" t="s">
        <v>6</v>
      </c>
      <c r="B2150" t="str">
        <f>"08/14/2018 00:00"</f>
        <v>08/14/2018 00:00</v>
      </c>
      <c r="C2150">
        <v>279</v>
      </c>
      <c r="D2150" t="s">
        <v>7</v>
      </c>
      <c r="E2150" s="2" t="s">
        <v>12</v>
      </c>
      <c r="F2150">
        <f t="shared" si="33"/>
        <v>553.25700000000006</v>
      </c>
      <c r="G2150" t="s">
        <v>16</v>
      </c>
      <c r="J2150" t="str">
        <f>"08/14/2018 23:45"</f>
        <v>08/14/2018 23:45</v>
      </c>
    </row>
    <row r="2151" spans="1:10" x14ac:dyDescent="0.3">
      <c r="A2151" t="s">
        <v>6</v>
      </c>
      <c r="B2151" t="str">
        <f>"08/15/2018 00:00"</f>
        <v>08/15/2018 00:00</v>
      </c>
      <c r="C2151">
        <v>257</v>
      </c>
      <c r="D2151" t="s">
        <v>7</v>
      </c>
      <c r="E2151" s="2" t="s">
        <v>12</v>
      </c>
      <c r="F2151">
        <f t="shared" si="33"/>
        <v>509.63100000000003</v>
      </c>
      <c r="G2151" t="s">
        <v>16</v>
      </c>
      <c r="J2151" t="str">
        <f>"08/15/2018 23:45"</f>
        <v>08/15/2018 23:45</v>
      </c>
    </row>
    <row r="2152" spans="1:10" x14ac:dyDescent="0.3">
      <c r="A2152" t="s">
        <v>6</v>
      </c>
      <c r="B2152" t="str">
        <f>"08/16/2018 00:00"</f>
        <v>08/16/2018 00:00</v>
      </c>
      <c r="C2152">
        <v>220</v>
      </c>
      <c r="D2152" t="s">
        <v>7</v>
      </c>
      <c r="E2152" s="2" t="s">
        <v>12</v>
      </c>
      <c r="F2152">
        <f t="shared" si="33"/>
        <v>436.26000000000005</v>
      </c>
      <c r="G2152" t="s">
        <v>16</v>
      </c>
      <c r="J2152" t="str">
        <f>"08/16/2018 23:45"</f>
        <v>08/16/2018 23:45</v>
      </c>
    </row>
    <row r="2153" spans="1:10" x14ac:dyDescent="0.3">
      <c r="A2153" t="s">
        <v>6</v>
      </c>
      <c r="B2153" t="str">
        <f>"08/17/2018 00:00"</f>
        <v>08/17/2018 00:00</v>
      </c>
      <c r="C2153">
        <v>220</v>
      </c>
      <c r="D2153" t="s">
        <v>7</v>
      </c>
      <c r="E2153" s="2" t="s">
        <v>12</v>
      </c>
      <c r="F2153">
        <f t="shared" si="33"/>
        <v>436.26000000000005</v>
      </c>
      <c r="G2153" t="s">
        <v>16</v>
      </c>
      <c r="J2153" t="str">
        <f>"08/17/2018 23:45"</f>
        <v>08/17/2018 23:45</v>
      </c>
    </row>
    <row r="2154" spans="1:10" x14ac:dyDescent="0.3">
      <c r="A2154" t="s">
        <v>6</v>
      </c>
      <c r="B2154" t="str">
        <f>"08/18/2018 00:00"</f>
        <v>08/18/2018 00:00</v>
      </c>
      <c r="C2154">
        <v>218</v>
      </c>
      <c r="D2154" t="s">
        <v>7</v>
      </c>
      <c r="E2154" s="2" t="s">
        <v>12</v>
      </c>
      <c r="F2154">
        <f t="shared" si="33"/>
        <v>432.29400000000004</v>
      </c>
      <c r="G2154" t="s">
        <v>16</v>
      </c>
      <c r="J2154" t="str">
        <f>"08/18/2018 23:45"</f>
        <v>08/18/2018 23:45</v>
      </c>
    </row>
    <row r="2155" spans="1:10" x14ac:dyDescent="0.3">
      <c r="A2155" t="s">
        <v>6</v>
      </c>
      <c r="B2155" t="str">
        <f>"08/19/2018 00:00"</f>
        <v>08/19/2018 00:00</v>
      </c>
      <c r="C2155">
        <v>219</v>
      </c>
      <c r="D2155" t="s">
        <v>7</v>
      </c>
      <c r="E2155" s="2" t="s">
        <v>12</v>
      </c>
      <c r="F2155">
        <f t="shared" si="33"/>
        <v>434.27700000000004</v>
      </c>
      <c r="G2155" t="s">
        <v>16</v>
      </c>
      <c r="J2155" t="str">
        <f>"08/19/2018 23:45"</f>
        <v>08/19/2018 23:45</v>
      </c>
    </row>
    <row r="2156" spans="1:10" x14ac:dyDescent="0.3">
      <c r="A2156" t="s">
        <v>6</v>
      </c>
      <c r="B2156" t="str">
        <f>"08/20/2018 00:00"</f>
        <v>08/20/2018 00:00</v>
      </c>
      <c r="C2156">
        <v>220</v>
      </c>
      <c r="D2156" t="s">
        <v>7</v>
      </c>
      <c r="E2156" s="2" t="s">
        <v>12</v>
      </c>
      <c r="F2156">
        <f t="shared" si="33"/>
        <v>436.26000000000005</v>
      </c>
      <c r="G2156" t="s">
        <v>16</v>
      </c>
      <c r="J2156" t="str">
        <f>"08/20/2018 23:45"</f>
        <v>08/20/2018 23:45</v>
      </c>
    </row>
    <row r="2157" spans="1:10" x14ac:dyDescent="0.3">
      <c r="A2157" t="s">
        <v>6</v>
      </c>
      <c r="B2157" t="str">
        <f>"08/21/2018 00:00"</f>
        <v>08/21/2018 00:00</v>
      </c>
      <c r="C2157">
        <v>220</v>
      </c>
      <c r="D2157" t="s">
        <v>7</v>
      </c>
      <c r="E2157" s="2" t="s">
        <v>12</v>
      </c>
      <c r="F2157">
        <f t="shared" si="33"/>
        <v>436.26000000000005</v>
      </c>
      <c r="G2157" t="s">
        <v>16</v>
      </c>
      <c r="J2157" t="str">
        <f>"08/21/2018 23:45"</f>
        <v>08/21/2018 23:45</v>
      </c>
    </row>
    <row r="2158" spans="1:10" x14ac:dyDescent="0.3">
      <c r="A2158" t="s">
        <v>6</v>
      </c>
      <c r="B2158" t="str">
        <f>"08/22/2018 00:00"</f>
        <v>08/22/2018 00:00</v>
      </c>
      <c r="C2158">
        <v>220</v>
      </c>
      <c r="D2158" t="s">
        <v>7</v>
      </c>
      <c r="E2158" s="2" t="s">
        <v>12</v>
      </c>
      <c r="F2158">
        <f t="shared" si="33"/>
        <v>436.26000000000005</v>
      </c>
      <c r="G2158" t="s">
        <v>16</v>
      </c>
      <c r="J2158" t="str">
        <f>"08/22/2018 23:45"</f>
        <v>08/22/2018 23:45</v>
      </c>
    </row>
    <row r="2159" spans="1:10" x14ac:dyDescent="0.3">
      <c r="A2159" t="s">
        <v>6</v>
      </c>
      <c r="B2159" t="str">
        <f>"08/23/2018 00:00"</f>
        <v>08/23/2018 00:00</v>
      </c>
      <c r="C2159">
        <v>221</v>
      </c>
      <c r="D2159" t="s">
        <v>7</v>
      </c>
      <c r="E2159" s="2" t="s">
        <v>12</v>
      </c>
      <c r="F2159">
        <f t="shared" si="33"/>
        <v>438.24299999999999</v>
      </c>
      <c r="G2159" t="s">
        <v>16</v>
      </c>
      <c r="J2159" t="str">
        <f>"08/23/2018 23:45"</f>
        <v>08/23/2018 23:45</v>
      </c>
    </row>
    <row r="2160" spans="1:10" x14ac:dyDescent="0.3">
      <c r="A2160" t="s">
        <v>6</v>
      </c>
      <c r="B2160" t="str">
        <f>"08/24/2018 00:00"</f>
        <v>08/24/2018 00:00</v>
      </c>
      <c r="C2160">
        <v>269</v>
      </c>
      <c r="D2160" t="s">
        <v>7</v>
      </c>
      <c r="E2160" s="2" t="s">
        <v>12</v>
      </c>
      <c r="F2160">
        <f t="shared" si="33"/>
        <v>533.42700000000002</v>
      </c>
      <c r="G2160" t="s">
        <v>16</v>
      </c>
      <c r="J2160" t="str">
        <f>"08/24/2018 23:45"</f>
        <v>08/24/2018 23:45</v>
      </c>
    </row>
    <row r="2161" spans="1:10" x14ac:dyDescent="0.3">
      <c r="A2161" t="s">
        <v>6</v>
      </c>
      <c r="B2161" t="str">
        <f>"08/25/2018 00:00"</f>
        <v>08/25/2018 00:00</v>
      </c>
      <c r="C2161">
        <v>301</v>
      </c>
      <c r="D2161" t="s">
        <v>7</v>
      </c>
      <c r="E2161" s="2" t="s">
        <v>12</v>
      </c>
      <c r="F2161">
        <f t="shared" si="33"/>
        <v>596.88300000000004</v>
      </c>
      <c r="G2161" t="s">
        <v>16</v>
      </c>
      <c r="J2161" t="str">
        <f>"08/25/2018 23:45"</f>
        <v>08/25/2018 23:45</v>
      </c>
    </row>
    <row r="2162" spans="1:10" x14ac:dyDescent="0.3">
      <c r="A2162" t="s">
        <v>6</v>
      </c>
      <c r="B2162" t="str">
        <f>"08/26/2018 00:00"</f>
        <v>08/26/2018 00:00</v>
      </c>
      <c r="C2162">
        <v>301</v>
      </c>
      <c r="D2162" t="s">
        <v>7</v>
      </c>
      <c r="E2162" s="2" t="s">
        <v>12</v>
      </c>
      <c r="F2162">
        <f t="shared" si="33"/>
        <v>596.88300000000004</v>
      </c>
      <c r="G2162" t="s">
        <v>16</v>
      </c>
      <c r="J2162" t="str">
        <f>"08/26/2018 23:45"</f>
        <v>08/26/2018 23:45</v>
      </c>
    </row>
    <row r="2163" spans="1:10" x14ac:dyDescent="0.3">
      <c r="A2163" t="s">
        <v>6</v>
      </c>
      <c r="B2163" t="str">
        <f>"08/27/2018 00:00"</f>
        <v>08/27/2018 00:00</v>
      </c>
      <c r="C2163">
        <v>301</v>
      </c>
      <c r="D2163" t="s">
        <v>7</v>
      </c>
      <c r="E2163" s="2" t="s">
        <v>12</v>
      </c>
      <c r="F2163">
        <f t="shared" si="33"/>
        <v>596.88300000000004</v>
      </c>
      <c r="G2163" t="s">
        <v>16</v>
      </c>
      <c r="J2163" t="str">
        <f>"08/27/2018 23:45"</f>
        <v>08/27/2018 23:45</v>
      </c>
    </row>
    <row r="2164" spans="1:10" x14ac:dyDescent="0.3">
      <c r="A2164" t="s">
        <v>6</v>
      </c>
      <c r="B2164" t="str">
        <f>"08/28/2018 00:00"</f>
        <v>08/28/2018 00:00</v>
      </c>
      <c r="C2164">
        <v>301</v>
      </c>
      <c r="D2164" t="s">
        <v>7</v>
      </c>
      <c r="E2164" s="2" t="s">
        <v>12</v>
      </c>
      <c r="F2164">
        <f t="shared" si="33"/>
        <v>596.88300000000004</v>
      </c>
      <c r="G2164" t="s">
        <v>16</v>
      </c>
      <c r="J2164" t="str">
        <f>"08/28/2018 23:45"</f>
        <v>08/28/2018 23:45</v>
      </c>
    </row>
    <row r="2165" spans="1:10" x14ac:dyDescent="0.3">
      <c r="A2165" t="s">
        <v>6</v>
      </c>
      <c r="B2165" t="str">
        <f>"08/29/2018 00:00"</f>
        <v>08/29/2018 00:00</v>
      </c>
      <c r="C2165">
        <v>301</v>
      </c>
      <c r="D2165" t="s">
        <v>7</v>
      </c>
      <c r="E2165" s="2" t="s">
        <v>12</v>
      </c>
      <c r="F2165">
        <f t="shared" si="33"/>
        <v>596.88300000000004</v>
      </c>
      <c r="G2165" t="s">
        <v>16</v>
      </c>
      <c r="J2165" t="str">
        <f>"08/29/2018 23:45"</f>
        <v>08/29/2018 23:45</v>
      </c>
    </row>
    <row r="2166" spans="1:10" x14ac:dyDescent="0.3">
      <c r="A2166" t="s">
        <v>6</v>
      </c>
      <c r="B2166" t="str">
        <f>"08/30/2018 00:00"</f>
        <v>08/30/2018 00:00</v>
      </c>
      <c r="C2166">
        <v>301</v>
      </c>
      <c r="D2166" t="s">
        <v>7</v>
      </c>
      <c r="E2166" s="2" t="s">
        <v>12</v>
      </c>
      <c r="F2166">
        <f t="shared" si="33"/>
        <v>596.88300000000004</v>
      </c>
      <c r="G2166" t="s">
        <v>16</v>
      </c>
      <c r="J2166" t="str">
        <f>"08/30/2018 23:45"</f>
        <v>08/30/2018 23:45</v>
      </c>
    </row>
    <row r="2167" spans="1:10" x14ac:dyDescent="0.3">
      <c r="A2167" t="s">
        <v>6</v>
      </c>
      <c r="B2167" t="str">
        <f>"08/31/2018 00:00"</f>
        <v>08/31/2018 00:00</v>
      </c>
      <c r="C2167">
        <v>301</v>
      </c>
      <c r="D2167" t="s">
        <v>7</v>
      </c>
      <c r="E2167" s="2" t="s">
        <v>12</v>
      </c>
      <c r="F2167">
        <f t="shared" si="33"/>
        <v>596.88300000000004</v>
      </c>
      <c r="G2167" t="s">
        <v>16</v>
      </c>
      <c r="J2167" t="str">
        <f>"08/31/2018 23:45"</f>
        <v>08/31/2018 23:45</v>
      </c>
    </row>
    <row r="2168" spans="1:10" x14ac:dyDescent="0.3">
      <c r="A2168" t="s">
        <v>6</v>
      </c>
      <c r="B2168" t="str">
        <f>"09/01/2018 00:00"</f>
        <v>09/01/2018 00:00</v>
      </c>
      <c r="C2168">
        <v>300</v>
      </c>
      <c r="D2168" t="s">
        <v>7</v>
      </c>
      <c r="E2168" s="2" t="s">
        <v>12</v>
      </c>
      <c r="F2168">
        <f t="shared" si="33"/>
        <v>594.9</v>
      </c>
      <c r="G2168" t="s">
        <v>16</v>
      </c>
      <c r="J2168" t="str">
        <f>"09/01/2018 23:45"</f>
        <v>09/01/2018 23:45</v>
      </c>
    </row>
    <row r="2169" spans="1:10" x14ac:dyDescent="0.3">
      <c r="A2169" t="s">
        <v>6</v>
      </c>
      <c r="B2169" t="str">
        <f>"09/02/2018 00:00"</f>
        <v>09/02/2018 00:00</v>
      </c>
      <c r="C2169">
        <v>300</v>
      </c>
      <c r="D2169" t="s">
        <v>7</v>
      </c>
      <c r="E2169" s="2" t="s">
        <v>12</v>
      </c>
      <c r="F2169">
        <f t="shared" si="33"/>
        <v>594.9</v>
      </c>
      <c r="G2169" t="s">
        <v>16</v>
      </c>
      <c r="J2169" t="str">
        <f>"09/02/2018 23:45"</f>
        <v>09/02/2018 23:45</v>
      </c>
    </row>
    <row r="2170" spans="1:10" x14ac:dyDescent="0.3">
      <c r="A2170" t="s">
        <v>6</v>
      </c>
      <c r="B2170" t="str">
        <f>"09/03/2018 00:00"</f>
        <v>09/03/2018 00:00</v>
      </c>
      <c r="C2170">
        <v>271</v>
      </c>
      <c r="D2170" t="s">
        <v>7</v>
      </c>
      <c r="E2170" s="2" t="s">
        <v>12</v>
      </c>
      <c r="F2170">
        <f t="shared" si="33"/>
        <v>537.39300000000003</v>
      </c>
      <c r="G2170" t="s">
        <v>16</v>
      </c>
      <c r="J2170" t="str">
        <f>"09/03/2018 23:45"</f>
        <v>09/03/2018 23:45</v>
      </c>
    </row>
    <row r="2171" spans="1:10" x14ac:dyDescent="0.3">
      <c r="A2171" t="s">
        <v>6</v>
      </c>
      <c r="B2171" t="str">
        <f>"09/04/2018 00:00"</f>
        <v>09/04/2018 00:00</v>
      </c>
      <c r="C2171">
        <v>251</v>
      </c>
      <c r="D2171" t="s">
        <v>7</v>
      </c>
      <c r="E2171" s="2" t="s">
        <v>12</v>
      </c>
      <c r="F2171">
        <f t="shared" si="33"/>
        <v>497.733</v>
      </c>
      <c r="G2171" t="s">
        <v>16</v>
      </c>
      <c r="J2171" t="str">
        <f>"09/04/2018 23:45"</f>
        <v>09/04/2018 23:45</v>
      </c>
    </row>
    <row r="2172" spans="1:10" x14ac:dyDescent="0.3">
      <c r="A2172" t="s">
        <v>6</v>
      </c>
      <c r="B2172" t="str">
        <f>"09/05/2018 00:00"</f>
        <v>09/05/2018 00:00</v>
      </c>
      <c r="C2172">
        <v>280</v>
      </c>
      <c r="D2172" t="s">
        <v>7</v>
      </c>
      <c r="E2172" s="2" t="s">
        <v>12</v>
      </c>
      <c r="F2172">
        <f t="shared" si="33"/>
        <v>555.24</v>
      </c>
      <c r="G2172" t="s">
        <v>16</v>
      </c>
      <c r="J2172" t="str">
        <f>"09/05/2018 23:45"</f>
        <v>09/05/2018 23:45</v>
      </c>
    </row>
    <row r="2173" spans="1:10" x14ac:dyDescent="0.3">
      <c r="A2173" t="s">
        <v>6</v>
      </c>
      <c r="B2173" t="str">
        <f>"09/06/2018 00:00"</f>
        <v>09/06/2018 00:00</v>
      </c>
      <c r="C2173">
        <v>298</v>
      </c>
      <c r="D2173" t="s">
        <v>7</v>
      </c>
      <c r="E2173" s="2" t="s">
        <v>12</v>
      </c>
      <c r="F2173">
        <f t="shared" si="33"/>
        <v>590.93400000000008</v>
      </c>
      <c r="G2173" t="s">
        <v>16</v>
      </c>
      <c r="J2173" t="str">
        <f>"09/06/2018 23:45"</f>
        <v>09/06/2018 23:45</v>
      </c>
    </row>
    <row r="2174" spans="1:10" x14ac:dyDescent="0.3">
      <c r="A2174" t="s">
        <v>6</v>
      </c>
      <c r="B2174" t="str">
        <f>"09/07/2018 00:00"</f>
        <v>09/07/2018 00:00</v>
      </c>
      <c r="C2174">
        <v>252</v>
      </c>
      <c r="D2174" t="s">
        <v>7</v>
      </c>
      <c r="E2174" s="2" t="s">
        <v>12</v>
      </c>
      <c r="F2174">
        <f t="shared" si="33"/>
        <v>499.71600000000001</v>
      </c>
      <c r="G2174" t="s">
        <v>16</v>
      </c>
      <c r="J2174" t="str">
        <f>"09/07/2018 23:45"</f>
        <v>09/07/2018 23:45</v>
      </c>
    </row>
    <row r="2175" spans="1:10" x14ac:dyDescent="0.3">
      <c r="A2175" t="s">
        <v>6</v>
      </c>
      <c r="B2175" t="str">
        <f>"09/08/2018 00:00"</f>
        <v>09/08/2018 00:00</v>
      </c>
      <c r="C2175">
        <v>218</v>
      </c>
      <c r="D2175" t="s">
        <v>7</v>
      </c>
      <c r="E2175" s="2" t="s">
        <v>12</v>
      </c>
      <c r="F2175">
        <f t="shared" si="33"/>
        <v>432.29400000000004</v>
      </c>
      <c r="G2175" t="s">
        <v>16</v>
      </c>
      <c r="J2175" t="str">
        <f>"09/08/2018 23:45"</f>
        <v>09/08/2018 23:45</v>
      </c>
    </row>
    <row r="2176" spans="1:10" x14ac:dyDescent="0.3">
      <c r="A2176" t="s">
        <v>6</v>
      </c>
      <c r="B2176" t="str">
        <f>"09/09/2018 00:00"</f>
        <v>09/09/2018 00:00</v>
      </c>
      <c r="C2176">
        <v>280</v>
      </c>
      <c r="D2176" t="s">
        <v>7</v>
      </c>
      <c r="E2176" s="2" t="s">
        <v>12</v>
      </c>
      <c r="F2176">
        <f t="shared" si="33"/>
        <v>555.24</v>
      </c>
      <c r="G2176" t="s">
        <v>16</v>
      </c>
      <c r="J2176" t="str">
        <f>"09/09/2018 23:45"</f>
        <v>09/09/2018 23:45</v>
      </c>
    </row>
    <row r="2177" spans="1:10" x14ac:dyDescent="0.3">
      <c r="A2177" t="s">
        <v>6</v>
      </c>
      <c r="B2177" t="str">
        <f>"09/10/2018 00:00"</f>
        <v>09/10/2018 00:00</v>
      </c>
      <c r="C2177">
        <v>363</v>
      </c>
      <c r="D2177" t="s">
        <v>7</v>
      </c>
      <c r="E2177" s="2" t="s">
        <v>12</v>
      </c>
      <c r="F2177">
        <f t="shared" si="33"/>
        <v>719.82900000000006</v>
      </c>
      <c r="G2177" t="s">
        <v>16</v>
      </c>
      <c r="J2177" t="str">
        <f>"09/10/2018 23:45"</f>
        <v>09/10/2018 23:45</v>
      </c>
    </row>
    <row r="2178" spans="1:10" x14ac:dyDescent="0.3">
      <c r="A2178" t="s">
        <v>6</v>
      </c>
      <c r="B2178" t="str">
        <f>"09/11/2018 00:00"</f>
        <v>09/11/2018 00:00</v>
      </c>
      <c r="C2178">
        <v>414</v>
      </c>
      <c r="D2178" t="s">
        <v>7</v>
      </c>
      <c r="E2178" s="2" t="s">
        <v>12</v>
      </c>
      <c r="F2178">
        <f t="shared" si="33"/>
        <v>820.96199999999999</v>
      </c>
      <c r="G2178" t="s">
        <v>16</v>
      </c>
      <c r="J2178" t="str">
        <f>"09/11/2018 23:45"</f>
        <v>09/11/2018 23:45</v>
      </c>
    </row>
    <row r="2179" spans="1:10" x14ac:dyDescent="0.3">
      <c r="A2179" t="s">
        <v>6</v>
      </c>
      <c r="B2179" t="str">
        <f>"09/12/2018 00:00"</f>
        <v>09/12/2018 00:00</v>
      </c>
      <c r="C2179">
        <v>440</v>
      </c>
      <c r="D2179" t="s">
        <v>7</v>
      </c>
      <c r="E2179" s="2" t="s">
        <v>12</v>
      </c>
      <c r="F2179">
        <f t="shared" si="33"/>
        <v>872.5200000000001</v>
      </c>
      <c r="G2179" t="s">
        <v>16</v>
      </c>
      <c r="J2179" t="str">
        <f>"09/12/2018 23:45"</f>
        <v>09/12/2018 23:45</v>
      </c>
    </row>
    <row r="2180" spans="1:10" x14ac:dyDescent="0.3">
      <c r="A2180" t="s">
        <v>6</v>
      </c>
      <c r="B2180" t="str">
        <f>"09/13/2018 00:00"</f>
        <v>09/13/2018 00:00</v>
      </c>
      <c r="C2180">
        <v>476</v>
      </c>
      <c r="D2180" t="s">
        <v>7</v>
      </c>
      <c r="E2180" s="2" t="s">
        <v>12</v>
      </c>
      <c r="F2180">
        <f t="shared" si="33"/>
        <v>943.90800000000002</v>
      </c>
      <c r="G2180" t="s">
        <v>16</v>
      </c>
      <c r="J2180" t="str">
        <f>"09/13/2018 23:45"</f>
        <v>09/13/2018 23:45</v>
      </c>
    </row>
    <row r="2181" spans="1:10" x14ac:dyDescent="0.3">
      <c r="A2181" t="s">
        <v>6</v>
      </c>
      <c r="B2181" t="str">
        <f>"09/14/2018 00:00"</f>
        <v>09/14/2018 00:00</v>
      </c>
      <c r="C2181">
        <v>501</v>
      </c>
      <c r="D2181" t="s">
        <v>7</v>
      </c>
      <c r="E2181" s="2" t="s">
        <v>12</v>
      </c>
      <c r="F2181">
        <f t="shared" si="33"/>
        <v>993.48300000000006</v>
      </c>
      <c r="G2181" t="s">
        <v>16</v>
      </c>
      <c r="J2181" t="str">
        <f>"09/14/2018 23:45"</f>
        <v>09/14/2018 23:45</v>
      </c>
    </row>
    <row r="2182" spans="1:10" x14ac:dyDescent="0.3">
      <c r="A2182" t="s">
        <v>6</v>
      </c>
      <c r="B2182" t="str">
        <f>"09/15/2018 00:00"</f>
        <v>09/15/2018 00:00</v>
      </c>
      <c r="C2182">
        <v>501</v>
      </c>
      <c r="D2182" t="s">
        <v>7</v>
      </c>
      <c r="E2182" s="2" t="s">
        <v>12</v>
      </c>
      <c r="F2182">
        <f t="shared" si="33"/>
        <v>993.48300000000006</v>
      </c>
      <c r="G2182" t="s">
        <v>16</v>
      </c>
      <c r="J2182" t="str">
        <f>"09/15/2018 23:45"</f>
        <v>09/15/2018 23:45</v>
      </c>
    </row>
    <row r="2183" spans="1:10" x14ac:dyDescent="0.3">
      <c r="A2183" t="s">
        <v>6</v>
      </c>
      <c r="B2183" t="str">
        <f>"09/16/2018 00:00"</f>
        <v>09/16/2018 00:00</v>
      </c>
      <c r="C2183">
        <v>501</v>
      </c>
      <c r="D2183" t="s">
        <v>7</v>
      </c>
      <c r="E2183" s="2" t="s">
        <v>12</v>
      </c>
      <c r="F2183">
        <f t="shared" si="33"/>
        <v>993.48300000000006</v>
      </c>
      <c r="G2183" t="s">
        <v>16</v>
      </c>
      <c r="J2183" t="str">
        <f>"09/16/2018 23:45"</f>
        <v>09/16/2018 23:45</v>
      </c>
    </row>
    <row r="2184" spans="1:10" x14ac:dyDescent="0.3">
      <c r="A2184" t="s">
        <v>6</v>
      </c>
      <c r="B2184" t="str">
        <f>"09/17/2018 00:00"</f>
        <v>09/17/2018 00:00</v>
      </c>
      <c r="C2184">
        <v>431</v>
      </c>
      <c r="D2184" t="s">
        <v>7</v>
      </c>
      <c r="E2184" s="2" t="s">
        <v>12</v>
      </c>
      <c r="F2184">
        <f t="shared" ref="F2184:F2248" si="34">C2184*1.983</f>
        <v>854.673</v>
      </c>
      <c r="G2184" t="s">
        <v>16</v>
      </c>
      <c r="J2184" t="str">
        <f>"09/17/2018 23:45"</f>
        <v>09/17/2018 23:45</v>
      </c>
    </row>
    <row r="2185" spans="1:10" x14ac:dyDescent="0.3">
      <c r="A2185" t="s">
        <v>6</v>
      </c>
      <c r="B2185" t="str">
        <f>"09/18/2018 00:00"</f>
        <v>09/18/2018 00:00</v>
      </c>
      <c r="C2185">
        <v>381</v>
      </c>
      <c r="D2185" t="s">
        <v>7</v>
      </c>
      <c r="E2185" s="2" t="s">
        <v>12</v>
      </c>
      <c r="F2185">
        <f t="shared" si="34"/>
        <v>755.52300000000002</v>
      </c>
      <c r="G2185" t="s">
        <v>16</v>
      </c>
      <c r="J2185" t="str">
        <f>"09/18/2018 23:45"</f>
        <v>09/18/2018 23:45</v>
      </c>
    </row>
    <row r="2186" spans="1:10" x14ac:dyDescent="0.3">
      <c r="A2186" t="s">
        <v>6</v>
      </c>
      <c r="B2186" t="str">
        <f>"09/19/2018 00:00"</f>
        <v>09/19/2018 00:00</v>
      </c>
      <c r="C2186">
        <v>380</v>
      </c>
      <c r="D2186" t="s">
        <v>7</v>
      </c>
      <c r="E2186" s="2" t="s">
        <v>12</v>
      </c>
      <c r="F2186">
        <f t="shared" si="34"/>
        <v>753.54000000000008</v>
      </c>
      <c r="G2186" t="s">
        <v>16</v>
      </c>
      <c r="J2186" t="str">
        <f>"09/19/2018 23:45"</f>
        <v>09/19/2018 23:45</v>
      </c>
    </row>
    <row r="2187" spans="1:10" x14ac:dyDescent="0.3">
      <c r="A2187" t="s">
        <v>6</v>
      </c>
      <c r="B2187" t="str">
        <f>"09/20/2018 00:00"</f>
        <v>09/20/2018 00:00</v>
      </c>
      <c r="C2187">
        <v>366</v>
      </c>
      <c r="D2187" t="s">
        <v>7</v>
      </c>
      <c r="E2187" s="2" t="s">
        <v>12</v>
      </c>
      <c r="F2187">
        <f t="shared" si="34"/>
        <v>725.77800000000002</v>
      </c>
      <c r="G2187" t="s">
        <v>16</v>
      </c>
      <c r="J2187" t="str">
        <f>"09/20/2018 23:45"</f>
        <v>09/20/2018 23:45</v>
      </c>
    </row>
    <row r="2188" spans="1:10" x14ac:dyDescent="0.3">
      <c r="A2188" t="s">
        <v>6</v>
      </c>
      <c r="B2188" t="str">
        <f>"09/21/2018 00:00"</f>
        <v>09/21/2018 00:00</v>
      </c>
      <c r="C2188">
        <v>347</v>
      </c>
      <c r="D2188" t="s">
        <v>7</v>
      </c>
      <c r="E2188" s="2" t="s">
        <v>12</v>
      </c>
      <c r="F2188">
        <f t="shared" si="34"/>
        <v>688.101</v>
      </c>
      <c r="G2188" t="s">
        <v>16</v>
      </c>
      <c r="J2188" t="str">
        <f>"09/21/2018 23:45"</f>
        <v>09/21/2018 23:45</v>
      </c>
    </row>
    <row r="2189" spans="1:10" x14ac:dyDescent="0.3">
      <c r="A2189" t="s">
        <v>6</v>
      </c>
      <c r="B2189" t="str">
        <f>"09/22/2018 00:00"</f>
        <v>09/22/2018 00:00</v>
      </c>
      <c r="C2189">
        <v>347</v>
      </c>
      <c r="D2189" t="s">
        <v>7</v>
      </c>
      <c r="E2189" s="2" t="s">
        <v>12</v>
      </c>
      <c r="F2189">
        <f t="shared" si="34"/>
        <v>688.101</v>
      </c>
      <c r="G2189" t="s">
        <v>16</v>
      </c>
      <c r="J2189" t="str">
        <f>"09/22/2018 23:45"</f>
        <v>09/22/2018 23:45</v>
      </c>
    </row>
    <row r="2190" spans="1:10" x14ac:dyDescent="0.3">
      <c r="A2190" t="s">
        <v>6</v>
      </c>
      <c r="B2190" t="str">
        <f>"09/23/2018 00:00"</f>
        <v>09/23/2018 00:00</v>
      </c>
      <c r="C2190">
        <v>347</v>
      </c>
      <c r="D2190" t="s">
        <v>7</v>
      </c>
      <c r="E2190" s="2" t="s">
        <v>12</v>
      </c>
      <c r="F2190">
        <f t="shared" si="34"/>
        <v>688.101</v>
      </c>
      <c r="G2190" t="s">
        <v>16</v>
      </c>
      <c r="J2190" t="str">
        <f>"09/23/2018 23:45"</f>
        <v>09/23/2018 23:45</v>
      </c>
    </row>
    <row r="2191" spans="1:10" x14ac:dyDescent="0.3">
      <c r="A2191" t="s">
        <v>6</v>
      </c>
      <c r="B2191" t="str">
        <f>"09/24/2018 00:00"</f>
        <v>09/24/2018 00:00</v>
      </c>
      <c r="C2191">
        <v>359</v>
      </c>
      <c r="D2191" t="s">
        <v>7</v>
      </c>
      <c r="E2191" s="2" t="s">
        <v>12</v>
      </c>
      <c r="F2191">
        <f t="shared" si="34"/>
        <v>711.89700000000005</v>
      </c>
      <c r="G2191" t="s">
        <v>16</v>
      </c>
      <c r="J2191" t="str">
        <f>"09/24/2018 23:45"</f>
        <v>09/24/2018 23:45</v>
      </c>
    </row>
    <row r="2192" spans="1:10" x14ac:dyDescent="0.3">
      <c r="A2192" t="s">
        <v>6</v>
      </c>
      <c r="B2192" t="str">
        <f>"09/25/2018 00:00"</f>
        <v>09/25/2018 00:00</v>
      </c>
      <c r="C2192">
        <v>378</v>
      </c>
      <c r="D2192" t="s">
        <v>7</v>
      </c>
      <c r="E2192" s="2" t="s">
        <v>12</v>
      </c>
      <c r="F2192">
        <f t="shared" si="34"/>
        <v>749.57400000000007</v>
      </c>
      <c r="G2192" t="s">
        <v>16</v>
      </c>
      <c r="J2192" t="str">
        <f>"09/25/2018 23:45"</f>
        <v>09/25/2018 23:45</v>
      </c>
    </row>
    <row r="2193" spans="1:10" x14ac:dyDescent="0.3">
      <c r="A2193" t="s">
        <v>6</v>
      </c>
      <c r="B2193" t="str">
        <f>"09/26/2018 00:00"</f>
        <v>09/26/2018 00:00</v>
      </c>
      <c r="C2193">
        <v>378</v>
      </c>
      <c r="D2193" t="s">
        <v>7</v>
      </c>
      <c r="E2193" s="2" t="s">
        <v>12</v>
      </c>
      <c r="F2193">
        <f t="shared" si="34"/>
        <v>749.57400000000007</v>
      </c>
      <c r="G2193" t="s">
        <v>16</v>
      </c>
      <c r="J2193" t="str">
        <f>"09/27/2018 00:39"</f>
        <v>09/27/2018 00:39</v>
      </c>
    </row>
    <row r="2194" spans="1:10" x14ac:dyDescent="0.3">
      <c r="A2194" t="s">
        <v>6</v>
      </c>
      <c r="B2194" t="str">
        <f>"09/27/2018 00:00"</f>
        <v>09/27/2018 00:00</v>
      </c>
      <c r="C2194">
        <v>378</v>
      </c>
      <c r="D2194" t="s">
        <v>7</v>
      </c>
      <c r="E2194" s="2" t="s">
        <v>12</v>
      </c>
      <c r="F2194">
        <f t="shared" si="34"/>
        <v>749.57400000000007</v>
      </c>
      <c r="G2194" t="s">
        <v>16</v>
      </c>
      <c r="J2194" t="str">
        <f>"09/28/2018 00:39"</f>
        <v>09/28/2018 00:39</v>
      </c>
    </row>
    <row r="2195" spans="1:10" x14ac:dyDescent="0.3">
      <c r="A2195" t="s">
        <v>6</v>
      </c>
      <c r="B2195" t="str">
        <f>"09/28/2018 00:00"</f>
        <v>09/28/2018 00:00</v>
      </c>
      <c r="C2195">
        <v>378</v>
      </c>
      <c r="D2195" t="s">
        <v>7</v>
      </c>
      <c r="E2195" s="2" t="s">
        <v>12</v>
      </c>
      <c r="F2195">
        <f t="shared" si="34"/>
        <v>749.57400000000007</v>
      </c>
      <c r="G2195" t="s">
        <v>16</v>
      </c>
      <c r="J2195" t="str">
        <f>"09/29/2018 00:39"</f>
        <v>09/29/2018 00:39</v>
      </c>
    </row>
    <row r="2196" spans="1:10" x14ac:dyDescent="0.3">
      <c r="A2196" t="s">
        <v>6</v>
      </c>
      <c r="B2196" t="str">
        <f>"09/29/2018 00:00"</f>
        <v>09/29/2018 00:00</v>
      </c>
      <c r="C2196">
        <v>378</v>
      </c>
      <c r="D2196" t="s">
        <v>7</v>
      </c>
      <c r="E2196" s="2" t="s">
        <v>12</v>
      </c>
      <c r="F2196">
        <f t="shared" si="34"/>
        <v>749.57400000000007</v>
      </c>
      <c r="G2196" t="s">
        <v>16</v>
      </c>
      <c r="J2196" t="str">
        <f>"09/30/2018 00:39"</f>
        <v>09/30/2018 00:39</v>
      </c>
    </row>
    <row r="2197" spans="1:10" x14ac:dyDescent="0.3">
      <c r="A2197" t="s">
        <v>6</v>
      </c>
      <c r="B2197" t="str">
        <f>"09/30/2018 00:00"</f>
        <v>09/30/2018 00:00</v>
      </c>
      <c r="C2197">
        <v>378</v>
      </c>
      <c r="D2197" t="s">
        <v>7</v>
      </c>
      <c r="E2197" s="2" t="s">
        <v>12</v>
      </c>
      <c r="F2197">
        <f t="shared" si="34"/>
        <v>749.57400000000007</v>
      </c>
      <c r="G2197" t="s">
        <v>16</v>
      </c>
      <c r="J2197" t="str">
        <f>"10/01/2018 00:39"</f>
        <v>10/01/2018 00:39</v>
      </c>
    </row>
    <row r="2198" spans="1:10" s="4" customFormat="1" x14ac:dyDescent="0.3">
      <c r="B2198" s="4" t="s">
        <v>22</v>
      </c>
      <c r="E2198" s="2" t="s">
        <v>12</v>
      </c>
      <c r="F2198" s="5">
        <f>SUM(F1833:F2197)</f>
        <v>92917.137912599908</v>
      </c>
      <c r="G2198" s="4" t="s">
        <v>19</v>
      </c>
    </row>
    <row r="2199" spans="1:10" x14ac:dyDescent="0.3">
      <c r="A2199" t="s">
        <v>6</v>
      </c>
      <c r="B2199" t="str">
        <f>"10/01/2018 00:00"</f>
        <v>10/01/2018 00:00</v>
      </c>
      <c r="C2199">
        <v>319</v>
      </c>
      <c r="D2199" t="s">
        <v>7</v>
      </c>
      <c r="E2199" s="2" t="s">
        <v>12</v>
      </c>
      <c r="F2199">
        <f t="shared" si="34"/>
        <v>632.577</v>
      </c>
      <c r="G2199" t="s">
        <v>16</v>
      </c>
      <c r="J2199" t="str">
        <f>"10/02/2018 00:39"</f>
        <v>10/02/2018 00:39</v>
      </c>
    </row>
    <row r="2200" spans="1:10" x14ac:dyDescent="0.3">
      <c r="A2200" t="s">
        <v>6</v>
      </c>
      <c r="B2200" t="str">
        <f>"10/02/2018 00:00"</f>
        <v>10/02/2018 00:00</v>
      </c>
      <c r="C2200">
        <v>280</v>
      </c>
      <c r="D2200" t="s">
        <v>7</v>
      </c>
      <c r="E2200" s="2" t="s">
        <v>12</v>
      </c>
      <c r="F2200">
        <f t="shared" si="34"/>
        <v>555.24</v>
      </c>
      <c r="G2200" t="s">
        <v>16</v>
      </c>
      <c r="J2200" t="str">
        <f>"10/03/2018 00:39"</f>
        <v>10/03/2018 00:39</v>
      </c>
    </row>
    <row r="2201" spans="1:10" x14ac:dyDescent="0.3">
      <c r="A2201" t="s">
        <v>6</v>
      </c>
      <c r="B2201" t="str">
        <f>"10/03/2018 00:00"</f>
        <v>10/03/2018 00:00</v>
      </c>
      <c r="C2201">
        <v>280</v>
      </c>
      <c r="D2201" t="s">
        <v>7</v>
      </c>
      <c r="E2201" s="2" t="s">
        <v>12</v>
      </c>
      <c r="F2201">
        <f t="shared" si="34"/>
        <v>555.24</v>
      </c>
      <c r="G2201" t="s">
        <v>16</v>
      </c>
      <c r="J2201" t="str">
        <f>"10/04/2018 00:39"</f>
        <v>10/04/2018 00:39</v>
      </c>
    </row>
    <row r="2202" spans="1:10" x14ac:dyDescent="0.3">
      <c r="A2202" t="s">
        <v>6</v>
      </c>
      <c r="B2202" t="str">
        <f>"10/04/2018 00:00"</f>
        <v>10/04/2018 00:00</v>
      </c>
      <c r="C2202">
        <v>280</v>
      </c>
      <c r="D2202" t="s">
        <v>7</v>
      </c>
      <c r="E2202" s="2" t="s">
        <v>12</v>
      </c>
      <c r="F2202">
        <f t="shared" si="34"/>
        <v>555.24</v>
      </c>
      <c r="G2202" t="s">
        <v>16</v>
      </c>
      <c r="J2202" t="str">
        <f>"10/05/2018 00:39"</f>
        <v>10/05/2018 00:39</v>
      </c>
    </row>
    <row r="2203" spans="1:10" x14ac:dyDescent="0.3">
      <c r="A2203" t="s">
        <v>6</v>
      </c>
      <c r="B2203" t="str">
        <f>"10/05/2018 00:00"</f>
        <v>10/05/2018 00:00</v>
      </c>
      <c r="C2203">
        <v>281</v>
      </c>
      <c r="D2203" t="s">
        <v>7</v>
      </c>
      <c r="E2203" s="2" t="s">
        <v>12</v>
      </c>
      <c r="F2203">
        <f t="shared" si="34"/>
        <v>557.22300000000007</v>
      </c>
      <c r="G2203" t="s">
        <v>16</v>
      </c>
      <c r="J2203" t="str">
        <f>"10/06/2018 00:39"</f>
        <v>10/06/2018 00:39</v>
      </c>
    </row>
    <row r="2204" spans="1:10" x14ac:dyDescent="0.3">
      <c r="A2204" t="s">
        <v>6</v>
      </c>
      <c r="B2204" t="str">
        <f>"10/06/2018 00:00"</f>
        <v>10/06/2018 00:00</v>
      </c>
      <c r="C2204">
        <v>281</v>
      </c>
      <c r="D2204" t="s">
        <v>7</v>
      </c>
      <c r="E2204" s="2" t="s">
        <v>12</v>
      </c>
      <c r="F2204">
        <f t="shared" si="34"/>
        <v>557.22300000000007</v>
      </c>
      <c r="G2204" t="s">
        <v>16</v>
      </c>
      <c r="J2204" t="str">
        <f>"10/07/2018 00:39"</f>
        <v>10/07/2018 00:39</v>
      </c>
    </row>
    <row r="2205" spans="1:10" x14ac:dyDescent="0.3">
      <c r="A2205" t="s">
        <v>6</v>
      </c>
      <c r="B2205" t="str">
        <f>"10/07/2018 00:00"</f>
        <v>10/07/2018 00:00</v>
      </c>
      <c r="C2205">
        <v>281</v>
      </c>
      <c r="D2205" t="s">
        <v>7</v>
      </c>
      <c r="E2205" s="2" t="s">
        <v>12</v>
      </c>
      <c r="F2205">
        <f t="shared" si="34"/>
        <v>557.22300000000007</v>
      </c>
      <c r="G2205" t="s">
        <v>16</v>
      </c>
      <c r="J2205" t="str">
        <f>"10/08/2018 00:39"</f>
        <v>10/08/2018 00:39</v>
      </c>
    </row>
    <row r="2206" spans="1:10" x14ac:dyDescent="0.3">
      <c r="A2206" t="s">
        <v>6</v>
      </c>
      <c r="B2206" t="str">
        <f>"10/08/2018 00:00"</f>
        <v>10/08/2018 00:00</v>
      </c>
      <c r="C2206">
        <v>245</v>
      </c>
      <c r="D2206" t="s">
        <v>7</v>
      </c>
      <c r="E2206" s="2" t="s">
        <v>12</v>
      </c>
      <c r="F2206">
        <f t="shared" si="34"/>
        <v>485.83500000000004</v>
      </c>
      <c r="G2206" t="s">
        <v>16</v>
      </c>
      <c r="J2206" t="str">
        <f>"10/09/2018 00:39"</f>
        <v>10/09/2018 00:39</v>
      </c>
    </row>
    <row r="2207" spans="1:10" x14ac:dyDescent="0.3">
      <c r="A2207" t="s">
        <v>6</v>
      </c>
      <c r="B2207" t="str">
        <f>"10/09/2018 00:00"</f>
        <v>10/09/2018 00:00</v>
      </c>
      <c r="C2207">
        <v>218</v>
      </c>
      <c r="D2207" t="s">
        <v>7</v>
      </c>
      <c r="E2207" s="2" t="s">
        <v>12</v>
      </c>
      <c r="F2207">
        <f t="shared" si="34"/>
        <v>432.29400000000004</v>
      </c>
      <c r="G2207" t="s">
        <v>16</v>
      </c>
      <c r="J2207" t="str">
        <f>"10/10/2018 00:39"</f>
        <v>10/10/2018 00:39</v>
      </c>
    </row>
    <row r="2208" spans="1:10" x14ac:dyDescent="0.3">
      <c r="A2208" t="s">
        <v>6</v>
      </c>
      <c r="B2208" t="str">
        <f>"10/10/2018 00:00"</f>
        <v>10/10/2018 00:00</v>
      </c>
      <c r="C2208">
        <v>193</v>
      </c>
      <c r="D2208" t="s">
        <v>7</v>
      </c>
      <c r="E2208" s="2" t="s">
        <v>12</v>
      </c>
      <c r="F2208">
        <f t="shared" si="34"/>
        <v>382.71899999999999</v>
      </c>
      <c r="G2208" t="s">
        <v>16</v>
      </c>
      <c r="J2208" t="str">
        <f>"10/11/2018 00:39"</f>
        <v>10/11/2018 00:39</v>
      </c>
    </row>
    <row r="2209" spans="1:10" x14ac:dyDescent="0.3">
      <c r="A2209" t="s">
        <v>6</v>
      </c>
      <c r="B2209" t="str">
        <f>"10/11/2018 00:00"</f>
        <v>10/11/2018 00:00</v>
      </c>
      <c r="C2209">
        <v>178</v>
      </c>
      <c r="D2209" t="s">
        <v>7</v>
      </c>
      <c r="E2209" s="2" t="s">
        <v>12</v>
      </c>
      <c r="F2209">
        <f t="shared" si="34"/>
        <v>352.97399999999999</v>
      </c>
      <c r="G2209" t="s">
        <v>16</v>
      </c>
      <c r="J2209" t="str">
        <f>"10/12/2018 00:39"</f>
        <v>10/12/2018 00:39</v>
      </c>
    </row>
    <row r="2210" spans="1:10" x14ac:dyDescent="0.3">
      <c r="A2210" t="s">
        <v>6</v>
      </c>
      <c r="B2210" t="str">
        <f>"10/12/2018 00:00"</f>
        <v>10/12/2018 00:00</v>
      </c>
      <c r="C2210">
        <v>179</v>
      </c>
      <c r="D2210" t="s">
        <v>7</v>
      </c>
      <c r="E2210" s="2" t="s">
        <v>12</v>
      </c>
      <c r="F2210">
        <f t="shared" si="34"/>
        <v>354.95699999999999</v>
      </c>
      <c r="G2210" t="s">
        <v>16</v>
      </c>
      <c r="J2210" t="str">
        <f>"10/13/2018 00:39"</f>
        <v>10/13/2018 00:39</v>
      </c>
    </row>
    <row r="2211" spans="1:10" x14ac:dyDescent="0.3">
      <c r="A2211" t="s">
        <v>6</v>
      </c>
      <c r="B2211" t="str">
        <f>"10/13/2018 00:00"</f>
        <v>10/13/2018 00:00</v>
      </c>
      <c r="C2211">
        <v>151</v>
      </c>
      <c r="D2211" t="s">
        <v>7</v>
      </c>
      <c r="E2211" s="2" t="s">
        <v>12</v>
      </c>
      <c r="F2211">
        <f t="shared" si="34"/>
        <v>299.43299999999999</v>
      </c>
      <c r="G2211" t="s">
        <v>16</v>
      </c>
      <c r="J2211" t="str">
        <f>"10/14/2018 00:39"</f>
        <v>10/14/2018 00:39</v>
      </c>
    </row>
    <row r="2212" spans="1:10" x14ac:dyDescent="0.3">
      <c r="A2212" t="s">
        <v>6</v>
      </c>
      <c r="B2212" t="str">
        <f>"10/14/2018 00:00"</f>
        <v>10/14/2018 00:00</v>
      </c>
      <c r="C2212">
        <v>104</v>
      </c>
      <c r="D2212" t="s">
        <v>7</v>
      </c>
      <c r="E2212" s="2" t="s">
        <v>12</v>
      </c>
      <c r="F2212">
        <f t="shared" si="34"/>
        <v>206.232</v>
      </c>
      <c r="G2212" t="s">
        <v>16</v>
      </c>
      <c r="J2212" t="str">
        <f>"10/15/2018 00:45"</f>
        <v>10/15/2018 00:45</v>
      </c>
    </row>
    <row r="2213" spans="1:10" x14ac:dyDescent="0.3">
      <c r="A2213" t="s">
        <v>6</v>
      </c>
      <c r="B2213" t="str">
        <f>"10/15/2018 00:00"</f>
        <v>10/15/2018 00:00</v>
      </c>
      <c r="C2213">
        <v>103</v>
      </c>
      <c r="D2213" t="s">
        <v>7</v>
      </c>
      <c r="E2213" s="2" t="s">
        <v>12</v>
      </c>
      <c r="F2213">
        <f t="shared" si="34"/>
        <v>204.24900000000002</v>
      </c>
      <c r="G2213" t="s">
        <v>16</v>
      </c>
      <c r="J2213" t="str">
        <f>"10/16/2018 00:39"</f>
        <v>10/16/2018 00:39</v>
      </c>
    </row>
    <row r="2214" spans="1:10" x14ac:dyDescent="0.3">
      <c r="A2214" t="s">
        <v>6</v>
      </c>
      <c r="B2214" t="str">
        <f>"10/16/2018 00:00"</f>
        <v>10/16/2018 00:00</v>
      </c>
      <c r="C2214">
        <v>142</v>
      </c>
      <c r="D2214" t="s">
        <v>7</v>
      </c>
      <c r="E2214" s="2" t="s">
        <v>12</v>
      </c>
      <c r="F2214">
        <f t="shared" si="34"/>
        <v>281.58600000000001</v>
      </c>
      <c r="G2214" t="s">
        <v>16</v>
      </c>
      <c r="J2214" t="str">
        <f>"10/17/2018 00:39"</f>
        <v>10/17/2018 00:39</v>
      </c>
    </row>
    <row r="2215" spans="1:10" x14ac:dyDescent="0.3">
      <c r="A2215" t="s">
        <v>6</v>
      </c>
      <c r="B2215" t="str">
        <f>"10/17/2018 00:00"</f>
        <v>10/17/2018 00:00</v>
      </c>
      <c r="C2215">
        <v>178</v>
      </c>
      <c r="D2215" t="s">
        <v>7</v>
      </c>
      <c r="E2215" s="2" t="s">
        <v>12</v>
      </c>
      <c r="F2215">
        <f t="shared" si="34"/>
        <v>352.97399999999999</v>
      </c>
      <c r="G2215" t="s">
        <v>16</v>
      </c>
      <c r="J2215" t="str">
        <f>"10/18/2018 00:39"</f>
        <v>10/18/2018 00:39</v>
      </c>
    </row>
    <row r="2216" spans="1:10" x14ac:dyDescent="0.3">
      <c r="A2216" t="s">
        <v>6</v>
      </c>
      <c r="B2216" t="str">
        <f>"10/18/2018 00:00"</f>
        <v>10/18/2018 00:00</v>
      </c>
      <c r="C2216">
        <v>178</v>
      </c>
      <c r="D2216" t="s">
        <v>7</v>
      </c>
      <c r="E2216" s="2" t="s">
        <v>12</v>
      </c>
      <c r="F2216">
        <f t="shared" si="34"/>
        <v>352.97399999999999</v>
      </c>
      <c r="G2216" t="s">
        <v>16</v>
      </c>
      <c r="J2216" t="str">
        <f>"10/19/2018 00:39"</f>
        <v>10/19/2018 00:39</v>
      </c>
    </row>
    <row r="2217" spans="1:10" x14ac:dyDescent="0.3">
      <c r="A2217" t="s">
        <v>6</v>
      </c>
      <c r="B2217" t="str">
        <f>"10/19/2018 00:00"</f>
        <v>10/19/2018 00:00</v>
      </c>
      <c r="C2217">
        <v>178</v>
      </c>
      <c r="D2217" t="s">
        <v>7</v>
      </c>
      <c r="E2217" s="2" t="s">
        <v>12</v>
      </c>
      <c r="F2217">
        <f t="shared" si="34"/>
        <v>352.97399999999999</v>
      </c>
      <c r="G2217" t="s">
        <v>16</v>
      </c>
      <c r="J2217" t="str">
        <f>"10/20/2018 00:39"</f>
        <v>10/20/2018 00:39</v>
      </c>
    </row>
    <row r="2218" spans="1:10" x14ac:dyDescent="0.3">
      <c r="A2218" t="s">
        <v>6</v>
      </c>
      <c r="B2218" t="str">
        <f>"10/20/2018 00:00"</f>
        <v>10/20/2018 00:00</v>
      </c>
      <c r="C2218">
        <v>178</v>
      </c>
      <c r="D2218" t="s">
        <v>7</v>
      </c>
      <c r="E2218" s="2" t="s">
        <v>12</v>
      </c>
      <c r="F2218">
        <f t="shared" si="34"/>
        <v>352.97399999999999</v>
      </c>
      <c r="G2218" t="s">
        <v>16</v>
      </c>
      <c r="J2218" t="str">
        <f>"10/21/2018 00:39"</f>
        <v>10/21/2018 00:39</v>
      </c>
    </row>
    <row r="2219" spans="1:10" x14ac:dyDescent="0.3">
      <c r="A2219" t="s">
        <v>6</v>
      </c>
      <c r="B2219" t="str">
        <f>"10/21/2018 00:00"</f>
        <v>10/21/2018 00:00</v>
      </c>
      <c r="C2219">
        <v>178</v>
      </c>
      <c r="D2219" t="s">
        <v>7</v>
      </c>
      <c r="E2219" s="2" t="s">
        <v>12</v>
      </c>
      <c r="F2219">
        <f t="shared" si="34"/>
        <v>352.97399999999999</v>
      </c>
      <c r="G2219" t="s">
        <v>16</v>
      </c>
      <c r="J2219" t="str">
        <f>"10/22/2018 00:43"</f>
        <v>10/22/2018 00:43</v>
      </c>
    </row>
    <row r="2220" spans="1:10" x14ac:dyDescent="0.3">
      <c r="A2220" t="s">
        <v>6</v>
      </c>
      <c r="B2220" t="str">
        <f>"10/22/2018 00:00"</f>
        <v>10/22/2018 00:00</v>
      </c>
      <c r="C2220">
        <v>178</v>
      </c>
      <c r="D2220" t="s">
        <v>7</v>
      </c>
      <c r="E2220" s="2" t="s">
        <v>12</v>
      </c>
      <c r="F2220">
        <f t="shared" si="34"/>
        <v>352.97399999999999</v>
      </c>
      <c r="G2220" t="s">
        <v>16</v>
      </c>
      <c r="J2220" t="str">
        <f>"10/23/2018 00:39"</f>
        <v>10/23/2018 00:39</v>
      </c>
    </row>
    <row r="2221" spans="1:10" x14ac:dyDescent="0.3">
      <c r="A2221" t="s">
        <v>6</v>
      </c>
      <c r="B2221" t="str">
        <f>"10/23/2018 00:00"</f>
        <v>10/23/2018 00:00</v>
      </c>
      <c r="C2221">
        <v>178</v>
      </c>
      <c r="D2221" t="s">
        <v>7</v>
      </c>
      <c r="E2221" s="2" t="s">
        <v>12</v>
      </c>
      <c r="F2221">
        <f t="shared" si="34"/>
        <v>352.97399999999999</v>
      </c>
      <c r="G2221" t="s">
        <v>16</v>
      </c>
      <c r="J2221" t="str">
        <f>"10/24/2018 00:39"</f>
        <v>10/24/2018 00:39</v>
      </c>
    </row>
    <row r="2222" spans="1:10" x14ac:dyDescent="0.3">
      <c r="A2222" t="s">
        <v>6</v>
      </c>
      <c r="B2222" t="str">
        <f>"10/24/2018 00:00"</f>
        <v>10/24/2018 00:00</v>
      </c>
      <c r="C2222">
        <v>178</v>
      </c>
      <c r="D2222" t="s">
        <v>7</v>
      </c>
      <c r="E2222" s="2" t="s">
        <v>12</v>
      </c>
      <c r="F2222">
        <f t="shared" si="34"/>
        <v>352.97399999999999</v>
      </c>
      <c r="G2222" t="s">
        <v>16</v>
      </c>
      <c r="J2222" t="str">
        <f>"10/25/2018 00:39"</f>
        <v>10/25/2018 00:39</v>
      </c>
    </row>
    <row r="2223" spans="1:10" x14ac:dyDescent="0.3">
      <c r="A2223" t="s">
        <v>6</v>
      </c>
      <c r="B2223" t="str">
        <f>"10/25/2018 00:00"</f>
        <v>10/25/2018 00:00</v>
      </c>
      <c r="C2223">
        <v>178</v>
      </c>
      <c r="D2223" t="s">
        <v>7</v>
      </c>
      <c r="E2223" s="2" t="s">
        <v>12</v>
      </c>
      <c r="F2223">
        <f t="shared" si="34"/>
        <v>352.97399999999999</v>
      </c>
      <c r="G2223" t="s">
        <v>16</v>
      </c>
      <c r="J2223" t="str">
        <f>"10/26/2018 00:39"</f>
        <v>10/26/2018 00:39</v>
      </c>
    </row>
    <row r="2224" spans="1:10" x14ac:dyDescent="0.3">
      <c r="A2224" t="s">
        <v>6</v>
      </c>
      <c r="B2224" t="str">
        <f>"10/26/2018 00:00"</f>
        <v>10/26/2018 00:00</v>
      </c>
      <c r="C2224">
        <v>178</v>
      </c>
      <c r="D2224" t="s">
        <v>7</v>
      </c>
      <c r="E2224" s="2" t="s">
        <v>12</v>
      </c>
      <c r="F2224">
        <f t="shared" si="34"/>
        <v>352.97399999999999</v>
      </c>
      <c r="G2224" t="s">
        <v>16</v>
      </c>
      <c r="J2224" t="str">
        <f>"10/27/2018 00:39"</f>
        <v>10/27/2018 00:39</v>
      </c>
    </row>
    <row r="2225" spans="1:10" x14ac:dyDescent="0.3">
      <c r="A2225" t="s">
        <v>6</v>
      </c>
      <c r="B2225" t="str">
        <f>"10/27/2018 00:00"</f>
        <v>10/27/2018 00:00</v>
      </c>
      <c r="C2225">
        <v>178</v>
      </c>
      <c r="D2225" t="s">
        <v>7</v>
      </c>
      <c r="E2225" s="2" t="s">
        <v>12</v>
      </c>
      <c r="F2225">
        <f t="shared" si="34"/>
        <v>352.97399999999999</v>
      </c>
      <c r="G2225" t="s">
        <v>16</v>
      </c>
      <c r="J2225" t="str">
        <f>"10/28/2018 00:39"</f>
        <v>10/28/2018 00:39</v>
      </c>
    </row>
    <row r="2226" spans="1:10" x14ac:dyDescent="0.3">
      <c r="A2226" t="s">
        <v>6</v>
      </c>
      <c r="B2226" t="str">
        <f>"10/28/2018 00:00"</f>
        <v>10/28/2018 00:00</v>
      </c>
      <c r="C2226">
        <v>178</v>
      </c>
      <c r="D2226" t="s">
        <v>7</v>
      </c>
      <c r="E2226" s="2" t="s">
        <v>12</v>
      </c>
      <c r="F2226">
        <f t="shared" si="34"/>
        <v>352.97399999999999</v>
      </c>
      <c r="G2226" t="s">
        <v>16</v>
      </c>
      <c r="J2226" t="str">
        <f>"10/29/2018 00:39"</f>
        <v>10/29/2018 00:39</v>
      </c>
    </row>
    <row r="2227" spans="1:10" x14ac:dyDescent="0.3">
      <c r="A2227" t="s">
        <v>6</v>
      </c>
      <c r="B2227" t="str">
        <f>"10/29/2018 00:00"</f>
        <v>10/29/2018 00:00</v>
      </c>
      <c r="C2227">
        <v>178</v>
      </c>
      <c r="D2227" t="s">
        <v>7</v>
      </c>
      <c r="E2227" s="2" t="s">
        <v>12</v>
      </c>
      <c r="F2227">
        <f t="shared" si="34"/>
        <v>352.97399999999999</v>
      </c>
      <c r="G2227" t="s">
        <v>16</v>
      </c>
      <c r="J2227" t="str">
        <f>"10/30/2018 00:39"</f>
        <v>10/30/2018 00:39</v>
      </c>
    </row>
    <row r="2228" spans="1:10" x14ac:dyDescent="0.3">
      <c r="A2228" t="s">
        <v>6</v>
      </c>
      <c r="B2228" t="str">
        <f>"10/30/2018 00:00"</f>
        <v>10/30/2018 00:00</v>
      </c>
      <c r="C2228">
        <v>178</v>
      </c>
      <c r="D2228" t="s">
        <v>7</v>
      </c>
      <c r="E2228" s="2" t="s">
        <v>12</v>
      </c>
      <c r="F2228">
        <f t="shared" si="34"/>
        <v>352.97399999999999</v>
      </c>
      <c r="G2228" t="s">
        <v>16</v>
      </c>
      <c r="J2228" t="str">
        <f>"10/31/2018 00:39"</f>
        <v>10/31/2018 00:39</v>
      </c>
    </row>
    <row r="2229" spans="1:10" x14ac:dyDescent="0.3">
      <c r="A2229" t="s">
        <v>6</v>
      </c>
      <c r="B2229" t="str">
        <f>"10/31/2018 00:00"</f>
        <v>10/31/2018 00:00</v>
      </c>
      <c r="C2229">
        <v>127</v>
      </c>
      <c r="D2229" t="s">
        <v>7</v>
      </c>
      <c r="E2229" s="2" t="s">
        <v>12</v>
      </c>
      <c r="F2229">
        <f t="shared" si="34"/>
        <v>251.84100000000001</v>
      </c>
      <c r="G2229" t="s">
        <v>16</v>
      </c>
      <c r="J2229" t="str">
        <f>"11/01/2018 00:39"</f>
        <v>11/01/2018 00:39</v>
      </c>
    </row>
    <row r="2230" spans="1:10" x14ac:dyDescent="0.3">
      <c r="A2230" t="s">
        <v>6</v>
      </c>
      <c r="B2230" t="str">
        <f>"11/01/2018 00:00"</f>
        <v>11/01/2018 00:00</v>
      </c>
      <c r="C2230">
        <v>99.8</v>
      </c>
      <c r="D2230" t="s">
        <v>7</v>
      </c>
      <c r="E2230" s="2" t="s">
        <v>12</v>
      </c>
      <c r="F2230">
        <f t="shared" si="34"/>
        <v>197.9034</v>
      </c>
      <c r="G2230" t="s">
        <v>16</v>
      </c>
      <c r="J2230" t="str">
        <f>"11/02/2018 00:39"</f>
        <v>11/02/2018 00:39</v>
      </c>
    </row>
    <row r="2231" spans="1:10" x14ac:dyDescent="0.3">
      <c r="A2231" t="s">
        <v>6</v>
      </c>
      <c r="B2231" t="str">
        <f>"11/02/2018 00:00"</f>
        <v>11/02/2018 00:00</v>
      </c>
      <c r="C2231">
        <v>99.6</v>
      </c>
      <c r="D2231" t="s">
        <v>7</v>
      </c>
      <c r="E2231" s="2" t="s">
        <v>12</v>
      </c>
      <c r="F2231">
        <f t="shared" si="34"/>
        <v>197.5068</v>
      </c>
      <c r="G2231" t="s">
        <v>16</v>
      </c>
      <c r="J2231" t="str">
        <f>"11/03/2018 00:39"</f>
        <v>11/03/2018 00:39</v>
      </c>
    </row>
    <row r="2232" spans="1:10" x14ac:dyDescent="0.3">
      <c r="A2232" t="s">
        <v>6</v>
      </c>
      <c r="B2232" t="str">
        <f>"11/03/2018 00:00"</f>
        <v>11/03/2018 00:00</v>
      </c>
      <c r="C2232">
        <v>99.7</v>
      </c>
      <c r="D2232" t="s">
        <v>7</v>
      </c>
      <c r="E2232" s="2" t="s">
        <v>12</v>
      </c>
      <c r="F2232">
        <f t="shared" si="34"/>
        <v>197.70510000000002</v>
      </c>
      <c r="G2232" t="s">
        <v>16</v>
      </c>
      <c r="J2232" t="str">
        <f>"11/04/2018 00:39"</f>
        <v>11/04/2018 00:39</v>
      </c>
    </row>
    <row r="2233" spans="1:10" x14ac:dyDescent="0.3">
      <c r="A2233" t="s">
        <v>6</v>
      </c>
      <c r="B2233" t="str">
        <f>"11/04/2018 00:00"</f>
        <v>11/04/2018 00:00</v>
      </c>
      <c r="C2233">
        <v>99.5</v>
      </c>
      <c r="D2233" t="s">
        <v>7</v>
      </c>
      <c r="E2233" s="2" t="s">
        <v>12</v>
      </c>
      <c r="F2233">
        <f t="shared" si="34"/>
        <v>197.30850000000001</v>
      </c>
      <c r="G2233" t="s">
        <v>16</v>
      </c>
      <c r="J2233" t="str">
        <f>"11/05/2018 00:39"</f>
        <v>11/05/2018 00:39</v>
      </c>
    </row>
    <row r="2234" spans="1:10" x14ac:dyDescent="0.3">
      <c r="A2234" t="s">
        <v>6</v>
      </c>
      <c r="B2234" t="str">
        <f>"11/05/2018 00:00"</f>
        <v>11/05/2018 00:00</v>
      </c>
      <c r="C2234">
        <v>99.5</v>
      </c>
      <c r="D2234" t="s">
        <v>7</v>
      </c>
      <c r="E2234" s="2" t="s">
        <v>12</v>
      </c>
      <c r="F2234">
        <f t="shared" si="34"/>
        <v>197.30850000000001</v>
      </c>
      <c r="G2234" t="s">
        <v>16</v>
      </c>
      <c r="J2234" t="str">
        <f>"11/06/2018 00:39"</f>
        <v>11/06/2018 00:39</v>
      </c>
    </row>
    <row r="2235" spans="1:10" x14ac:dyDescent="0.3">
      <c r="A2235" t="s">
        <v>6</v>
      </c>
      <c r="B2235" t="str">
        <f>"11/06/2018 00:00"</f>
        <v>11/06/2018 00:00</v>
      </c>
      <c r="C2235">
        <v>99.6</v>
      </c>
      <c r="D2235" t="s">
        <v>7</v>
      </c>
      <c r="E2235" s="2" t="s">
        <v>12</v>
      </c>
      <c r="F2235">
        <f t="shared" si="34"/>
        <v>197.5068</v>
      </c>
      <c r="G2235" t="s">
        <v>16</v>
      </c>
      <c r="J2235" t="str">
        <f>"11/07/2018 00:39"</f>
        <v>11/07/2018 00:39</v>
      </c>
    </row>
    <row r="2236" spans="1:10" x14ac:dyDescent="0.3">
      <c r="A2236" t="s">
        <v>6</v>
      </c>
      <c r="B2236" t="str">
        <f>"11/07/2018 00:00"</f>
        <v>11/07/2018 00:00</v>
      </c>
      <c r="C2236">
        <v>99.5</v>
      </c>
      <c r="D2236" t="s">
        <v>7</v>
      </c>
      <c r="E2236" s="2" t="s">
        <v>12</v>
      </c>
      <c r="F2236">
        <f t="shared" si="34"/>
        <v>197.30850000000001</v>
      </c>
      <c r="G2236" t="s">
        <v>16</v>
      </c>
      <c r="J2236" t="str">
        <f>"11/08/2018 00:39"</f>
        <v>11/08/2018 00:39</v>
      </c>
    </row>
    <row r="2237" spans="1:10" x14ac:dyDescent="0.3">
      <c r="A2237" t="s">
        <v>6</v>
      </c>
      <c r="B2237" t="str">
        <f>"11/08/2018 00:00"</f>
        <v>11/08/2018 00:00</v>
      </c>
      <c r="C2237">
        <v>99.5</v>
      </c>
      <c r="D2237" t="s">
        <v>7</v>
      </c>
      <c r="E2237" s="2" t="s">
        <v>12</v>
      </c>
      <c r="F2237">
        <f t="shared" si="34"/>
        <v>197.30850000000001</v>
      </c>
      <c r="G2237" t="s">
        <v>16</v>
      </c>
      <c r="J2237" t="str">
        <f>"11/09/2018 00:39"</f>
        <v>11/09/2018 00:39</v>
      </c>
    </row>
    <row r="2238" spans="1:10" x14ac:dyDescent="0.3">
      <c r="A2238" t="s">
        <v>6</v>
      </c>
      <c r="B2238" t="str">
        <f>"11/09/2018 00:00"</f>
        <v>11/09/2018 00:00</v>
      </c>
      <c r="C2238">
        <v>119</v>
      </c>
      <c r="D2238" t="s">
        <v>7</v>
      </c>
      <c r="E2238" s="2" t="s">
        <v>12</v>
      </c>
      <c r="F2238">
        <f t="shared" si="34"/>
        <v>235.977</v>
      </c>
      <c r="G2238" t="s">
        <v>16</v>
      </c>
      <c r="J2238" t="str">
        <f>"11/10/2018 00:39"</f>
        <v>11/10/2018 00:39</v>
      </c>
    </row>
    <row r="2239" spans="1:10" x14ac:dyDescent="0.3">
      <c r="A2239" t="s">
        <v>6</v>
      </c>
      <c r="B2239" t="str">
        <f>"11/10/2018 00:00"</f>
        <v>11/10/2018 00:00</v>
      </c>
      <c r="C2239">
        <v>131</v>
      </c>
      <c r="D2239" t="s">
        <v>7</v>
      </c>
      <c r="E2239" s="2" t="s">
        <v>12</v>
      </c>
      <c r="F2239">
        <f t="shared" si="34"/>
        <v>259.77300000000002</v>
      </c>
      <c r="G2239" t="s">
        <v>16</v>
      </c>
      <c r="J2239" t="str">
        <f>"11/11/2018 00:39"</f>
        <v>11/11/2018 00:39</v>
      </c>
    </row>
    <row r="2240" spans="1:10" x14ac:dyDescent="0.3">
      <c r="A2240" t="s">
        <v>6</v>
      </c>
      <c r="B2240" t="str">
        <f>"11/11/2018 00:00"</f>
        <v>11/11/2018 00:00</v>
      </c>
      <c r="C2240">
        <v>131</v>
      </c>
      <c r="D2240" t="s">
        <v>7</v>
      </c>
      <c r="E2240" s="2" t="s">
        <v>12</v>
      </c>
      <c r="F2240">
        <f t="shared" si="34"/>
        <v>259.77300000000002</v>
      </c>
      <c r="G2240" t="s">
        <v>16</v>
      </c>
      <c r="J2240" t="str">
        <f>"11/12/2018 00:39"</f>
        <v>11/12/2018 00:39</v>
      </c>
    </row>
    <row r="2241" spans="1:10" x14ac:dyDescent="0.3">
      <c r="A2241" t="s">
        <v>6</v>
      </c>
      <c r="B2241" t="str">
        <f>"11/12/2018 00:00"</f>
        <v>11/12/2018 00:00</v>
      </c>
      <c r="C2241">
        <v>131</v>
      </c>
      <c r="D2241" t="s">
        <v>7</v>
      </c>
      <c r="E2241" s="2" t="s">
        <v>12</v>
      </c>
      <c r="F2241">
        <f t="shared" si="34"/>
        <v>259.77300000000002</v>
      </c>
      <c r="G2241" t="s">
        <v>16</v>
      </c>
      <c r="J2241" t="str">
        <f>"11/13/2018 00:39"</f>
        <v>11/13/2018 00:39</v>
      </c>
    </row>
    <row r="2242" spans="1:10" x14ac:dyDescent="0.3">
      <c r="A2242" t="s">
        <v>6</v>
      </c>
      <c r="B2242" t="str">
        <f>"11/13/2018 00:00"</f>
        <v>11/13/2018 00:00</v>
      </c>
      <c r="C2242">
        <v>131</v>
      </c>
      <c r="D2242" t="s">
        <v>7</v>
      </c>
      <c r="E2242" s="2" t="s">
        <v>12</v>
      </c>
      <c r="F2242">
        <f t="shared" si="34"/>
        <v>259.77300000000002</v>
      </c>
      <c r="G2242" t="s">
        <v>16</v>
      </c>
      <c r="J2242" t="str">
        <f>"11/14/2018 00:39"</f>
        <v>11/14/2018 00:39</v>
      </c>
    </row>
    <row r="2243" spans="1:10" x14ac:dyDescent="0.3">
      <c r="A2243" t="s">
        <v>6</v>
      </c>
      <c r="B2243" t="str">
        <f>"11/14/2018 00:00"</f>
        <v>11/14/2018 00:00</v>
      </c>
      <c r="C2243">
        <v>131</v>
      </c>
      <c r="D2243" t="s">
        <v>7</v>
      </c>
      <c r="E2243" s="2" t="s">
        <v>12</v>
      </c>
      <c r="F2243">
        <f t="shared" si="34"/>
        <v>259.77300000000002</v>
      </c>
      <c r="G2243" t="s">
        <v>16</v>
      </c>
      <c r="J2243" t="str">
        <f>"11/15/2018 00:39"</f>
        <v>11/15/2018 00:39</v>
      </c>
    </row>
    <row r="2244" spans="1:10" x14ac:dyDescent="0.3">
      <c r="A2244" t="s">
        <v>6</v>
      </c>
      <c r="B2244" t="str">
        <f>"11/15/2018 00:00"</f>
        <v>11/15/2018 00:00</v>
      </c>
      <c r="C2244">
        <v>131</v>
      </c>
      <c r="D2244" t="s">
        <v>7</v>
      </c>
      <c r="E2244" s="2" t="s">
        <v>12</v>
      </c>
      <c r="F2244">
        <f t="shared" si="34"/>
        <v>259.77300000000002</v>
      </c>
      <c r="G2244" t="s">
        <v>16</v>
      </c>
      <c r="J2244" t="str">
        <f>"11/16/2018 00:39"</f>
        <v>11/16/2018 00:39</v>
      </c>
    </row>
    <row r="2245" spans="1:10" x14ac:dyDescent="0.3">
      <c r="A2245" t="s">
        <v>6</v>
      </c>
      <c r="B2245" t="str">
        <f>"11/16/2018 00:00"</f>
        <v>11/16/2018 00:00</v>
      </c>
      <c r="C2245">
        <v>131</v>
      </c>
      <c r="D2245" t="s">
        <v>7</v>
      </c>
      <c r="E2245" s="2" t="s">
        <v>12</v>
      </c>
      <c r="F2245">
        <f t="shared" si="34"/>
        <v>259.77300000000002</v>
      </c>
      <c r="G2245" t="s">
        <v>16</v>
      </c>
      <c r="J2245" t="str">
        <f>"11/17/2018 00:39"</f>
        <v>11/17/2018 00:39</v>
      </c>
    </row>
    <row r="2246" spans="1:10" x14ac:dyDescent="0.3">
      <c r="A2246" t="s">
        <v>6</v>
      </c>
      <c r="B2246" t="str">
        <f>"11/17/2018 00:00"</f>
        <v>11/17/2018 00:00</v>
      </c>
      <c r="C2246">
        <v>132</v>
      </c>
      <c r="D2246" t="s">
        <v>7</v>
      </c>
      <c r="E2246" s="2" t="s">
        <v>12</v>
      </c>
      <c r="F2246">
        <f t="shared" si="34"/>
        <v>261.75600000000003</v>
      </c>
      <c r="G2246" t="s">
        <v>16</v>
      </c>
      <c r="J2246" t="str">
        <f>"11/18/2018 00:39"</f>
        <v>11/18/2018 00:39</v>
      </c>
    </row>
    <row r="2247" spans="1:10" x14ac:dyDescent="0.3">
      <c r="A2247" t="s">
        <v>6</v>
      </c>
      <c r="B2247" t="str">
        <f>"11/18/2018 00:00"</f>
        <v>11/18/2018 00:00</v>
      </c>
      <c r="C2247">
        <v>132</v>
      </c>
      <c r="D2247" t="s">
        <v>7</v>
      </c>
      <c r="E2247" s="2" t="s">
        <v>12</v>
      </c>
      <c r="F2247">
        <f t="shared" si="34"/>
        <v>261.75600000000003</v>
      </c>
      <c r="G2247" t="s">
        <v>16</v>
      </c>
      <c r="J2247" t="str">
        <f>"11/19/2018 00:39"</f>
        <v>11/19/2018 00:39</v>
      </c>
    </row>
    <row r="2248" spans="1:10" x14ac:dyDescent="0.3">
      <c r="A2248" t="s">
        <v>6</v>
      </c>
      <c r="B2248" t="str">
        <f>"11/19/2018 00:00"</f>
        <v>11/19/2018 00:00</v>
      </c>
      <c r="C2248">
        <v>133</v>
      </c>
      <c r="D2248" t="s">
        <v>7</v>
      </c>
      <c r="E2248" s="2" t="s">
        <v>12</v>
      </c>
      <c r="F2248">
        <f t="shared" si="34"/>
        <v>263.73900000000003</v>
      </c>
      <c r="G2248" t="s">
        <v>16</v>
      </c>
      <c r="J2248" t="str">
        <f>"11/20/2018 00:39"</f>
        <v>11/20/2018 00:39</v>
      </c>
    </row>
    <row r="2249" spans="1:10" x14ac:dyDescent="0.3">
      <c r="A2249" t="s">
        <v>6</v>
      </c>
      <c r="B2249" t="str">
        <f>"11/20/2018 00:00"</f>
        <v>11/20/2018 00:00</v>
      </c>
      <c r="C2249">
        <v>133</v>
      </c>
      <c r="D2249" t="s">
        <v>7</v>
      </c>
      <c r="E2249" s="2" t="s">
        <v>12</v>
      </c>
      <c r="F2249">
        <f t="shared" ref="F2249:F2312" si="35">C2249*1.983</f>
        <v>263.73900000000003</v>
      </c>
      <c r="G2249" t="s">
        <v>16</v>
      </c>
      <c r="J2249" t="str">
        <f>"11/21/2018 00:39"</f>
        <v>11/21/2018 00:39</v>
      </c>
    </row>
    <row r="2250" spans="1:10" x14ac:dyDescent="0.3">
      <c r="A2250" t="s">
        <v>6</v>
      </c>
      <c r="B2250" t="str">
        <f>"11/21/2018 00:00"</f>
        <v>11/21/2018 00:00</v>
      </c>
      <c r="C2250">
        <v>133</v>
      </c>
      <c r="D2250" t="s">
        <v>7</v>
      </c>
      <c r="E2250" s="2" t="s">
        <v>12</v>
      </c>
      <c r="F2250">
        <f t="shared" si="35"/>
        <v>263.73900000000003</v>
      </c>
      <c r="G2250" t="s">
        <v>16</v>
      </c>
      <c r="J2250" t="str">
        <f>"11/22/2018 00:39"</f>
        <v>11/22/2018 00:39</v>
      </c>
    </row>
    <row r="2251" spans="1:10" x14ac:dyDescent="0.3">
      <c r="A2251" t="s">
        <v>6</v>
      </c>
      <c r="B2251" t="str">
        <f>"11/22/2018 00:00"</f>
        <v>11/22/2018 00:00</v>
      </c>
      <c r="C2251">
        <v>133</v>
      </c>
      <c r="D2251" t="s">
        <v>7</v>
      </c>
      <c r="E2251" s="2" t="s">
        <v>12</v>
      </c>
      <c r="F2251">
        <f t="shared" si="35"/>
        <v>263.73900000000003</v>
      </c>
      <c r="G2251" t="s">
        <v>16</v>
      </c>
      <c r="J2251" t="str">
        <f>"11/23/2018 00:39"</f>
        <v>11/23/2018 00:39</v>
      </c>
    </row>
    <row r="2252" spans="1:10" x14ac:dyDescent="0.3">
      <c r="A2252" t="s">
        <v>6</v>
      </c>
      <c r="B2252" t="str">
        <f>"11/23/2018 00:00"</f>
        <v>11/23/2018 00:00</v>
      </c>
      <c r="C2252">
        <v>133</v>
      </c>
      <c r="D2252" t="s">
        <v>7</v>
      </c>
      <c r="E2252" s="2" t="s">
        <v>12</v>
      </c>
      <c r="F2252">
        <f t="shared" si="35"/>
        <v>263.73900000000003</v>
      </c>
      <c r="G2252" t="s">
        <v>16</v>
      </c>
      <c r="J2252" t="str">
        <f>"11/24/2018 00:39"</f>
        <v>11/24/2018 00:39</v>
      </c>
    </row>
    <row r="2253" spans="1:10" x14ac:dyDescent="0.3">
      <c r="A2253" t="s">
        <v>6</v>
      </c>
      <c r="B2253" t="str">
        <f>"11/24/2018 00:00"</f>
        <v>11/24/2018 00:00</v>
      </c>
      <c r="C2253">
        <v>133</v>
      </c>
      <c r="D2253" t="s">
        <v>7</v>
      </c>
      <c r="E2253" s="2" t="s">
        <v>12</v>
      </c>
      <c r="F2253">
        <f t="shared" si="35"/>
        <v>263.73900000000003</v>
      </c>
      <c r="G2253" t="s">
        <v>16</v>
      </c>
      <c r="J2253" t="str">
        <f>"11/25/2018 00:39"</f>
        <v>11/25/2018 00:39</v>
      </c>
    </row>
    <row r="2254" spans="1:10" x14ac:dyDescent="0.3">
      <c r="A2254" t="s">
        <v>6</v>
      </c>
      <c r="B2254" t="str">
        <f>"11/25/2018 00:00"</f>
        <v>11/25/2018 00:00</v>
      </c>
      <c r="C2254">
        <v>133</v>
      </c>
      <c r="D2254" t="s">
        <v>7</v>
      </c>
      <c r="E2254" s="2" t="s">
        <v>12</v>
      </c>
      <c r="F2254">
        <f t="shared" si="35"/>
        <v>263.73900000000003</v>
      </c>
      <c r="G2254" t="s">
        <v>16</v>
      </c>
      <c r="J2254" t="str">
        <f>"11/26/2018 00:39"</f>
        <v>11/26/2018 00:39</v>
      </c>
    </row>
    <row r="2255" spans="1:10" x14ac:dyDescent="0.3">
      <c r="A2255" t="s">
        <v>6</v>
      </c>
      <c r="B2255" t="str">
        <f>"11/26/2018 00:00"</f>
        <v>11/26/2018 00:00</v>
      </c>
      <c r="C2255">
        <v>103</v>
      </c>
      <c r="D2255" t="s">
        <v>7</v>
      </c>
      <c r="E2255" s="2" t="s">
        <v>12</v>
      </c>
      <c r="F2255">
        <f t="shared" si="35"/>
        <v>204.24900000000002</v>
      </c>
      <c r="G2255" t="s">
        <v>16</v>
      </c>
      <c r="J2255" t="str">
        <f>"11/27/2018 00:39"</f>
        <v>11/27/2018 00:39</v>
      </c>
    </row>
    <row r="2256" spans="1:10" x14ac:dyDescent="0.3">
      <c r="A2256" t="s">
        <v>6</v>
      </c>
      <c r="B2256" t="str">
        <f>"11/27/2018 00:00"</f>
        <v>11/27/2018 00:00</v>
      </c>
      <c r="C2256">
        <v>69.7</v>
      </c>
      <c r="D2256" t="s">
        <v>7</v>
      </c>
      <c r="E2256" s="2" t="s">
        <v>12</v>
      </c>
      <c r="F2256">
        <f t="shared" si="35"/>
        <v>138.21510000000001</v>
      </c>
      <c r="G2256" t="s">
        <v>16</v>
      </c>
      <c r="J2256" t="str">
        <f>"11/28/2018 00:39"</f>
        <v>11/28/2018 00:39</v>
      </c>
    </row>
    <row r="2257" spans="1:10" x14ac:dyDescent="0.3">
      <c r="A2257" t="s">
        <v>6</v>
      </c>
      <c r="B2257" t="str">
        <f>"11/28/2018 00:00"</f>
        <v>11/28/2018 00:00</v>
      </c>
      <c r="C2257">
        <v>69.7</v>
      </c>
      <c r="D2257" t="s">
        <v>7</v>
      </c>
      <c r="E2257" s="2" t="s">
        <v>12</v>
      </c>
      <c r="F2257">
        <f t="shared" si="35"/>
        <v>138.21510000000001</v>
      </c>
      <c r="G2257" t="s">
        <v>16</v>
      </c>
      <c r="J2257" t="str">
        <f>"11/29/2018 00:39"</f>
        <v>11/29/2018 00:39</v>
      </c>
    </row>
    <row r="2258" spans="1:10" x14ac:dyDescent="0.3">
      <c r="A2258" t="s">
        <v>6</v>
      </c>
      <c r="B2258" t="str">
        <f>"11/29/2018 00:00"</f>
        <v>11/29/2018 00:00</v>
      </c>
      <c r="C2258">
        <v>69.7</v>
      </c>
      <c r="D2258" t="s">
        <v>7</v>
      </c>
      <c r="E2258" s="2" t="s">
        <v>12</v>
      </c>
      <c r="F2258">
        <f t="shared" si="35"/>
        <v>138.21510000000001</v>
      </c>
      <c r="G2258" t="s">
        <v>16</v>
      </c>
      <c r="J2258" t="str">
        <f>"11/30/2018 00:39"</f>
        <v>11/30/2018 00:39</v>
      </c>
    </row>
    <row r="2259" spans="1:10" x14ac:dyDescent="0.3">
      <c r="A2259" t="s">
        <v>6</v>
      </c>
      <c r="B2259" t="str">
        <f>"11/30/2018 00:00"</f>
        <v>11/30/2018 00:00</v>
      </c>
      <c r="C2259">
        <v>69.7</v>
      </c>
      <c r="D2259" t="s">
        <v>7</v>
      </c>
      <c r="E2259" s="2" t="s">
        <v>12</v>
      </c>
      <c r="F2259">
        <f t="shared" si="35"/>
        <v>138.21510000000001</v>
      </c>
      <c r="G2259" t="s">
        <v>16</v>
      </c>
      <c r="J2259" t="str">
        <f>"12/01/2018 00:39"</f>
        <v>12/01/2018 00:39</v>
      </c>
    </row>
    <row r="2260" spans="1:10" x14ac:dyDescent="0.3">
      <c r="A2260" t="s">
        <v>6</v>
      </c>
      <c r="B2260" t="str">
        <f>"12/01/2018 00:00"</f>
        <v>12/01/2018 00:00</v>
      </c>
      <c r="C2260">
        <v>69.7</v>
      </c>
      <c r="D2260" t="s">
        <v>7</v>
      </c>
      <c r="E2260" s="2" t="s">
        <v>12</v>
      </c>
      <c r="F2260">
        <f t="shared" si="35"/>
        <v>138.21510000000001</v>
      </c>
      <c r="G2260" t="s">
        <v>16</v>
      </c>
      <c r="J2260" t="str">
        <f>"12/02/2018 00:39"</f>
        <v>12/02/2018 00:39</v>
      </c>
    </row>
    <row r="2261" spans="1:10" x14ac:dyDescent="0.3">
      <c r="A2261" t="s">
        <v>6</v>
      </c>
      <c r="B2261" t="str">
        <f>"12/02/2018 00:00"</f>
        <v>12/02/2018 00:00</v>
      </c>
      <c r="C2261">
        <v>69.7</v>
      </c>
      <c r="D2261" t="s">
        <v>7</v>
      </c>
      <c r="E2261" s="2" t="s">
        <v>12</v>
      </c>
      <c r="F2261">
        <f t="shared" si="35"/>
        <v>138.21510000000001</v>
      </c>
      <c r="G2261" t="s">
        <v>16</v>
      </c>
      <c r="J2261" t="str">
        <f>"12/03/2018 00:39"</f>
        <v>12/03/2018 00:39</v>
      </c>
    </row>
    <row r="2262" spans="1:10" x14ac:dyDescent="0.3">
      <c r="A2262" t="s">
        <v>6</v>
      </c>
      <c r="B2262" t="str">
        <f>"12/03/2018 00:00"</f>
        <v>12/03/2018 00:00</v>
      </c>
      <c r="C2262">
        <v>69.7</v>
      </c>
      <c r="D2262" t="s">
        <v>7</v>
      </c>
      <c r="E2262" s="2" t="s">
        <v>12</v>
      </c>
      <c r="F2262">
        <f t="shared" si="35"/>
        <v>138.21510000000001</v>
      </c>
      <c r="G2262" t="s">
        <v>16</v>
      </c>
      <c r="J2262" t="str">
        <f>"12/04/2018 00:39"</f>
        <v>12/04/2018 00:39</v>
      </c>
    </row>
    <row r="2263" spans="1:10" x14ac:dyDescent="0.3">
      <c r="A2263" t="s">
        <v>6</v>
      </c>
      <c r="B2263" t="str">
        <f>"12/04/2018 00:00"</f>
        <v>12/04/2018 00:00</v>
      </c>
      <c r="C2263">
        <v>69.7</v>
      </c>
      <c r="D2263" t="s">
        <v>7</v>
      </c>
      <c r="E2263" s="2" t="s">
        <v>12</v>
      </c>
      <c r="F2263">
        <f t="shared" si="35"/>
        <v>138.21510000000001</v>
      </c>
      <c r="G2263" t="s">
        <v>16</v>
      </c>
      <c r="J2263" t="str">
        <f>"12/05/2018 00:39"</f>
        <v>12/05/2018 00:39</v>
      </c>
    </row>
    <row r="2264" spans="1:10" x14ac:dyDescent="0.3">
      <c r="A2264" t="s">
        <v>6</v>
      </c>
      <c r="B2264" t="str">
        <f>"12/05/2018 00:00"</f>
        <v>12/05/2018 00:00</v>
      </c>
      <c r="C2264">
        <v>69.7</v>
      </c>
      <c r="D2264" t="s">
        <v>7</v>
      </c>
      <c r="E2264" s="2" t="s">
        <v>12</v>
      </c>
      <c r="F2264">
        <f t="shared" si="35"/>
        <v>138.21510000000001</v>
      </c>
      <c r="G2264" t="s">
        <v>16</v>
      </c>
      <c r="J2264" t="str">
        <f>"12/06/2018 00:39"</f>
        <v>12/06/2018 00:39</v>
      </c>
    </row>
    <row r="2265" spans="1:10" x14ac:dyDescent="0.3">
      <c r="A2265" t="s">
        <v>6</v>
      </c>
      <c r="B2265" t="str">
        <f>"12/06/2018 00:00"</f>
        <v>12/06/2018 00:00</v>
      </c>
      <c r="C2265">
        <v>67.400000000000006</v>
      </c>
      <c r="D2265" t="s">
        <v>7</v>
      </c>
      <c r="E2265" s="2" t="s">
        <v>12</v>
      </c>
      <c r="F2265">
        <f t="shared" si="35"/>
        <v>133.65420000000003</v>
      </c>
      <c r="G2265" t="s">
        <v>16</v>
      </c>
      <c r="J2265" t="str">
        <f>"12/07/2018 00:39"</f>
        <v>12/07/2018 00:39</v>
      </c>
    </row>
    <row r="2266" spans="1:10" x14ac:dyDescent="0.3">
      <c r="A2266" t="s">
        <v>6</v>
      </c>
      <c r="B2266" t="str">
        <f>"12/07/2018 00:00"</f>
        <v>12/07/2018 00:00</v>
      </c>
      <c r="C2266">
        <v>62.4</v>
      </c>
      <c r="D2266" t="s">
        <v>7</v>
      </c>
      <c r="E2266" s="2" t="s">
        <v>12</v>
      </c>
      <c r="F2266">
        <f t="shared" si="35"/>
        <v>123.7392</v>
      </c>
      <c r="G2266" t="s">
        <v>16</v>
      </c>
      <c r="J2266" t="str">
        <f>"12/08/2018 00:39"</f>
        <v>12/08/2018 00:39</v>
      </c>
    </row>
    <row r="2267" spans="1:10" x14ac:dyDescent="0.3">
      <c r="A2267" t="s">
        <v>6</v>
      </c>
      <c r="B2267" t="str">
        <f>"12/08/2018 00:00"</f>
        <v>12/08/2018 00:00</v>
      </c>
      <c r="C2267">
        <v>56.1</v>
      </c>
      <c r="D2267" t="s">
        <v>7</v>
      </c>
      <c r="E2267" s="2" t="s">
        <v>12</v>
      </c>
      <c r="F2267">
        <f t="shared" si="35"/>
        <v>111.24630000000001</v>
      </c>
      <c r="G2267" t="s">
        <v>16</v>
      </c>
      <c r="J2267" t="str">
        <f>"12/09/2018 00:39"</f>
        <v>12/09/2018 00:39</v>
      </c>
    </row>
    <row r="2268" spans="1:10" x14ac:dyDescent="0.3">
      <c r="A2268" t="s">
        <v>6</v>
      </c>
      <c r="B2268" t="str">
        <f>"12/09/2018 00:00"</f>
        <v>12/09/2018 00:00</v>
      </c>
      <c r="C2268">
        <v>51.4</v>
      </c>
      <c r="D2268" t="s">
        <v>7</v>
      </c>
      <c r="E2268" s="2" t="s">
        <v>12</v>
      </c>
      <c r="F2268">
        <f t="shared" si="35"/>
        <v>101.92620000000001</v>
      </c>
      <c r="G2268" t="s">
        <v>16</v>
      </c>
      <c r="J2268" t="str">
        <f>"12/10/2018 00:39"</f>
        <v>12/10/2018 00:39</v>
      </c>
    </row>
    <row r="2269" spans="1:10" x14ac:dyDescent="0.3">
      <c r="A2269" t="s">
        <v>6</v>
      </c>
      <c r="B2269" t="str">
        <f>"12/10/2018 00:00"</f>
        <v>12/10/2018 00:00</v>
      </c>
      <c r="C2269">
        <v>49.6</v>
      </c>
      <c r="D2269" t="s">
        <v>7</v>
      </c>
      <c r="E2269" s="2" t="s">
        <v>12</v>
      </c>
      <c r="F2269">
        <f t="shared" si="35"/>
        <v>98.356800000000007</v>
      </c>
      <c r="G2269" t="s">
        <v>16</v>
      </c>
      <c r="J2269" t="str">
        <f>"12/11/2018 00:39"</f>
        <v>12/11/2018 00:39</v>
      </c>
    </row>
    <row r="2270" spans="1:10" x14ac:dyDescent="0.3">
      <c r="A2270" t="s">
        <v>6</v>
      </c>
      <c r="B2270" t="str">
        <f>"12/11/2018 00:00"</f>
        <v>12/11/2018 00:00</v>
      </c>
      <c r="C2270">
        <v>51.1</v>
      </c>
      <c r="D2270" t="s">
        <v>7</v>
      </c>
      <c r="E2270" s="2" t="s">
        <v>12</v>
      </c>
      <c r="F2270">
        <f t="shared" si="35"/>
        <v>101.33130000000001</v>
      </c>
      <c r="G2270" t="s">
        <v>16</v>
      </c>
      <c r="J2270" t="str">
        <f>"12/12/2018 00:39"</f>
        <v>12/12/2018 00:39</v>
      </c>
    </row>
    <row r="2271" spans="1:10" x14ac:dyDescent="0.3">
      <c r="A2271" t="s">
        <v>6</v>
      </c>
      <c r="B2271" t="str">
        <f>"12/12/2018 00:00"</f>
        <v>12/12/2018 00:00</v>
      </c>
      <c r="C2271">
        <v>52</v>
      </c>
      <c r="D2271" t="s">
        <v>7</v>
      </c>
      <c r="E2271" s="2" t="s">
        <v>12</v>
      </c>
      <c r="F2271">
        <f t="shared" si="35"/>
        <v>103.116</v>
      </c>
      <c r="G2271" t="s">
        <v>16</v>
      </c>
      <c r="J2271" t="str">
        <f>"12/13/2018 00:39"</f>
        <v>12/13/2018 00:39</v>
      </c>
    </row>
    <row r="2272" spans="1:10" x14ac:dyDescent="0.3">
      <c r="A2272" t="s">
        <v>6</v>
      </c>
      <c r="B2272" t="str">
        <f>"12/13/2018 00:00"</f>
        <v>12/13/2018 00:00</v>
      </c>
      <c r="C2272">
        <v>52.2</v>
      </c>
      <c r="D2272" t="s">
        <v>7</v>
      </c>
      <c r="E2272" s="2" t="s">
        <v>12</v>
      </c>
      <c r="F2272">
        <f t="shared" si="35"/>
        <v>103.51260000000001</v>
      </c>
      <c r="G2272" t="s">
        <v>16</v>
      </c>
      <c r="J2272" t="str">
        <f>"12/14/2018 00:39"</f>
        <v>12/14/2018 00:39</v>
      </c>
    </row>
    <row r="2273" spans="1:10" x14ac:dyDescent="0.3">
      <c r="A2273" t="s">
        <v>6</v>
      </c>
      <c r="B2273" t="str">
        <f>"12/14/2018 00:00"</f>
        <v>12/14/2018 00:00</v>
      </c>
      <c r="C2273">
        <v>52.2</v>
      </c>
      <c r="D2273" t="s">
        <v>7</v>
      </c>
      <c r="E2273" s="2" t="s">
        <v>12</v>
      </c>
      <c r="F2273">
        <f t="shared" si="35"/>
        <v>103.51260000000001</v>
      </c>
      <c r="G2273" t="s">
        <v>16</v>
      </c>
      <c r="J2273" t="str">
        <f>"12/15/2018 00:39"</f>
        <v>12/15/2018 00:39</v>
      </c>
    </row>
    <row r="2274" spans="1:10" x14ac:dyDescent="0.3">
      <c r="A2274" t="s">
        <v>6</v>
      </c>
      <c r="B2274" t="str">
        <f>"12/15/2018 00:00"</f>
        <v>12/15/2018 00:00</v>
      </c>
      <c r="C2274">
        <v>52.1</v>
      </c>
      <c r="D2274" t="s">
        <v>7</v>
      </c>
      <c r="E2274" s="2" t="s">
        <v>12</v>
      </c>
      <c r="F2274">
        <f t="shared" si="35"/>
        <v>103.3143</v>
      </c>
      <c r="G2274" t="s">
        <v>16</v>
      </c>
      <c r="J2274" t="str">
        <f>"12/16/2018 00:39"</f>
        <v>12/16/2018 00:39</v>
      </c>
    </row>
    <row r="2275" spans="1:10" x14ac:dyDescent="0.3">
      <c r="A2275" t="s">
        <v>6</v>
      </c>
      <c r="B2275" t="str">
        <f>"12/16/2018 00:00"</f>
        <v>12/16/2018 00:00</v>
      </c>
      <c r="C2275">
        <v>52.1</v>
      </c>
      <c r="D2275" t="s">
        <v>7</v>
      </c>
      <c r="E2275" s="2" t="s">
        <v>12</v>
      </c>
      <c r="F2275">
        <f t="shared" si="35"/>
        <v>103.3143</v>
      </c>
      <c r="G2275" t="s">
        <v>16</v>
      </c>
      <c r="J2275" t="str">
        <f>"12/17/2018 00:39"</f>
        <v>12/17/2018 00:39</v>
      </c>
    </row>
    <row r="2276" spans="1:10" x14ac:dyDescent="0.3">
      <c r="A2276" t="s">
        <v>6</v>
      </c>
      <c r="B2276" t="str">
        <f>"12/17/2018 00:00"</f>
        <v>12/17/2018 00:00</v>
      </c>
      <c r="C2276">
        <v>52</v>
      </c>
      <c r="D2276" t="s">
        <v>7</v>
      </c>
      <c r="E2276" s="2" t="s">
        <v>12</v>
      </c>
      <c r="F2276">
        <f t="shared" si="35"/>
        <v>103.116</v>
      </c>
      <c r="G2276" t="s">
        <v>16</v>
      </c>
      <c r="J2276" t="str">
        <f>"12/18/2018 00:39"</f>
        <v>12/18/2018 00:39</v>
      </c>
    </row>
    <row r="2277" spans="1:10" x14ac:dyDescent="0.3">
      <c r="A2277" t="s">
        <v>6</v>
      </c>
      <c r="B2277" t="str">
        <f>"12/18/2018 00:00"</f>
        <v>12/18/2018 00:00</v>
      </c>
      <c r="C2277">
        <v>51.9</v>
      </c>
      <c r="D2277" t="s">
        <v>7</v>
      </c>
      <c r="E2277" s="2" t="s">
        <v>12</v>
      </c>
      <c r="F2277">
        <f t="shared" si="35"/>
        <v>102.9177</v>
      </c>
      <c r="G2277" t="s">
        <v>16</v>
      </c>
      <c r="J2277" t="str">
        <f>"12/19/2018 00:39"</f>
        <v>12/19/2018 00:39</v>
      </c>
    </row>
    <row r="2278" spans="1:10" x14ac:dyDescent="0.3">
      <c r="A2278" t="s">
        <v>6</v>
      </c>
      <c r="B2278" t="str">
        <f>"12/19/2018 00:00"</f>
        <v>12/19/2018 00:00</v>
      </c>
      <c r="C2278">
        <v>51.8</v>
      </c>
      <c r="D2278" t="s">
        <v>7</v>
      </c>
      <c r="E2278" s="2" t="s">
        <v>12</v>
      </c>
      <c r="F2278">
        <f t="shared" si="35"/>
        <v>102.71939999999999</v>
      </c>
      <c r="G2278" t="s">
        <v>16</v>
      </c>
      <c r="J2278" t="str">
        <f>"12/20/2018 00:38"</f>
        <v>12/20/2018 00:38</v>
      </c>
    </row>
    <row r="2279" spans="1:10" x14ac:dyDescent="0.3">
      <c r="A2279" t="s">
        <v>6</v>
      </c>
      <c r="B2279" t="str">
        <f>"12/20/2018 00:00"</f>
        <v>12/20/2018 00:00</v>
      </c>
      <c r="C2279">
        <v>51.7</v>
      </c>
      <c r="D2279" t="s">
        <v>7</v>
      </c>
      <c r="E2279" s="2" t="s">
        <v>12</v>
      </c>
      <c r="F2279">
        <f t="shared" si="35"/>
        <v>102.5211</v>
      </c>
      <c r="G2279" t="s">
        <v>16</v>
      </c>
      <c r="J2279" t="str">
        <f>"12/21/2018 00:39"</f>
        <v>12/21/2018 00:39</v>
      </c>
    </row>
    <row r="2280" spans="1:10" x14ac:dyDescent="0.3">
      <c r="A2280" t="s">
        <v>6</v>
      </c>
      <c r="B2280" t="str">
        <f>"12/21/2018 00:00"</f>
        <v>12/21/2018 00:00</v>
      </c>
      <c r="C2280">
        <v>51.7</v>
      </c>
      <c r="D2280" t="s">
        <v>7</v>
      </c>
      <c r="E2280" s="2" t="s">
        <v>12</v>
      </c>
      <c r="F2280">
        <f t="shared" si="35"/>
        <v>102.5211</v>
      </c>
      <c r="G2280" t="s">
        <v>16</v>
      </c>
      <c r="J2280" t="str">
        <f>"12/22/2018 00:39"</f>
        <v>12/22/2018 00:39</v>
      </c>
    </row>
    <row r="2281" spans="1:10" x14ac:dyDescent="0.3">
      <c r="A2281" t="s">
        <v>6</v>
      </c>
      <c r="B2281" t="str">
        <f>"12/22/2018 00:00"</f>
        <v>12/22/2018 00:00</v>
      </c>
      <c r="C2281">
        <v>52.1</v>
      </c>
      <c r="D2281" t="s">
        <v>7</v>
      </c>
      <c r="E2281" s="2" t="s">
        <v>12</v>
      </c>
      <c r="F2281">
        <f t="shared" si="35"/>
        <v>103.3143</v>
      </c>
      <c r="G2281" t="s">
        <v>16</v>
      </c>
      <c r="J2281" t="str">
        <f>"12/23/2018 00:39"</f>
        <v>12/23/2018 00:39</v>
      </c>
    </row>
    <row r="2282" spans="1:10" x14ac:dyDescent="0.3">
      <c r="A2282" t="s">
        <v>6</v>
      </c>
      <c r="B2282" t="str">
        <f>"12/23/2018 00:00"</f>
        <v>12/23/2018 00:00</v>
      </c>
      <c r="C2282">
        <v>52.1</v>
      </c>
      <c r="D2282" t="s">
        <v>7</v>
      </c>
      <c r="E2282" s="2" t="s">
        <v>12</v>
      </c>
      <c r="F2282">
        <f t="shared" si="35"/>
        <v>103.3143</v>
      </c>
      <c r="G2282" t="s">
        <v>16</v>
      </c>
      <c r="J2282" t="str">
        <f>"12/24/2018 00:39"</f>
        <v>12/24/2018 00:39</v>
      </c>
    </row>
    <row r="2283" spans="1:10" x14ac:dyDescent="0.3">
      <c r="A2283" t="s">
        <v>6</v>
      </c>
      <c r="B2283" t="str">
        <f>"12/24/2018 00:00"</f>
        <v>12/24/2018 00:00</v>
      </c>
      <c r="C2283">
        <v>52.1</v>
      </c>
      <c r="D2283" t="s">
        <v>7</v>
      </c>
      <c r="E2283" s="2" t="s">
        <v>12</v>
      </c>
      <c r="F2283">
        <f t="shared" si="35"/>
        <v>103.3143</v>
      </c>
      <c r="G2283" t="s">
        <v>16</v>
      </c>
      <c r="J2283" t="str">
        <f>"12/25/2018 00:39"</f>
        <v>12/25/2018 00:39</v>
      </c>
    </row>
    <row r="2284" spans="1:10" x14ac:dyDescent="0.3">
      <c r="A2284" t="s">
        <v>6</v>
      </c>
      <c r="B2284" t="str">
        <f>"12/25/2018 00:00"</f>
        <v>12/25/2018 00:00</v>
      </c>
      <c r="C2284">
        <v>52</v>
      </c>
      <c r="D2284" t="s">
        <v>7</v>
      </c>
      <c r="E2284" s="2" t="s">
        <v>12</v>
      </c>
      <c r="F2284">
        <f t="shared" si="35"/>
        <v>103.116</v>
      </c>
      <c r="G2284" t="s">
        <v>16</v>
      </c>
      <c r="J2284" t="str">
        <f>"12/26/2018 00:39"</f>
        <v>12/26/2018 00:39</v>
      </c>
    </row>
    <row r="2285" spans="1:10" x14ac:dyDescent="0.3">
      <c r="A2285" t="s">
        <v>6</v>
      </c>
      <c r="B2285" t="str">
        <f>"12/26/2018 00:00"</f>
        <v>12/26/2018 00:00</v>
      </c>
      <c r="C2285">
        <v>52.1</v>
      </c>
      <c r="D2285" t="s">
        <v>7</v>
      </c>
      <c r="E2285" s="2" t="s">
        <v>12</v>
      </c>
      <c r="F2285">
        <f t="shared" si="35"/>
        <v>103.3143</v>
      </c>
      <c r="G2285" t="s">
        <v>16</v>
      </c>
      <c r="J2285" t="str">
        <f>"12/27/2018 00:39"</f>
        <v>12/27/2018 00:39</v>
      </c>
    </row>
    <row r="2286" spans="1:10" x14ac:dyDescent="0.3">
      <c r="A2286" t="s">
        <v>6</v>
      </c>
      <c r="B2286" t="str">
        <f>"12/27/2018 00:00"</f>
        <v>12/27/2018 00:00</v>
      </c>
      <c r="C2286">
        <v>52.2</v>
      </c>
      <c r="D2286" t="s">
        <v>7</v>
      </c>
      <c r="E2286" s="2" t="s">
        <v>12</v>
      </c>
      <c r="F2286">
        <f t="shared" si="35"/>
        <v>103.51260000000001</v>
      </c>
      <c r="G2286" t="s">
        <v>16</v>
      </c>
      <c r="J2286" t="str">
        <f>"12/28/2018 00:39"</f>
        <v>12/28/2018 00:39</v>
      </c>
    </row>
    <row r="2287" spans="1:10" x14ac:dyDescent="0.3">
      <c r="A2287" t="s">
        <v>6</v>
      </c>
      <c r="B2287" t="str">
        <f>"12/28/2018 00:00"</f>
        <v>12/28/2018 00:00</v>
      </c>
      <c r="C2287">
        <v>52.2</v>
      </c>
      <c r="D2287" t="s">
        <v>7</v>
      </c>
      <c r="E2287" s="2" t="s">
        <v>12</v>
      </c>
      <c r="F2287">
        <f t="shared" si="35"/>
        <v>103.51260000000001</v>
      </c>
      <c r="G2287" t="s">
        <v>16</v>
      </c>
      <c r="J2287" t="str">
        <f>"12/29/2018 00:39"</f>
        <v>12/29/2018 00:39</v>
      </c>
    </row>
    <row r="2288" spans="1:10" x14ac:dyDescent="0.3">
      <c r="A2288" t="s">
        <v>6</v>
      </c>
      <c r="B2288" t="str">
        <f>"12/29/2018 00:00"</f>
        <v>12/29/2018 00:00</v>
      </c>
      <c r="C2288">
        <v>52.2</v>
      </c>
      <c r="D2288" t="s">
        <v>7</v>
      </c>
      <c r="E2288" s="2" t="s">
        <v>12</v>
      </c>
      <c r="F2288">
        <f t="shared" si="35"/>
        <v>103.51260000000001</v>
      </c>
      <c r="G2288" t="s">
        <v>16</v>
      </c>
      <c r="J2288" t="str">
        <f>"12/30/2018 00:39"</f>
        <v>12/30/2018 00:39</v>
      </c>
    </row>
    <row r="2289" spans="1:10" x14ac:dyDescent="0.3">
      <c r="A2289" t="s">
        <v>6</v>
      </c>
      <c r="B2289" t="str">
        <f>"12/30/2018 00:00"</f>
        <v>12/30/2018 00:00</v>
      </c>
      <c r="C2289">
        <v>52.2</v>
      </c>
      <c r="D2289" t="s">
        <v>7</v>
      </c>
      <c r="E2289" s="2" t="s">
        <v>12</v>
      </c>
      <c r="F2289">
        <f t="shared" si="35"/>
        <v>103.51260000000001</v>
      </c>
      <c r="G2289" t="s">
        <v>16</v>
      </c>
      <c r="J2289" t="str">
        <f>"12/31/2018 00:39"</f>
        <v>12/31/2018 00:39</v>
      </c>
    </row>
    <row r="2290" spans="1:10" x14ac:dyDescent="0.3">
      <c r="A2290" t="s">
        <v>6</v>
      </c>
      <c r="B2290" t="str">
        <f>"12/31/2018 00:00"</f>
        <v>12/31/2018 00:00</v>
      </c>
      <c r="C2290">
        <v>52.2</v>
      </c>
      <c r="D2290" t="s">
        <v>7</v>
      </c>
      <c r="E2290" s="2" t="s">
        <v>12</v>
      </c>
      <c r="F2290">
        <f t="shared" si="35"/>
        <v>103.51260000000001</v>
      </c>
      <c r="G2290" t="s">
        <v>16</v>
      </c>
      <c r="J2290" t="str">
        <f>"01/01/2019 00:39"</f>
        <v>01/01/2019 00:39</v>
      </c>
    </row>
    <row r="2291" spans="1:10" x14ac:dyDescent="0.3">
      <c r="A2291" t="s">
        <v>6</v>
      </c>
      <c r="B2291" t="str">
        <f>"01/01/2019 00:00"</f>
        <v>01/01/2019 00:00</v>
      </c>
      <c r="C2291">
        <v>52.2</v>
      </c>
      <c r="D2291" t="s">
        <v>7</v>
      </c>
      <c r="E2291" s="2" t="s">
        <v>12</v>
      </c>
      <c r="F2291">
        <f t="shared" si="35"/>
        <v>103.51260000000001</v>
      </c>
      <c r="G2291" t="s">
        <v>16</v>
      </c>
      <c r="J2291" t="str">
        <f>"01/02/2019 00:39"</f>
        <v>01/02/2019 00:39</v>
      </c>
    </row>
    <row r="2292" spans="1:10" x14ac:dyDescent="0.3">
      <c r="A2292" t="s">
        <v>6</v>
      </c>
      <c r="B2292" t="str">
        <f>"01/02/2019 00:00"</f>
        <v>01/02/2019 00:00</v>
      </c>
      <c r="C2292">
        <v>52.2</v>
      </c>
      <c r="D2292" t="s">
        <v>7</v>
      </c>
      <c r="E2292" s="2" t="s">
        <v>12</v>
      </c>
      <c r="F2292">
        <f t="shared" si="35"/>
        <v>103.51260000000001</v>
      </c>
      <c r="G2292" t="s">
        <v>16</v>
      </c>
      <c r="J2292" t="str">
        <f>"01/03/2019 00:39"</f>
        <v>01/03/2019 00:39</v>
      </c>
    </row>
    <row r="2293" spans="1:10" x14ac:dyDescent="0.3">
      <c r="A2293" t="s">
        <v>6</v>
      </c>
      <c r="B2293" t="str">
        <f>"01/03/2019 00:00"</f>
        <v>01/03/2019 00:00</v>
      </c>
      <c r="C2293">
        <v>52.2</v>
      </c>
      <c r="D2293" t="s">
        <v>7</v>
      </c>
      <c r="E2293" s="2" t="s">
        <v>12</v>
      </c>
      <c r="F2293">
        <f t="shared" si="35"/>
        <v>103.51260000000001</v>
      </c>
      <c r="G2293" t="s">
        <v>16</v>
      </c>
      <c r="J2293" t="str">
        <f>"01/04/2019 00:39"</f>
        <v>01/04/2019 00:39</v>
      </c>
    </row>
    <row r="2294" spans="1:10" x14ac:dyDescent="0.3">
      <c r="A2294" t="s">
        <v>6</v>
      </c>
      <c r="B2294" t="str">
        <f>"01/04/2019 00:00"</f>
        <v>01/04/2019 00:00</v>
      </c>
      <c r="C2294">
        <v>52.2</v>
      </c>
      <c r="D2294" t="s">
        <v>7</v>
      </c>
      <c r="E2294" s="2" t="s">
        <v>12</v>
      </c>
      <c r="F2294">
        <f t="shared" si="35"/>
        <v>103.51260000000001</v>
      </c>
      <c r="G2294" t="s">
        <v>16</v>
      </c>
      <c r="J2294" t="str">
        <f>"01/05/2019 00:39"</f>
        <v>01/05/2019 00:39</v>
      </c>
    </row>
    <row r="2295" spans="1:10" x14ac:dyDescent="0.3">
      <c r="A2295" t="s">
        <v>6</v>
      </c>
      <c r="B2295" t="str">
        <f>"01/05/2019 00:00"</f>
        <v>01/05/2019 00:00</v>
      </c>
      <c r="C2295">
        <v>52.2</v>
      </c>
      <c r="D2295" t="s">
        <v>7</v>
      </c>
      <c r="E2295" s="2" t="s">
        <v>12</v>
      </c>
      <c r="F2295">
        <f t="shared" si="35"/>
        <v>103.51260000000001</v>
      </c>
      <c r="G2295" t="s">
        <v>16</v>
      </c>
      <c r="J2295" t="str">
        <f>"01/06/2019 00:39"</f>
        <v>01/06/2019 00:39</v>
      </c>
    </row>
    <row r="2296" spans="1:10" x14ac:dyDescent="0.3">
      <c r="A2296" t="s">
        <v>6</v>
      </c>
      <c r="B2296" t="str">
        <f>"01/06/2019 00:00"</f>
        <v>01/06/2019 00:00</v>
      </c>
      <c r="C2296">
        <v>52.2</v>
      </c>
      <c r="D2296" t="s">
        <v>7</v>
      </c>
      <c r="E2296" s="2" t="s">
        <v>12</v>
      </c>
      <c r="F2296">
        <f t="shared" si="35"/>
        <v>103.51260000000001</v>
      </c>
      <c r="G2296" t="s">
        <v>16</v>
      </c>
      <c r="J2296" t="str">
        <f>"01/07/2019 00:39"</f>
        <v>01/07/2019 00:39</v>
      </c>
    </row>
    <row r="2297" spans="1:10" x14ac:dyDescent="0.3">
      <c r="A2297" t="s">
        <v>6</v>
      </c>
      <c r="B2297" t="str">
        <f>"01/07/2019 00:00"</f>
        <v>01/07/2019 00:00</v>
      </c>
      <c r="C2297">
        <v>52.2</v>
      </c>
      <c r="D2297" t="s">
        <v>7</v>
      </c>
      <c r="E2297" s="2" t="s">
        <v>12</v>
      </c>
      <c r="F2297">
        <f t="shared" si="35"/>
        <v>103.51260000000001</v>
      </c>
      <c r="G2297" t="s">
        <v>16</v>
      </c>
      <c r="J2297" t="str">
        <f>"01/08/2019 00:39"</f>
        <v>01/08/2019 00:39</v>
      </c>
    </row>
    <row r="2298" spans="1:10" x14ac:dyDescent="0.3">
      <c r="A2298" t="s">
        <v>6</v>
      </c>
      <c r="B2298" t="str">
        <f>"01/08/2019 00:00"</f>
        <v>01/08/2019 00:00</v>
      </c>
      <c r="C2298">
        <v>52.2</v>
      </c>
      <c r="D2298" t="s">
        <v>7</v>
      </c>
      <c r="E2298" s="2" t="s">
        <v>12</v>
      </c>
      <c r="F2298">
        <f t="shared" si="35"/>
        <v>103.51260000000001</v>
      </c>
      <c r="G2298" t="s">
        <v>16</v>
      </c>
      <c r="J2298" t="str">
        <f>"01/09/2019 00:39"</f>
        <v>01/09/2019 00:39</v>
      </c>
    </row>
    <row r="2299" spans="1:10" x14ac:dyDescent="0.3">
      <c r="A2299" t="s">
        <v>6</v>
      </c>
      <c r="B2299" t="str">
        <f>"01/09/2019 00:00"</f>
        <v>01/09/2019 00:00</v>
      </c>
      <c r="C2299">
        <v>52.2</v>
      </c>
      <c r="D2299" t="s">
        <v>7</v>
      </c>
      <c r="E2299" s="2" t="s">
        <v>12</v>
      </c>
      <c r="F2299">
        <f t="shared" si="35"/>
        <v>103.51260000000001</v>
      </c>
      <c r="G2299" t="s">
        <v>16</v>
      </c>
      <c r="J2299" t="str">
        <f>"01/10/2019 00:39"</f>
        <v>01/10/2019 00:39</v>
      </c>
    </row>
    <row r="2300" spans="1:10" x14ac:dyDescent="0.3">
      <c r="A2300" t="s">
        <v>6</v>
      </c>
      <c r="B2300" t="str">
        <f>"01/10/2019 00:00"</f>
        <v>01/10/2019 00:00</v>
      </c>
      <c r="C2300">
        <v>52.2</v>
      </c>
      <c r="D2300" t="s">
        <v>7</v>
      </c>
      <c r="E2300" s="2" t="s">
        <v>12</v>
      </c>
      <c r="F2300">
        <f t="shared" si="35"/>
        <v>103.51260000000001</v>
      </c>
      <c r="G2300" t="s">
        <v>16</v>
      </c>
      <c r="J2300" t="str">
        <f>"01/11/2019 00:39"</f>
        <v>01/11/2019 00:39</v>
      </c>
    </row>
    <row r="2301" spans="1:10" x14ac:dyDescent="0.3">
      <c r="A2301" t="s">
        <v>6</v>
      </c>
      <c r="B2301" t="str">
        <f>"01/11/2019 00:00"</f>
        <v>01/11/2019 00:00</v>
      </c>
      <c r="C2301">
        <v>52.2</v>
      </c>
      <c r="D2301" t="s">
        <v>7</v>
      </c>
      <c r="E2301" s="2" t="s">
        <v>12</v>
      </c>
      <c r="F2301">
        <f t="shared" si="35"/>
        <v>103.51260000000001</v>
      </c>
      <c r="G2301" t="s">
        <v>16</v>
      </c>
      <c r="J2301" t="str">
        <f>"01/12/2019 00:39"</f>
        <v>01/12/2019 00:39</v>
      </c>
    </row>
    <row r="2302" spans="1:10" x14ac:dyDescent="0.3">
      <c r="A2302" t="s">
        <v>6</v>
      </c>
      <c r="B2302" t="str">
        <f>"01/12/2019 00:00"</f>
        <v>01/12/2019 00:00</v>
      </c>
      <c r="C2302">
        <v>52.2</v>
      </c>
      <c r="D2302" t="s">
        <v>7</v>
      </c>
      <c r="E2302" s="2" t="s">
        <v>12</v>
      </c>
      <c r="F2302">
        <f t="shared" si="35"/>
        <v>103.51260000000001</v>
      </c>
      <c r="G2302" t="s">
        <v>16</v>
      </c>
      <c r="J2302" t="str">
        <f>"01/13/2019 00:39"</f>
        <v>01/13/2019 00:39</v>
      </c>
    </row>
    <row r="2303" spans="1:10" x14ac:dyDescent="0.3">
      <c r="A2303" t="s">
        <v>6</v>
      </c>
      <c r="B2303" t="str">
        <f>"01/13/2019 00:00"</f>
        <v>01/13/2019 00:00</v>
      </c>
      <c r="C2303">
        <v>52.2</v>
      </c>
      <c r="D2303" t="s">
        <v>7</v>
      </c>
      <c r="E2303" s="2" t="s">
        <v>12</v>
      </c>
      <c r="F2303">
        <f t="shared" si="35"/>
        <v>103.51260000000001</v>
      </c>
      <c r="G2303" t="s">
        <v>16</v>
      </c>
      <c r="J2303" t="str">
        <f>"01/14/2019 00:39"</f>
        <v>01/14/2019 00:39</v>
      </c>
    </row>
    <row r="2304" spans="1:10" x14ac:dyDescent="0.3">
      <c r="A2304" t="s">
        <v>6</v>
      </c>
      <c r="B2304" t="str">
        <f>"01/14/2019 00:00"</f>
        <v>01/14/2019 00:00</v>
      </c>
      <c r="C2304">
        <v>52.2</v>
      </c>
      <c r="D2304" t="s">
        <v>7</v>
      </c>
      <c r="E2304" s="2" t="s">
        <v>12</v>
      </c>
      <c r="F2304">
        <f t="shared" si="35"/>
        <v>103.51260000000001</v>
      </c>
      <c r="G2304" t="s">
        <v>16</v>
      </c>
      <c r="J2304" t="str">
        <f>"01/15/2019 00:39"</f>
        <v>01/15/2019 00:39</v>
      </c>
    </row>
    <row r="2305" spans="1:10" x14ac:dyDescent="0.3">
      <c r="A2305" t="s">
        <v>6</v>
      </c>
      <c r="B2305" t="str">
        <f>"01/15/2019 00:00"</f>
        <v>01/15/2019 00:00</v>
      </c>
      <c r="C2305">
        <v>52.2</v>
      </c>
      <c r="D2305" t="s">
        <v>7</v>
      </c>
      <c r="E2305" s="2" t="s">
        <v>12</v>
      </c>
      <c r="F2305">
        <f t="shared" si="35"/>
        <v>103.51260000000001</v>
      </c>
      <c r="G2305" t="s">
        <v>16</v>
      </c>
      <c r="J2305" t="str">
        <f>"01/16/2019 00:39"</f>
        <v>01/16/2019 00:39</v>
      </c>
    </row>
    <row r="2306" spans="1:10" x14ac:dyDescent="0.3">
      <c r="A2306" t="s">
        <v>6</v>
      </c>
      <c r="B2306" t="str">
        <f>"01/16/2019 00:00"</f>
        <v>01/16/2019 00:00</v>
      </c>
      <c r="C2306">
        <v>52.2</v>
      </c>
      <c r="D2306" t="s">
        <v>7</v>
      </c>
      <c r="E2306" s="2" t="s">
        <v>12</v>
      </c>
      <c r="F2306">
        <f t="shared" si="35"/>
        <v>103.51260000000001</v>
      </c>
      <c r="G2306" t="s">
        <v>16</v>
      </c>
      <c r="J2306" t="str">
        <f>"01/17/2019 00:39"</f>
        <v>01/17/2019 00:39</v>
      </c>
    </row>
    <row r="2307" spans="1:10" x14ac:dyDescent="0.3">
      <c r="A2307" t="s">
        <v>6</v>
      </c>
      <c r="B2307" t="str">
        <f>"01/17/2019 00:00"</f>
        <v>01/17/2019 00:00</v>
      </c>
      <c r="C2307">
        <v>52.2</v>
      </c>
      <c r="D2307" t="s">
        <v>7</v>
      </c>
      <c r="E2307" s="2" t="s">
        <v>12</v>
      </c>
      <c r="F2307">
        <f t="shared" si="35"/>
        <v>103.51260000000001</v>
      </c>
      <c r="G2307" t="s">
        <v>16</v>
      </c>
      <c r="J2307" t="str">
        <f>"01/18/2019 13:51"</f>
        <v>01/18/2019 13:51</v>
      </c>
    </row>
    <row r="2308" spans="1:10" x14ac:dyDescent="0.3">
      <c r="A2308" t="s">
        <v>6</v>
      </c>
      <c r="B2308" t="str">
        <f>"01/18/2019 00:00"</f>
        <v>01/18/2019 00:00</v>
      </c>
      <c r="C2308">
        <v>52.2</v>
      </c>
      <c r="D2308" t="s">
        <v>7</v>
      </c>
      <c r="E2308" s="2" t="s">
        <v>12</v>
      </c>
      <c r="F2308">
        <f t="shared" si="35"/>
        <v>103.51260000000001</v>
      </c>
      <c r="G2308" t="s">
        <v>16</v>
      </c>
      <c r="J2308" t="str">
        <f>"01/19/2019 00:39"</f>
        <v>01/19/2019 00:39</v>
      </c>
    </row>
    <row r="2309" spans="1:10" x14ac:dyDescent="0.3">
      <c r="A2309" t="s">
        <v>6</v>
      </c>
      <c r="B2309" t="str">
        <f>"01/19/2019 00:00"</f>
        <v>01/19/2019 00:00</v>
      </c>
      <c r="C2309">
        <v>52.2</v>
      </c>
      <c r="D2309" t="s">
        <v>7</v>
      </c>
      <c r="E2309" s="2" t="s">
        <v>12</v>
      </c>
      <c r="F2309">
        <f t="shared" si="35"/>
        <v>103.51260000000001</v>
      </c>
      <c r="G2309" t="s">
        <v>16</v>
      </c>
      <c r="J2309" t="str">
        <f>"01/20/2019 00:39"</f>
        <v>01/20/2019 00:39</v>
      </c>
    </row>
    <row r="2310" spans="1:10" x14ac:dyDescent="0.3">
      <c r="A2310" t="s">
        <v>6</v>
      </c>
      <c r="B2310" t="str">
        <f>"01/20/2019 00:00"</f>
        <v>01/20/2019 00:00</v>
      </c>
      <c r="C2310">
        <v>52.2</v>
      </c>
      <c r="D2310" t="s">
        <v>7</v>
      </c>
      <c r="E2310" s="2" t="s">
        <v>12</v>
      </c>
      <c r="F2310">
        <f t="shared" si="35"/>
        <v>103.51260000000001</v>
      </c>
      <c r="G2310" t="s">
        <v>16</v>
      </c>
      <c r="J2310" t="str">
        <f>"01/21/2019 00:39"</f>
        <v>01/21/2019 00:39</v>
      </c>
    </row>
    <row r="2311" spans="1:10" x14ac:dyDescent="0.3">
      <c r="A2311" t="s">
        <v>6</v>
      </c>
      <c r="B2311" t="str">
        <f>"01/21/2019 00:00"</f>
        <v>01/21/2019 00:00</v>
      </c>
      <c r="C2311">
        <v>52.2</v>
      </c>
      <c r="D2311" t="s">
        <v>7</v>
      </c>
      <c r="E2311" s="2" t="s">
        <v>12</v>
      </c>
      <c r="F2311">
        <f t="shared" si="35"/>
        <v>103.51260000000001</v>
      </c>
      <c r="G2311" t="s">
        <v>16</v>
      </c>
      <c r="J2311" t="str">
        <f>"01/22/2019 00:39"</f>
        <v>01/22/2019 00:39</v>
      </c>
    </row>
    <row r="2312" spans="1:10" x14ac:dyDescent="0.3">
      <c r="A2312" t="s">
        <v>6</v>
      </c>
      <c r="B2312" t="str">
        <f>"01/22/2019 00:00"</f>
        <v>01/22/2019 00:00</v>
      </c>
      <c r="C2312">
        <v>52.2</v>
      </c>
      <c r="D2312" t="s">
        <v>7</v>
      </c>
      <c r="E2312" s="2" t="s">
        <v>12</v>
      </c>
      <c r="F2312">
        <f t="shared" si="35"/>
        <v>103.51260000000001</v>
      </c>
      <c r="G2312" t="s">
        <v>16</v>
      </c>
      <c r="J2312" t="str">
        <f>"01/23/2019 00:39"</f>
        <v>01/23/2019 00:39</v>
      </c>
    </row>
    <row r="2313" spans="1:10" x14ac:dyDescent="0.3">
      <c r="A2313" t="s">
        <v>6</v>
      </c>
      <c r="B2313" t="str">
        <f>"01/23/2019 00:00"</f>
        <v>01/23/2019 00:00</v>
      </c>
      <c r="C2313">
        <v>52.2</v>
      </c>
      <c r="D2313" t="s">
        <v>7</v>
      </c>
      <c r="E2313" s="2" t="s">
        <v>12</v>
      </c>
      <c r="F2313">
        <f t="shared" ref="F2313:F2376" si="36">C2313*1.983</f>
        <v>103.51260000000001</v>
      </c>
      <c r="G2313" t="s">
        <v>16</v>
      </c>
      <c r="J2313" t="str">
        <f>"01/24/2019 00:39"</f>
        <v>01/24/2019 00:39</v>
      </c>
    </row>
    <row r="2314" spans="1:10" x14ac:dyDescent="0.3">
      <c r="A2314" t="s">
        <v>6</v>
      </c>
      <c r="B2314" t="str">
        <f>"01/24/2019 00:00"</f>
        <v>01/24/2019 00:00</v>
      </c>
      <c r="C2314">
        <v>52.2</v>
      </c>
      <c r="D2314" t="s">
        <v>7</v>
      </c>
      <c r="E2314" s="2" t="s">
        <v>12</v>
      </c>
      <c r="F2314">
        <f t="shared" si="36"/>
        <v>103.51260000000001</v>
      </c>
      <c r="G2314" t="s">
        <v>16</v>
      </c>
      <c r="J2314" t="str">
        <f>"01/25/2019 00:39"</f>
        <v>01/25/2019 00:39</v>
      </c>
    </row>
    <row r="2315" spans="1:10" x14ac:dyDescent="0.3">
      <c r="A2315" t="s">
        <v>6</v>
      </c>
      <c r="B2315" t="str">
        <f>"01/25/2019 00:00"</f>
        <v>01/25/2019 00:00</v>
      </c>
      <c r="C2315">
        <v>52.2</v>
      </c>
      <c r="D2315" t="s">
        <v>7</v>
      </c>
      <c r="E2315" s="2" t="s">
        <v>12</v>
      </c>
      <c r="F2315">
        <f t="shared" si="36"/>
        <v>103.51260000000001</v>
      </c>
      <c r="G2315" t="s">
        <v>16</v>
      </c>
      <c r="J2315" t="str">
        <f>"01/26/2019 00:39"</f>
        <v>01/26/2019 00:39</v>
      </c>
    </row>
    <row r="2316" spans="1:10" x14ac:dyDescent="0.3">
      <c r="A2316" t="s">
        <v>6</v>
      </c>
      <c r="B2316" t="str">
        <f>"01/26/2019 00:00"</f>
        <v>01/26/2019 00:00</v>
      </c>
      <c r="C2316">
        <v>52.2</v>
      </c>
      <c r="D2316" t="s">
        <v>7</v>
      </c>
      <c r="E2316" s="2" t="s">
        <v>12</v>
      </c>
      <c r="F2316">
        <f t="shared" si="36"/>
        <v>103.51260000000001</v>
      </c>
      <c r="G2316" t="s">
        <v>16</v>
      </c>
      <c r="J2316" t="str">
        <f>"01/27/2019 00:39"</f>
        <v>01/27/2019 00:39</v>
      </c>
    </row>
    <row r="2317" spans="1:10" x14ac:dyDescent="0.3">
      <c r="A2317" t="s">
        <v>6</v>
      </c>
      <c r="B2317" t="str">
        <f>"01/27/2019 00:00"</f>
        <v>01/27/2019 00:00</v>
      </c>
      <c r="C2317">
        <v>52.2</v>
      </c>
      <c r="D2317" t="s">
        <v>7</v>
      </c>
      <c r="E2317" s="2" t="s">
        <v>12</v>
      </c>
      <c r="F2317">
        <f t="shared" si="36"/>
        <v>103.51260000000001</v>
      </c>
      <c r="G2317" t="s">
        <v>16</v>
      </c>
      <c r="J2317" t="str">
        <f>"01/28/2019 00:39"</f>
        <v>01/28/2019 00:39</v>
      </c>
    </row>
    <row r="2318" spans="1:10" x14ac:dyDescent="0.3">
      <c r="A2318" t="s">
        <v>6</v>
      </c>
      <c r="B2318" t="str">
        <f>"01/28/2019 00:00"</f>
        <v>01/28/2019 00:00</v>
      </c>
      <c r="C2318">
        <v>52.5</v>
      </c>
      <c r="D2318" t="s">
        <v>7</v>
      </c>
      <c r="E2318" s="2" t="s">
        <v>12</v>
      </c>
      <c r="F2318">
        <f t="shared" si="36"/>
        <v>104.1075</v>
      </c>
      <c r="G2318" t="s">
        <v>16</v>
      </c>
      <c r="J2318" t="str">
        <f>"01/29/2019 00:39"</f>
        <v>01/29/2019 00:39</v>
      </c>
    </row>
    <row r="2319" spans="1:10" x14ac:dyDescent="0.3">
      <c r="A2319" t="s">
        <v>6</v>
      </c>
      <c r="B2319" t="str">
        <f>"01/29/2019 00:00"</f>
        <v>01/29/2019 00:00</v>
      </c>
      <c r="C2319">
        <v>52.4</v>
      </c>
      <c r="D2319" t="s">
        <v>7</v>
      </c>
      <c r="E2319" s="2" t="s">
        <v>12</v>
      </c>
      <c r="F2319">
        <f t="shared" si="36"/>
        <v>103.9092</v>
      </c>
      <c r="G2319" t="s">
        <v>16</v>
      </c>
      <c r="J2319" t="str">
        <f>"01/30/2019 00:39"</f>
        <v>01/30/2019 00:39</v>
      </c>
    </row>
    <row r="2320" spans="1:10" x14ac:dyDescent="0.3">
      <c r="A2320" t="s">
        <v>6</v>
      </c>
      <c r="B2320" t="str">
        <f>"01/30/2019 00:00"</f>
        <v>01/30/2019 00:00</v>
      </c>
      <c r="C2320">
        <v>52.3</v>
      </c>
      <c r="D2320" t="s">
        <v>7</v>
      </c>
      <c r="E2320" s="2" t="s">
        <v>12</v>
      </c>
      <c r="F2320">
        <f t="shared" si="36"/>
        <v>103.7109</v>
      </c>
      <c r="G2320" t="s">
        <v>16</v>
      </c>
      <c r="J2320" t="str">
        <f>"01/31/2019 00:39"</f>
        <v>01/31/2019 00:39</v>
      </c>
    </row>
    <row r="2321" spans="1:10" x14ac:dyDescent="0.3">
      <c r="A2321" t="s">
        <v>6</v>
      </c>
      <c r="B2321" t="str">
        <f>"01/31/2019 00:00"</f>
        <v>01/31/2019 00:00</v>
      </c>
      <c r="C2321">
        <v>51.7</v>
      </c>
      <c r="D2321" t="s">
        <v>7</v>
      </c>
      <c r="E2321" s="2" t="s">
        <v>12</v>
      </c>
      <c r="F2321">
        <f t="shared" si="36"/>
        <v>102.5211</v>
      </c>
      <c r="G2321" t="s">
        <v>16</v>
      </c>
      <c r="J2321" t="str">
        <f>"02/01/2019 00:39"</f>
        <v>02/01/2019 00:39</v>
      </c>
    </row>
    <row r="2322" spans="1:10" x14ac:dyDescent="0.3">
      <c r="A2322" t="s">
        <v>6</v>
      </c>
      <c r="B2322" t="str">
        <f>"02/01/2019 00:00"</f>
        <v>02/01/2019 00:00</v>
      </c>
      <c r="C2322">
        <v>51.2</v>
      </c>
      <c r="D2322" t="s">
        <v>7</v>
      </c>
      <c r="E2322" s="2" t="s">
        <v>12</v>
      </c>
      <c r="F2322">
        <f t="shared" si="36"/>
        <v>101.52960000000002</v>
      </c>
      <c r="G2322" t="s">
        <v>16</v>
      </c>
      <c r="J2322" t="str">
        <f>"02/02/2019 00:39"</f>
        <v>02/02/2019 00:39</v>
      </c>
    </row>
    <row r="2323" spans="1:10" x14ac:dyDescent="0.3">
      <c r="A2323" t="s">
        <v>6</v>
      </c>
      <c r="B2323" t="str">
        <f>"02/02/2019 00:00"</f>
        <v>02/02/2019 00:00</v>
      </c>
      <c r="C2323">
        <v>51.1</v>
      </c>
      <c r="D2323" t="s">
        <v>7</v>
      </c>
      <c r="E2323" s="2" t="s">
        <v>12</v>
      </c>
      <c r="F2323">
        <f t="shared" si="36"/>
        <v>101.33130000000001</v>
      </c>
      <c r="G2323" t="s">
        <v>16</v>
      </c>
      <c r="J2323" t="str">
        <f>"02/03/2019 00:39"</f>
        <v>02/03/2019 00:39</v>
      </c>
    </row>
    <row r="2324" spans="1:10" x14ac:dyDescent="0.3">
      <c r="A2324" t="s">
        <v>6</v>
      </c>
      <c r="B2324" t="str">
        <f>"02/03/2019 00:00"</f>
        <v>02/03/2019 00:00</v>
      </c>
      <c r="C2324">
        <v>51.8</v>
      </c>
      <c r="D2324" t="s">
        <v>7</v>
      </c>
      <c r="E2324" s="2" t="s">
        <v>12</v>
      </c>
      <c r="F2324">
        <f t="shared" si="36"/>
        <v>102.71939999999999</v>
      </c>
      <c r="G2324" t="s">
        <v>16</v>
      </c>
      <c r="J2324" t="str">
        <f>"02/04/2019 00:39"</f>
        <v>02/04/2019 00:39</v>
      </c>
    </row>
    <row r="2325" spans="1:10" x14ac:dyDescent="0.3">
      <c r="A2325" t="s">
        <v>6</v>
      </c>
      <c r="B2325" t="str">
        <f>"02/04/2019 00:00"</f>
        <v>02/04/2019 00:00</v>
      </c>
      <c r="C2325">
        <v>52.2</v>
      </c>
      <c r="D2325" t="s">
        <v>7</v>
      </c>
      <c r="E2325" s="2" t="s">
        <v>12</v>
      </c>
      <c r="F2325">
        <f t="shared" si="36"/>
        <v>103.51260000000001</v>
      </c>
      <c r="G2325" t="s">
        <v>16</v>
      </c>
      <c r="J2325" t="str">
        <f>"02/05/2019 00:39"</f>
        <v>02/05/2019 00:39</v>
      </c>
    </row>
    <row r="2326" spans="1:10" x14ac:dyDescent="0.3">
      <c r="A2326" t="s">
        <v>6</v>
      </c>
      <c r="B2326" t="str">
        <f>"02/05/2019 00:00"</f>
        <v>02/05/2019 00:00</v>
      </c>
      <c r="C2326">
        <v>52.8</v>
      </c>
      <c r="D2326" t="s">
        <v>7</v>
      </c>
      <c r="E2326" s="2" t="s">
        <v>12</v>
      </c>
      <c r="F2326">
        <f t="shared" si="36"/>
        <v>104.7024</v>
      </c>
      <c r="G2326" t="s">
        <v>16</v>
      </c>
      <c r="J2326" t="str">
        <f>"02/06/2019 00:39"</f>
        <v>02/06/2019 00:39</v>
      </c>
    </row>
    <row r="2327" spans="1:10" x14ac:dyDescent="0.3">
      <c r="A2327" t="s">
        <v>6</v>
      </c>
      <c r="B2327" t="str">
        <f>"02/06/2019 00:00"</f>
        <v>02/06/2019 00:00</v>
      </c>
      <c r="C2327">
        <v>53.7</v>
      </c>
      <c r="D2327" t="s">
        <v>7</v>
      </c>
      <c r="E2327" s="2" t="s">
        <v>12</v>
      </c>
      <c r="F2327">
        <f t="shared" si="36"/>
        <v>106.48710000000001</v>
      </c>
      <c r="G2327" t="s">
        <v>16</v>
      </c>
      <c r="J2327" t="str">
        <f>"02/07/2019 00:39"</f>
        <v>02/07/2019 00:39</v>
      </c>
    </row>
    <row r="2328" spans="1:10" x14ac:dyDescent="0.3">
      <c r="A2328" t="s">
        <v>6</v>
      </c>
      <c r="B2328" t="str">
        <f>"02/07/2019 00:00"</f>
        <v>02/07/2019 00:00</v>
      </c>
      <c r="C2328">
        <v>54.3</v>
      </c>
      <c r="D2328" t="s">
        <v>7</v>
      </c>
      <c r="E2328" s="2" t="s">
        <v>12</v>
      </c>
      <c r="F2328">
        <f t="shared" si="36"/>
        <v>107.6769</v>
      </c>
      <c r="G2328" t="s">
        <v>16</v>
      </c>
      <c r="J2328" t="str">
        <f>"02/08/2019 00:39"</f>
        <v>02/08/2019 00:39</v>
      </c>
    </row>
    <row r="2329" spans="1:10" x14ac:dyDescent="0.3">
      <c r="A2329" t="s">
        <v>6</v>
      </c>
      <c r="B2329" t="str">
        <f>"02/08/2019 00:00"</f>
        <v>02/08/2019 00:00</v>
      </c>
      <c r="C2329">
        <v>54.6</v>
      </c>
      <c r="D2329" t="s">
        <v>7</v>
      </c>
      <c r="E2329" s="2" t="s">
        <v>12</v>
      </c>
      <c r="F2329">
        <f t="shared" si="36"/>
        <v>108.27180000000001</v>
      </c>
      <c r="G2329" t="s">
        <v>16</v>
      </c>
      <c r="J2329" t="str">
        <f>"02/09/2019 00:39"</f>
        <v>02/09/2019 00:39</v>
      </c>
    </row>
    <row r="2330" spans="1:10" x14ac:dyDescent="0.3">
      <c r="A2330" t="s">
        <v>6</v>
      </c>
      <c r="B2330" t="str">
        <f>"02/09/2019 00:00"</f>
        <v>02/09/2019 00:00</v>
      </c>
      <c r="C2330">
        <v>54.6</v>
      </c>
      <c r="D2330" t="s">
        <v>7</v>
      </c>
      <c r="E2330" s="2" t="s">
        <v>12</v>
      </c>
      <c r="F2330">
        <f t="shared" si="36"/>
        <v>108.27180000000001</v>
      </c>
      <c r="G2330" t="s">
        <v>16</v>
      </c>
      <c r="J2330" t="str">
        <f>"02/10/2019 00:39"</f>
        <v>02/10/2019 00:39</v>
      </c>
    </row>
    <row r="2331" spans="1:10" x14ac:dyDescent="0.3">
      <c r="A2331" t="s">
        <v>6</v>
      </c>
      <c r="B2331" t="str">
        <f>"02/10/2019 00:00"</f>
        <v>02/10/2019 00:00</v>
      </c>
      <c r="C2331">
        <v>54.5</v>
      </c>
      <c r="D2331" t="s">
        <v>7</v>
      </c>
      <c r="E2331" s="2" t="s">
        <v>12</v>
      </c>
      <c r="F2331">
        <f t="shared" si="36"/>
        <v>108.07350000000001</v>
      </c>
      <c r="G2331" t="s">
        <v>16</v>
      </c>
      <c r="J2331" t="str">
        <f>"02/11/2019 00:39"</f>
        <v>02/11/2019 00:39</v>
      </c>
    </row>
    <row r="2332" spans="1:10" x14ac:dyDescent="0.3">
      <c r="A2332" t="s">
        <v>6</v>
      </c>
      <c r="B2332" t="str">
        <f>"02/11/2019 00:00"</f>
        <v>02/11/2019 00:00</v>
      </c>
      <c r="C2332">
        <v>54.3</v>
      </c>
      <c r="D2332" t="s">
        <v>7</v>
      </c>
      <c r="E2332" s="2" t="s">
        <v>12</v>
      </c>
      <c r="F2332">
        <f t="shared" si="36"/>
        <v>107.6769</v>
      </c>
      <c r="G2332" t="s">
        <v>16</v>
      </c>
      <c r="J2332" t="str">
        <f>"02/12/2019 00:39"</f>
        <v>02/12/2019 00:39</v>
      </c>
    </row>
    <row r="2333" spans="1:10" x14ac:dyDescent="0.3">
      <c r="A2333" t="s">
        <v>6</v>
      </c>
      <c r="B2333" t="str">
        <f>"02/12/2019 00:00"</f>
        <v>02/12/2019 00:00</v>
      </c>
      <c r="C2333">
        <v>54.5</v>
      </c>
      <c r="D2333" t="s">
        <v>7</v>
      </c>
      <c r="E2333" s="2" t="s">
        <v>12</v>
      </c>
      <c r="F2333">
        <f t="shared" si="36"/>
        <v>108.07350000000001</v>
      </c>
      <c r="G2333" t="s">
        <v>16</v>
      </c>
      <c r="J2333" t="str">
        <f>"02/13/2019 00:39"</f>
        <v>02/13/2019 00:39</v>
      </c>
    </row>
    <row r="2334" spans="1:10" x14ac:dyDescent="0.3">
      <c r="A2334" t="s">
        <v>6</v>
      </c>
      <c r="B2334" t="str">
        <f>"02/13/2019 00:00"</f>
        <v>02/13/2019 00:00</v>
      </c>
      <c r="C2334">
        <v>54.4</v>
      </c>
      <c r="D2334" t="s">
        <v>7</v>
      </c>
      <c r="E2334" s="2" t="s">
        <v>12</v>
      </c>
      <c r="F2334">
        <f t="shared" si="36"/>
        <v>107.87520000000001</v>
      </c>
      <c r="G2334" t="s">
        <v>16</v>
      </c>
      <c r="J2334" t="str">
        <f>"02/14/2019 00:39"</f>
        <v>02/14/2019 00:39</v>
      </c>
    </row>
    <row r="2335" spans="1:10" x14ac:dyDescent="0.3">
      <c r="A2335" t="s">
        <v>6</v>
      </c>
      <c r="B2335" t="str">
        <f>"02/14/2019 00:00"</f>
        <v>02/14/2019 00:00</v>
      </c>
      <c r="C2335">
        <v>54</v>
      </c>
      <c r="D2335" t="s">
        <v>7</v>
      </c>
      <c r="E2335" s="2" t="s">
        <v>12</v>
      </c>
      <c r="F2335">
        <f t="shared" si="36"/>
        <v>107.08200000000001</v>
      </c>
      <c r="G2335" t="s">
        <v>16</v>
      </c>
      <c r="J2335" t="str">
        <f>"02/15/2019 00:39"</f>
        <v>02/15/2019 00:39</v>
      </c>
    </row>
    <row r="2336" spans="1:10" x14ac:dyDescent="0.3">
      <c r="A2336" t="s">
        <v>6</v>
      </c>
      <c r="B2336" t="str">
        <f>"02/15/2019 00:00"</f>
        <v>02/15/2019 00:00</v>
      </c>
      <c r="C2336">
        <v>54.6</v>
      </c>
      <c r="D2336" t="s">
        <v>7</v>
      </c>
      <c r="E2336" s="2" t="s">
        <v>12</v>
      </c>
      <c r="F2336">
        <f t="shared" si="36"/>
        <v>108.27180000000001</v>
      </c>
      <c r="G2336" t="s">
        <v>16</v>
      </c>
      <c r="J2336" t="str">
        <f>"02/16/2019 00:39"</f>
        <v>02/16/2019 00:39</v>
      </c>
    </row>
    <row r="2337" spans="1:10" x14ac:dyDescent="0.3">
      <c r="A2337" t="s">
        <v>6</v>
      </c>
      <c r="B2337" t="str">
        <f>"02/16/2019 00:00"</f>
        <v>02/16/2019 00:00</v>
      </c>
      <c r="C2337">
        <v>54.7</v>
      </c>
      <c r="D2337" t="s">
        <v>7</v>
      </c>
      <c r="E2337" s="2" t="s">
        <v>12</v>
      </c>
      <c r="F2337">
        <f t="shared" si="36"/>
        <v>108.47010000000002</v>
      </c>
      <c r="G2337" t="s">
        <v>16</v>
      </c>
      <c r="J2337" t="str">
        <f>"02/17/2019 00:39"</f>
        <v>02/17/2019 00:39</v>
      </c>
    </row>
    <row r="2338" spans="1:10" x14ac:dyDescent="0.3">
      <c r="A2338" t="s">
        <v>6</v>
      </c>
      <c r="B2338" t="str">
        <f>"02/17/2019 00:00"</f>
        <v>02/17/2019 00:00</v>
      </c>
      <c r="C2338">
        <v>55.2</v>
      </c>
      <c r="D2338" t="s">
        <v>7</v>
      </c>
      <c r="E2338" s="2" t="s">
        <v>12</v>
      </c>
      <c r="F2338">
        <f t="shared" si="36"/>
        <v>109.4616</v>
      </c>
      <c r="G2338" t="s">
        <v>16</v>
      </c>
      <c r="J2338" t="str">
        <f>"02/18/2019 00:39"</f>
        <v>02/18/2019 00:39</v>
      </c>
    </row>
    <row r="2339" spans="1:10" x14ac:dyDescent="0.3">
      <c r="A2339" t="s">
        <v>6</v>
      </c>
      <c r="B2339" t="str">
        <f>"02/18/2019 00:00"</f>
        <v>02/18/2019 00:00</v>
      </c>
      <c r="C2339">
        <v>54.8</v>
      </c>
      <c r="D2339" t="s">
        <v>7</v>
      </c>
      <c r="E2339" s="2" t="s">
        <v>12</v>
      </c>
      <c r="F2339">
        <f t="shared" si="36"/>
        <v>108.66840000000001</v>
      </c>
      <c r="G2339" t="s">
        <v>16</v>
      </c>
      <c r="J2339" t="str">
        <f>"02/19/2019 00:39"</f>
        <v>02/19/2019 00:39</v>
      </c>
    </row>
    <row r="2340" spans="1:10" x14ac:dyDescent="0.3">
      <c r="A2340" t="s">
        <v>6</v>
      </c>
      <c r="B2340" t="str">
        <f>"02/19/2019 00:00"</f>
        <v>02/19/2019 00:00</v>
      </c>
      <c r="C2340">
        <v>53.8</v>
      </c>
      <c r="D2340" t="s">
        <v>7</v>
      </c>
      <c r="E2340" s="2" t="s">
        <v>12</v>
      </c>
      <c r="F2340">
        <f t="shared" si="36"/>
        <v>106.6854</v>
      </c>
      <c r="G2340" t="s">
        <v>16</v>
      </c>
      <c r="J2340" t="str">
        <f>"02/20/2019 00:39"</f>
        <v>02/20/2019 00:39</v>
      </c>
    </row>
    <row r="2341" spans="1:10" x14ac:dyDescent="0.3">
      <c r="A2341" t="s">
        <v>6</v>
      </c>
      <c r="B2341" t="str">
        <f>"02/20/2019 00:00"</f>
        <v>02/20/2019 00:00</v>
      </c>
      <c r="C2341">
        <v>53.8</v>
      </c>
      <c r="D2341" t="s">
        <v>7</v>
      </c>
      <c r="E2341" s="2" t="s">
        <v>12</v>
      </c>
      <c r="F2341">
        <f t="shared" si="36"/>
        <v>106.6854</v>
      </c>
      <c r="G2341" t="s">
        <v>16</v>
      </c>
      <c r="J2341" t="str">
        <f>"02/21/2019 00:39"</f>
        <v>02/21/2019 00:39</v>
      </c>
    </row>
    <row r="2342" spans="1:10" x14ac:dyDescent="0.3">
      <c r="A2342" t="s">
        <v>6</v>
      </c>
      <c r="B2342" t="str">
        <f>"02/21/2019 00:00"</f>
        <v>02/21/2019 00:00</v>
      </c>
      <c r="C2342">
        <v>54</v>
      </c>
      <c r="D2342" t="s">
        <v>7</v>
      </c>
      <c r="E2342" s="2" t="s">
        <v>12</v>
      </c>
      <c r="F2342">
        <f t="shared" si="36"/>
        <v>107.08200000000001</v>
      </c>
      <c r="G2342" t="s">
        <v>16</v>
      </c>
      <c r="J2342" t="str">
        <f>"02/22/2019 00:38"</f>
        <v>02/22/2019 00:38</v>
      </c>
    </row>
    <row r="2343" spans="1:10" x14ac:dyDescent="0.3">
      <c r="A2343" t="s">
        <v>6</v>
      </c>
      <c r="B2343" t="str">
        <f>"02/22/2019 00:00"</f>
        <v>02/22/2019 00:00</v>
      </c>
      <c r="C2343">
        <v>54</v>
      </c>
      <c r="D2343" t="s">
        <v>7</v>
      </c>
      <c r="E2343" s="2" t="s">
        <v>12</v>
      </c>
      <c r="F2343">
        <f t="shared" si="36"/>
        <v>107.08200000000001</v>
      </c>
      <c r="G2343" t="s">
        <v>16</v>
      </c>
      <c r="J2343" t="str">
        <f>"02/23/2019 00:38"</f>
        <v>02/23/2019 00:38</v>
      </c>
    </row>
    <row r="2344" spans="1:10" x14ac:dyDescent="0.3">
      <c r="A2344" t="s">
        <v>6</v>
      </c>
      <c r="B2344" t="str">
        <f>"02/23/2019 00:00"</f>
        <v>02/23/2019 00:00</v>
      </c>
      <c r="C2344">
        <v>55.1</v>
      </c>
      <c r="D2344" t="s">
        <v>7</v>
      </c>
      <c r="E2344" s="2" t="s">
        <v>12</v>
      </c>
      <c r="F2344">
        <f t="shared" si="36"/>
        <v>109.26330000000002</v>
      </c>
      <c r="G2344" t="s">
        <v>16</v>
      </c>
      <c r="J2344" t="str">
        <f>"02/24/2019 00:39"</f>
        <v>02/24/2019 00:39</v>
      </c>
    </row>
    <row r="2345" spans="1:10" x14ac:dyDescent="0.3">
      <c r="A2345" t="s">
        <v>6</v>
      </c>
      <c r="B2345" t="str">
        <f>"02/24/2019 00:00"</f>
        <v>02/24/2019 00:00</v>
      </c>
      <c r="C2345">
        <v>55.1</v>
      </c>
      <c r="D2345" t="s">
        <v>7</v>
      </c>
      <c r="E2345" s="2" t="s">
        <v>12</v>
      </c>
      <c r="F2345">
        <f t="shared" si="36"/>
        <v>109.26330000000002</v>
      </c>
      <c r="G2345" t="s">
        <v>16</v>
      </c>
      <c r="J2345" t="str">
        <f>"02/25/2019 00:39"</f>
        <v>02/25/2019 00:39</v>
      </c>
    </row>
    <row r="2346" spans="1:10" x14ac:dyDescent="0.3">
      <c r="A2346" t="s">
        <v>6</v>
      </c>
      <c r="B2346" t="str">
        <f>"02/25/2019 00:00"</f>
        <v>02/25/2019 00:00</v>
      </c>
      <c r="C2346">
        <v>55.3</v>
      </c>
      <c r="D2346" t="s">
        <v>7</v>
      </c>
      <c r="E2346" s="2" t="s">
        <v>12</v>
      </c>
      <c r="F2346">
        <f t="shared" si="36"/>
        <v>109.65989999999999</v>
      </c>
      <c r="G2346" t="s">
        <v>16</v>
      </c>
      <c r="J2346" t="str">
        <f>"02/26/2019 00:38"</f>
        <v>02/26/2019 00:38</v>
      </c>
    </row>
    <row r="2347" spans="1:10" x14ac:dyDescent="0.3">
      <c r="A2347" t="s">
        <v>6</v>
      </c>
      <c r="B2347" t="str">
        <f>"02/26/2019 00:00"</f>
        <v>02/26/2019 00:00</v>
      </c>
      <c r="C2347">
        <v>55.2</v>
      </c>
      <c r="D2347" t="s">
        <v>7</v>
      </c>
      <c r="E2347" s="2" t="s">
        <v>12</v>
      </c>
      <c r="F2347">
        <f t="shared" si="36"/>
        <v>109.4616</v>
      </c>
      <c r="G2347" t="s">
        <v>16</v>
      </c>
      <c r="J2347" t="str">
        <f>"02/27/2019 00:39"</f>
        <v>02/27/2019 00:39</v>
      </c>
    </row>
    <row r="2348" spans="1:10" x14ac:dyDescent="0.3">
      <c r="A2348" t="s">
        <v>6</v>
      </c>
      <c r="B2348" t="str">
        <f>"02/27/2019 00:00"</f>
        <v>02/27/2019 00:00</v>
      </c>
      <c r="C2348">
        <v>55.2</v>
      </c>
      <c r="D2348" t="s">
        <v>7</v>
      </c>
      <c r="E2348" s="2" t="s">
        <v>12</v>
      </c>
      <c r="F2348">
        <f t="shared" si="36"/>
        <v>109.4616</v>
      </c>
      <c r="G2348" t="s">
        <v>16</v>
      </c>
      <c r="J2348" t="str">
        <f>"02/28/2019 00:39"</f>
        <v>02/28/2019 00:39</v>
      </c>
    </row>
    <row r="2349" spans="1:10" x14ac:dyDescent="0.3">
      <c r="A2349" t="s">
        <v>6</v>
      </c>
      <c r="B2349" t="str">
        <f>"02/28/2019 00:00"</f>
        <v>02/28/2019 00:00</v>
      </c>
      <c r="C2349">
        <v>55.6</v>
      </c>
      <c r="D2349" t="s">
        <v>7</v>
      </c>
      <c r="E2349" s="2" t="s">
        <v>12</v>
      </c>
      <c r="F2349">
        <f t="shared" si="36"/>
        <v>110.2548</v>
      </c>
      <c r="G2349" t="s">
        <v>16</v>
      </c>
      <c r="J2349" t="str">
        <f>"03/01/2019 00:38"</f>
        <v>03/01/2019 00:38</v>
      </c>
    </row>
    <row r="2350" spans="1:10" x14ac:dyDescent="0.3">
      <c r="A2350" t="s">
        <v>6</v>
      </c>
      <c r="B2350" t="str">
        <f>"03/01/2019 00:00"</f>
        <v>03/01/2019 00:00</v>
      </c>
      <c r="C2350">
        <v>55.9</v>
      </c>
      <c r="D2350" t="s">
        <v>7</v>
      </c>
      <c r="E2350" s="2" t="s">
        <v>12</v>
      </c>
      <c r="F2350">
        <f t="shared" si="36"/>
        <v>110.8497</v>
      </c>
      <c r="G2350" t="s">
        <v>16</v>
      </c>
      <c r="J2350" t="str">
        <f>"03/02/2019 00:39"</f>
        <v>03/02/2019 00:39</v>
      </c>
    </row>
    <row r="2351" spans="1:10" x14ac:dyDescent="0.3">
      <c r="A2351" t="s">
        <v>6</v>
      </c>
      <c r="B2351" t="str">
        <f>"03/02/2019 00:00"</f>
        <v>03/02/2019 00:00</v>
      </c>
      <c r="C2351">
        <v>55.5</v>
      </c>
      <c r="D2351" t="s">
        <v>7</v>
      </c>
      <c r="E2351" s="2" t="s">
        <v>12</v>
      </c>
      <c r="F2351">
        <f t="shared" si="36"/>
        <v>110.0565</v>
      </c>
      <c r="G2351" t="s">
        <v>16</v>
      </c>
      <c r="J2351" t="str">
        <f>"03/03/2019 00:39"</f>
        <v>03/03/2019 00:39</v>
      </c>
    </row>
    <row r="2352" spans="1:10" x14ac:dyDescent="0.3">
      <c r="A2352" t="s">
        <v>6</v>
      </c>
      <c r="B2352" t="str">
        <f>"03/03/2019 00:00"</f>
        <v>03/03/2019 00:00</v>
      </c>
      <c r="C2352">
        <v>55.3</v>
      </c>
      <c r="D2352" t="s">
        <v>7</v>
      </c>
      <c r="E2352" s="2" t="s">
        <v>12</v>
      </c>
      <c r="F2352">
        <f t="shared" si="36"/>
        <v>109.65989999999999</v>
      </c>
      <c r="G2352" t="s">
        <v>16</v>
      </c>
      <c r="J2352" t="str">
        <f>"03/04/2019 00:39"</f>
        <v>03/04/2019 00:39</v>
      </c>
    </row>
    <row r="2353" spans="1:10" x14ac:dyDescent="0.3">
      <c r="A2353" t="s">
        <v>6</v>
      </c>
      <c r="B2353" t="str">
        <f>"03/04/2019 00:00"</f>
        <v>03/04/2019 00:00</v>
      </c>
      <c r="C2353">
        <v>55.3</v>
      </c>
      <c r="D2353" t="s">
        <v>7</v>
      </c>
      <c r="E2353" s="2" t="s">
        <v>12</v>
      </c>
      <c r="F2353">
        <f t="shared" si="36"/>
        <v>109.65989999999999</v>
      </c>
      <c r="G2353" t="s">
        <v>16</v>
      </c>
      <c r="J2353" t="str">
        <f>"03/05/2019 00:38"</f>
        <v>03/05/2019 00:38</v>
      </c>
    </row>
    <row r="2354" spans="1:10" x14ac:dyDescent="0.3">
      <c r="A2354" t="s">
        <v>6</v>
      </c>
      <c r="B2354" t="str">
        <f>"03/05/2019 00:00"</f>
        <v>03/05/2019 00:00</v>
      </c>
      <c r="C2354">
        <v>55.2</v>
      </c>
      <c r="D2354" t="s">
        <v>7</v>
      </c>
      <c r="E2354" s="2" t="s">
        <v>12</v>
      </c>
      <c r="F2354">
        <f t="shared" si="36"/>
        <v>109.4616</v>
      </c>
      <c r="G2354" t="s">
        <v>16</v>
      </c>
      <c r="J2354" t="str">
        <f>"03/06/2019 00:39"</f>
        <v>03/06/2019 00:39</v>
      </c>
    </row>
    <row r="2355" spans="1:10" x14ac:dyDescent="0.3">
      <c r="A2355" t="s">
        <v>6</v>
      </c>
      <c r="B2355" t="str">
        <f>"03/06/2019 00:00"</f>
        <v>03/06/2019 00:00</v>
      </c>
      <c r="C2355">
        <v>55.2</v>
      </c>
      <c r="D2355" t="s">
        <v>7</v>
      </c>
      <c r="E2355" s="2" t="s">
        <v>12</v>
      </c>
      <c r="F2355">
        <f t="shared" si="36"/>
        <v>109.4616</v>
      </c>
      <c r="G2355" t="s">
        <v>16</v>
      </c>
      <c r="J2355" t="str">
        <f>"03/07/2019 00:39"</f>
        <v>03/07/2019 00:39</v>
      </c>
    </row>
    <row r="2356" spans="1:10" x14ac:dyDescent="0.3">
      <c r="A2356" t="s">
        <v>6</v>
      </c>
      <c r="B2356" t="str">
        <f>"03/07/2019 00:00"</f>
        <v>03/07/2019 00:00</v>
      </c>
      <c r="C2356">
        <v>55.3</v>
      </c>
      <c r="D2356" t="s">
        <v>7</v>
      </c>
      <c r="E2356" s="2" t="s">
        <v>12</v>
      </c>
      <c r="F2356">
        <f t="shared" si="36"/>
        <v>109.65989999999999</v>
      </c>
      <c r="G2356" t="s">
        <v>16</v>
      </c>
      <c r="J2356" t="str">
        <f>"03/08/2019 00:39"</f>
        <v>03/08/2019 00:39</v>
      </c>
    </row>
    <row r="2357" spans="1:10" x14ac:dyDescent="0.3">
      <c r="A2357" t="s">
        <v>6</v>
      </c>
      <c r="B2357" t="str">
        <f>"03/08/2019 00:00"</f>
        <v>03/08/2019 00:00</v>
      </c>
      <c r="C2357">
        <v>55.1</v>
      </c>
      <c r="D2357" t="s">
        <v>7</v>
      </c>
      <c r="E2357" s="2" t="s">
        <v>12</v>
      </c>
      <c r="F2357">
        <f t="shared" si="36"/>
        <v>109.26330000000002</v>
      </c>
      <c r="G2357" t="s">
        <v>16</v>
      </c>
      <c r="J2357" t="str">
        <f>"03/09/2019 00:38"</f>
        <v>03/09/2019 00:38</v>
      </c>
    </row>
    <row r="2358" spans="1:10" x14ac:dyDescent="0.3">
      <c r="A2358" t="s">
        <v>6</v>
      </c>
      <c r="B2358" t="str">
        <f>"03/09/2019 00:00"</f>
        <v>03/09/2019 00:00</v>
      </c>
      <c r="C2358">
        <v>55</v>
      </c>
      <c r="D2358" t="s">
        <v>7</v>
      </c>
      <c r="E2358" s="2" t="s">
        <v>12</v>
      </c>
      <c r="F2358">
        <f t="shared" si="36"/>
        <v>109.06500000000001</v>
      </c>
      <c r="G2358" t="s">
        <v>16</v>
      </c>
      <c r="J2358" t="str">
        <f>"03/10/2019 00:38"</f>
        <v>03/10/2019 00:38</v>
      </c>
    </row>
    <row r="2359" spans="1:10" x14ac:dyDescent="0.3">
      <c r="A2359" t="s">
        <v>6</v>
      </c>
      <c r="B2359" t="str">
        <f>"03/10/2019 00:00"</f>
        <v>03/10/2019 00:00</v>
      </c>
      <c r="C2359">
        <v>55</v>
      </c>
      <c r="D2359" t="s">
        <v>7</v>
      </c>
      <c r="E2359" s="2" t="s">
        <v>12</v>
      </c>
      <c r="F2359">
        <f t="shared" si="36"/>
        <v>109.06500000000001</v>
      </c>
      <c r="G2359" t="s">
        <v>16</v>
      </c>
      <c r="J2359" t="str">
        <f>"03/11/2019 00:39"</f>
        <v>03/11/2019 00:39</v>
      </c>
    </row>
    <row r="2360" spans="1:10" x14ac:dyDescent="0.3">
      <c r="A2360" t="s">
        <v>6</v>
      </c>
      <c r="B2360" t="str">
        <f>"03/11/2019 00:00"</f>
        <v>03/11/2019 00:00</v>
      </c>
      <c r="C2360">
        <v>55.5</v>
      </c>
      <c r="D2360" t="s">
        <v>7</v>
      </c>
      <c r="E2360" s="2" t="s">
        <v>12</v>
      </c>
      <c r="F2360">
        <f t="shared" si="36"/>
        <v>110.0565</v>
      </c>
      <c r="G2360" t="s">
        <v>16</v>
      </c>
      <c r="J2360" t="str">
        <f>"03/12/2019 00:38"</f>
        <v>03/12/2019 00:38</v>
      </c>
    </row>
    <row r="2361" spans="1:10" x14ac:dyDescent="0.3">
      <c r="A2361" t="s">
        <v>6</v>
      </c>
      <c r="B2361" t="str">
        <f>"03/12/2019 00:00"</f>
        <v>03/12/2019 00:00</v>
      </c>
      <c r="C2361">
        <v>48.8</v>
      </c>
      <c r="D2361" t="s">
        <v>7</v>
      </c>
      <c r="E2361" s="2" t="s">
        <v>12</v>
      </c>
      <c r="F2361">
        <f t="shared" si="36"/>
        <v>96.770399999999995</v>
      </c>
      <c r="G2361" t="s">
        <v>16</v>
      </c>
      <c r="J2361" t="str">
        <f>"03/13/2019 00:39"</f>
        <v>03/13/2019 00:39</v>
      </c>
    </row>
    <row r="2362" spans="1:10" x14ac:dyDescent="0.3">
      <c r="A2362" t="s">
        <v>6</v>
      </c>
      <c r="B2362" t="str">
        <f>"03/13/2019 00:00"</f>
        <v>03/13/2019 00:00</v>
      </c>
      <c r="C2362">
        <v>39.799999999999997</v>
      </c>
      <c r="D2362" t="s">
        <v>7</v>
      </c>
      <c r="E2362" s="2" t="s">
        <v>12</v>
      </c>
      <c r="F2362">
        <f t="shared" si="36"/>
        <v>78.923400000000001</v>
      </c>
      <c r="G2362" t="s">
        <v>16</v>
      </c>
      <c r="J2362" t="str">
        <f>"03/14/2019 00:39"</f>
        <v>03/14/2019 00:39</v>
      </c>
    </row>
    <row r="2363" spans="1:10" x14ac:dyDescent="0.3">
      <c r="A2363" t="s">
        <v>6</v>
      </c>
      <c r="B2363" t="str">
        <f>"03/14/2019 00:00"</f>
        <v>03/14/2019 00:00</v>
      </c>
      <c r="C2363">
        <v>29.5</v>
      </c>
      <c r="D2363" t="s">
        <v>7</v>
      </c>
      <c r="E2363" s="2" t="s">
        <v>12</v>
      </c>
      <c r="F2363">
        <f t="shared" si="36"/>
        <v>58.4985</v>
      </c>
      <c r="G2363" t="s">
        <v>16</v>
      </c>
      <c r="J2363" t="str">
        <f>"03/15/2019 00:39"</f>
        <v>03/15/2019 00:39</v>
      </c>
    </row>
    <row r="2364" spans="1:10" x14ac:dyDescent="0.3">
      <c r="A2364" t="s">
        <v>6</v>
      </c>
      <c r="B2364" t="str">
        <f>"03/15/2019 00:00"</f>
        <v>03/15/2019 00:00</v>
      </c>
      <c r="C2364">
        <v>18.899999999999999</v>
      </c>
      <c r="D2364" t="s">
        <v>7</v>
      </c>
      <c r="E2364" s="2" t="s">
        <v>12</v>
      </c>
      <c r="F2364">
        <f t="shared" si="36"/>
        <v>37.478699999999996</v>
      </c>
      <c r="G2364" t="s">
        <v>16</v>
      </c>
      <c r="J2364" t="str">
        <f>"03/16/2019 00:39"</f>
        <v>03/16/2019 00:39</v>
      </c>
    </row>
    <row r="2365" spans="1:10" x14ac:dyDescent="0.3">
      <c r="A2365" t="s">
        <v>6</v>
      </c>
      <c r="B2365" t="str">
        <f>"03/16/2019 00:00"</f>
        <v>03/16/2019 00:00</v>
      </c>
      <c r="C2365">
        <v>10.6</v>
      </c>
      <c r="D2365" t="s">
        <v>7</v>
      </c>
      <c r="E2365" s="2" t="s">
        <v>12</v>
      </c>
      <c r="F2365">
        <f t="shared" si="36"/>
        <v>21.0198</v>
      </c>
      <c r="G2365" t="s">
        <v>16</v>
      </c>
      <c r="J2365" t="str">
        <f>"03/17/2019 00:39"</f>
        <v>03/17/2019 00:39</v>
      </c>
    </row>
    <row r="2366" spans="1:10" x14ac:dyDescent="0.3">
      <c r="A2366" t="s">
        <v>6</v>
      </c>
      <c r="B2366" t="str">
        <f>"03/17/2019 00:00"</f>
        <v>03/17/2019 00:00</v>
      </c>
      <c r="C2366">
        <v>2.72</v>
      </c>
      <c r="D2366" t="s">
        <v>7</v>
      </c>
      <c r="E2366" s="2" t="s">
        <v>12</v>
      </c>
      <c r="F2366">
        <f t="shared" si="36"/>
        <v>5.3937600000000003</v>
      </c>
      <c r="G2366" t="s">
        <v>16</v>
      </c>
      <c r="J2366" t="str">
        <f>"03/18/2019 00:40"</f>
        <v>03/18/2019 00:40</v>
      </c>
    </row>
    <row r="2367" spans="1:10" x14ac:dyDescent="0.3">
      <c r="A2367" t="s">
        <v>6</v>
      </c>
      <c r="B2367" t="str">
        <f>"03/18/2019 00:00"</f>
        <v>03/18/2019 00:00</v>
      </c>
      <c r="C2367">
        <v>0.1</v>
      </c>
      <c r="D2367" t="s">
        <v>7</v>
      </c>
      <c r="E2367" s="2" t="s">
        <v>12</v>
      </c>
      <c r="F2367">
        <f t="shared" si="36"/>
        <v>0.19830000000000003</v>
      </c>
      <c r="G2367" t="s">
        <v>16</v>
      </c>
      <c r="J2367" t="str">
        <f>"03/19/2019 00:39"</f>
        <v>03/19/2019 00:39</v>
      </c>
    </row>
    <row r="2368" spans="1:10" x14ac:dyDescent="0.3">
      <c r="A2368" t="s">
        <v>6</v>
      </c>
      <c r="B2368" t="str">
        <f>"03/19/2019 00:00"</f>
        <v>03/19/2019 00:00</v>
      </c>
      <c r="C2368">
        <v>0.1</v>
      </c>
      <c r="D2368" t="s">
        <v>7</v>
      </c>
      <c r="E2368" s="2" t="s">
        <v>12</v>
      </c>
      <c r="F2368">
        <f t="shared" si="36"/>
        <v>0.19830000000000003</v>
      </c>
      <c r="G2368" t="s">
        <v>16</v>
      </c>
      <c r="J2368" t="str">
        <f>"03/20/2019 00:38"</f>
        <v>03/20/2019 00:38</v>
      </c>
    </row>
    <row r="2369" spans="1:10" x14ac:dyDescent="0.3">
      <c r="A2369" t="s">
        <v>6</v>
      </c>
      <c r="B2369" t="str">
        <f>"03/20/2019 00:00"</f>
        <v>03/20/2019 00:00</v>
      </c>
      <c r="C2369">
        <v>0.1</v>
      </c>
      <c r="D2369" t="s">
        <v>7</v>
      </c>
      <c r="E2369" s="2" t="s">
        <v>12</v>
      </c>
      <c r="F2369">
        <f t="shared" si="36"/>
        <v>0.19830000000000003</v>
      </c>
      <c r="G2369" t="s">
        <v>16</v>
      </c>
      <c r="J2369" t="str">
        <f>"03/21/2019 00:38"</f>
        <v>03/21/2019 00:38</v>
      </c>
    </row>
    <row r="2370" spans="1:10" x14ac:dyDescent="0.3">
      <c r="A2370" t="s">
        <v>6</v>
      </c>
      <c r="B2370" t="str">
        <f>"03/21/2019 00:00"</f>
        <v>03/21/2019 00:00</v>
      </c>
      <c r="C2370">
        <v>0.1</v>
      </c>
      <c r="D2370" t="s">
        <v>7</v>
      </c>
      <c r="E2370" s="2" t="s">
        <v>12</v>
      </c>
      <c r="F2370">
        <f t="shared" si="36"/>
        <v>0.19830000000000003</v>
      </c>
      <c r="G2370" t="s">
        <v>16</v>
      </c>
      <c r="J2370" t="str">
        <f>"03/22/2019 00:39"</f>
        <v>03/22/2019 00:39</v>
      </c>
    </row>
    <row r="2371" spans="1:10" x14ac:dyDescent="0.3">
      <c r="A2371" t="s">
        <v>6</v>
      </c>
      <c r="B2371" t="str">
        <f>"03/22/2019 00:00"</f>
        <v>03/22/2019 00:00</v>
      </c>
      <c r="C2371">
        <v>0.1</v>
      </c>
      <c r="D2371" t="s">
        <v>7</v>
      </c>
      <c r="E2371" s="2" t="s">
        <v>12</v>
      </c>
      <c r="F2371">
        <f t="shared" si="36"/>
        <v>0.19830000000000003</v>
      </c>
      <c r="G2371" t="s">
        <v>16</v>
      </c>
      <c r="J2371" t="str">
        <f>"03/23/2019 00:38"</f>
        <v>03/23/2019 00:38</v>
      </c>
    </row>
    <row r="2372" spans="1:10" x14ac:dyDescent="0.3">
      <c r="A2372" t="s">
        <v>6</v>
      </c>
      <c r="B2372" t="str">
        <f>"03/23/2019 00:00"</f>
        <v>03/23/2019 00:00</v>
      </c>
      <c r="C2372">
        <v>0.1</v>
      </c>
      <c r="D2372" t="s">
        <v>7</v>
      </c>
      <c r="E2372" s="2" t="s">
        <v>12</v>
      </c>
      <c r="F2372">
        <f t="shared" si="36"/>
        <v>0.19830000000000003</v>
      </c>
      <c r="G2372" t="s">
        <v>16</v>
      </c>
      <c r="J2372" t="str">
        <f>"03/24/2019 00:38"</f>
        <v>03/24/2019 00:38</v>
      </c>
    </row>
    <row r="2373" spans="1:10" x14ac:dyDescent="0.3">
      <c r="A2373" t="s">
        <v>6</v>
      </c>
      <c r="B2373" t="str">
        <f>"03/24/2019 00:00"</f>
        <v>03/24/2019 00:00</v>
      </c>
      <c r="C2373">
        <v>0.1</v>
      </c>
      <c r="D2373" t="s">
        <v>7</v>
      </c>
      <c r="E2373" s="2" t="s">
        <v>12</v>
      </c>
      <c r="F2373">
        <f t="shared" si="36"/>
        <v>0.19830000000000003</v>
      </c>
      <c r="G2373" t="s">
        <v>16</v>
      </c>
      <c r="J2373" t="str">
        <f>"03/25/2019 00:38"</f>
        <v>03/25/2019 00:38</v>
      </c>
    </row>
    <row r="2374" spans="1:10" x14ac:dyDescent="0.3">
      <c r="A2374" t="s">
        <v>6</v>
      </c>
      <c r="B2374" t="str">
        <f>"03/25/2019 00:00"</f>
        <v>03/25/2019 00:00</v>
      </c>
      <c r="C2374">
        <v>0.1</v>
      </c>
      <c r="D2374" t="s">
        <v>7</v>
      </c>
      <c r="E2374" s="2" t="s">
        <v>12</v>
      </c>
      <c r="F2374">
        <f t="shared" si="36"/>
        <v>0.19830000000000003</v>
      </c>
      <c r="G2374" t="s">
        <v>16</v>
      </c>
      <c r="J2374" t="str">
        <f>"03/26/2019 00:39"</f>
        <v>03/26/2019 00:39</v>
      </c>
    </row>
    <row r="2375" spans="1:10" x14ac:dyDescent="0.3">
      <c r="A2375" t="s">
        <v>6</v>
      </c>
      <c r="B2375" t="str">
        <f>"03/26/2019 00:00"</f>
        <v>03/26/2019 00:00</v>
      </c>
      <c r="C2375">
        <v>0.1</v>
      </c>
      <c r="D2375" t="s">
        <v>7</v>
      </c>
      <c r="E2375" s="2" t="s">
        <v>12</v>
      </c>
      <c r="F2375">
        <f t="shared" si="36"/>
        <v>0.19830000000000003</v>
      </c>
      <c r="G2375" t="s">
        <v>16</v>
      </c>
      <c r="J2375" t="str">
        <f>"03/27/2019 00:38"</f>
        <v>03/27/2019 00:38</v>
      </c>
    </row>
    <row r="2376" spans="1:10" x14ac:dyDescent="0.3">
      <c r="A2376" t="s">
        <v>6</v>
      </c>
      <c r="B2376" t="str">
        <f>"03/27/2019 00:00"</f>
        <v>03/27/2019 00:00</v>
      </c>
      <c r="C2376">
        <v>0.1</v>
      </c>
      <c r="D2376" t="s">
        <v>7</v>
      </c>
      <c r="E2376" s="2" t="s">
        <v>12</v>
      </c>
      <c r="F2376">
        <f t="shared" si="36"/>
        <v>0.19830000000000003</v>
      </c>
      <c r="G2376" t="s">
        <v>16</v>
      </c>
      <c r="J2376" t="str">
        <f>"03/28/2019 00:38"</f>
        <v>03/28/2019 00:38</v>
      </c>
    </row>
    <row r="2377" spans="1:10" x14ac:dyDescent="0.3">
      <c r="A2377" t="s">
        <v>6</v>
      </c>
      <c r="B2377" t="str">
        <f>"03/28/2019 00:00"</f>
        <v>03/28/2019 00:00</v>
      </c>
      <c r="C2377">
        <v>0.1</v>
      </c>
      <c r="D2377" t="s">
        <v>7</v>
      </c>
      <c r="E2377" s="2" t="s">
        <v>12</v>
      </c>
      <c r="F2377">
        <f t="shared" ref="F2377:F2440" si="37">C2377*1.983</f>
        <v>0.19830000000000003</v>
      </c>
      <c r="G2377" t="s">
        <v>16</v>
      </c>
      <c r="J2377" t="str">
        <f>"03/29/2019 00:38"</f>
        <v>03/29/2019 00:38</v>
      </c>
    </row>
    <row r="2378" spans="1:10" x14ac:dyDescent="0.3">
      <c r="A2378" t="s">
        <v>6</v>
      </c>
      <c r="B2378" t="str">
        <f>"03/29/2019 00:00"</f>
        <v>03/29/2019 00:00</v>
      </c>
      <c r="C2378">
        <v>0.1</v>
      </c>
      <c r="D2378" t="s">
        <v>7</v>
      </c>
      <c r="E2378" s="2" t="s">
        <v>12</v>
      </c>
      <c r="F2378">
        <f t="shared" si="37"/>
        <v>0.19830000000000003</v>
      </c>
      <c r="G2378" t="s">
        <v>16</v>
      </c>
      <c r="J2378" t="str">
        <f>"03/30/2019 00:39"</f>
        <v>03/30/2019 00:39</v>
      </c>
    </row>
    <row r="2379" spans="1:10" x14ac:dyDescent="0.3">
      <c r="A2379" t="s">
        <v>6</v>
      </c>
      <c r="B2379" t="str">
        <f>"03/30/2019 00:00"</f>
        <v>03/30/2019 00:00</v>
      </c>
      <c r="C2379">
        <v>7.1400000000000005E-2</v>
      </c>
      <c r="D2379" t="s">
        <v>7</v>
      </c>
      <c r="E2379" s="2" t="s">
        <v>12</v>
      </c>
      <c r="F2379">
        <f t="shared" si="37"/>
        <v>0.14158620000000002</v>
      </c>
      <c r="G2379" t="s">
        <v>16</v>
      </c>
      <c r="J2379" t="str">
        <f>"03/31/2019 00:38"</f>
        <v>03/31/2019 00:38</v>
      </c>
    </row>
    <row r="2380" spans="1:10" x14ac:dyDescent="0.3">
      <c r="A2380" t="s">
        <v>6</v>
      </c>
      <c r="B2380" t="str">
        <f>"03/31/2019 00:00"</f>
        <v>03/31/2019 00:00</v>
      </c>
      <c r="C2380">
        <v>0.05</v>
      </c>
      <c r="D2380" t="s">
        <v>7</v>
      </c>
      <c r="E2380" s="2" t="s">
        <v>12</v>
      </c>
      <c r="F2380">
        <f t="shared" si="37"/>
        <v>9.9150000000000016E-2</v>
      </c>
      <c r="G2380" t="s">
        <v>16</v>
      </c>
      <c r="J2380" t="str">
        <f>"04/01/2019 00:38"</f>
        <v>04/01/2019 00:38</v>
      </c>
    </row>
    <row r="2381" spans="1:10" x14ac:dyDescent="0.3">
      <c r="A2381" t="s">
        <v>6</v>
      </c>
      <c r="B2381" t="str">
        <f>"04/01/2019 00:00"</f>
        <v>04/01/2019 00:00</v>
      </c>
      <c r="C2381">
        <v>0.05</v>
      </c>
      <c r="D2381" t="s">
        <v>7</v>
      </c>
      <c r="E2381" s="2" t="s">
        <v>12</v>
      </c>
      <c r="F2381">
        <f t="shared" si="37"/>
        <v>9.9150000000000016E-2</v>
      </c>
      <c r="G2381" t="s">
        <v>16</v>
      </c>
      <c r="J2381" t="str">
        <f>"04/02/2019 00:38"</f>
        <v>04/02/2019 00:38</v>
      </c>
    </row>
    <row r="2382" spans="1:10" x14ac:dyDescent="0.3">
      <c r="A2382" t="s">
        <v>6</v>
      </c>
      <c r="B2382" t="str">
        <f>"04/02/2019 00:00"</f>
        <v>04/02/2019 00:00</v>
      </c>
      <c r="C2382">
        <v>9.2399999999999996E-2</v>
      </c>
      <c r="D2382" t="s">
        <v>7</v>
      </c>
      <c r="E2382" s="2" t="s">
        <v>12</v>
      </c>
      <c r="F2382">
        <f t="shared" si="37"/>
        <v>0.18322920000000001</v>
      </c>
      <c r="G2382" t="s">
        <v>16</v>
      </c>
      <c r="J2382" t="str">
        <f>"04/03/2019 00:38"</f>
        <v>04/03/2019 00:38</v>
      </c>
    </row>
    <row r="2383" spans="1:10" x14ac:dyDescent="0.3">
      <c r="A2383" t="s">
        <v>6</v>
      </c>
      <c r="B2383" t="str">
        <f>"04/03/2019 00:00"</f>
        <v>04/03/2019 00:00</v>
      </c>
      <c r="C2383">
        <v>0.1</v>
      </c>
      <c r="D2383" t="s">
        <v>7</v>
      </c>
      <c r="E2383" s="2" t="s">
        <v>12</v>
      </c>
      <c r="F2383">
        <f t="shared" si="37"/>
        <v>0.19830000000000003</v>
      </c>
      <c r="G2383" t="s">
        <v>16</v>
      </c>
      <c r="J2383" t="str">
        <f>"04/04/2019 00:38"</f>
        <v>04/04/2019 00:38</v>
      </c>
    </row>
    <row r="2384" spans="1:10" x14ac:dyDescent="0.3">
      <c r="A2384" t="s">
        <v>6</v>
      </c>
      <c r="B2384" t="str">
        <f>"04/04/2019 00:00"</f>
        <v>04/04/2019 00:00</v>
      </c>
      <c r="C2384">
        <v>0.1</v>
      </c>
      <c r="D2384" t="s">
        <v>7</v>
      </c>
      <c r="E2384" s="2" t="s">
        <v>12</v>
      </c>
      <c r="F2384">
        <f t="shared" si="37"/>
        <v>0.19830000000000003</v>
      </c>
      <c r="G2384" t="s">
        <v>16</v>
      </c>
      <c r="J2384" t="str">
        <f>"04/05/2019 00:39"</f>
        <v>04/05/2019 00:39</v>
      </c>
    </row>
    <row r="2385" spans="1:10" x14ac:dyDescent="0.3">
      <c r="A2385" t="s">
        <v>6</v>
      </c>
      <c r="B2385" t="str">
        <f>"04/05/2019 00:00"</f>
        <v>04/05/2019 00:00</v>
      </c>
      <c r="C2385">
        <v>0.1</v>
      </c>
      <c r="D2385" t="s">
        <v>7</v>
      </c>
      <c r="E2385" s="2" t="s">
        <v>12</v>
      </c>
      <c r="F2385">
        <f t="shared" si="37"/>
        <v>0.19830000000000003</v>
      </c>
      <c r="G2385" t="s">
        <v>16</v>
      </c>
      <c r="J2385" t="str">
        <f>"04/06/2019 00:38"</f>
        <v>04/06/2019 00:38</v>
      </c>
    </row>
    <row r="2386" spans="1:10" x14ac:dyDescent="0.3">
      <c r="A2386" t="s">
        <v>6</v>
      </c>
      <c r="B2386" t="str">
        <f>"04/06/2019 00:00"</f>
        <v>04/06/2019 00:00</v>
      </c>
      <c r="C2386">
        <v>0.1</v>
      </c>
      <c r="D2386" t="s">
        <v>7</v>
      </c>
      <c r="E2386" s="2" t="s">
        <v>12</v>
      </c>
      <c r="F2386">
        <f t="shared" si="37"/>
        <v>0.19830000000000003</v>
      </c>
      <c r="G2386" t="s">
        <v>16</v>
      </c>
      <c r="J2386" t="str">
        <f>"04/07/2019 00:38"</f>
        <v>04/07/2019 00:38</v>
      </c>
    </row>
    <row r="2387" spans="1:10" x14ac:dyDescent="0.3">
      <c r="A2387" t="s">
        <v>6</v>
      </c>
      <c r="B2387" t="str">
        <f>"04/07/2019 00:00"</f>
        <v>04/07/2019 00:00</v>
      </c>
      <c r="C2387">
        <v>0.1</v>
      </c>
      <c r="D2387" t="s">
        <v>7</v>
      </c>
      <c r="E2387" s="2" t="s">
        <v>12</v>
      </c>
      <c r="F2387">
        <f t="shared" si="37"/>
        <v>0.19830000000000003</v>
      </c>
      <c r="G2387" t="s">
        <v>16</v>
      </c>
      <c r="J2387" t="str">
        <f>"04/08/2019 00:38"</f>
        <v>04/08/2019 00:38</v>
      </c>
    </row>
    <row r="2388" spans="1:10" x14ac:dyDescent="0.3">
      <c r="A2388" t="s">
        <v>6</v>
      </c>
      <c r="B2388" t="str">
        <f>"04/08/2019 00:00"</f>
        <v>04/08/2019 00:00</v>
      </c>
      <c r="C2388">
        <v>0.1</v>
      </c>
      <c r="D2388" t="s">
        <v>7</v>
      </c>
      <c r="E2388" s="2" t="s">
        <v>12</v>
      </c>
      <c r="F2388">
        <f t="shared" si="37"/>
        <v>0.19830000000000003</v>
      </c>
      <c r="G2388" t="s">
        <v>16</v>
      </c>
      <c r="J2388" t="str">
        <f>"04/09/2019 00:38"</f>
        <v>04/09/2019 00:38</v>
      </c>
    </row>
    <row r="2389" spans="1:10" x14ac:dyDescent="0.3">
      <c r="A2389" t="s">
        <v>6</v>
      </c>
      <c r="B2389" t="str">
        <f>"04/09/2019 00:00"</f>
        <v>04/09/2019 00:00</v>
      </c>
      <c r="C2389">
        <v>0.1</v>
      </c>
      <c r="D2389" t="s">
        <v>7</v>
      </c>
      <c r="E2389" s="2" t="s">
        <v>12</v>
      </c>
      <c r="F2389">
        <f t="shared" si="37"/>
        <v>0.19830000000000003</v>
      </c>
      <c r="G2389" t="s">
        <v>16</v>
      </c>
      <c r="J2389" t="str">
        <f>"04/10/2019 00:38"</f>
        <v>04/10/2019 00:38</v>
      </c>
    </row>
    <row r="2390" spans="1:10" x14ac:dyDescent="0.3">
      <c r="A2390" t="s">
        <v>6</v>
      </c>
      <c r="B2390" t="str">
        <f>"04/10/2019 00:00"</f>
        <v>04/10/2019 00:00</v>
      </c>
      <c r="C2390">
        <v>0.1</v>
      </c>
      <c r="D2390" t="s">
        <v>7</v>
      </c>
      <c r="E2390" s="2" t="s">
        <v>12</v>
      </c>
      <c r="F2390">
        <f t="shared" si="37"/>
        <v>0.19830000000000003</v>
      </c>
      <c r="G2390" t="s">
        <v>16</v>
      </c>
      <c r="J2390" t="str">
        <f>"04/11/2019 00:38"</f>
        <v>04/11/2019 00:38</v>
      </c>
    </row>
    <row r="2391" spans="1:10" x14ac:dyDescent="0.3">
      <c r="A2391" t="s">
        <v>6</v>
      </c>
      <c r="B2391" t="str">
        <f>"04/11/2019 00:00"</f>
        <v>04/11/2019 00:00</v>
      </c>
      <c r="C2391">
        <v>0.1</v>
      </c>
      <c r="D2391" t="s">
        <v>7</v>
      </c>
      <c r="E2391" s="2" t="s">
        <v>12</v>
      </c>
      <c r="F2391">
        <f t="shared" si="37"/>
        <v>0.19830000000000003</v>
      </c>
      <c r="G2391" t="s">
        <v>16</v>
      </c>
      <c r="J2391" t="str">
        <f>"04/12/2019 00:38"</f>
        <v>04/12/2019 00:38</v>
      </c>
    </row>
    <row r="2392" spans="1:10" x14ac:dyDescent="0.3">
      <c r="A2392" t="s">
        <v>6</v>
      </c>
      <c r="B2392" t="str">
        <f>"04/12/2019 00:00"</f>
        <v>04/12/2019 00:00</v>
      </c>
      <c r="C2392">
        <v>0.1</v>
      </c>
      <c r="D2392" t="s">
        <v>7</v>
      </c>
      <c r="E2392" s="2" t="s">
        <v>12</v>
      </c>
      <c r="F2392">
        <f t="shared" si="37"/>
        <v>0.19830000000000003</v>
      </c>
      <c r="G2392" t="s">
        <v>16</v>
      </c>
      <c r="J2392" t="str">
        <f>"04/13/2019 00:38"</f>
        <v>04/13/2019 00:38</v>
      </c>
    </row>
    <row r="2393" spans="1:10" x14ac:dyDescent="0.3">
      <c r="A2393" t="s">
        <v>6</v>
      </c>
      <c r="B2393" t="str">
        <f>"04/13/2019 00:00"</f>
        <v>04/13/2019 00:00</v>
      </c>
      <c r="C2393">
        <v>0.1</v>
      </c>
      <c r="D2393" t="s">
        <v>7</v>
      </c>
      <c r="E2393" s="2" t="s">
        <v>12</v>
      </c>
      <c r="F2393">
        <f t="shared" si="37"/>
        <v>0.19830000000000003</v>
      </c>
      <c r="G2393" t="s">
        <v>16</v>
      </c>
      <c r="J2393" t="str">
        <f>"04/14/2019 00:38"</f>
        <v>04/14/2019 00:38</v>
      </c>
    </row>
    <row r="2394" spans="1:10" x14ac:dyDescent="0.3">
      <c r="A2394" t="s">
        <v>6</v>
      </c>
      <c r="B2394" t="str">
        <f>"04/14/2019 00:00"</f>
        <v>04/14/2019 00:00</v>
      </c>
      <c r="C2394">
        <v>0.1</v>
      </c>
      <c r="D2394" t="s">
        <v>7</v>
      </c>
      <c r="E2394" s="2" t="s">
        <v>12</v>
      </c>
      <c r="F2394">
        <f t="shared" si="37"/>
        <v>0.19830000000000003</v>
      </c>
      <c r="G2394" t="s">
        <v>16</v>
      </c>
      <c r="J2394" t="str">
        <f>"04/15/2019 00:38"</f>
        <v>04/15/2019 00:38</v>
      </c>
    </row>
    <row r="2395" spans="1:10" x14ac:dyDescent="0.3">
      <c r="A2395" t="s">
        <v>6</v>
      </c>
      <c r="B2395" t="str">
        <f>"04/15/2019 00:00"</f>
        <v>04/15/2019 00:00</v>
      </c>
      <c r="C2395">
        <v>0.1</v>
      </c>
      <c r="D2395" t="s">
        <v>7</v>
      </c>
      <c r="E2395" s="2" t="s">
        <v>12</v>
      </c>
      <c r="F2395">
        <f t="shared" si="37"/>
        <v>0.19830000000000003</v>
      </c>
      <c r="G2395" t="s">
        <v>16</v>
      </c>
      <c r="J2395" t="str">
        <f>"04/16/2019 00:39"</f>
        <v>04/16/2019 00:39</v>
      </c>
    </row>
    <row r="2396" spans="1:10" x14ac:dyDescent="0.3">
      <c r="A2396" t="s">
        <v>6</v>
      </c>
      <c r="B2396" t="str">
        <f>"04/16/2019 00:00"</f>
        <v>04/16/2019 00:00</v>
      </c>
      <c r="C2396">
        <v>0.1</v>
      </c>
      <c r="D2396" t="s">
        <v>7</v>
      </c>
      <c r="E2396" s="2" t="s">
        <v>12</v>
      </c>
      <c r="F2396">
        <f t="shared" si="37"/>
        <v>0.19830000000000003</v>
      </c>
      <c r="G2396" t="s">
        <v>16</v>
      </c>
      <c r="J2396" t="str">
        <f>"04/17/2019 00:38"</f>
        <v>04/17/2019 00:38</v>
      </c>
    </row>
    <row r="2397" spans="1:10" x14ac:dyDescent="0.3">
      <c r="A2397" t="s">
        <v>6</v>
      </c>
      <c r="B2397" t="str">
        <f>"04/17/2019 00:00"</f>
        <v>04/17/2019 00:00</v>
      </c>
      <c r="C2397">
        <v>0.1</v>
      </c>
      <c r="D2397" t="s">
        <v>7</v>
      </c>
      <c r="E2397" s="2" t="s">
        <v>12</v>
      </c>
      <c r="F2397">
        <f t="shared" si="37"/>
        <v>0.19830000000000003</v>
      </c>
      <c r="G2397" t="s">
        <v>16</v>
      </c>
      <c r="J2397" t="str">
        <f>"04/18/2019 00:38"</f>
        <v>04/18/2019 00:38</v>
      </c>
    </row>
    <row r="2398" spans="1:10" x14ac:dyDescent="0.3">
      <c r="A2398" t="s">
        <v>6</v>
      </c>
      <c r="B2398" t="str">
        <f>"04/18/2019 00:00"</f>
        <v>04/18/2019 00:00</v>
      </c>
      <c r="C2398">
        <v>0.1</v>
      </c>
      <c r="D2398" t="s">
        <v>7</v>
      </c>
      <c r="E2398" s="2" t="s">
        <v>12</v>
      </c>
      <c r="F2398">
        <f t="shared" si="37"/>
        <v>0.19830000000000003</v>
      </c>
      <c r="G2398" t="s">
        <v>16</v>
      </c>
      <c r="J2398" t="str">
        <f>"04/19/2019 00:38"</f>
        <v>04/19/2019 00:38</v>
      </c>
    </row>
    <row r="2399" spans="1:10" x14ac:dyDescent="0.3">
      <c r="A2399" t="s">
        <v>6</v>
      </c>
      <c r="B2399" t="str">
        <f>"04/19/2019 00:00"</f>
        <v>04/19/2019 00:00</v>
      </c>
      <c r="C2399">
        <v>8.5400000000000004E-2</v>
      </c>
      <c r="D2399" t="s">
        <v>7</v>
      </c>
      <c r="E2399" s="2" t="s">
        <v>12</v>
      </c>
      <c r="F2399">
        <f t="shared" si="37"/>
        <v>0.1693482</v>
      </c>
      <c r="G2399" t="s">
        <v>16</v>
      </c>
      <c r="J2399" t="str">
        <f>"04/20/2019 00:38"</f>
        <v>04/20/2019 00:38</v>
      </c>
    </row>
    <row r="2400" spans="1:10" x14ac:dyDescent="0.3">
      <c r="A2400" t="s">
        <v>6</v>
      </c>
      <c r="B2400" t="str">
        <f>"04/20/2019 00:00"</f>
        <v>04/20/2019 00:00</v>
      </c>
      <c r="C2400">
        <v>0.05</v>
      </c>
      <c r="D2400" t="s">
        <v>7</v>
      </c>
      <c r="E2400" s="2" t="s">
        <v>12</v>
      </c>
      <c r="F2400">
        <f t="shared" si="37"/>
        <v>9.9150000000000016E-2</v>
      </c>
      <c r="G2400" t="s">
        <v>16</v>
      </c>
      <c r="J2400" t="str">
        <f>"04/21/2019 00:38"</f>
        <v>04/21/2019 00:38</v>
      </c>
    </row>
    <row r="2401" spans="1:10" x14ac:dyDescent="0.3">
      <c r="A2401" t="s">
        <v>6</v>
      </c>
      <c r="B2401" t="str">
        <f>"04/21/2019 00:00"</f>
        <v>04/21/2019 00:00</v>
      </c>
      <c r="C2401">
        <v>0.05</v>
      </c>
      <c r="D2401" t="s">
        <v>7</v>
      </c>
      <c r="E2401" s="2" t="s">
        <v>12</v>
      </c>
      <c r="F2401">
        <f t="shared" si="37"/>
        <v>9.9150000000000016E-2</v>
      </c>
      <c r="G2401" t="s">
        <v>16</v>
      </c>
      <c r="J2401" t="str">
        <f>"04/22/2019 00:38"</f>
        <v>04/22/2019 00:38</v>
      </c>
    </row>
    <row r="2402" spans="1:10" x14ac:dyDescent="0.3">
      <c r="A2402" t="s">
        <v>6</v>
      </c>
      <c r="B2402" t="str">
        <f>"04/22/2019 00:00"</f>
        <v>04/22/2019 00:00</v>
      </c>
      <c r="C2402">
        <v>0.05</v>
      </c>
      <c r="D2402" t="s">
        <v>7</v>
      </c>
      <c r="E2402" s="2" t="s">
        <v>12</v>
      </c>
      <c r="F2402">
        <f t="shared" si="37"/>
        <v>9.9150000000000016E-2</v>
      </c>
      <c r="G2402" t="s">
        <v>16</v>
      </c>
      <c r="J2402" t="str">
        <f>"04/23/2019 00:38"</f>
        <v>04/23/2019 00:38</v>
      </c>
    </row>
    <row r="2403" spans="1:10" x14ac:dyDescent="0.3">
      <c r="A2403" t="s">
        <v>6</v>
      </c>
      <c r="B2403" t="str">
        <f>"04/23/2019 00:00"</f>
        <v>04/23/2019 00:00</v>
      </c>
      <c r="C2403">
        <v>0.05</v>
      </c>
      <c r="D2403" t="s">
        <v>7</v>
      </c>
      <c r="E2403" s="2" t="s">
        <v>12</v>
      </c>
      <c r="F2403">
        <f t="shared" si="37"/>
        <v>9.9150000000000016E-2</v>
      </c>
      <c r="G2403" t="s">
        <v>16</v>
      </c>
      <c r="J2403" t="str">
        <f>"04/24/2019 00:38"</f>
        <v>04/24/2019 00:38</v>
      </c>
    </row>
    <row r="2404" spans="1:10" x14ac:dyDescent="0.3">
      <c r="A2404" t="s">
        <v>6</v>
      </c>
      <c r="B2404" t="str">
        <f>"04/24/2019 00:00"</f>
        <v>04/24/2019 00:00</v>
      </c>
      <c r="C2404">
        <v>0.05</v>
      </c>
      <c r="D2404" t="s">
        <v>7</v>
      </c>
      <c r="E2404" s="2" t="s">
        <v>12</v>
      </c>
      <c r="F2404">
        <f t="shared" si="37"/>
        <v>9.9150000000000016E-2</v>
      </c>
      <c r="G2404" t="s">
        <v>16</v>
      </c>
      <c r="J2404" t="str">
        <f>"04/25/2019 00:38"</f>
        <v>04/25/2019 00:38</v>
      </c>
    </row>
    <row r="2405" spans="1:10" x14ac:dyDescent="0.3">
      <c r="A2405" t="s">
        <v>6</v>
      </c>
      <c r="B2405" t="str">
        <f>"04/25/2019 00:00"</f>
        <v>04/25/2019 00:00</v>
      </c>
      <c r="C2405">
        <v>0.05</v>
      </c>
      <c r="D2405" t="s">
        <v>7</v>
      </c>
      <c r="E2405" s="2" t="s">
        <v>12</v>
      </c>
      <c r="F2405">
        <f t="shared" si="37"/>
        <v>9.9150000000000016E-2</v>
      </c>
      <c r="G2405" t="s">
        <v>16</v>
      </c>
      <c r="J2405" t="str">
        <f>"04/26/2019 00:38"</f>
        <v>04/26/2019 00:38</v>
      </c>
    </row>
    <row r="2406" spans="1:10" x14ac:dyDescent="0.3">
      <c r="A2406" t="s">
        <v>6</v>
      </c>
      <c r="B2406" t="str">
        <f>"04/26/2019 00:00"</f>
        <v>04/26/2019 00:00</v>
      </c>
      <c r="C2406">
        <v>0.05</v>
      </c>
      <c r="D2406" t="s">
        <v>7</v>
      </c>
      <c r="E2406" s="2" t="s">
        <v>12</v>
      </c>
      <c r="F2406">
        <f t="shared" si="37"/>
        <v>9.9150000000000016E-2</v>
      </c>
      <c r="G2406" t="s">
        <v>16</v>
      </c>
      <c r="J2406" t="str">
        <f>"04/27/2019 00:38"</f>
        <v>04/27/2019 00:38</v>
      </c>
    </row>
    <row r="2407" spans="1:10" x14ac:dyDescent="0.3">
      <c r="A2407" t="s">
        <v>6</v>
      </c>
      <c r="B2407" t="str">
        <f>"04/27/2019 00:00"</f>
        <v>04/27/2019 00:00</v>
      </c>
      <c r="C2407">
        <v>0.05</v>
      </c>
      <c r="D2407" t="s">
        <v>7</v>
      </c>
      <c r="E2407" s="2" t="s">
        <v>12</v>
      </c>
      <c r="F2407">
        <f t="shared" si="37"/>
        <v>9.9150000000000016E-2</v>
      </c>
      <c r="G2407" t="s">
        <v>16</v>
      </c>
      <c r="J2407" t="str">
        <f>"04/28/2019 00:38"</f>
        <v>04/28/2019 00:38</v>
      </c>
    </row>
    <row r="2408" spans="1:10" x14ac:dyDescent="0.3">
      <c r="A2408" t="s">
        <v>6</v>
      </c>
      <c r="B2408" t="str">
        <f>"04/28/2019 00:00"</f>
        <v>04/28/2019 00:00</v>
      </c>
      <c r="C2408">
        <v>0.05</v>
      </c>
      <c r="D2408" t="s">
        <v>7</v>
      </c>
      <c r="E2408" s="2" t="s">
        <v>12</v>
      </c>
      <c r="F2408">
        <f t="shared" si="37"/>
        <v>9.9150000000000016E-2</v>
      </c>
      <c r="G2408" t="s">
        <v>16</v>
      </c>
      <c r="J2408" t="str">
        <f>"04/29/2019 00:38"</f>
        <v>04/29/2019 00:38</v>
      </c>
    </row>
    <row r="2409" spans="1:10" x14ac:dyDescent="0.3">
      <c r="A2409" t="s">
        <v>6</v>
      </c>
      <c r="B2409" t="str">
        <f>"04/29/2019 00:00"</f>
        <v>04/29/2019 00:00</v>
      </c>
      <c r="C2409">
        <v>0.05</v>
      </c>
      <c r="D2409" t="s">
        <v>7</v>
      </c>
      <c r="E2409" s="2" t="s">
        <v>12</v>
      </c>
      <c r="F2409">
        <f t="shared" si="37"/>
        <v>9.9150000000000016E-2</v>
      </c>
      <c r="G2409" t="s">
        <v>16</v>
      </c>
      <c r="J2409" t="str">
        <f>"04/30/2019 00:38"</f>
        <v>04/30/2019 00:38</v>
      </c>
    </row>
    <row r="2410" spans="1:10" x14ac:dyDescent="0.3">
      <c r="A2410" t="s">
        <v>6</v>
      </c>
      <c r="B2410" t="str">
        <f>"04/30/2019 00:00"</f>
        <v>04/30/2019 00:00</v>
      </c>
      <c r="C2410">
        <v>0.05</v>
      </c>
      <c r="D2410" t="s">
        <v>7</v>
      </c>
      <c r="E2410" s="2" t="s">
        <v>12</v>
      </c>
      <c r="F2410">
        <f t="shared" si="37"/>
        <v>9.9150000000000016E-2</v>
      </c>
      <c r="G2410" t="s">
        <v>16</v>
      </c>
      <c r="J2410" t="str">
        <f>"05/01/2019 00:38"</f>
        <v>05/01/2019 00:38</v>
      </c>
    </row>
    <row r="2411" spans="1:10" x14ac:dyDescent="0.3">
      <c r="A2411" t="s">
        <v>6</v>
      </c>
      <c r="B2411" t="str">
        <f>"05/01/2019 00:00"</f>
        <v>05/01/2019 00:00</v>
      </c>
      <c r="C2411">
        <v>0.05</v>
      </c>
      <c r="D2411" t="s">
        <v>7</v>
      </c>
      <c r="E2411" s="2" t="s">
        <v>12</v>
      </c>
      <c r="F2411">
        <f t="shared" si="37"/>
        <v>9.9150000000000016E-2</v>
      </c>
      <c r="G2411" t="s">
        <v>16</v>
      </c>
      <c r="J2411" t="str">
        <f>"05/02/2019 00:38"</f>
        <v>05/02/2019 00:38</v>
      </c>
    </row>
    <row r="2412" spans="1:10" x14ac:dyDescent="0.3">
      <c r="A2412" t="s">
        <v>6</v>
      </c>
      <c r="B2412" t="str">
        <f>"05/02/2019 00:00"</f>
        <v>05/02/2019 00:00</v>
      </c>
      <c r="C2412">
        <v>0.05</v>
      </c>
      <c r="D2412" t="s">
        <v>7</v>
      </c>
      <c r="E2412" s="2" t="s">
        <v>12</v>
      </c>
      <c r="F2412">
        <f t="shared" si="37"/>
        <v>9.9150000000000016E-2</v>
      </c>
      <c r="G2412" t="s">
        <v>16</v>
      </c>
      <c r="J2412" t="str">
        <f>"05/03/2019 00:38"</f>
        <v>05/03/2019 00:38</v>
      </c>
    </row>
    <row r="2413" spans="1:10" x14ac:dyDescent="0.3">
      <c r="A2413" t="s">
        <v>6</v>
      </c>
      <c r="B2413" t="str">
        <f>"05/03/2019 00:00"</f>
        <v>05/03/2019 00:00</v>
      </c>
      <c r="C2413">
        <v>0.05</v>
      </c>
      <c r="D2413" t="s">
        <v>7</v>
      </c>
      <c r="E2413" s="2" t="s">
        <v>12</v>
      </c>
      <c r="F2413">
        <f t="shared" si="37"/>
        <v>9.9150000000000016E-2</v>
      </c>
      <c r="G2413" t="s">
        <v>16</v>
      </c>
      <c r="J2413" t="str">
        <f>"05/04/2019 00:38"</f>
        <v>05/04/2019 00:38</v>
      </c>
    </row>
    <row r="2414" spans="1:10" x14ac:dyDescent="0.3">
      <c r="A2414" t="s">
        <v>6</v>
      </c>
      <c r="B2414" t="str">
        <f>"05/04/2019 00:00"</f>
        <v>05/04/2019 00:00</v>
      </c>
      <c r="C2414">
        <v>0.05</v>
      </c>
      <c r="D2414" t="s">
        <v>7</v>
      </c>
      <c r="E2414" s="2" t="s">
        <v>12</v>
      </c>
      <c r="F2414">
        <f t="shared" si="37"/>
        <v>9.9150000000000016E-2</v>
      </c>
      <c r="G2414" t="s">
        <v>16</v>
      </c>
      <c r="J2414" t="str">
        <f>"05/05/2019 00:38"</f>
        <v>05/05/2019 00:38</v>
      </c>
    </row>
    <row r="2415" spans="1:10" x14ac:dyDescent="0.3">
      <c r="A2415" t="s">
        <v>6</v>
      </c>
      <c r="B2415" t="str">
        <f>"05/05/2019 00:00"</f>
        <v>05/05/2019 00:00</v>
      </c>
      <c r="C2415">
        <v>0.05</v>
      </c>
      <c r="D2415" t="s">
        <v>7</v>
      </c>
      <c r="E2415" s="2" t="s">
        <v>12</v>
      </c>
      <c r="F2415">
        <f t="shared" si="37"/>
        <v>9.9150000000000016E-2</v>
      </c>
      <c r="G2415" t="s">
        <v>16</v>
      </c>
      <c r="J2415" t="str">
        <f>"05/06/2019 00:38"</f>
        <v>05/06/2019 00:38</v>
      </c>
    </row>
    <row r="2416" spans="1:10" x14ac:dyDescent="0.3">
      <c r="A2416" t="s">
        <v>6</v>
      </c>
      <c r="B2416" t="str">
        <f>"05/06/2019 00:00"</f>
        <v>05/06/2019 00:00</v>
      </c>
      <c r="C2416">
        <v>0.05</v>
      </c>
      <c r="D2416" t="s">
        <v>7</v>
      </c>
      <c r="E2416" s="2" t="s">
        <v>12</v>
      </c>
      <c r="F2416">
        <f t="shared" si="37"/>
        <v>9.9150000000000016E-2</v>
      </c>
      <c r="G2416" t="s">
        <v>16</v>
      </c>
      <c r="J2416" t="str">
        <f>"05/07/2019 00:38"</f>
        <v>05/07/2019 00:38</v>
      </c>
    </row>
    <row r="2417" spans="1:10" x14ac:dyDescent="0.3">
      <c r="A2417" t="s">
        <v>6</v>
      </c>
      <c r="B2417" t="str">
        <f>"05/07/2019 00:00"</f>
        <v>05/07/2019 00:00</v>
      </c>
      <c r="C2417">
        <v>0.05</v>
      </c>
      <c r="D2417" t="s">
        <v>7</v>
      </c>
      <c r="E2417" s="2" t="s">
        <v>12</v>
      </c>
      <c r="F2417">
        <f t="shared" si="37"/>
        <v>9.9150000000000016E-2</v>
      </c>
      <c r="G2417" t="s">
        <v>16</v>
      </c>
      <c r="J2417" t="str">
        <f>"05/08/2019 10:13"</f>
        <v>05/08/2019 10:13</v>
      </c>
    </row>
    <row r="2418" spans="1:10" x14ac:dyDescent="0.3">
      <c r="A2418" t="s">
        <v>6</v>
      </c>
      <c r="B2418" t="str">
        <f>"05/08/2019 00:00"</f>
        <v>05/08/2019 00:00</v>
      </c>
      <c r="C2418">
        <v>0.05</v>
      </c>
      <c r="D2418" t="s">
        <v>7</v>
      </c>
      <c r="E2418" s="2" t="s">
        <v>12</v>
      </c>
      <c r="F2418">
        <f t="shared" si="37"/>
        <v>9.9150000000000016E-2</v>
      </c>
      <c r="G2418" t="s">
        <v>16</v>
      </c>
      <c r="J2418" t="str">
        <f>"05/09/2019 00:38"</f>
        <v>05/09/2019 00:38</v>
      </c>
    </row>
    <row r="2419" spans="1:10" x14ac:dyDescent="0.3">
      <c r="A2419" t="s">
        <v>6</v>
      </c>
      <c r="B2419" t="str">
        <f>"05/09/2019 00:00"</f>
        <v>05/09/2019 00:00</v>
      </c>
      <c r="C2419">
        <v>0.05</v>
      </c>
      <c r="D2419" t="s">
        <v>7</v>
      </c>
      <c r="E2419" s="2" t="s">
        <v>12</v>
      </c>
      <c r="F2419">
        <f t="shared" si="37"/>
        <v>9.9150000000000016E-2</v>
      </c>
      <c r="G2419" t="s">
        <v>16</v>
      </c>
      <c r="J2419" t="str">
        <f>"05/10/2019 00:38"</f>
        <v>05/10/2019 00:38</v>
      </c>
    </row>
    <row r="2420" spans="1:10" x14ac:dyDescent="0.3">
      <c r="A2420" t="s">
        <v>6</v>
      </c>
      <c r="B2420" t="str">
        <f>"05/10/2019 00:00"</f>
        <v>05/10/2019 00:00</v>
      </c>
      <c r="C2420">
        <v>0.05</v>
      </c>
      <c r="D2420" t="s">
        <v>7</v>
      </c>
      <c r="E2420" s="2" t="s">
        <v>12</v>
      </c>
      <c r="F2420">
        <f t="shared" si="37"/>
        <v>9.9150000000000016E-2</v>
      </c>
      <c r="G2420" t="s">
        <v>16</v>
      </c>
      <c r="J2420" t="str">
        <f>"05/11/2019 00:38"</f>
        <v>05/11/2019 00:38</v>
      </c>
    </row>
    <row r="2421" spans="1:10" x14ac:dyDescent="0.3">
      <c r="A2421" t="s">
        <v>6</v>
      </c>
      <c r="B2421" t="str">
        <f>"05/11/2019 00:00"</f>
        <v>05/11/2019 00:00</v>
      </c>
      <c r="C2421">
        <v>0.05</v>
      </c>
      <c r="D2421" t="s">
        <v>7</v>
      </c>
      <c r="E2421" s="2" t="s">
        <v>12</v>
      </c>
      <c r="F2421">
        <f t="shared" si="37"/>
        <v>9.9150000000000016E-2</v>
      </c>
      <c r="G2421" t="s">
        <v>16</v>
      </c>
      <c r="J2421" t="str">
        <f>"05/12/2019 00:38"</f>
        <v>05/12/2019 00:38</v>
      </c>
    </row>
    <row r="2422" spans="1:10" x14ac:dyDescent="0.3">
      <c r="A2422" t="s">
        <v>6</v>
      </c>
      <c r="B2422" t="str">
        <f>"05/12/2019 00:00"</f>
        <v>05/12/2019 00:00</v>
      </c>
      <c r="C2422">
        <v>4.3200000000000002E-2</v>
      </c>
      <c r="D2422" t="s">
        <v>7</v>
      </c>
      <c r="E2422" s="2" t="s">
        <v>12</v>
      </c>
      <c r="F2422">
        <f t="shared" si="37"/>
        <v>8.5665600000000008E-2</v>
      </c>
      <c r="G2422" t="s">
        <v>16</v>
      </c>
      <c r="J2422" t="str">
        <f>"05/13/2019 00:38"</f>
        <v>05/13/2019 00:38</v>
      </c>
    </row>
    <row r="2423" spans="1:10" x14ac:dyDescent="0.3">
      <c r="A2423" t="s">
        <v>6</v>
      </c>
      <c r="B2423" t="str">
        <f>"05/13/2019 00:00"</f>
        <v>05/13/2019 00:00</v>
      </c>
      <c r="C2423">
        <v>0</v>
      </c>
      <c r="D2423" t="s">
        <v>7</v>
      </c>
      <c r="E2423" s="2" t="s">
        <v>12</v>
      </c>
      <c r="F2423">
        <f t="shared" si="37"/>
        <v>0</v>
      </c>
      <c r="G2423" t="s">
        <v>16</v>
      </c>
      <c r="J2423" t="str">
        <f>"05/14/2019 00:38"</f>
        <v>05/14/2019 00:38</v>
      </c>
    </row>
    <row r="2424" spans="1:10" x14ac:dyDescent="0.3">
      <c r="A2424" t="s">
        <v>6</v>
      </c>
      <c r="B2424" t="str">
        <f>"05/14/2019 00:00"</f>
        <v>05/14/2019 00:00</v>
      </c>
      <c r="C2424">
        <v>0</v>
      </c>
      <c r="D2424" t="s">
        <v>7</v>
      </c>
      <c r="E2424" s="2" t="s">
        <v>12</v>
      </c>
      <c r="F2424">
        <f t="shared" si="37"/>
        <v>0</v>
      </c>
      <c r="G2424" t="s">
        <v>16</v>
      </c>
      <c r="J2424" t="str">
        <f>"05/15/2019 00:38"</f>
        <v>05/15/2019 00:38</v>
      </c>
    </row>
    <row r="2425" spans="1:10" x14ac:dyDescent="0.3">
      <c r="A2425" t="s">
        <v>6</v>
      </c>
      <c r="B2425" t="str">
        <f>"05/15/2019 00:00"</f>
        <v>05/15/2019 00:00</v>
      </c>
      <c r="C2425">
        <v>0</v>
      </c>
      <c r="D2425" t="s">
        <v>7</v>
      </c>
      <c r="E2425" s="2" t="s">
        <v>12</v>
      </c>
      <c r="F2425">
        <f t="shared" si="37"/>
        <v>0</v>
      </c>
      <c r="G2425" t="s">
        <v>16</v>
      </c>
      <c r="J2425" t="str">
        <f>"05/16/2019 00:38"</f>
        <v>05/16/2019 00:38</v>
      </c>
    </row>
    <row r="2426" spans="1:10" x14ac:dyDescent="0.3">
      <c r="A2426" t="s">
        <v>6</v>
      </c>
      <c r="B2426" t="str">
        <f>"05/16/2019 00:00"</f>
        <v>05/16/2019 00:00</v>
      </c>
      <c r="C2426">
        <v>0</v>
      </c>
      <c r="D2426" t="s">
        <v>7</v>
      </c>
      <c r="E2426" s="2" t="s">
        <v>12</v>
      </c>
      <c r="F2426">
        <f t="shared" si="37"/>
        <v>0</v>
      </c>
      <c r="G2426" t="s">
        <v>16</v>
      </c>
      <c r="J2426" t="str">
        <f>"05/17/2019 00:38"</f>
        <v>05/17/2019 00:38</v>
      </c>
    </row>
    <row r="2427" spans="1:10" x14ac:dyDescent="0.3">
      <c r="A2427" t="s">
        <v>6</v>
      </c>
      <c r="B2427" t="str">
        <f>"05/17/2019 00:00"</f>
        <v>05/17/2019 00:00</v>
      </c>
      <c r="C2427">
        <v>0</v>
      </c>
      <c r="D2427" t="s">
        <v>7</v>
      </c>
      <c r="E2427" s="2" t="s">
        <v>12</v>
      </c>
      <c r="F2427">
        <f t="shared" si="37"/>
        <v>0</v>
      </c>
      <c r="G2427" t="s">
        <v>16</v>
      </c>
      <c r="J2427" t="str">
        <f>"05/18/2019 00:38"</f>
        <v>05/18/2019 00:38</v>
      </c>
    </row>
    <row r="2428" spans="1:10" x14ac:dyDescent="0.3">
      <c r="A2428" t="s">
        <v>6</v>
      </c>
      <c r="B2428" t="str">
        <f>"05/18/2019 00:00"</f>
        <v>05/18/2019 00:00</v>
      </c>
      <c r="C2428">
        <v>0</v>
      </c>
      <c r="D2428" t="s">
        <v>7</v>
      </c>
      <c r="E2428" s="2" t="s">
        <v>12</v>
      </c>
      <c r="F2428">
        <f t="shared" si="37"/>
        <v>0</v>
      </c>
      <c r="G2428" t="s">
        <v>16</v>
      </c>
      <c r="J2428" t="str">
        <f>"05/19/2019 00:38"</f>
        <v>05/19/2019 00:38</v>
      </c>
    </row>
    <row r="2429" spans="1:10" x14ac:dyDescent="0.3">
      <c r="A2429" t="s">
        <v>6</v>
      </c>
      <c r="B2429" t="str">
        <f>"05/19/2019 00:00"</f>
        <v>05/19/2019 00:00</v>
      </c>
      <c r="C2429">
        <v>0</v>
      </c>
      <c r="D2429" t="s">
        <v>7</v>
      </c>
      <c r="E2429" s="2" t="s">
        <v>12</v>
      </c>
      <c r="F2429">
        <f t="shared" si="37"/>
        <v>0</v>
      </c>
      <c r="G2429" t="s">
        <v>16</v>
      </c>
      <c r="J2429" t="str">
        <f>"05/20/2019 00:38"</f>
        <v>05/20/2019 00:38</v>
      </c>
    </row>
    <row r="2430" spans="1:10" x14ac:dyDescent="0.3">
      <c r="A2430" t="s">
        <v>6</v>
      </c>
      <c r="B2430" t="str">
        <f>"05/20/2019 00:00"</f>
        <v>05/20/2019 00:00</v>
      </c>
      <c r="C2430">
        <v>0</v>
      </c>
      <c r="D2430" t="s">
        <v>7</v>
      </c>
      <c r="E2430" s="2" t="s">
        <v>12</v>
      </c>
      <c r="F2430">
        <f t="shared" si="37"/>
        <v>0</v>
      </c>
      <c r="G2430" t="s">
        <v>16</v>
      </c>
      <c r="J2430" t="str">
        <f>"05/21/2019 00:38"</f>
        <v>05/21/2019 00:38</v>
      </c>
    </row>
    <row r="2431" spans="1:10" x14ac:dyDescent="0.3">
      <c r="A2431" t="s">
        <v>6</v>
      </c>
      <c r="B2431" t="str">
        <f>"05/21/2019 00:00"</f>
        <v>05/21/2019 00:00</v>
      </c>
      <c r="C2431">
        <v>0</v>
      </c>
      <c r="D2431" t="s">
        <v>7</v>
      </c>
      <c r="E2431" s="2" t="s">
        <v>12</v>
      </c>
      <c r="F2431">
        <f t="shared" si="37"/>
        <v>0</v>
      </c>
      <c r="G2431" t="s">
        <v>16</v>
      </c>
      <c r="J2431" t="str">
        <f>"05/22/2019 00:38"</f>
        <v>05/22/2019 00:38</v>
      </c>
    </row>
    <row r="2432" spans="1:10" x14ac:dyDescent="0.3">
      <c r="A2432" t="s">
        <v>6</v>
      </c>
      <c r="B2432" t="str">
        <f>"05/22/2019 00:00"</f>
        <v>05/22/2019 00:00</v>
      </c>
      <c r="C2432">
        <v>0</v>
      </c>
      <c r="D2432" t="s">
        <v>7</v>
      </c>
      <c r="E2432" s="2" t="s">
        <v>12</v>
      </c>
      <c r="F2432">
        <f t="shared" si="37"/>
        <v>0</v>
      </c>
      <c r="G2432" t="s">
        <v>16</v>
      </c>
      <c r="J2432" t="str">
        <f>"05/23/2019 00:38"</f>
        <v>05/23/2019 00:38</v>
      </c>
    </row>
    <row r="2433" spans="1:10" x14ac:dyDescent="0.3">
      <c r="A2433" t="s">
        <v>6</v>
      </c>
      <c r="B2433" t="str">
        <f>"05/23/2019 00:00"</f>
        <v>05/23/2019 00:00</v>
      </c>
      <c r="C2433">
        <v>0</v>
      </c>
      <c r="D2433" t="s">
        <v>7</v>
      </c>
      <c r="E2433" s="2" t="s">
        <v>12</v>
      </c>
      <c r="F2433">
        <f t="shared" si="37"/>
        <v>0</v>
      </c>
      <c r="G2433" t="s">
        <v>16</v>
      </c>
      <c r="J2433" t="str">
        <f>"05/24/2019 00:38"</f>
        <v>05/24/2019 00:38</v>
      </c>
    </row>
    <row r="2434" spans="1:10" x14ac:dyDescent="0.3">
      <c r="A2434" t="s">
        <v>6</v>
      </c>
      <c r="B2434" t="str">
        <f>"05/24/2019 00:00"</f>
        <v>05/24/2019 00:00</v>
      </c>
      <c r="C2434">
        <v>0</v>
      </c>
      <c r="D2434" t="s">
        <v>7</v>
      </c>
      <c r="E2434" s="2" t="s">
        <v>12</v>
      </c>
      <c r="F2434">
        <f t="shared" si="37"/>
        <v>0</v>
      </c>
      <c r="G2434" t="s">
        <v>16</v>
      </c>
      <c r="J2434" t="str">
        <f>"05/25/2019 00:38"</f>
        <v>05/25/2019 00:38</v>
      </c>
    </row>
    <row r="2435" spans="1:10" x14ac:dyDescent="0.3">
      <c r="A2435" t="s">
        <v>6</v>
      </c>
      <c r="B2435" t="str">
        <f>"05/25/2019 00:00"</f>
        <v>05/25/2019 00:00</v>
      </c>
      <c r="C2435">
        <v>0</v>
      </c>
      <c r="D2435" t="s">
        <v>7</v>
      </c>
      <c r="E2435" s="2" t="s">
        <v>12</v>
      </c>
      <c r="F2435">
        <f t="shared" si="37"/>
        <v>0</v>
      </c>
      <c r="G2435" t="s">
        <v>16</v>
      </c>
      <c r="J2435" t="str">
        <f>"05/26/2019 00:38"</f>
        <v>05/26/2019 00:38</v>
      </c>
    </row>
    <row r="2436" spans="1:10" x14ac:dyDescent="0.3">
      <c r="A2436" t="s">
        <v>6</v>
      </c>
      <c r="B2436" t="str">
        <f>"05/26/2019 00:00"</f>
        <v>05/26/2019 00:00</v>
      </c>
      <c r="C2436">
        <v>0</v>
      </c>
      <c r="D2436" t="s">
        <v>7</v>
      </c>
      <c r="E2436" s="2" t="s">
        <v>12</v>
      </c>
      <c r="F2436">
        <f t="shared" si="37"/>
        <v>0</v>
      </c>
      <c r="G2436" t="s">
        <v>16</v>
      </c>
      <c r="J2436" t="str">
        <f>"05/27/2019 00:38"</f>
        <v>05/27/2019 00:38</v>
      </c>
    </row>
    <row r="2437" spans="1:10" x14ac:dyDescent="0.3">
      <c r="A2437" t="s">
        <v>6</v>
      </c>
      <c r="B2437" t="str">
        <f>"05/27/2019 00:00"</f>
        <v>05/27/2019 00:00</v>
      </c>
      <c r="C2437">
        <v>0</v>
      </c>
      <c r="D2437" t="s">
        <v>7</v>
      </c>
      <c r="E2437" s="2" t="s">
        <v>12</v>
      </c>
      <c r="F2437">
        <f t="shared" si="37"/>
        <v>0</v>
      </c>
      <c r="G2437" t="s">
        <v>16</v>
      </c>
      <c r="J2437" t="str">
        <f>"05/28/2019 00:38"</f>
        <v>05/28/2019 00:38</v>
      </c>
    </row>
    <row r="2438" spans="1:10" x14ac:dyDescent="0.3">
      <c r="A2438" t="s">
        <v>6</v>
      </c>
      <c r="B2438" t="str">
        <f>"05/28/2019 00:00"</f>
        <v>05/28/2019 00:00</v>
      </c>
      <c r="C2438">
        <v>0</v>
      </c>
      <c r="D2438" t="s">
        <v>7</v>
      </c>
      <c r="E2438" s="2" t="s">
        <v>12</v>
      </c>
      <c r="F2438">
        <f t="shared" si="37"/>
        <v>0</v>
      </c>
      <c r="G2438" t="s">
        <v>16</v>
      </c>
      <c r="J2438" t="str">
        <f>"05/29/2019 00:38"</f>
        <v>05/29/2019 00:38</v>
      </c>
    </row>
    <row r="2439" spans="1:10" x14ac:dyDescent="0.3">
      <c r="A2439" t="s">
        <v>6</v>
      </c>
      <c r="B2439" t="str">
        <f>"05/29/2019 00:00"</f>
        <v>05/29/2019 00:00</v>
      </c>
      <c r="C2439">
        <v>0</v>
      </c>
      <c r="D2439" t="s">
        <v>7</v>
      </c>
      <c r="E2439" s="2" t="s">
        <v>12</v>
      </c>
      <c r="F2439">
        <f t="shared" si="37"/>
        <v>0</v>
      </c>
      <c r="G2439" t="s">
        <v>16</v>
      </c>
      <c r="J2439" t="str">
        <f>"05/30/2019 00:44"</f>
        <v>05/30/2019 00:44</v>
      </c>
    </row>
    <row r="2440" spans="1:10" x14ac:dyDescent="0.3">
      <c r="A2440" t="s">
        <v>6</v>
      </c>
      <c r="B2440" t="str">
        <f>"05/30/2019 00:00"</f>
        <v>05/30/2019 00:00</v>
      </c>
      <c r="C2440">
        <v>0</v>
      </c>
      <c r="D2440" t="s">
        <v>7</v>
      </c>
      <c r="E2440" s="2" t="s">
        <v>12</v>
      </c>
      <c r="F2440">
        <f t="shared" si="37"/>
        <v>0</v>
      </c>
      <c r="G2440" t="s">
        <v>16</v>
      </c>
      <c r="J2440" t="str">
        <f>"05/31/2019 00:38"</f>
        <v>05/31/2019 00:38</v>
      </c>
    </row>
    <row r="2441" spans="1:10" x14ac:dyDescent="0.3">
      <c r="A2441" t="s">
        <v>6</v>
      </c>
      <c r="B2441" t="str">
        <f>"05/31/2019 00:00"</f>
        <v>05/31/2019 00:00</v>
      </c>
      <c r="C2441">
        <v>0</v>
      </c>
      <c r="D2441" t="s">
        <v>7</v>
      </c>
      <c r="E2441" s="2" t="s">
        <v>12</v>
      </c>
      <c r="F2441">
        <f t="shared" ref="F2441:F2504" si="38">C2441*1.983</f>
        <v>0</v>
      </c>
      <c r="G2441" t="s">
        <v>16</v>
      </c>
      <c r="J2441" t="str">
        <f>"06/01/2019 00:38"</f>
        <v>06/01/2019 00:38</v>
      </c>
    </row>
    <row r="2442" spans="1:10" x14ac:dyDescent="0.3">
      <c r="A2442" t="s">
        <v>6</v>
      </c>
      <c r="B2442" t="str">
        <f>"06/01/2019 00:00"</f>
        <v>06/01/2019 00:00</v>
      </c>
      <c r="C2442">
        <v>0</v>
      </c>
      <c r="D2442" t="s">
        <v>7</v>
      </c>
      <c r="E2442" s="2" t="s">
        <v>12</v>
      </c>
      <c r="F2442">
        <f t="shared" si="38"/>
        <v>0</v>
      </c>
      <c r="G2442" t="s">
        <v>16</v>
      </c>
      <c r="J2442" t="str">
        <f>"06/02/2019 00:38"</f>
        <v>06/02/2019 00:38</v>
      </c>
    </row>
    <row r="2443" spans="1:10" x14ac:dyDescent="0.3">
      <c r="A2443" t="s">
        <v>6</v>
      </c>
      <c r="B2443" t="str">
        <f>"06/02/2019 00:00"</f>
        <v>06/02/2019 00:00</v>
      </c>
      <c r="C2443">
        <v>0</v>
      </c>
      <c r="D2443" t="s">
        <v>7</v>
      </c>
      <c r="E2443" s="2" t="s">
        <v>12</v>
      </c>
      <c r="F2443">
        <f t="shared" si="38"/>
        <v>0</v>
      </c>
      <c r="G2443" t="s">
        <v>16</v>
      </c>
      <c r="J2443" t="str">
        <f>"06/03/2019 00:38"</f>
        <v>06/03/2019 00:38</v>
      </c>
    </row>
    <row r="2444" spans="1:10" x14ac:dyDescent="0.3">
      <c r="A2444" t="s">
        <v>6</v>
      </c>
      <c r="B2444" t="str">
        <f>"06/03/2019 00:00"</f>
        <v>06/03/2019 00:00</v>
      </c>
      <c r="C2444">
        <v>0</v>
      </c>
      <c r="D2444" t="s">
        <v>7</v>
      </c>
      <c r="E2444" s="2" t="s">
        <v>12</v>
      </c>
      <c r="F2444">
        <f t="shared" si="38"/>
        <v>0</v>
      </c>
      <c r="G2444" t="s">
        <v>16</v>
      </c>
      <c r="J2444" t="str">
        <f>"06/04/2019 00:38"</f>
        <v>06/04/2019 00:38</v>
      </c>
    </row>
    <row r="2445" spans="1:10" x14ac:dyDescent="0.3">
      <c r="A2445" t="s">
        <v>6</v>
      </c>
      <c r="B2445" t="str">
        <f>"06/04/2019 00:00"</f>
        <v>06/04/2019 00:00</v>
      </c>
      <c r="C2445">
        <v>0</v>
      </c>
      <c r="D2445" t="s">
        <v>7</v>
      </c>
      <c r="E2445" s="2" t="s">
        <v>12</v>
      </c>
      <c r="F2445">
        <f t="shared" si="38"/>
        <v>0</v>
      </c>
      <c r="G2445" t="s">
        <v>16</v>
      </c>
      <c r="J2445" t="str">
        <f>"06/05/2019 00:38"</f>
        <v>06/05/2019 00:38</v>
      </c>
    </row>
    <row r="2446" spans="1:10" x14ac:dyDescent="0.3">
      <c r="A2446" t="s">
        <v>6</v>
      </c>
      <c r="B2446" t="str">
        <f>"06/05/2019 00:00"</f>
        <v>06/05/2019 00:00</v>
      </c>
      <c r="C2446">
        <v>0</v>
      </c>
      <c r="D2446" t="s">
        <v>7</v>
      </c>
      <c r="E2446" s="2" t="s">
        <v>12</v>
      </c>
      <c r="F2446">
        <f t="shared" si="38"/>
        <v>0</v>
      </c>
      <c r="G2446" t="s">
        <v>16</v>
      </c>
      <c r="J2446" t="str">
        <f>"06/06/2019 00:38"</f>
        <v>06/06/2019 00:38</v>
      </c>
    </row>
    <row r="2447" spans="1:10" x14ac:dyDescent="0.3">
      <c r="A2447" t="s">
        <v>6</v>
      </c>
      <c r="B2447" t="str">
        <f>"06/06/2019 00:00"</f>
        <v>06/06/2019 00:00</v>
      </c>
      <c r="C2447">
        <v>0</v>
      </c>
      <c r="D2447" t="s">
        <v>7</v>
      </c>
      <c r="E2447" s="2" t="s">
        <v>12</v>
      </c>
      <c r="F2447">
        <f t="shared" si="38"/>
        <v>0</v>
      </c>
      <c r="G2447" t="s">
        <v>16</v>
      </c>
      <c r="J2447" t="str">
        <f>"06/07/2019 00:39"</f>
        <v>06/07/2019 00:39</v>
      </c>
    </row>
    <row r="2448" spans="1:10" x14ac:dyDescent="0.3">
      <c r="A2448" t="s">
        <v>6</v>
      </c>
      <c r="B2448" t="str">
        <f>"06/07/2019 00:00"</f>
        <v>06/07/2019 00:00</v>
      </c>
      <c r="C2448">
        <v>0</v>
      </c>
      <c r="D2448" t="s">
        <v>7</v>
      </c>
      <c r="E2448" s="2" t="s">
        <v>12</v>
      </c>
      <c r="F2448">
        <f t="shared" si="38"/>
        <v>0</v>
      </c>
      <c r="G2448" t="s">
        <v>16</v>
      </c>
      <c r="J2448" t="str">
        <f>"06/08/2019 00:38"</f>
        <v>06/08/2019 00:38</v>
      </c>
    </row>
    <row r="2449" spans="1:10" x14ac:dyDescent="0.3">
      <c r="A2449" t="s">
        <v>6</v>
      </c>
      <c r="B2449" t="str">
        <f>"06/08/2019 00:00"</f>
        <v>06/08/2019 00:00</v>
      </c>
      <c r="C2449">
        <v>0</v>
      </c>
      <c r="D2449" t="s">
        <v>7</v>
      </c>
      <c r="E2449" s="2" t="s">
        <v>12</v>
      </c>
      <c r="F2449">
        <f t="shared" si="38"/>
        <v>0</v>
      </c>
      <c r="G2449" t="s">
        <v>16</v>
      </c>
      <c r="J2449" t="str">
        <f>"06/09/2019 00:38"</f>
        <v>06/09/2019 00:38</v>
      </c>
    </row>
    <row r="2450" spans="1:10" x14ac:dyDescent="0.3">
      <c r="A2450" t="s">
        <v>6</v>
      </c>
      <c r="B2450" t="str">
        <f>"06/09/2019 00:00"</f>
        <v>06/09/2019 00:00</v>
      </c>
      <c r="C2450">
        <v>0</v>
      </c>
      <c r="D2450" t="s">
        <v>7</v>
      </c>
      <c r="E2450" s="2" t="s">
        <v>12</v>
      </c>
      <c r="F2450">
        <f t="shared" si="38"/>
        <v>0</v>
      </c>
      <c r="G2450" t="s">
        <v>16</v>
      </c>
      <c r="J2450" t="str">
        <f>"06/10/2019 00:38"</f>
        <v>06/10/2019 00:38</v>
      </c>
    </row>
    <row r="2451" spans="1:10" x14ac:dyDescent="0.3">
      <c r="A2451" t="s">
        <v>6</v>
      </c>
      <c r="B2451" t="str">
        <f>"06/10/2019 00:00"</f>
        <v>06/10/2019 00:00</v>
      </c>
      <c r="C2451">
        <v>0</v>
      </c>
      <c r="D2451" t="s">
        <v>7</v>
      </c>
      <c r="E2451" s="2" t="s">
        <v>12</v>
      </c>
      <c r="F2451">
        <f t="shared" si="38"/>
        <v>0</v>
      </c>
      <c r="G2451" t="s">
        <v>16</v>
      </c>
      <c r="J2451" t="str">
        <f>"06/11/2019 00:38"</f>
        <v>06/11/2019 00:38</v>
      </c>
    </row>
    <row r="2452" spans="1:10" x14ac:dyDescent="0.3">
      <c r="A2452" t="s">
        <v>6</v>
      </c>
      <c r="B2452" t="str">
        <f>"06/11/2019 00:00"</f>
        <v>06/11/2019 00:00</v>
      </c>
      <c r="C2452">
        <v>0</v>
      </c>
      <c r="D2452" t="s">
        <v>7</v>
      </c>
      <c r="E2452" s="2" t="s">
        <v>12</v>
      </c>
      <c r="F2452">
        <f t="shared" si="38"/>
        <v>0</v>
      </c>
      <c r="G2452" t="s">
        <v>16</v>
      </c>
      <c r="J2452" t="str">
        <f>"06/12/2019 00:38"</f>
        <v>06/12/2019 00:38</v>
      </c>
    </row>
    <row r="2453" spans="1:10" x14ac:dyDescent="0.3">
      <c r="A2453" t="s">
        <v>6</v>
      </c>
      <c r="B2453" t="str">
        <f>"06/12/2019 00:00"</f>
        <v>06/12/2019 00:00</v>
      </c>
      <c r="C2453">
        <v>0</v>
      </c>
      <c r="D2453" t="s">
        <v>7</v>
      </c>
      <c r="E2453" s="2" t="s">
        <v>12</v>
      </c>
      <c r="F2453">
        <f t="shared" si="38"/>
        <v>0</v>
      </c>
      <c r="G2453" t="s">
        <v>16</v>
      </c>
      <c r="J2453" t="str">
        <f>"06/13/2019 00:38"</f>
        <v>06/13/2019 00:38</v>
      </c>
    </row>
    <row r="2454" spans="1:10" x14ac:dyDescent="0.3">
      <c r="A2454" t="s">
        <v>6</v>
      </c>
      <c r="B2454" t="str">
        <f>"06/13/2019 00:00"</f>
        <v>06/13/2019 00:00</v>
      </c>
      <c r="C2454">
        <v>0</v>
      </c>
      <c r="D2454" t="s">
        <v>7</v>
      </c>
      <c r="E2454" s="2" t="s">
        <v>12</v>
      </c>
      <c r="F2454">
        <f t="shared" si="38"/>
        <v>0</v>
      </c>
      <c r="G2454" t="s">
        <v>16</v>
      </c>
      <c r="J2454" t="str">
        <f>"06/14/2019 00:38"</f>
        <v>06/14/2019 00:38</v>
      </c>
    </row>
    <row r="2455" spans="1:10" x14ac:dyDescent="0.3">
      <c r="A2455" t="s">
        <v>6</v>
      </c>
      <c r="B2455" t="str">
        <f>"06/14/2019 00:00"</f>
        <v>06/14/2019 00:00</v>
      </c>
      <c r="C2455">
        <v>0</v>
      </c>
      <c r="D2455" t="s">
        <v>7</v>
      </c>
      <c r="E2455" s="2" t="s">
        <v>12</v>
      </c>
      <c r="F2455">
        <f t="shared" si="38"/>
        <v>0</v>
      </c>
      <c r="G2455" t="s">
        <v>16</v>
      </c>
      <c r="J2455" t="str">
        <f>"06/15/2019 00:38"</f>
        <v>06/15/2019 00:38</v>
      </c>
    </row>
    <row r="2456" spans="1:10" x14ac:dyDescent="0.3">
      <c r="A2456" t="s">
        <v>6</v>
      </c>
      <c r="B2456" t="str">
        <f>"06/15/2019 00:00"</f>
        <v>06/15/2019 00:00</v>
      </c>
      <c r="C2456">
        <v>0</v>
      </c>
      <c r="D2456" t="s">
        <v>7</v>
      </c>
      <c r="E2456" s="2" t="s">
        <v>12</v>
      </c>
      <c r="F2456">
        <f t="shared" si="38"/>
        <v>0</v>
      </c>
      <c r="G2456" t="s">
        <v>16</v>
      </c>
      <c r="J2456" t="str">
        <f>"06/16/2019 00:38"</f>
        <v>06/16/2019 00:38</v>
      </c>
    </row>
    <row r="2457" spans="1:10" x14ac:dyDescent="0.3">
      <c r="A2457" t="s">
        <v>6</v>
      </c>
      <c r="B2457" t="str">
        <f>"06/16/2019 00:00"</f>
        <v>06/16/2019 00:00</v>
      </c>
      <c r="C2457">
        <v>0</v>
      </c>
      <c r="D2457" t="s">
        <v>7</v>
      </c>
      <c r="E2457" s="2" t="s">
        <v>12</v>
      </c>
      <c r="F2457">
        <f t="shared" si="38"/>
        <v>0</v>
      </c>
      <c r="G2457" t="s">
        <v>16</v>
      </c>
      <c r="J2457" t="str">
        <f>"06/17/2019 00:38"</f>
        <v>06/17/2019 00:38</v>
      </c>
    </row>
    <row r="2458" spans="1:10" x14ac:dyDescent="0.3">
      <c r="A2458" t="s">
        <v>6</v>
      </c>
      <c r="B2458" t="str">
        <f>"06/17/2019 00:00"</f>
        <v>06/17/2019 00:00</v>
      </c>
      <c r="C2458">
        <v>0</v>
      </c>
      <c r="D2458" t="s">
        <v>7</v>
      </c>
      <c r="E2458" s="2" t="s">
        <v>12</v>
      </c>
      <c r="F2458">
        <f t="shared" si="38"/>
        <v>0</v>
      </c>
      <c r="G2458" t="s">
        <v>16</v>
      </c>
      <c r="J2458" t="str">
        <f>"06/18/2019 00:38"</f>
        <v>06/18/2019 00:38</v>
      </c>
    </row>
    <row r="2459" spans="1:10" x14ac:dyDescent="0.3">
      <c r="A2459" t="s">
        <v>6</v>
      </c>
      <c r="B2459" t="str">
        <f>"06/18/2019 00:00"</f>
        <v>06/18/2019 00:00</v>
      </c>
      <c r="C2459">
        <v>0</v>
      </c>
      <c r="D2459" t="s">
        <v>7</v>
      </c>
      <c r="E2459" s="2" t="s">
        <v>12</v>
      </c>
      <c r="F2459">
        <f t="shared" si="38"/>
        <v>0</v>
      </c>
      <c r="G2459" t="s">
        <v>16</v>
      </c>
      <c r="J2459" t="str">
        <f>"06/19/2019 00:38"</f>
        <v>06/19/2019 00:38</v>
      </c>
    </row>
    <row r="2460" spans="1:10" x14ac:dyDescent="0.3">
      <c r="A2460" t="s">
        <v>6</v>
      </c>
      <c r="B2460" t="str">
        <f>"06/19/2019 00:00"</f>
        <v>06/19/2019 00:00</v>
      </c>
      <c r="C2460">
        <v>0</v>
      </c>
      <c r="D2460" t="s">
        <v>7</v>
      </c>
      <c r="E2460" s="2" t="s">
        <v>12</v>
      </c>
      <c r="F2460">
        <f t="shared" si="38"/>
        <v>0</v>
      </c>
      <c r="G2460" t="s">
        <v>16</v>
      </c>
      <c r="J2460" t="str">
        <f>"06/20/2019 00:38"</f>
        <v>06/20/2019 00:38</v>
      </c>
    </row>
    <row r="2461" spans="1:10" x14ac:dyDescent="0.3">
      <c r="A2461" t="s">
        <v>6</v>
      </c>
      <c r="B2461" t="str">
        <f>"06/20/2019 00:00"</f>
        <v>06/20/2019 00:00</v>
      </c>
      <c r="C2461">
        <v>0</v>
      </c>
      <c r="D2461" t="s">
        <v>7</v>
      </c>
      <c r="E2461" s="2" t="s">
        <v>12</v>
      </c>
      <c r="F2461">
        <f t="shared" si="38"/>
        <v>0</v>
      </c>
      <c r="G2461" t="s">
        <v>16</v>
      </c>
      <c r="J2461" t="str">
        <f>"06/21/2019 00:38"</f>
        <v>06/21/2019 00:38</v>
      </c>
    </row>
    <row r="2462" spans="1:10" x14ac:dyDescent="0.3">
      <c r="A2462" t="s">
        <v>6</v>
      </c>
      <c r="B2462" t="str">
        <f>"06/21/2019 00:00"</f>
        <v>06/21/2019 00:00</v>
      </c>
      <c r="C2462">
        <v>0</v>
      </c>
      <c r="D2462" t="s">
        <v>7</v>
      </c>
      <c r="E2462" s="2" t="s">
        <v>12</v>
      </c>
      <c r="F2462">
        <f t="shared" si="38"/>
        <v>0</v>
      </c>
      <c r="G2462" t="s">
        <v>16</v>
      </c>
      <c r="J2462" t="str">
        <f>"06/22/2019 00:38"</f>
        <v>06/22/2019 00:38</v>
      </c>
    </row>
    <row r="2463" spans="1:10" x14ac:dyDescent="0.3">
      <c r="A2463" t="s">
        <v>6</v>
      </c>
      <c r="B2463" t="str">
        <f>"06/22/2019 00:00"</f>
        <v>06/22/2019 00:00</v>
      </c>
      <c r="C2463">
        <v>0</v>
      </c>
      <c r="D2463" t="s">
        <v>7</v>
      </c>
      <c r="E2463" s="2" t="s">
        <v>12</v>
      </c>
      <c r="F2463">
        <f t="shared" si="38"/>
        <v>0</v>
      </c>
      <c r="G2463" t="s">
        <v>16</v>
      </c>
      <c r="J2463" t="str">
        <f>"06/23/2019 00:38"</f>
        <v>06/23/2019 00:38</v>
      </c>
    </row>
    <row r="2464" spans="1:10" x14ac:dyDescent="0.3">
      <c r="A2464" t="s">
        <v>6</v>
      </c>
      <c r="B2464" t="str">
        <f>"06/23/2019 00:00"</f>
        <v>06/23/2019 00:00</v>
      </c>
      <c r="C2464">
        <v>0</v>
      </c>
      <c r="D2464" t="s">
        <v>7</v>
      </c>
      <c r="E2464" s="2" t="s">
        <v>12</v>
      </c>
      <c r="F2464">
        <f t="shared" si="38"/>
        <v>0</v>
      </c>
      <c r="G2464" t="s">
        <v>16</v>
      </c>
      <c r="J2464" t="str">
        <f>"06/24/2019 00:38"</f>
        <v>06/24/2019 00:38</v>
      </c>
    </row>
    <row r="2465" spans="1:10" x14ac:dyDescent="0.3">
      <c r="A2465" t="s">
        <v>6</v>
      </c>
      <c r="B2465" t="str">
        <f>"06/24/2019 00:00"</f>
        <v>06/24/2019 00:00</v>
      </c>
      <c r="C2465">
        <v>0</v>
      </c>
      <c r="D2465" t="s">
        <v>7</v>
      </c>
      <c r="E2465" s="2" t="s">
        <v>12</v>
      </c>
      <c r="F2465">
        <f t="shared" si="38"/>
        <v>0</v>
      </c>
      <c r="G2465" t="s">
        <v>16</v>
      </c>
      <c r="J2465" t="str">
        <f>"06/25/2019 00:38"</f>
        <v>06/25/2019 00:38</v>
      </c>
    </row>
    <row r="2466" spans="1:10" x14ac:dyDescent="0.3">
      <c r="A2466" t="s">
        <v>6</v>
      </c>
      <c r="B2466" t="str">
        <f>"06/25/2019 00:00"</f>
        <v>06/25/2019 00:00</v>
      </c>
      <c r="C2466">
        <v>0</v>
      </c>
      <c r="D2466" t="s">
        <v>7</v>
      </c>
      <c r="E2466" s="2" t="s">
        <v>12</v>
      </c>
      <c r="F2466">
        <f t="shared" si="38"/>
        <v>0</v>
      </c>
      <c r="G2466" t="s">
        <v>16</v>
      </c>
      <c r="J2466" t="str">
        <f>"06/26/2019 00:38"</f>
        <v>06/26/2019 00:38</v>
      </c>
    </row>
    <row r="2467" spans="1:10" x14ac:dyDescent="0.3">
      <c r="A2467" t="s">
        <v>6</v>
      </c>
      <c r="B2467" t="str">
        <f>"06/26/2019 00:00"</f>
        <v>06/26/2019 00:00</v>
      </c>
      <c r="C2467">
        <v>0</v>
      </c>
      <c r="D2467" t="s">
        <v>7</v>
      </c>
      <c r="E2467" s="2" t="s">
        <v>12</v>
      </c>
      <c r="F2467">
        <f t="shared" si="38"/>
        <v>0</v>
      </c>
      <c r="G2467" t="s">
        <v>16</v>
      </c>
      <c r="J2467" t="str">
        <f>"06/27/2019 00:38"</f>
        <v>06/27/2019 00:38</v>
      </c>
    </row>
    <row r="2468" spans="1:10" x14ac:dyDescent="0.3">
      <c r="A2468" t="s">
        <v>6</v>
      </c>
      <c r="B2468" t="str">
        <f>"06/27/2019 00:00"</f>
        <v>06/27/2019 00:00</v>
      </c>
      <c r="C2468">
        <v>0</v>
      </c>
      <c r="D2468" t="s">
        <v>7</v>
      </c>
      <c r="E2468" s="2" t="s">
        <v>12</v>
      </c>
      <c r="F2468">
        <f t="shared" si="38"/>
        <v>0</v>
      </c>
      <c r="G2468" t="s">
        <v>16</v>
      </c>
      <c r="J2468" t="str">
        <f>"06/28/2019 00:38"</f>
        <v>06/28/2019 00:38</v>
      </c>
    </row>
    <row r="2469" spans="1:10" x14ac:dyDescent="0.3">
      <c r="A2469" t="s">
        <v>6</v>
      </c>
      <c r="B2469" t="str">
        <f>"06/28/2019 00:00"</f>
        <v>06/28/2019 00:00</v>
      </c>
      <c r="C2469">
        <v>0</v>
      </c>
      <c r="D2469" t="s">
        <v>7</v>
      </c>
      <c r="E2469" s="2" t="s">
        <v>12</v>
      </c>
      <c r="F2469">
        <f t="shared" si="38"/>
        <v>0</v>
      </c>
      <c r="G2469" t="s">
        <v>16</v>
      </c>
      <c r="J2469" t="str">
        <f>"06/29/2019 00:38"</f>
        <v>06/29/2019 00:38</v>
      </c>
    </row>
    <row r="2470" spans="1:10" x14ac:dyDescent="0.3">
      <c r="A2470" t="s">
        <v>6</v>
      </c>
      <c r="B2470" t="str">
        <f>"06/29/2019 00:00"</f>
        <v>06/29/2019 00:00</v>
      </c>
      <c r="C2470">
        <v>0</v>
      </c>
      <c r="D2470" t="s">
        <v>7</v>
      </c>
      <c r="E2470" s="2" t="s">
        <v>12</v>
      </c>
      <c r="F2470">
        <f t="shared" si="38"/>
        <v>0</v>
      </c>
      <c r="G2470" t="s">
        <v>16</v>
      </c>
      <c r="J2470" t="str">
        <f>"06/30/2019 00:38"</f>
        <v>06/30/2019 00:38</v>
      </c>
    </row>
    <row r="2471" spans="1:10" x14ac:dyDescent="0.3">
      <c r="A2471" t="s">
        <v>6</v>
      </c>
      <c r="B2471" t="str">
        <f>"06/30/2019 00:00"</f>
        <v>06/30/2019 00:00</v>
      </c>
      <c r="C2471">
        <v>0</v>
      </c>
      <c r="D2471" t="s">
        <v>7</v>
      </c>
      <c r="E2471" s="2" t="s">
        <v>12</v>
      </c>
      <c r="F2471">
        <f t="shared" si="38"/>
        <v>0</v>
      </c>
      <c r="G2471" t="s">
        <v>16</v>
      </c>
      <c r="J2471" t="str">
        <f>"07/01/2019 00:38"</f>
        <v>07/01/2019 00:38</v>
      </c>
    </row>
    <row r="2472" spans="1:10" x14ac:dyDescent="0.3">
      <c r="A2472" t="s">
        <v>6</v>
      </c>
      <c r="B2472" t="str">
        <f>"07/01/2019 00:00"</f>
        <v>07/01/2019 00:00</v>
      </c>
      <c r="C2472">
        <v>0</v>
      </c>
      <c r="D2472" t="s">
        <v>7</v>
      </c>
      <c r="E2472" s="2" t="s">
        <v>12</v>
      </c>
      <c r="F2472">
        <f t="shared" si="38"/>
        <v>0</v>
      </c>
      <c r="G2472" t="s">
        <v>16</v>
      </c>
      <c r="J2472" t="str">
        <f>"07/02/2019 00:38"</f>
        <v>07/02/2019 00:38</v>
      </c>
    </row>
    <row r="2473" spans="1:10" x14ac:dyDescent="0.3">
      <c r="A2473" t="s">
        <v>6</v>
      </c>
      <c r="B2473" t="str">
        <f>"07/02/2019 00:00"</f>
        <v>07/02/2019 00:00</v>
      </c>
      <c r="C2473">
        <v>0</v>
      </c>
      <c r="D2473" t="s">
        <v>7</v>
      </c>
      <c r="E2473" s="2" t="s">
        <v>12</v>
      </c>
      <c r="F2473">
        <f t="shared" si="38"/>
        <v>0</v>
      </c>
      <c r="G2473" t="s">
        <v>16</v>
      </c>
      <c r="J2473" t="str">
        <f>"07/03/2019 00:38"</f>
        <v>07/03/2019 00:38</v>
      </c>
    </row>
    <row r="2474" spans="1:10" x14ac:dyDescent="0.3">
      <c r="A2474" t="s">
        <v>6</v>
      </c>
      <c r="B2474" t="str">
        <f>"07/03/2019 00:00"</f>
        <v>07/03/2019 00:00</v>
      </c>
      <c r="C2474">
        <v>0</v>
      </c>
      <c r="D2474" t="s">
        <v>7</v>
      </c>
      <c r="E2474" s="2" t="s">
        <v>12</v>
      </c>
      <c r="F2474">
        <f t="shared" si="38"/>
        <v>0</v>
      </c>
      <c r="G2474" t="s">
        <v>16</v>
      </c>
      <c r="J2474" t="str">
        <f>"07/04/2019 00:38"</f>
        <v>07/04/2019 00:38</v>
      </c>
    </row>
    <row r="2475" spans="1:10" x14ac:dyDescent="0.3">
      <c r="A2475" t="s">
        <v>6</v>
      </c>
      <c r="B2475" t="str">
        <f>"07/04/2019 00:00"</f>
        <v>07/04/2019 00:00</v>
      </c>
      <c r="C2475">
        <v>0</v>
      </c>
      <c r="D2475" t="s">
        <v>7</v>
      </c>
      <c r="E2475" s="2" t="s">
        <v>12</v>
      </c>
      <c r="F2475">
        <f t="shared" si="38"/>
        <v>0</v>
      </c>
      <c r="G2475" t="s">
        <v>16</v>
      </c>
      <c r="J2475" t="str">
        <f>"07/05/2019 00:38"</f>
        <v>07/05/2019 00:38</v>
      </c>
    </row>
    <row r="2476" spans="1:10" x14ac:dyDescent="0.3">
      <c r="A2476" t="s">
        <v>6</v>
      </c>
      <c r="B2476" t="str">
        <f>"07/05/2019 00:00"</f>
        <v>07/05/2019 00:00</v>
      </c>
      <c r="C2476">
        <v>0</v>
      </c>
      <c r="D2476" t="s">
        <v>7</v>
      </c>
      <c r="E2476" s="2" t="s">
        <v>12</v>
      </c>
      <c r="F2476">
        <f t="shared" si="38"/>
        <v>0</v>
      </c>
      <c r="G2476" t="s">
        <v>16</v>
      </c>
      <c r="J2476" t="str">
        <f>"07/06/2019 00:41"</f>
        <v>07/06/2019 00:41</v>
      </c>
    </row>
    <row r="2477" spans="1:10" x14ac:dyDescent="0.3">
      <c r="A2477" t="s">
        <v>6</v>
      </c>
      <c r="B2477" t="str">
        <f>"07/06/2019 00:00"</f>
        <v>07/06/2019 00:00</v>
      </c>
      <c r="C2477">
        <v>0</v>
      </c>
      <c r="D2477" t="s">
        <v>7</v>
      </c>
      <c r="E2477" s="2" t="s">
        <v>12</v>
      </c>
      <c r="F2477">
        <f t="shared" si="38"/>
        <v>0</v>
      </c>
      <c r="G2477" t="s">
        <v>16</v>
      </c>
      <c r="J2477" t="str">
        <f>"07/07/2019 00:42"</f>
        <v>07/07/2019 00:42</v>
      </c>
    </row>
    <row r="2478" spans="1:10" x14ac:dyDescent="0.3">
      <c r="A2478" t="s">
        <v>6</v>
      </c>
      <c r="B2478" t="str">
        <f>"07/07/2019 00:00"</f>
        <v>07/07/2019 00:00</v>
      </c>
      <c r="C2478">
        <v>0</v>
      </c>
      <c r="D2478" t="s">
        <v>7</v>
      </c>
      <c r="E2478" s="2" t="s">
        <v>12</v>
      </c>
      <c r="F2478">
        <f t="shared" si="38"/>
        <v>0</v>
      </c>
      <c r="G2478" t="s">
        <v>16</v>
      </c>
      <c r="J2478" t="str">
        <f>"07/08/2019 00:40"</f>
        <v>07/08/2019 00:40</v>
      </c>
    </row>
    <row r="2479" spans="1:10" x14ac:dyDescent="0.3">
      <c r="A2479" t="s">
        <v>6</v>
      </c>
      <c r="B2479" t="str">
        <f>"07/08/2019 00:00"</f>
        <v>07/08/2019 00:00</v>
      </c>
      <c r="C2479">
        <v>0</v>
      </c>
      <c r="D2479" t="s">
        <v>7</v>
      </c>
      <c r="E2479" s="2" t="s">
        <v>12</v>
      </c>
      <c r="F2479">
        <f t="shared" si="38"/>
        <v>0</v>
      </c>
      <c r="G2479" t="s">
        <v>16</v>
      </c>
      <c r="J2479" t="str">
        <f>"07/09/2019 00:38"</f>
        <v>07/09/2019 00:38</v>
      </c>
    </row>
    <row r="2480" spans="1:10" x14ac:dyDescent="0.3">
      <c r="A2480" t="s">
        <v>6</v>
      </c>
      <c r="B2480" t="str">
        <f>"07/09/2019 00:00"</f>
        <v>07/09/2019 00:00</v>
      </c>
      <c r="C2480">
        <v>0</v>
      </c>
      <c r="D2480" t="s">
        <v>7</v>
      </c>
      <c r="E2480" s="2" t="s">
        <v>12</v>
      </c>
      <c r="F2480">
        <f t="shared" si="38"/>
        <v>0</v>
      </c>
      <c r="G2480" t="s">
        <v>16</v>
      </c>
      <c r="J2480" t="str">
        <f>"07/10/2019 00:39"</f>
        <v>07/10/2019 00:39</v>
      </c>
    </row>
    <row r="2481" spans="1:10" x14ac:dyDescent="0.3">
      <c r="A2481" t="s">
        <v>6</v>
      </c>
      <c r="B2481" t="str">
        <f>"07/10/2019 00:00"</f>
        <v>07/10/2019 00:00</v>
      </c>
      <c r="C2481">
        <v>0</v>
      </c>
      <c r="D2481" t="s">
        <v>7</v>
      </c>
      <c r="E2481" s="2" t="s">
        <v>12</v>
      </c>
      <c r="F2481">
        <f t="shared" si="38"/>
        <v>0</v>
      </c>
      <c r="G2481" t="s">
        <v>16</v>
      </c>
      <c r="J2481" t="str">
        <f>"07/11/2019 00:38"</f>
        <v>07/11/2019 00:38</v>
      </c>
    </row>
    <row r="2482" spans="1:10" x14ac:dyDescent="0.3">
      <c r="A2482" t="s">
        <v>6</v>
      </c>
      <c r="B2482" t="str">
        <f>"07/11/2019 00:00"</f>
        <v>07/11/2019 00:00</v>
      </c>
      <c r="C2482">
        <v>0</v>
      </c>
      <c r="D2482" t="s">
        <v>7</v>
      </c>
      <c r="E2482" s="2" t="s">
        <v>12</v>
      </c>
      <c r="F2482">
        <f t="shared" si="38"/>
        <v>0</v>
      </c>
      <c r="G2482" t="s">
        <v>16</v>
      </c>
      <c r="J2482" t="str">
        <f>"07/12/2019 00:39"</f>
        <v>07/12/2019 00:39</v>
      </c>
    </row>
    <row r="2483" spans="1:10" x14ac:dyDescent="0.3">
      <c r="A2483" t="s">
        <v>6</v>
      </c>
      <c r="B2483" t="str">
        <f>"07/12/2019 00:00"</f>
        <v>07/12/2019 00:00</v>
      </c>
      <c r="C2483">
        <v>0</v>
      </c>
      <c r="D2483" t="s">
        <v>7</v>
      </c>
      <c r="E2483" s="2" t="s">
        <v>12</v>
      </c>
      <c r="F2483">
        <f t="shared" si="38"/>
        <v>0</v>
      </c>
      <c r="G2483" t="s">
        <v>16</v>
      </c>
      <c r="J2483" t="str">
        <f>"07/13/2019 00:38"</f>
        <v>07/13/2019 00:38</v>
      </c>
    </row>
    <row r="2484" spans="1:10" x14ac:dyDescent="0.3">
      <c r="A2484" t="s">
        <v>6</v>
      </c>
      <c r="B2484" t="str">
        <f>"07/13/2019 00:00"</f>
        <v>07/13/2019 00:00</v>
      </c>
      <c r="C2484">
        <v>0</v>
      </c>
      <c r="D2484" t="s">
        <v>7</v>
      </c>
      <c r="E2484" s="2" t="s">
        <v>12</v>
      </c>
      <c r="F2484">
        <f t="shared" si="38"/>
        <v>0</v>
      </c>
      <c r="G2484" t="s">
        <v>16</v>
      </c>
      <c r="J2484" t="str">
        <f>"07/14/2019 00:38"</f>
        <v>07/14/2019 00:38</v>
      </c>
    </row>
    <row r="2485" spans="1:10" x14ac:dyDescent="0.3">
      <c r="A2485" t="s">
        <v>6</v>
      </c>
      <c r="B2485" t="str">
        <f>"07/14/2019 00:00"</f>
        <v>07/14/2019 00:00</v>
      </c>
      <c r="C2485">
        <v>0</v>
      </c>
      <c r="D2485" t="s">
        <v>7</v>
      </c>
      <c r="E2485" s="2" t="s">
        <v>12</v>
      </c>
      <c r="F2485">
        <f t="shared" si="38"/>
        <v>0</v>
      </c>
      <c r="G2485" t="s">
        <v>16</v>
      </c>
      <c r="J2485" t="str">
        <f>"07/15/2019 00:38"</f>
        <v>07/15/2019 00:38</v>
      </c>
    </row>
    <row r="2486" spans="1:10" x14ac:dyDescent="0.3">
      <c r="A2486" t="s">
        <v>6</v>
      </c>
      <c r="B2486" t="str">
        <f>"07/15/2019 00:00"</f>
        <v>07/15/2019 00:00</v>
      </c>
      <c r="C2486">
        <v>0</v>
      </c>
      <c r="D2486" t="s">
        <v>7</v>
      </c>
      <c r="E2486" s="2" t="s">
        <v>12</v>
      </c>
      <c r="F2486">
        <f t="shared" si="38"/>
        <v>0</v>
      </c>
      <c r="G2486" t="s">
        <v>16</v>
      </c>
      <c r="J2486" t="str">
        <f>"07/16/2019 00:38"</f>
        <v>07/16/2019 00:38</v>
      </c>
    </row>
    <row r="2487" spans="1:10" x14ac:dyDescent="0.3">
      <c r="A2487" t="s">
        <v>6</v>
      </c>
      <c r="B2487" t="str">
        <f>"07/16/2019 00:00"</f>
        <v>07/16/2019 00:00</v>
      </c>
      <c r="C2487">
        <v>0</v>
      </c>
      <c r="D2487" t="s">
        <v>7</v>
      </c>
      <c r="E2487" s="2" t="s">
        <v>12</v>
      </c>
      <c r="F2487">
        <f t="shared" si="38"/>
        <v>0</v>
      </c>
      <c r="G2487" t="s">
        <v>16</v>
      </c>
      <c r="J2487" t="str">
        <f>"07/17/2019 00:38"</f>
        <v>07/17/2019 00:38</v>
      </c>
    </row>
    <row r="2488" spans="1:10" x14ac:dyDescent="0.3">
      <c r="A2488" t="s">
        <v>6</v>
      </c>
      <c r="B2488" t="str">
        <f>"07/17/2019 00:00"</f>
        <v>07/17/2019 00:00</v>
      </c>
      <c r="C2488">
        <v>0</v>
      </c>
      <c r="D2488" t="s">
        <v>7</v>
      </c>
      <c r="E2488" s="2" t="s">
        <v>12</v>
      </c>
      <c r="F2488">
        <f t="shared" si="38"/>
        <v>0</v>
      </c>
      <c r="G2488" t="s">
        <v>16</v>
      </c>
      <c r="J2488" t="str">
        <f>"07/18/2019 00:38"</f>
        <v>07/18/2019 00:38</v>
      </c>
    </row>
    <row r="2489" spans="1:10" x14ac:dyDescent="0.3">
      <c r="A2489" t="s">
        <v>6</v>
      </c>
      <c r="B2489" t="str">
        <f>"07/18/2019 00:00"</f>
        <v>07/18/2019 00:00</v>
      </c>
      <c r="C2489">
        <v>0</v>
      </c>
      <c r="D2489" t="s">
        <v>7</v>
      </c>
      <c r="E2489" s="2" t="s">
        <v>12</v>
      </c>
      <c r="F2489">
        <f t="shared" si="38"/>
        <v>0</v>
      </c>
      <c r="G2489" t="s">
        <v>16</v>
      </c>
      <c r="J2489" t="str">
        <f>"07/19/2019 00:39"</f>
        <v>07/19/2019 00:39</v>
      </c>
    </row>
    <row r="2490" spans="1:10" x14ac:dyDescent="0.3">
      <c r="A2490" t="s">
        <v>6</v>
      </c>
      <c r="B2490" t="str">
        <f>"07/19/2019 00:00"</f>
        <v>07/19/2019 00:00</v>
      </c>
      <c r="C2490">
        <v>0</v>
      </c>
      <c r="D2490" t="s">
        <v>7</v>
      </c>
      <c r="E2490" s="2" t="s">
        <v>12</v>
      </c>
      <c r="F2490">
        <f t="shared" si="38"/>
        <v>0</v>
      </c>
      <c r="G2490" t="s">
        <v>16</v>
      </c>
      <c r="J2490" t="str">
        <f>"07/20/2019 00:38"</f>
        <v>07/20/2019 00:38</v>
      </c>
    </row>
    <row r="2491" spans="1:10" x14ac:dyDescent="0.3">
      <c r="A2491" t="s">
        <v>6</v>
      </c>
      <c r="B2491" t="str">
        <f>"07/20/2019 00:00"</f>
        <v>07/20/2019 00:00</v>
      </c>
      <c r="C2491">
        <v>0</v>
      </c>
      <c r="D2491" t="s">
        <v>7</v>
      </c>
      <c r="E2491" s="2" t="s">
        <v>12</v>
      </c>
      <c r="F2491">
        <f t="shared" si="38"/>
        <v>0</v>
      </c>
      <c r="G2491" t="s">
        <v>16</v>
      </c>
      <c r="J2491" t="str">
        <f>"07/21/2019 00:39"</f>
        <v>07/21/2019 00:39</v>
      </c>
    </row>
    <row r="2492" spans="1:10" x14ac:dyDescent="0.3">
      <c r="A2492" t="s">
        <v>6</v>
      </c>
      <c r="B2492" t="str">
        <f>"07/21/2019 00:00"</f>
        <v>07/21/2019 00:00</v>
      </c>
      <c r="C2492">
        <v>0</v>
      </c>
      <c r="D2492" t="s">
        <v>7</v>
      </c>
      <c r="E2492" s="2" t="s">
        <v>12</v>
      </c>
      <c r="F2492">
        <f t="shared" si="38"/>
        <v>0</v>
      </c>
      <c r="G2492" t="s">
        <v>16</v>
      </c>
      <c r="J2492" t="str">
        <f>"07/22/2019 00:39"</f>
        <v>07/22/2019 00:39</v>
      </c>
    </row>
    <row r="2493" spans="1:10" x14ac:dyDescent="0.3">
      <c r="A2493" t="s">
        <v>6</v>
      </c>
      <c r="B2493" t="str">
        <f>"07/22/2019 00:00"</f>
        <v>07/22/2019 00:00</v>
      </c>
      <c r="C2493">
        <v>0</v>
      </c>
      <c r="D2493" t="s">
        <v>7</v>
      </c>
      <c r="E2493" s="2" t="s">
        <v>12</v>
      </c>
      <c r="F2493">
        <f t="shared" si="38"/>
        <v>0</v>
      </c>
      <c r="G2493" t="s">
        <v>16</v>
      </c>
      <c r="J2493" t="str">
        <f>"07/23/2019 00:39"</f>
        <v>07/23/2019 00:39</v>
      </c>
    </row>
    <row r="2494" spans="1:10" x14ac:dyDescent="0.3">
      <c r="A2494" t="s">
        <v>6</v>
      </c>
      <c r="B2494" t="str">
        <f>"07/23/2019 00:00"</f>
        <v>07/23/2019 00:00</v>
      </c>
      <c r="C2494">
        <v>0</v>
      </c>
      <c r="D2494" t="s">
        <v>7</v>
      </c>
      <c r="E2494" s="2" t="s">
        <v>12</v>
      </c>
      <c r="F2494">
        <f t="shared" si="38"/>
        <v>0</v>
      </c>
      <c r="G2494" t="s">
        <v>16</v>
      </c>
      <c r="J2494" t="str">
        <f>"07/24/2019 00:39"</f>
        <v>07/24/2019 00:39</v>
      </c>
    </row>
    <row r="2495" spans="1:10" x14ac:dyDescent="0.3">
      <c r="A2495" t="s">
        <v>6</v>
      </c>
      <c r="B2495" t="str">
        <f>"07/24/2019 00:00"</f>
        <v>07/24/2019 00:00</v>
      </c>
      <c r="C2495">
        <v>0</v>
      </c>
      <c r="D2495" t="s">
        <v>7</v>
      </c>
      <c r="E2495" s="2" t="s">
        <v>12</v>
      </c>
      <c r="F2495">
        <f t="shared" si="38"/>
        <v>0</v>
      </c>
      <c r="G2495" t="s">
        <v>16</v>
      </c>
      <c r="J2495" t="str">
        <f>"07/25/2019 00:39"</f>
        <v>07/25/2019 00:39</v>
      </c>
    </row>
    <row r="2496" spans="1:10" x14ac:dyDescent="0.3">
      <c r="A2496" t="s">
        <v>6</v>
      </c>
      <c r="B2496" t="str">
        <f>"07/25/2019 00:00"</f>
        <v>07/25/2019 00:00</v>
      </c>
      <c r="C2496">
        <v>0</v>
      </c>
      <c r="D2496" t="s">
        <v>7</v>
      </c>
      <c r="E2496" s="2" t="s">
        <v>12</v>
      </c>
      <c r="F2496">
        <f t="shared" si="38"/>
        <v>0</v>
      </c>
      <c r="G2496" t="s">
        <v>16</v>
      </c>
      <c r="J2496" t="str">
        <f>"07/26/2019 00:39"</f>
        <v>07/26/2019 00:39</v>
      </c>
    </row>
    <row r="2497" spans="1:10" x14ac:dyDescent="0.3">
      <c r="A2497" t="s">
        <v>6</v>
      </c>
      <c r="B2497" t="str">
        <f>"07/26/2019 00:00"</f>
        <v>07/26/2019 00:00</v>
      </c>
      <c r="C2497">
        <v>0</v>
      </c>
      <c r="D2497" t="s">
        <v>7</v>
      </c>
      <c r="E2497" s="2" t="s">
        <v>12</v>
      </c>
      <c r="F2497">
        <f t="shared" si="38"/>
        <v>0</v>
      </c>
      <c r="G2497" t="s">
        <v>16</v>
      </c>
      <c r="J2497" t="str">
        <f>"07/27/2019 00:39"</f>
        <v>07/27/2019 00:39</v>
      </c>
    </row>
    <row r="2498" spans="1:10" x14ac:dyDescent="0.3">
      <c r="A2498" t="s">
        <v>6</v>
      </c>
      <c r="B2498" t="str">
        <f>"07/27/2019 00:00"</f>
        <v>07/27/2019 00:00</v>
      </c>
      <c r="C2498">
        <v>0</v>
      </c>
      <c r="D2498" t="s">
        <v>7</v>
      </c>
      <c r="E2498" s="2" t="s">
        <v>12</v>
      </c>
      <c r="F2498">
        <f t="shared" si="38"/>
        <v>0</v>
      </c>
      <c r="G2498" t="s">
        <v>16</v>
      </c>
      <c r="J2498" t="str">
        <f>"07/28/2019 00:39"</f>
        <v>07/28/2019 00:39</v>
      </c>
    </row>
    <row r="2499" spans="1:10" x14ac:dyDescent="0.3">
      <c r="A2499" t="s">
        <v>6</v>
      </c>
      <c r="B2499" t="str">
        <f>"07/28/2019 00:00"</f>
        <v>07/28/2019 00:00</v>
      </c>
      <c r="C2499">
        <v>0</v>
      </c>
      <c r="D2499" t="s">
        <v>7</v>
      </c>
      <c r="E2499" s="2" t="s">
        <v>12</v>
      </c>
      <c r="F2499">
        <f t="shared" si="38"/>
        <v>0</v>
      </c>
      <c r="G2499" t="s">
        <v>16</v>
      </c>
      <c r="J2499" t="str">
        <f>"07/29/2019 00:39"</f>
        <v>07/29/2019 00:39</v>
      </c>
    </row>
    <row r="2500" spans="1:10" x14ac:dyDescent="0.3">
      <c r="A2500" t="s">
        <v>6</v>
      </c>
      <c r="B2500" t="str">
        <f>"07/29/2019 00:00"</f>
        <v>07/29/2019 00:00</v>
      </c>
      <c r="C2500">
        <v>0</v>
      </c>
      <c r="D2500" t="s">
        <v>7</v>
      </c>
      <c r="E2500" s="2" t="s">
        <v>12</v>
      </c>
      <c r="F2500">
        <f t="shared" si="38"/>
        <v>0</v>
      </c>
      <c r="G2500" t="s">
        <v>16</v>
      </c>
      <c r="J2500" t="str">
        <f>"07/30/2019 00:39"</f>
        <v>07/30/2019 00:39</v>
      </c>
    </row>
    <row r="2501" spans="1:10" x14ac:dyDescent="0.3">
      <c r="A2501" t="s">
        <v>6</v>
      </c>
      <c r="B2501" t="str">
        <f>"07/30/2019 00:00"</f>
        <v>07/30/2019 00:00</v>
      </c>
      <c r="C2501">
        <v>0</v>
      </c>
      <c r="D2501" t="s">
        <v>7</v>
      </c>
      <c r="E2501" s="2" t="s">
        <v>12</v>
      </c>
      <c r="F2501">
        <f t="shared" si="38"/>
        <v>0</v>
      </c>
      <c r="G2501" t="s">
        <v>16</v>
      </c>
      <c r="J2501" t="str">
        <f>"07/31/2019 00:39"</f>
        <v>07/31/2019 00:39</v>
      </c>
    </row>
    <row r="2502" spans="1:10" x14ac:dyDescent="0.3">
      <c r="A2502" t="s">
        <v>6</v>
      </c>
      <c r="B2502" t="str">
        <f>"07/31/2019 00:00"</f>
        <v>07/31/2019 00:00</v>
      </c>
      <c r="C2502">
        <v>0</v>
      </c>
      <c r="D2502" t="s">
        <v>7</v>
      </c>
      <c r="E2502" s="2" t="s">
        <v>12</v>
      </c>
      <c r="F2502">
        <f t="shared" si="38"/>
        <v>0</v>
      </c>
      <c r="G2502" t="s">
        <v>16</v>
      </c>
      <c r="J2502" t="str">
        <f>"08/01/2019 00:39"</f>
        <v>08/01/2019 00:39</v>
      </c>
    </row>
    <row r="2503" spans="1:10" x14ac:dyDescent="0.3">
      <c r="A2503" t="s">
        <v>6</v>
      </c>
      <c r="B2503" t="str">
        <f>"08/01/2019 00:00"</f>
        <v>08/01/2019 00:00</v>
      </c>
      <c r="C2503">
        <v>0</v>
      </c>
      <c r="D2503" t="s">
        <v>7</v>
      </c>
      <c r="E2503" s="2" t="s">
        <v>12</v>
      </c>
      <c r="F2503">
        <f t="shared" si="38"/>
        <v>0</v>
      </c>
      <c r="G2503" t="s">
        <v>16</v>
      </c>
      <c r="J2503" t="str">
        <f>"08/02/2019 00:39"</f>
        <v>08/02/2019 00:39</v>
      </c>
    </row>
    <row r="2504" spans="1:10" x14ac:dyDescent="0.3">
      <c r="A2504" t="s">
        <v>6</v>
      </c>
      <c r="B2504" t="str">
        <f>"08/02/2019 00:00"</f>
        <v>08/02/2019 00:00</v>
      </c>
      <c r="C2504">
        <v>0</v>
      </c>
      <c r="D2504" t="s">
        <v>7</v>
      </c>
      <c r="E2504" s="2" t="s">
        <v>12</v>
      </c>
      <c r="F2504">
        <f t="shared" si="38"/>
        <v>0</v>
      </c>
      <c r="G2504" t="s">
        <v>16</v>
      </c>
      <c r="J2504" t="str">
        <f>"08/03/2019 00:39"</f>
        <v>08/03/2019 00:39</v>
      </c>
    </row>
    <row r="2505" spans="1:10" x14ac:dyDescent="0.3">
      <c r="A2505" t="s">
        <v>6</v>
      </c>
      <c r="B2505" t="str">
        <f>"08/03/2019 00:00"</f>
        <v>08/03/2019 00:00</v>
      </c>
      <c r="C2505">
        <v>0</v>
      </c>
      <c r="D2505" t="s">
        <v>7</v>
      </c>
      <c r="E2505" s="2" t="s">
        <v>12</v>
      </c>
      <c r="F2505">
        <f t="shared" ref="F2505:F2569" si="39">C2505*1.983</f>
        <v>0</v>
      </c>
      <c r="G2505" t="s">
        <v>16</v>
      </c>
      <c r="J2505" t="str">
        <f>"08/04/2019 00:39"</f>
        <v>08/04/2019 00:39</v>
      </c>
    </row>
    <row r="2506" spans="1:10" x14ac:dyDescent="0.3">
      <c r="A2506" t="s">
        <v>6</v>
      </c>
      <c r="B2506" t="str">
        <f>"08/04/2019 00:00"</f>
        <v>08/04/2019 00:00</v>
      </c>
      <c r="C2506">
        <v>0</v>
      </c>
      <c r="D2506" t="s">
        <v>7</v>
      </c>
      <c r="E2506" s="2" t="s">
        <v>12</v>
      </c>
      <c r="F2506">
        <f t="shared" si="39"/>
        <v>0</v>
      </c>
      <c r="G2506" t="s">
        <v>16</v>
      </c>
      <c r="J2506" t="str">
        <f>"08/05/2019 00:39"</f>
        <v>08/05/2019 00:39</v>
      </c>
    </row>
    <row r="2507" spans="1:10" x14ac:dyDescent="0.3">
      <c r="A2507" t="s">
        <v>6</v>
      </c>
      <c r="B2507" t="str">
        <f>"08/05/2019 00:00"</f>
        <v>08/05/2019 00:00</v>
      </c>
      <c r="C2507">
        <v>0</v>
      </c>
      <c r="D2507" t="s">
        <v>7</v>
      </c>
      <c r="E2507" s="2" t="s">
        <v>12</v>
      </c>
      <c r="F2507">
        <f t="shared" si="39"/>
        <v>0</v>
      </c>
      <c r="G2507" t="s">
        <v>16</v>
      </c>
      <c r="H2507" t="s">
        <v>9</v>
      </c>
      <c r="J2507" t="str">
        <f>"08/06/2019 00:42"</f>
        <v>08/06/2019 00:42</v>
      </c>
    </row>
    <row r="2508" spans="1:10" x14ac:dyDescent="0.3">
      <c r="A2508" t="s">
        <v>6</v>
      </c>
      <c r="B2508" t="str">
        <f>"08/06/2019 00:00"</f>
        <v>08/06/2019 00:00</v>
      </c>
      <c r="C2508">
        <v>0</v>
      </c>
      <c r="D2508" t="s">
        <v>7</v>
      </c>
      <c r="E2508" s="2" t="s">
        <v>12</v>
      </c>
      <c r="F2508">
        <f t="shared" si="39"/>
        <v>0</v>
      </c>
      <c r="G2508" t="s">
        <v>16</v>
      </c>
      <c r="H2508" t="s">
        <v>10</v>
      </c>
      <c r="J2508" t="str">
        <f>"08/07/2019 00:39"</f>
        <v>08/07/2019 00:39</v>
      </c>
    </row>
    <row r="2509" spans="1:10" x14ac:dyDescent="0.3">
      <c r="A2509" t="s">
        <v>6</v>
      </c>
      <c r="B2509" t="str">
        <f>"08/07/2019 00:00"</f>
        <v>08/07/2019 00:00</v>
      </c>
      <c r="C2509">
        <v>0</v>
      </c>
      <c r="D2509" t="s">
        <v>7</v>
      </c>
      <c r="E2509" s="2" t="s">
        <v>12</v>
      </c>
      <c r="F2509">
        <f t="shared" si="39"/>
        <v>0</v>
      </c>
      <c r="G2509" t="s">
        <v>16</v>
      </c>
      <c r="H2509" t="s">
        <v>10</v>
      </c>
      <c r="J2509" t="str">
        <f>"08/08/2019 00:39"</f>
        <v>08/08/2019 00:39</v>
      </c>
    </row>
    <row r="2510" spans="1:10" x14ac:dyDescent="0.3">
      <c r="A2510" t="s">
        <v>6</v>
      </c>
      <c r="B2510" t="str">
        <f>"08/08/2019 00:00"</f>
        <v>08/08/2019 00:00</v>
      </c>
      <c r="C2510">
        <v>0</v>
      </c>
      <c r="D2510" t="s">
        <v>7</v>
      </c>
      <c r="E2510" s="2" t="s">
        <v>12</v>
      </c>
      <c r="F2510">
        <f t="shared" si="39"/>
        <v>0</v>
      </c>
      <c r="G2510" t="s">
        <v>16</v>
      </c>
      <c r="H2510" t="s">
        <v>10</v>
      </c>
      <c r="J2510" t="str">
        <f>"08/09/2019 00:39"</f>
        <v>08/09/2019 00:39</v>
      </c>
    </row>
    <row r="2511" spans="1:10" x14ac:dyDescent="0.3">
      <c r="A2511" t="s">
        <v>6</v>
      </c>
      <c r="B2511" t="str">
        <f>"08/09/2019 00:00"</f>
        <v>08/09/2019 00:00</v>
      </c>
      <c r="C2511">
        <v>0</v>
      </c>
      <c r="D2511" t="s">
        <v>7</v>
      </c>
      <c r="E2511" s="2" t="s">
        <v>12</v>
      </c>
      <c r="F2511">
        <f t="shared" si="39"/>
        <v>0</v>
      </c>
      <c r="G2511" t="s">
        <v>16</v>
      </c>
      <c r="H2511" t="s">
        <v>10</v>
      </c>
      <c r="J2511" t="str">
        <f>"08/10/2019 00:39"</f>
        <v>08/10/2019 00:39</v>
      </c>
    </row>
    <row r="2512" spans="1:10" x14ac:dyDescent="0.3">
      <c r="A2512" t="s">
        <v>6</v>
      </c>
      <c r="B2512" t="str">
        <f>"08/10/2019 00:00"</f>
        <v>08/10/2019 00:00</v>
      </c>
      <c r="C2512">
        <v>0</v>
      </c>
      <c r="D2512" t="s">
        <v>7</v>
      </c>
      <c r="E2512" s="2" t="s">
        <v>12</v>
      </c>
      <c r="F2512">
        <f t="shared" si="39"/>
        <v>0</v>
      </c>
      <c r="G2512" t="s">
        <v>16</v>
      </c>
      <c r="H2512" t="s">
        <v>10</v>
      </c>
      <c r="J2512" t="str">
        <f>"08/11/2019 00:39"</f>
        <v>08/11/2019 00:39</v>
      </c>
    </row>
    <row r="2513" spans="1:10" x14ac:dyDescent="0.3">
      <c r="A2513" t="s">
        <v>6</v>
      </c>
      <c r="B2513" t="str">
        <f>"08/11/2019 00:00"</f>
        <v>08/11/2019 00:00</v>
      </c>
      <c r="C2513">
        <v>0</v>
      </c>
      <c r="D2513" t="s">
        <v>7</v>
      </c>
      <c r="E2513" s="2" t="s">
        <v>12</v>
      </c>
      <c r="F2513">
        <f t="shared" si="39"/>
        <v>0</v>
      </c>
      <c r="G2513" t="s">
        <v>16</v>
      </c>
      <c r="H2513" t="s">
        <v>10</v>
      </c>
      <c r="J2513" t="str">
        <f>"08/12/2019 00:40"</f>
        <v>08/12/2019 00:40</v>
      </c>
    </row>
    <row r="2514" spans="1:10" x14ac:dyDescent="0.3">
      <c r="A2514" t="s">
        <v>6</v>
      </c>
      <c r="B2514" t="str">
        <f>"08/12/2019 00:00"</f>
        <v>08/12/2019 00:00</v>
      </c>
      <c r="C2514">
        <v>0</v>
      </c>
      <c r="D2514" t="s">
        <v>7</v>
      </c>
      <c r="E2514" s="2" t="s">
        <v>12</v>
      </c>
      <c r="F2514">
        <f t="shared" si="39"/>
        <v>0</v>
      </c>
      <c r="G2514" t="s">
        <v>16</v>
      </c>
      <c r="H2514" t="s">
        <v>10</v>
      </c>
      <c r="J2514" t="str">
        <f>"08/13/2019 00:39"</f>
        <v>08/13/2019 00:39</v>
      </c>
    </row>
    <row r="2515" spans="1:10" x14ac:dyDescent="0.3">
      <c r="A2515" t="s">
        <v>6</v>
      </c>
      <c r="B2515" t="str">
        <f>"08/13/2019 00:00"</f>
        <v>08/13/2019 00:00</v>
      </c>
      <c r="C2515">
        <v>0</v>
      </c>
      <c r="D2515" t="s">
        <v>7</v>
      </c>
      <c r="E2515" s="2" t="s">
        <v>12</v>
      </c>
      <c r="F2515">
        <f t="shared" si="39"/>
        <v>0</v>
      </c>
      <c r="G2515" t="s">
        <v>16</v>
      </c>
      <c r="H2515" t="s">
        <v>10</v>
      </c>
      <c r="J2515" t="str">
        <f>"08/14/2019 00:39"</f>
        <v>08/14/2019 00:39</v>
      </c>
    </row>
    <row r="2516" spans="1:10" x14ac:dyDescent="0.3">
      <c r="A2516" t="s">
        <v>6</v>
      </c>
      <c r="B2516" t="str">
        <f>"08/14/2019 00:00"</f>
        <v>08/14/2019 00:00</v>
      </c>
      <c r="C2516">
        <v>0</v>
      </c>
      <c r="D2516" t="s">
        <v>7</v>
      </c>
      <c r="E2516" s="2" t="s">
        <v>12</v>
      </c>
      <c r="F2516">
        <f t="shared" si="39"/>
        <v>0</v>
      </c>
      <c r="G2516" t="s">
        <v>16</v>
      </c>
      <c r="H2516" t="s">
        <v>10</v>
      </c>
      <c r="J2516" t="str">
        <f>"08/15/2019 00:39"</f>
        <v>08/15/2019 00:39</v>
      </c>
    </row>
    <row r="2517" spans="1:10" x14ac:dyDescent="0.3">
      <c r="A2517" t="s">
        <v>6</v>
      </c>
      <c r="B2517" t="str">
        <f>"08/15/2019 00:00"</f>
        <v>08/15/2019 00:00</v>
      </c>
      <c r="C2517">
        <v>0</v>
      </c>
      <c r="D2517" t="s">
        <v>7</v>
      </c>
      <c r="E2517" s="2" t="s">
        <v>12</v>
      </c>
      <c r="F2517">
        <f t="shared" si="39"/>
        <v>0</v>
      </c>
      <c r="G2517" t="s">
        <v>16</v>
      </c>
      <c r="H2517" t="s">
        <v>10</v>
      </c>
      <c r="J2517" t="str">
        <f>"08/16/2019 00:39"</f>
        <v>08/16/2019 00:39</v>
      </c>
    </row>
    <row r="2518" spans="1:10" x14ac:dyDescent="0.3">
      <c r="A2518" t="s">
        <v>6</v>
      </c>
      <c r="B2518" t="str">
        <f>"08/16/2019 00:00"</f>
        <v>08/16/2019 00:00</v>
      </c>
      <c r="C2518">
        <v>0</v>
      </c>
      <c r="D2518" t="s">
        <v>7</v>
      </c>
      <c r="E2518" s="2" t="s">
        <v>12</v>
      </c>
      <c r="F2518">
        <f t="shared" si="39"/>
        <v>0</v>
      </c>
      <c r="G2518" t="s">
        <v>16</v>
      </c>
      <c r="H2518" t="s">
        <v>10</v>
      </c>
      <c r="J2518" t="str">
        <f>"08/17/2019 00:39"</f>
        <v>08/17/2019 00:39</v>
      </c>
    </row>
    <row r="2519" spans="1:10" x14ac:dyDescent="0.3">
      <c r="A2519" t="s">
        <v>6</v>
      </c>
      <c r="B2519" t="str">
        <f>"08/17/2019 00:00"</f>
        <v>08/17/2019 00:00</v>
      </c>
      <c r="C2519">
        <v>0</v>
      </c>
      <c r="D2519" t="s">
        <v>7</v>
      </c>
      <c r="E2519" s="2" t="s">
        <v>12</v>
      </c>
      <c r="F2519">
        <f t="shared" si="39"/>
        <v>0</v>
      </c>
      <c r="G2519" t="s">
        <v>16</v>
      </c>
      <c r="H2519" t="s">
        <v>10</v>
      </c>
      <c r="J2519" t="str">
        <f>"08/18/2019 00:39"</f>
        <v>08/18/2019 00:39</v>
      </c>
    </row>
    <row r="2520" spans="1:10" x14ac:dyDescent="0.3">
      <c r="A2520" t="s">
        <v>6</v>
      </c>
      <c r="B2520" t="str">
        <f>"08/18/2019 00:00"</f>
        <v>08/18/2019 00:00</v>
      </c>
      <c r="C2520">
        <v>0</v>
      </c>
      <c r="D2520" t="s">
        <v>7</v>
      </c>
      <c r="E2520" s="2" t="s">
        <v>12</v>
      </c>
      <c r="F2520">
        <f t="shared" si="39"/>
        <v>0</v>
      </c>
      <c r="G2520" t="s">
        <v>16</v>
      </c>
      <c r="H2520" t="s">
        <v>10</v>
      </c>
      <c r="J2520" t="str">
        <f>"08/19/2019 00:39"</f>
        <v>08/19/2019 00:39</v>
      </c>
    </row>
    <row r="2521" spans="1:10" x14ac:dyDescent="0.3">
      <c r="A2521" t="s">
        <v>6</v>
      </c>
      <c r="B2521" t="str">
        <f>"08/19/2019 00:00"</f>
        <v>08/19/2019 00:00</v>
      </c>
      <c r="C2521">
        <v>27.5</v>
      </c>
      <c r="D2521" t="s">
        <v>7</v>
      </c>
      <c r="E2521" s="2" t="s">
        <v>12</v>
      </c>
      <c r="F2521">
        <f t="shared" si="39"/>
        <v>54.532500000000006</v>
      </c>
      <c r="G2521" t="s">
        <v>16</v>
      </c>
      <c r="H2521" t="s">
        <v>10</v>
      </c>
      <c r="J2521" t="str">
        <f>"08/20/2019 00:39"</f>
        <v>08/20/2019 00:39</v>
      </c>
    </row>
    <row r="2522" spans="1:10" x14ac:dyDescent="0.3">
      <c r="A2522" t="s">
        <v>6</v>
      </c>
      <c r="B2522" t="str">
        <f>"08/20/2019 00:00"</f>
        <v>08/20/2019 00:00</v>
      </c>
      <c r="C2522">
        <v>50.3</v>
      </c>
      <c r="D2522" t="s">
        <v>7</v>
      </c>
      <c r="E2522" s="2" t="s">
        <v>12</v>
      </c>
      <c r="F2522">
        <f t="shared" si="39"/>
        <v>99.744900000000001</v>
      </c>
      <c r="G2522" t="s">
        <v>16</v>
      </c>
      <c r="H2522" t="s">
        <v>10</v>
      </c>
      <c r="J2522" t="str">
        <f>"08/21/2019 00:39"</f>
        <v>08/21/2019 00:39</v>
      </c>
    </row>
    <row r="2523" spans="1:10" x14ac:dyDescent="0.3">
      <c r="A2523" t="s">
        <v>6</v>
      </c>
      <c r="B2523" t="str">
        <f>"08/21/2019 00:00"</f>
        <v>08/21/2019 00:00</v>
      </c>
      <c r="C2523">
        <v>65.2</v>
      </c>
      <c r="D2523" t="s">
        <v>7</v>
      </c>
      <c r="E2523" s="2" t="s">
        <v>12</v>
      </c>
      <c r="F2523">
        <f t="shared" si="39"/>
        <v>129.29160000000002</v>
      </c>
      <c r="G2523" t="s">
        <v>16</v>
      </c>
      <c r="H2523" t="s">
        <v>10</v>
      </c>
      <c r="J2523" t="str">
        <f>"08/22/2019 00:39"</f>
        <v>08/22/2019 00:39</v>
      </c>
    </row>
    <row r="2524" spans="1:10" x14ac:dyDescent="0.3">
      <c r="A2524" t="s">
        <v>6</v>
      </c>
      <c r="B2524" t="str">
        <f>"08/22/2019 00:00"</f>
        <v>08/22/2019 00:00</v>
      </c>
      <c r="C2524">
        <v>75.8</v>
      </c>
      <c r="D2524" t="s">
        <v>7</v>
      </c>
      <c r="E2524" s="2" t="s">
        <v>12</v>
      </c>
      <c r="F2524">
        <f t="shared" si="39"/>
        <v>150.31139999999999</v>
      </c>
      <c r="G2524" t="s">
        <v>16</v>
      </c>
      <c r="H2524" t="s">
        <v>10</v>
      </c>
      <c r="J2524" t="str">
        <f>"08/23/2019 00:39"</f>
        <v>08/23/2019 00:39</v>
      </c>
    </row>
    <row r="2525" spans="1:10" x14ac:dyDescent="0.3">
      <c r="A2525" t="s">
        <v>6</v>
      </c>
      <c r="B2525" t="str">
        <f>"08/23/2019 00:00"</f>
        <v>08/23/2019 00:00</v>
      </c>
      <c r="C2525">
        <v>76.900000000000006</v>
      </c>
      <c r="D2525" t="s">
        <v>7</v>
      </c>
      <c r="E2525" s="2" t="s">
        <v>12</v>
      </c>
      <c r="F2525">
        <f t="shared" si="39"/>
        <v>152.49270000000001</v>
      </c>
      <c r="G2525" t="s">
        <v>16</v>
      </c>
      <c r="H2525" t="s">
        <v>10</v>
      </c>
      <c r="J2525" t="str">
        <f>"08/24/2019 00:39"</f>
        <v>08/24/2019 00:39</v>
      </c>
    </row>
    <row r="2526" spans="1:10" x14ac:dyDescent="0.3">
      <c r="A2526" t="s">
        <v>6</v>
      </c>
      <c r="B2526" t="str">
        <f>"08/24/2019 00:00"</f>
        <v>08/24/2019 00:00</v>
      </c>
      <c r="C2526">
        <v>77.3</v>
      </c>
      <c r="D2526" t="s">
        <v>7</v>
      </c>
      <c r="E2526" s="2" t="s">
        <v>12</v>
      </c>
      <c r="F2526">
        <f t="shared" si="39"/>
        <v>153.2859</v>
      </c>
      <c r="G2526" t="s">
        <v>16</v>
      </c>
      <c r="H2526" t="s">
        <v>10</v>
      </c>
      <c r="J2526" t="str">
        <f>"08/25/2019 00:39"</f>
        <v>08/25/2019 00:39</v>
      </c>
    </row>
    <row r="2527" spans="1:10" x14ac:dyDescent="0.3">
      <c r="A2527" t="s">
        <v>6</v>
      </c>
      <c r="B2527" t="str">
        <f>"08/25/2019 00:00"</f>
        <v>08/25/2019 00:00</v>
      </c>
      <c r="C2527">
        <v>78.2</v>
      </c>
      <c r="D2527" t="s">
        <v>7</v>
      </c>
      <c r="E2527" s="2" t="s">
        <v>12</v>
      </c>
      <c r="F2527">
        <f t="shared" si="39"/>
        <v>155.07060000000001</v>
      </c>
      <c r="G2527" t="s">
        <v>16</v>
      </c>
      <c r="H2527" t="s">
        <v>10</v>
      </c>
      <c r="J2527" t="str">
        <f>"08/26/2019 00:39"</f>
        <v>08/26/2019 00:39</v>
      </c>
    </row>
    <row r="2528" spans="1:10" x14ac:dyDescent="0.3">
      <c r="A2528" t="s">
        <v>6</v>
      </c>
      <c r="B2528" t="str">
        <f>"08/26/2019 00:00"</f>
        <v>08/26/2019 00:00</v>
      </c>
      <c r="C2528">
        <v>94.9</v>
      </c>
      <c r="D2528" t="s">
        <v>7</v>
      </c>
      <c r="E2528" s="2" t="s">
        <v>12</v>
      </c>
      <c r="F2528">
        <f t="shared" si="39"/>
        <v>188.18670000000003</v>
      </c>
      <c r="G2528" t="s">
        <v>16</v>
      </c>
      <c r="H2528" t="s">
        <v>10</v>
      </c>
      <c r="J2528" t="str">
        <f>"08/27/2019 00:39"</f>
        <v>08/27/2019 00:39</v>
      </c>
    </row>
    <row r="2529" spans="1:10" x14ac:dyDescent="0.3">
      <c r="A2529" t="s">
        <v>6</v>
      </c>
      <c r="B2529" t="str">
        <f>"08/27/2019 00:00"</f>
        <v>08/27/2019 00:00</v>
      </c>
      <c r="C2529">
        <v>157</v>
      </c>
      <c r="D2529" t="s">
        <v>7</v>
      </c>
      <c r="E2529" s="2" t="s">
        <v>12</v>
      </c>
      <c r="F2529">
        <f t="shared" si="39"/>
        <v>311.33100000000002</v>
      </c>
      <c r="G2529" t="s">
        <v>16</v>
      </c>
      <c r="H2529" t="s">
        <v>10</v>
      </c>
      <c r="J2529" t="str">
        <f>"08/28/2019 00:39"</f>
        <v>08/28/2019 00:39</v>
      </c>
    </row>
    <row r="2530" spans="1:10" x14ac:dyDescent="0.3">
      <c r="A2530" t="s">
        <v>6</v>
      </c>
      <c r="B2530" t="str">
        <f>"08/28/2019 00:00"</f>
        <v>08/28/2019 00:00</v>
      </c>
      <c r="C2530">
        <v>206</v>
      </c>
      <c r="D2530" t="s">
        <v>7</v>
      </c>
      <c r="E2530" s="2" t="s">
        <v>12</v>
      </c>
      <c r="F2530">
        <f t="shared" si="39"/>
        <v>408.49800000000005</v>
      </c>
      <c r="G2530" t="s">
        <v>16</v>
      </c>
      <c r="H2530" t="s">
        <v>10</v>
      </c>
      <c r="J2530" t="str">
        <f>"08/29/2019 00:39"</f>
        <v>08/29/2019 00:39</v>
      </c>
    </row>
    <row r="2531" spans="1:10" x14ac:dyDescent="0.3">
      <c r="A2531" t="s">
        <v>6</v>
      </c>
      <c r="B2531" t="str">
        <f>"08/29/2019 00:00"</f>
        <v>08/29/2019 00:00</v>
      </c>
      <c r="C2531">
        <v>238</v>
      </c>
      <c r="D2531" t="s">
        <v>7</v>
      </c>
      <c r="E2531" s="2" t="s">
        <v>12</v>
      </c>
      <c r="F2531">
        <f t="shared" si="39"/>
        <v>471.95400000000001</v>
      </c>
      <c r="G2531" t="s">
        <v>16</v>
      </c>
      <c r="H2531" t="s">
        <v>10</v>
      </c>
      <c r="J2531" t="str">
        <f>"08/30/2019 00:39"</f>
        <v>08/30/2019 00:39</v>
      </c>
    </row>
    <row r="2532" spans="1:10" x14ac:dyDescent="0.3">
      <c r="A2532" t="s">
        <v>6</v>
      </c>
      <c r="B2532" t="str">
        <f>"08/30/2019 00:00"</f>
        <v>08/30/2019 00:00</v>
      </c>
      <c r="C2532">
        <v>248</v>
      </c>
      <c r="D2532" t="s">
        <v>7</v>
      </c>
      <c r="E2532" s="2" t="s">
        <v>12</v>
      </c>
      <c r="F2532">
        <f t="shared" si="39"/>
        <v>491.78400000000005</v>
      </c>
      <c r="G2532" t="s">
        <v>16</v>
      </c>
      <c r="H2532" t="s">
        <v>10</v>
      </c>
      <c r="J2532" t="str">
        <f>"08/31/2019 00:39"</f>
        <v>08/31/2019 00:39</v>
      </c>
    </row>
    <row r="2533" spans="1:10" x14ac:dyDescent="0.3">
      <c r="A2533" t="s">
        <v>6</v>
      </c>
      <c r="B2533" t="str">
        <f>"08/31/2019 00:00"</f>
        <v>08/31/2019 00:00</v>
      </c>
      <c r="C2533">
        <v>246</v>
      </c>
      <c r="D2533" t="s">
        <v>7</v>
      </c>
      <c r="E2533" s="2" t="s">
        <v>12</v>
      </c>
      <c r="F2533">
        <f t="shared" si="39"/>
        <v>487.81800000000004</v>
      </c>
      <c r="G2533" t="s">
        <v>16</v>
      </c>
      <c r="H2533" t="s">
        <v>10</v>
      </c>
      <c r="J2533" t="str">
        <f>"09/01/2019 00:39"</f>
        <v>09/01/2019 00:39</v>
      </c>
    </row>
    <row r="2534" spans="1:10" x14ac:dyDescent="0.3">
      <c r="A2534" t="s">
        <v>6</v>
      </c>
      <c r="B2534" t="str">
        <f>"09/01/2019 00:00"</f>
        <v>09/01/2019 00:00</v>
      </c>
      <c r="C2534">
        <v>217</v>
      </c>
      <c r="D2534" t="s">
        <v>7</v>
      </c>
      <c r="E2534" s="2" t="s">
        <v>12</v>
      </c>
      <c r="F2534">
        <f t="shared" si="39"/>
        <v>430.31100000000004</v>
      </c>
      <c r="G2534" t="s">
        <v>16</v>
      </c>
      <c r="H2534" t="s">
        <v>10</v>
      </c>
      <c r="J2534" t="str">
        <f>"09/02/2019 00:39"</f>
        <v>09/02/2019 00:39</v>
      </c>
    </row>
    <row r="2535" spans="1:10" x14ac:dyDescent="0.3">
      <c r="A2535" t="s">
        <v>6</v>
      </c>
      <c r="B2535" t="str">
        <f>"09/02/2019 00:00"</f>
        <v>09/02/2019 00:00</v>
      </c>
      <c r="C2535">
        <v>199</v>
      </c>
      <c r="D2535" t="s">
        <v>7</v>
      </c>
      <c r="E2535" s="2" t="s">
        <v>12</v>
      </c>
      <c r="F2535">
        <f t="shared" si="39"/>
        <v>394.61700000000002</v>
      </c>
      <c r="G2535" t="s">
        <v>16</v>
      </c>
      <c r="H2535" t="s">
        <v>10</v>
      </c>
      <c r="J2535" t="str">
        <f>"09/03/2019 00:39"</f>
        <v>09/03/2019 00:39</v>
      </c>
    </row>
    <row r="2536" spans="1:10" x14ac:dyDescent="0.3">
      <c r="A2536" t="s">
        <v>6</v>
      </c>
      <c r="B2536" t="str">
        <f>"09/03/2019 00:00"</f>
        <v>09/03/2019 00:00</v>
      </c>
      <c r="C2536">
        <v>227</v>
      </c>
      <c r="D2536" t="s">
        <v>7</v>
      </c>
      <c r="E2536" s="2" t="s">
        <v>12</v>
      </c>
      <c r="F2536">
        <f t="shared" si="39"/>
        <v>450.14100000000002</v>
      </c>
      <c r="G2536" t="s">
        <v>16</v>
      </c>
      <c r="H2536" t="s">
        <v>10</v>
      </c>
      <c r="J2536" t="str">
        <f>"09/04/2019 00:39"</f>
        <v>09/04/2019 00:39</v>
      </c>
    </row>
    <row r="2537" spans="1:10" x14ac:dyDescent="0.3">
      <c r="A2537" t="s">
        <v>6</v>
      </c>
      <c r="B2537" t="str">
        <f>"09/04/2019 00:00"</f>
        <v>09/04/2019 00:00</v>
      </c>
      <c r="C2537">
        <v>247</v>
      </c>
      <c r="D2537" t="s">
        <v>7</v>
      </c>
      <c r="E2537" s="2" t="s">
        <v>12</v>
      </c>
      <c r="F2537">
        <f t="shared" si="39"/>
        <v>489.80100000000004</v>
      </c>
      <c r="G2537" t="s">
        <v>16</v>
      </c>
      <c r="H2537" t="s">
        <v>10</v>
      </c>
      <c r="J2537" t="str">
        <f>"09/05/2019 00:39"</f>
        <v>09/05/2019 00:39</v>
      </c>
    </row>
    <row r="2538" spans="1:10" x14ac:dyDescent="0.3">
      <c r="A2538" t="s">
        <v>6</v>
      </c>
      <c r="B2538" t="str">
        <f>"09/05/2019 00:00"</f>
        <v>09/05/2019 00:00</v>
      </c>
      <c r="C2538">
        <v>252</v>
      </c>
      <c r="D2538" t="s">
        <v>7</v>
      </c>
      <c r="E2538" s="2" t="s">
        <v>12</v>
      </c>
      <c r="F2538">
        <f t="shared" si="39"/>
        <v>499.71600000000001</v>
      </c>
      <c r="G2538" t="s">
        <v>16</v>
      </c>
      <c r="H2538" t="s">
        <v>10</v>
      </c>
      <c r="J2538" t="str">
        <f>"09/06/2019 00:39"</f>
        <v>09/06/2019 00:39</v>
      </c>
    </row>
    <row r="2539" spans="1:10" x14ac:dyDescent="0.3">
      <c r="A2539" t="s">
        <v>6</v>
      </c>
      <c r="B2539" t="str">
        <f>"09/06/2019 00:00"</f>
        <v>09/06/2019 00:00</v>
      </c>
      <c r="C2539">
        <v>258</v>
      </c>
      <c r="D2539" t="s">
        <v>7</v>
      </c>
      <c r="E2539" s="2" t="s">
        <v>12</v>
      </c>
      <c r="F2539">
        <f t="shared" si="39"/>
        <v>511.61400000000003</v>
      </c>
      <c r="G2539" t="s">
        <v>16</v>
      </c>
      <c r="H2539" t="s">
        <v>10</v>
      </c>
      <c r="J2539" t="str">
        <f>"09/07/2019 00:39"</f>
        <v>09/07/2019 00:39</v>
      </c>
    </row>
    <row r="2540" spans="1:10" x14ac:dyDescent="0.3">
      <c r="A2540" t="s">
        <v>6</v>
      </c>
      <c r="B2540" t="str">
        <f>"09/07/2019 00:00"</f>
        <v>09/07/2019 00:00</v>
      </c>
      <c r="C2540">
        <v>258</v>
      </c>
      <c r="D2540" t="s">
        <v>7</v>
      </c>
      <c r="E2540" s="2" t="s">
        <v>12</v>
      </c>
      <c r="F2540">
        <f t="shared" si="39"/>
        <v>511.61400000000003</v>
      </c>
      <c r="G2540" t="s">
        <v>16</v>
      </c>
      <c r="H2540" t="s">
        <v>10</v>
      </c>
      <c r="J2540" t="str">
        <f>"09/08/2019 00:39"</f>
        <v>09/08/2019 00:39</v>
      </c>
    </row>
    <row r="2541" spans="1:10" x14ac:dyDescent="0.3">
      <c r="A2541" t="s">
        <v>6</v>
      </c>
      <c r="B2541" t="str">
        <f>"09/08/2019 00:00"</f>
        <v>09/08/2019 00:00</v>
      </c>
      <c r="C2541">
        <v>234</v>
      </c>
      <c r="D2541" t="s">
        <v>7</v>
      </c>
      <c r="E2541" s="2" t="s">
        <v>12</v>
      </c>
      <c r="F2541">
        <f t="shared" si="39"/>
        <v>464.02200000000005</v>
      </c>
      <c r="G2541" t="s">
        <v>16</v>
      </c>
      <c r="H2541" t="s">
        <v>10</v>
      </c>
      <c r="J2541" t="str">
        <f>"09/09/2019 00:40"</f>
        <v>09/09/2019 00:40</v>
      </c>
    </row>
    <row r="2542" spans="1:10" x14ac:dyDescent="0.3">
      <c r="A2542" t="s">
        <v>6</v>
      </c>
      <c r="B2542" t="str">
        <f>"09/09/2019 00:00"</f>
        <v>09/09/2019 00:00</v>
      </c>
      <c r="C2542">
        <v>182</v>
      </c>
      <c r="D2542" t="s">
        <v>7</v>
      </c>
      <c r="E2542" s="2" t="s">
        <v>12</v>
      </c>
      <c r="F2542">
        <f t="shared" si="39"/>
        <v>360.90600000000001</v>
      </c>
      <c r="G2542" t="s">
        <v>16</v>
      </c>
      <c r="H2542" t="s">
        <v>10</v>
      </c>
      <c r="J2542" t="str">
        <f>"09/10/2019 00:39"</f>
        <v>09/10/2019 00:39</v>
      </c>
    </row>
    <row r="2543" spans="1:10" x14ac:dyDescent="0.3">
      <c r="A2543" t="s">
        <v>6</v>
      </c>
      <c r="B2543" t="str">
        <f>"09/10/2019 00:00"</f>
        <v>09/10/2019 00:00</v>
      </c>
      <c r="C2543">
        <v>166</v>
      </c>
      <c r="D2543" t="s">
        <v>7</v>
      </c>
      <c r="E2543" s="2" t="s">
        <v>12</v>
      </c>
      <c r="F2543">
        <f t="shared" si="39"/>
        <v>329.178</v>
      </c>
      <c r="G2543" t="s">
        <v>16</v>
      </c>
      <c r="H2543" t="s">
        <v>10</v>
      </c>
      <c r="J2543" t="str">
        <f>"09/11/2019 00:39"</f>
        <v>09/11/2019 00:39</v>
      </c>
    </row>
    <row r="2544" spans="1:10" x14ac:dyDescent="0.3">
      <c r="A2544" t="s">
        <v>6</v>
      </c>
      <c r="B2544" t="str">
        <f>"09/11/2019 00:00"</f>
        <v>09/11/2019 00:00</v>
      </c>
      <c r="C2544">
        <v>204</v>
      </c>
      <c r="D2544" t="s">
        <v>7</v>
      </c>
      <c r="E2544" s="2" t="s">
        <v>12</v>
      </c>
      <c r="F2544">
        <f t="shared" si="39"/>
        <v>404.53200000000004</v>
      </c>
      <c r="G2544" t="s">
        <v>16</v>
      </c>
      <c r="H2544" t="s">
        <v>10</v>
      </c>
      <c r="J2544" t="str">
        <f>"09/12/2019 00:39"</f>
        <v>09/12/2019 00:39</v>
      </c>
    </row>
    <row r="2545" spans="1:10" x14ac:dyDescent="0.3">
      <c r="A2545" t="s">
        <v>6</v>
      </c>
      <c r="B2545" t="str">
        <f>"09/12/2019 00:00"</f>
        <v>09/12/2019 00:00</v>
      </c>
      <c r="C2545">
        <v>254</v>
      </c>
      <c r="D2545" t="s">
        <v>7</v>
      </c>
      <c r="E2545" s="2" t="s">
        <v>12</v>
      </c>
      <c r="F2545">
        <f t="shared" si="39"/>
        <v>503.68200000000002</v>
      </c>
      <c r="G2545" t="s">
        <v>16</v>
      </c>
      <c r="H2545" t="s">
        <v>10</v>
      </c>
      <c r="J2545" t="str">
        <f>"09/13/2019 00:39"</f>
        <v>09/13/2019 00:39</v>
      </c>
    </row>
    <row r="2546" spans="1:10" x14ac:dyDescent="0.3">
      <c r="A2546" t="s">
        <v>6</v>
      </c>
      <c r="B2546" t="str">
        <f>"09/13/2019 00:00"</f>
        <v>09/13/2019 00:00</v>
      </c>
      <c r="C2546">
        <v>268</v>
      </c>
      <c r="D2546" t="s">
        <v>7</v>
      </c>
      <c r="E2546" s="2" t="s">
        <v>12</v>
      </c>
      <c r="F2546">
        <f t="shared" si="39"/>
        <v>531.44400000000007</v>
      </c>
      <c r="G2546" t="s">
        <v>16</v>
      </c>
      <c r="H2546" t="s">
        <v>10</v>
      </c>
      <c r="J2546" t="str">
        <f>"09/14/2019 00:39"</f>
        <v>09/14/2019 00:39</v>
      </c>
    </row>
    <row r="2547" spans="1:10" x14ac:dyDescent="0.3">
      <c r="A2547" t="s">
        <v>6</v>
      </c>
      <c r="B2547" t="str">
        <f>"09/14/2019 00:00"</f>
        <v>09/14/2019 00:00</v>
      </c>
      <c r="C2547">
        <v>268</v>
      </c>
      <c r="D2547" t="s">
        <v>7</v>
      </c>
      <c r="E2547" s="2" t="s">
        <v>12</v>
      </c>
      <c r="F2547">
        <f t="shared" si="39"/>
        <v>531.44400000000007</v>
      </c>
      <c r="G2547" t="s">
        <v>16</v>
      </c>
      <c r="H2547" t="s">
        <v>10</v>
      </c>
      <c r="J2547" t="str">
        <f>"09/15/2019 00:39"</f>
        <v>09/15/2019 00:39</v>
      </c>
    </row>
    <row r="2548" spans="1:10" x14ac:dyDescent="0.3">
      <c r="A2548" t="s">
        <v>6</v>
      </c>
      <c r="B2548" t="str">
        <f>"09/15/2019 00:00"</f>
        <v>09/15/2019 00:00</v>
      </c>
      <c r="C2548">
        <v>252</v>
      </c>
      <c r="D2548" t="s">
        <v>7</v>
      </c>
      <c r="E2548" s="2" t="s">
        <v>12</v>
      </c>
      <c r="F2548">
        <f t="shared" si="39"/>
        <v>499.71600000000001</v>
      </c>
      <c r="G2548" t="s">
        <v>16</v>
      </c>
      <c r="H2548" t="s">
        <v>10</v>
      </c>
      <c r="J2548" t="str">
        <f>"09/16/2019 00:39"</f>
        <v>09/16/2019 00:39</v>
      </c>
    </row>
    <row r="2549" spans="1:10" x14ac:dyDescent="0.3">
      <c r="A2549" t="s">
        <v>6</v>
      </c>
      <c r="B2549" t="str">
        <f>"09/16/2019 00:00"</f>
        <v>09/16/2019 00:00</v>
      </c>
      <c r="C2549">
        <v>264</v>
      </c>
      <c r="D2549" t="s">
        <v>7</v>
      </c>
      <c r="E2549" s="2" t="s">
        <v>12</v>
      </c>
      <c r="F2549">
        <f t="shared" si="39"/>
        <v>523.51200000000006</v>
      </c>
      <c r="G2549" t="s">
        <v>16</v>
      </c>
      <c r="H2549" t="s">
        <v>10</v>
      </c>
      <c r="J2549" t="str">
        <f>"09/17/2019 00:39"</f>
        <v>09/17/2019 00:39</v>
      </c>
    </row>
    <row r="2550" spans="1:10" x14ac:dyDescent="0.3">
      <c r="A2550" t="s">
        <v>6</v>
      </c>
      <c r="B2550" t="str">
        <f>"09/17/2019 00:00"</f>
        <v>09/17/2019 00:00</v>
      </c>
      <c r="C2550">
        <v>277</v>
      </c>
      <c r="D2550" t="s">
        <v>7</v>
      </c>
      <c r="E2550" s="2" t="s">
        <v>12</v>
      </c>
      <c r="F2550">
        <f t="shared" si="39"/>
        <v>549.29100000000005</v>
      </c>
      <c r="G2550" t="s">
        <v>16</v>
      </c>
      <c r="H2550" t="s">
        <v>10</v>
      </c>
      <c r="J2550" t="str">
        <f>"09/18/2019 00:39"</f>
        <v>09/18/2019 00:39</v>
      </c>
    </row>
    <row r="2551" spans="1:10" x14ac:dyDescent="0.3">
      <c r="A2551" t="s">
        <v>6</v>
      </c>
      <c r="B2551" t="str">
        <f>"09/18/2019 00:00"</f>
        <v>09/18/2019 00:00</v>
      </c>
      <c r="C2551">
        <v>277</v>
      </c>
      <c r="D2551" t="s">
        <v>7</v>
      </c>
      <c r="E2551" s="2" t="s">
        <v>12</v>
      </c>
      <c r="F2551">
        <f t="shared" si="39"/>
        <v>549.29100000000005</v>
      </c>
      <c r="G2551" t="s">
        <v>16</v>
      </c>
      <c r="H2551" t="s">
        <v>10</v>
      </c>
      <c r="J2551" t="str">
        <f>"09/19/2019 00:39"</f>
        <v>09/19/2019 00:39</v>
      </c>
    </row>
    <row r="2552" spans="1:10" x14ac:dyDescent="0.3">
      <c r="A2552" t="s">
        <v>6</v>
      </c>
      <c r="B2552" t="str">
        <f>"09/19/2019 00:00"</f>
        <v>09/19/2019 00:00</v>
      </c>
      <c r="C2552">
        <v>256</v>
      </c>
      <c r="D2552" t="s">
        <v>7</v>
      </c>
      <c r="E2552" s="2" t="s">
        <v>12</v>
      </c>
      <c r="F2552">
        <f t="shared" si="39"/>
        <v>507.64800000000002</v>
      </c>
      <c r="G2552" t="s">
        <v>16</v>
      </c>
      <c r="H2552" t="s">
        <v>10</v>
      </c>
      <c r="J2552" t="str">
        <f>"09/20/2019 00:39"</f>
        <v>09/20/2019 00:39</v>
      </c>
    </row>
    <row r="2553" spans="1:10" x14ac:dyDescent="0.3">
      <c r="A2553" t="s">
        <v>6</v>
      </c>
      <c r="B2553" t="str">
        <f>"09/20/2019 00:00"</f>
        <v>09/20/2019 00:00</v>
      </c>
      <c r="C2553">
        <v>235</v>
      </c>
      <c r="D2553" t="s">
        <v>7</v>
      </c>
      <c r="E2553" s="2" t="s">
        <v>12</v>
      </c>
      <c r="F2553">
        <f t="shared" si="39"/>
        <v>466.005</v>
      </c>
      <c r="G2553" t="s">
        <v>16</v>
      </c>
      <c r="H2553" t="s">
        <v>10</v>
      </c>
      <c r="J2553" t="str">
        <f>"09/21/2019 00:39"</f>
        <v>09/21/2019 00:39</v>
      </c>
    </row>
    <row r="2554" spans="1:10" x14ac:dyDescent="0.3">
      <c r="A2554" t="s">
        <v>6</v>
      </c>
      <c r="B2554" t="str">
        <f>"09/21/2019 00:00"</f>
        <v>09/21/2019 00:00</v>
      </c>
      <c r="C2554">
        <v>235</v>
      </c>
      <c r="D2554" t="s">
        <v>7</v>
      </c>
      <c r="E2554" s="2" t="s">
        <v>12</v>
      </c>
      <c r="F2554">
        <f t="shared" si="39"/>
        <v>466.005</v>
      </c>
      <c r="G2554" t="s">
        <v>16</v>
      </c>
      <c r="H2554" t="s">
        <v>10</v>
      </c>
      <c r="J2554" t="str">
        <f>"09/22/2019 00:39"</f>
        <v>09/22/2019 00:39</v>
      </c>
    </row>
    <row r="2555" spans="1:10" x14ac:dyDescent="0.3">
      <c r="A2555" t="s">
        <v>6</v>
      </c>
      <c r="B2555" t="str">
        <f>"09/22/2019 00:00"</f>
        <v>09/22/2019 00:00</v>
      </c>
      <c r="C2555">
        <v>234</v>
      </c>
      <c r="D2555" t="s">
        <v>7</v>
      </c>
      <c r="E2555" s="2" t="s">
        <v>12</v>
      </c>
      <c r="F2555">
        <f t="shared" si="39"/>
        <v>464.02200000000005</v>
      </c>
      <c r="G2555" t="s">
        <v>16</v>
      </c>
      <c r="H2555" t="s">
        <v>10</v>
      </c>
      <c r="J2555" t="str">
        <f>"09/23/2019 00:39"</f>
        <v>09/23/2019 00:39</v>
      </c>
    </row>
    <row r="2556" spans="1:10" x14ac:dyDescent="0.3">
      <c r="A2556" t="s">
        <v>6</v>
      </c>
      <c r="B2556" t="str">
        <f>"09/23/2019 00:00"</f>
        <v>09/23/2019 00:00</v>
      </c>
      <c r="C2556">
        <v>247</v>
      </c>
      <c r="D2556" t="s">
        <v>7</v>
      </c>
      <c r="E2556" s="2" t="s">
        <v>12</v>
      </c>
      <c r="F2556">
        <f t="shared" si="39"/>
        <v>489.80100000000004</v>
      </c>
      <c r="G2556" t="s">
        <v>16</v>
      </c>
      <c r="H2556" t="s">
        <v>10</v>
      </c>
      <c r="J2556" t="str">
        <f>"09/24/2019 00:39"</f>
        <v>09/24/2019 00:39</v>
      </c>
    </row>
    <row r="2557" spans="1:10" x14ac:dyDescent="0.3">
      <c r="A2557" t="s">
        <v>6</v>
      </c>
      <c r="B2557" t="str">
        <f>"09/24/2019 00:00"</f>
        <v>09/24/2019 00:00</v>
      </c>
      <c r="C2557">
        <v>292</v>
      </c>
      <c r="D2557" t="s">
        <v>7</v>
      </c>
      <c r="E2557" s="2" t="s">
        <v>12</v>
      </c>
      <c r="F2557">
        <f t="shared" si="39"/>
        <v>579.03600000000006</v>
      </c>
      <c r="G2557" t="s">
        <v>16</v>
      </c>
      <c r="H2557" t="s">
        <v>10</v>
      </c>
      <c r="J2557" t="str">
        <f>"09/25/2019 00:39"</f>
        <v>09/25/2019 00:39</v>
      </c>
    </row>
    <row r="2558" spans="1:10" x14ac:dyDescent="0.3">
      <c r="A2558" t="s">
        <v>6</v>
      </c>
      <c r="B2558" t="str">
        <f>"09/25/2019 00:00"</f>
        <v>09/25/2019 00:00</v>
      </c>
      <c r="C2558">
        <v>313</v>
      </c>
      <c r="D2558" t="s">
        <v>7</v>
      </c>
      <c r="E2558" s="2" t="s">
        <v>12</v>
      </c>
      <c r="F2558">
        <f t="shared" si="39"/>
        <v>620.67899999999997</v>
      </c>
      <c r="G2558" t="s">
        <v>16</v>
      </c>
      <c r="H2558" t="s">
        <v>10</v>
      </c>
      <c r="J2558" t="str">
        <f>"09/26/2019 00:39"</f>
        <v>09/26/2019 00:39</v>
      </c>
    </row>
    <row r="2559" spans="1:10" x14ac:dyDescent="0.3">
      <c r="A2559" t="s">
        <v>6</v>
      </c>
      <c r="B2559" t="str">
        <f>"09/26/2019 00:00"</f>
        <v>09/26/2019 00:00</v>
      </c>
      <c r="C2559">
        <v>313</v>
      </c>
      <c r="D2559" t="s">
        <v>7</v>
      </c>
      <c r="E2559" s="2" t="s">
        <v>12</v>
      </c>
      <c r="F2559">
        <f t="shared" si="39"/>
        <v>620.67899999999997</v>
      </c>
      <c r="G2559" t="s">
        <v>16</v>
      </c>
      <c r="H2559" t="s">
        <v>10</v>
      </c>
      <c r="J2559" t="str">
        <f>"09/27/2019 00:39"</f>
        <v>09/27/2019 00:39</v>
      </c>
    </row>
    <row r="2560" spans="1:10" x14ac:dyDescent="0.3">
      <c r="A2560" t="s">
        <v>6</v>
      </c>
      <c r="B2560" t="str">
        <f>"09/27/2019 00:00"</f>
        <v>09/27/2019 00:00</v>
      </c>
      <c r="C2560">
        <v>292</v>
      </c>
      <c r="D2560" t="s">
        <v>7</v>
      </c>
      <c r="E2560" s="2" t="s">
        <v>12</v>
      </c>
      <c r="F2560">
        <f t="shared" si="39"/>
        <v>579.03600000000006</v>
      </c>
      <c r="G2560" t="s">
        <v>16</v>
      </c>
      <c r="H2560" t="s">
        <v>10</v>
      </c>
      <c r="J2560" t="str">
        <f>"09/28/2019 00:39"</f>
        <v>09/28/2019 00:39</v>
      </c>
    </row>
    <row r="2561" spans="1:10" x14ac:dyDescent="0.3">
      <c r="A2561" t="s">
        <v>6</v>
      </c>
      <c r="B2561" t="str">
        <f>"09/28/2019 00:00"</f>
        <v>09/28/2019 00:00</v>
      </c>
      <c r="C2561">
        <v>269</v>
      </c>
      <c r="D2561" t="s">
        <v>7</v>
      </c>
      <c r="E2561" s="2" t="s">
        <v>12</v>
      </c>
      <c r="F2561">
        <f t="shared" si="39"/>
        <v>533.42700000000002</v>
      </c>
      <c r="G2561" t="s">
        <v>16</v>
      </c>
      <c r="H2561" t="s">
        <v>10</v>
      </c>
      <c r="J2561" t="str">
        <f>"09/29/2019 00:39"</f>
        <v>09/29/2019 00:39</v>
      </c>
    </row>
    <row r="2562" spans="1:10" x14ac:dyDescent="0.3">
      <c r="A2562" t="s">
        <v>6</v>
      </c>
      <c r="B2562" t="str">
        <f>"09/29/2019 00:00"</f>
        <v>09/29/2019 00:00</v>
      </c>
      <c r="C2562">
        <v>236</v>
      </c>
      <c r="D2562" t="s">
        <v>7</v>
      </c>
      <c r="E2562" s="2" t="s">
        <v>12</v>
      </c>
      <c r="F2562">
        <f t="shared" si="39"/>
        <v>467.988</v>
      </c>
      <c r="G2562" t="s">
        <v>16</v>
      </c>
      <c r="H2562" t="s">
        <v>10</v>
      </c>
      <c r="J2562" t="str">
        <f>"09/30/2019 00:39"</f>
        <v>09/30/2019 00:39</v>
      </c>
    </row>
    <row r="2563" spans="1:10" x14ac:dyDescent="0.3">
      <c r="A2563" t="s">
        <v>6</v>
      </c>
      <c r="B2563" t="str">
        <f>"09/30/2019 00:00"</f>
        <v>09/30/2019 00:00</v>
      </c>
      <c r="C2563">
        <v>217</v>
      </c>
      <c r="D2563" t="s">
        <v>7</v>
      </c>
      <c r="E2563" s="2" t="s">
        <v>12</v>
      </c>
      <c r="F2563">
        <f t="shared" si="39"/>
        <v>430.31100000000004</v>
      </c>
      <c r="G2563" t="s">
        <v>16</v>
      </c>
      <c r="H2563" t="s">
        <v>10</v>
      </c>
      <c r="J2563" t="str">
        <f>"10/01/2019 07:49"</f>
        <v>10/01/2019 07:49</v>
      </c>
    </row>
    <row r="2564" spans="1:10" s="4" customFormat="1" x14ac:dyDescent="0.3">
      <c r="B2564" s="4" t="s">
        <v>21</v>
      </c>
      <c r="E2564" s="2" t="s">
        <v>12</v>
      </c>
      <c r="F2564" s="5">
        <f>SUM(F2199:F2563)</f>
        <v>48089.360989199864</v>
      </c>
      <c r="G2564" s="4" t="s">
        <v>19</v>
      </c>
    </row>
    <row r="2565" spans="1:10" x14ac:dyDescent="0.3">
      <c r="A2565" t="s">
        <v>6</v>
      </c>
      <c r="B2565" t="str">
        <f>"10/01/2019 00:00"</f>
        <v>10/01/2019 00:00</v>
      </c>
      <c r="C2565">
        <v>218</v>
      </c>
      <c r="D2565" t="s">
        <v>7</v>
      </c>
      <c r="E2565" s="2" t="s">
        <v>12</v>
      </c>
      <c r="F2565">
        <f t="shared" si="39"/>
        <v>432.29400000000004</v>
      </c>
      <c r="G2565" t="s">
        <v>16</v>
      </c>
      <c r="H2565" t="s">
        <v>10</v>
      </c>
      <c r="J2565" t="str">
        <f>"10/02/2019 00:39"</f>
        <v>10/02/2019 00:39</v>
      </c>
    </row>
    <row r="2566" spans="1:10" x14ac:dyDescent="0.3">
      <c r="A2566" t="s">
        <v>6</v>
      </c>
      <c r="B2566" t="str">
        <f>"10/02/2019 00:00"</f>
        <v>10/02/2019 00:00</v>
      </c>
      <c r="C2566">
        <v>218</v>
      </c>
      <c r="D2566" t="s">
        <v>7</v>
      </c>
      <c r="E2566" s="2" t="s">
        <v>12</v>
      </c>
      <c r="F2566">
        <f t="shared" si="39"/>
        <v>432.29400000000004</v>
      </c>
      <c r="G2566" t="s">
        <v>16</v>
      </c>
      <c r="H2566" t="s">
        <v>10</v>
      </c>
      <c r="J2566" t="str">
        <f>"10/03/2019 00:39"</f>
        <v>10/03/2019 00:39</v>
      </c>
    </row>
    <row r="2567" spans="1:10" x14ac:dyDescent="0.3">
      <c r="A2567" t="s">
        <v>6</v>
      </c>
      <c r="B2567" t="str">
        <f>"10/03/2019 00:00"</f>
        <v>10/03/2019 00:00</v>
      </c>
      <c r="C2567">
        <v>217</v>
      </c>
      <c r="D2567" t="s">
        <v>7</v>
      </c>
      <c r="E2567" s="2" t="s">
        <v>12</v>
      </c>
      <c r="F2567">
        <f t="shared" si="39"/>
        <v>430.31100000000004</v>
      </c>
      <c r="G2567" t="s">
        <v>16</v>
      </c>
      <c r="H2567" t="s">
        <v>10</v>
      </c>
      <c r="J2567" t="str">
        <f>"10/04/2019 00:39"</f>
        <v>10/04/2019 00:39</v>
      </c>
    </row>
    <row r="2568" spans="1:10" x14ac:dyDescent="0.3">
      <c r="A2568" t="s">
        <v>6</v>
      </c>
      <c r="B2568" t="str">
        <f>"10/04/2019 00:00"</f>
        <v>10/04/2019 00:00</v>
      </c>
      <c r="C2568">
        <v>217</v>
      </c>
      <c r="D2568" t="s">
        <v>7</v>
      </c>
      <c r="E2568" s="2" t="s">
        <v>12</v>
      </c>
      <c r="F2568">
        <f t="shared" si="39"/>
        <v>430.31100000000004</v>
      </c>
      <c r="G2568" t="s">
        <v>16</v>
      </c>
      <c r="H2568" t="s">
        <v>10</v>
      </c>
      <c r="J2568" t="str">
        <f>"10/05/2019 00:39"</f>
        <v>10/05/2019 00:39</v>
      </c>
    </row>
    <row r="2569" spans="1:10" x14ac:dyDescent="0.3">
      <c r="A2569" t="s">
        <v>6</v>
      </c>
      <c r="B2569" t="str">
        <f>"10/05/2019 00:00"</f>
        <v>10/05/2019 00:00</v>
      </c>
      <c r="C2569">
        <v>246</v>
      </c>
      <c r="D2569" t="s">
        <v>7</v>
      </c>
      <c r="E2569" s="2" t="s">
        <v>12</v>
      </c>
      <c r="F2569">
        <f t="shared" si="39"/>
        <v>487.81800000000004</v>
      </c>
      <c r="G2569" t="s">
        <v>16</v>
      </c>
      <c r="H2569" t="s">
        <v>10</v>
      </c>
      <c r="J2569" t="str">
        <f>"10/06/2019 00:39"</f>
        <v>10/06/2019 00:39</v>
      </c>
    </row>
    <row r="2570" spans="1:10" x14ac:dyDescent="0.3">
      <c r="A2570" t="s">
        <v>6</v>
      </c>
      <c r="B2570" t="str">
        <f>"10/06/2019 00:00"</f>
        <v>10/06/2019 00:00</v>
      </c>
      <c r="C2570">
        <v>261</v>
      </c>
      <c r="D2570" t="s">
        <v>7</v>
      </c>
      <c r="E2570" s="2" t="s">
        <v>12</v>
      </c>
      <c r="F2570">
        <f t="shared" ref="F2570:F2633" si="40">C2570*1.983</f>
        <v>517.56299999999999</v>
      </c>
      <c r="G2570" t="s">
        <v>16</v>
      </c>
      <c r="H2570" t="s">
        <v>10</v>
      </c>
      <c r="J2570" t="str">
        <f>"10/07/2019 00:39"</f>
        <v>10/07/2019 00:39</v>
      </c>
    </row>
    <row r="2571" spans="1:10" x14ac:dyDescent="0.3">
      <c r="A2571" t="s">
        <v>6</v>
      </c>
      <c r="B2571" t="str">
        <f>"10/07/2019 00:00"</f>
        <v>10/07/2019 00:00</v>
      </c>
      <c r="C2571">
        <v>261</v>
      </c>
      <c r="D2571" t="s">
        <v>7</v>
      </c>
      <c r="E2571" s="2" t="s">
        <v>12</v>
      </c>
      <c r="F2571">
        <f t="shared" si="40"/>
        <v>517.56299999999999</v>
      </c>
      <c r="G2571" t="s">
        <v>16</v>
      </c>
      <c r="H2571" t="s">
        <v>10</v>
      </c>
      <c r="J2571" t="str">
        <f>"10/08/2019 00:39"</f>
        <v>10/08/2019 00:39</v>
      </c>
    </row>
    <row r="2572" spans="1:10" x14ac:dyDescent="0.3">
      <c r="A2572" t="s">
        <v>6</v>
      </c>
      <c r="B2572" t="str">
        <f>"10/08/2019 00:00"</f>
        <v>10/08/2019 00:00</v>
      </c>
      <c r="C2572">
        <v>260</v>
      </c>
      <c r="D2572" t="s">
        <v>7</v>
      </c>
      <c r="E2572" s="2" t="s">
        <v>12</v>
      </c>
      <c r="F2572">
        <f t="shared" si="40"/>
        <v>515.58000000000004</v>
      </c>
      <c r="G2572" t="s">
        <v>16</v>
      </c>
      <c r="H2572" t="s">
        <v>10</v>
      </c>
      <c r="J2572" t="str">
        <f>"10/09/2019 00:39"</f>
        <v>10/09/2019 00:39</v>
      </c>
    </row>
    <row r="2573" spans="1:10" x14ac:dyDescent="0.3">
      <c r="A2573" t="s">
        <v>6</v>
      </c>
      <c r="B2573" t="str">
        <f>"10/09/2019 00:00"</f>
        <v>10/09/2019 00:00</v>
      </c>
      <c r="C2573">
        <v>189</v>
      </c>
      <c r="D2573" t="s">
        <v>7</v>
      </c>
      <c r="E2573" s="2" t="s">
        <v>12</v>
      </c>
      <c r="F2573">
        <f t="shared" si="40"/>
        <v>374.78700000000003</v>
      </c>
      <c r="G2573" t="s">
        <v>16</v>
      </c>
      <c r="H2573" t="s">
        <v>10</v>
      </c>
      <c r="J2573" t="str">
        <f>"10/10/2019 00:39"</f>
        <v>10/10/2019 00:39</v>
      </c>
    </row>
    <row r="2574" spans="1:10" x14ac:dyDescent="0.3">
      <c r="A2574" t="s">
        <v>6</v>
      </c>
      <c r="B2574" t="str">
        <f>"10/10/2019 00:00"</f>
        <v>10/10/2019 00:00</v>
      </c>
      <c r="C2574">
        <v>120</v>
      </c>
      <c r="D2574" t="s">
        <v>7</v>
      </c>
      <c r="E2574" s="2" t="s">
        <v>12</v>
      </c>
      <c r="F2574">
        <f t="shared" si="40"/>
        <v>237.96</v>
      </c>
      <c r="G2574" t="s">
        <v>16</v>
      </c>
      <c r="H2574" t="s">
        <v>10</v>
      </c>
      <c r="J2574" t="str">
        <f>"10/11/2019 00:39"</f>
        <v>10/11/2019 00:39</v>
      </c>
    </row>
    <row r="2575" spans="1:10" x14ac:dyDescent="0.3">
      <c r="A2575" t="s">
        <v>6</v>
      </c>
      <c r="B2575" t="str">
        <f>"10/11/2019 00:00"</f>
        <v>10/11/2019 00:00</v>
      </c>
      <c r="C2575">
        <v>88.4</v>
      </c>
      <c r="D2575" t="s">
        <v>7</v>
      </c>
      <c r="E2575" s="2" t="s">
        <v>12</v>
      </c>
      <c r="F2575">
        <f t="shared" si="40"/>
        <v>175.29720000000003</v>
      </c>
      <c r="G2575" t="s">
        <v>16</v>
      </c>
      <c r="H2575" t="s">
        <v>10</v>
      </c>
      <c r="J2575" t="str">
        <f>"10/12/2019 00:39"</f>
        <v>10/12/2019 00:39</v>
      </c>
    </row>
    <row r="2576" spans="1:10" x14ac:dyDescent="0.3">
      <c r="A2576" t="s">
        <v>6</v>
      </c>
      <c r="B2576" t="str">
        <f>"10/12/2019 00:00"</f>
        <v>10/12/2019 00:00</v>
      </c>
      <c r="C2576">
        <v>80.900000000000006</v>
      </c>
      <c r="D2576" t="s">
        <v>7</v>
      </c>
      <c r="E2576" s="2" t="s">
        <v>12</v>
      </c>
      <c r="F2576">
        <f t="shared" si="40"/>
        <v>160.42470000000003</v>
      </c>
      <c r="G2576" t="s">
        <v>16</v>
      </c>
      <c r="H2576" t="s">
        <v>10</v>
      </c>
      <c r="J2576" t="str">
        <f>"10/13/2019 00:39"</f>
        <v>10/13/2019 00:39</v>
      </c>
    </row>
    <row r="2577" spans="1:10" x14ac:dyDescent="0.3">
      <c r="A2577" t="s">
        <v>6</v>
      </c>
      <c r="B2577" t="str">
        <f>"10/13/2019 00:00"</f>
        <v>10/13/2019 00:00</v>
      </c>
      <c r="C2577">
        <v>80.8</v>
      </c>
      <c r="D2577" t="s">
        <v>7</v>
      </c>
      <c r="E2577" s="2" t="s">
        <v>12</v>
      </c>
      <c r="F2577">
        <f t="shared" si="40"/>
        <v>160.22640000000001</v>
      </c>
      <c r="G2577" t="s">
        <v>16</v>
      </c>
      <c r="H2577" t="s">
        <v>10</v>
      </c>
      <c r="J2577" t="str">
        <f>"10/14/2019 00:39"</f>
        <v>10/14/2019 00:39</v>
      </c>
    </row>
    <row r="2578" spans="1:10" x14ac:dyDescent="0.3">
      <c r="A2578" t="s">
        <v>6</v>
      </c>
      <c r="B2578" t="str">
        <f>"10/14/2019 00:00"</f>
        <v>10/14/2019 00:00</v>
      </c>
      <c r="C2578">
        <v>123</v>
      </c>
      <c r="D2578" t="s">
        <v>7</v>
      </c>
      <c r="E2578" s="2" t="s">
        <v>12</v>
      </c>
      <c r="F2578">
        <f t="shared" si="40"/>
        <v>243.90900000000002</v>
      </c>
      <c r="G2578" t="s">
        <v>16</v>
      </c>
      <c r="H2578" t="s">
        <v>10</v>
      </c>
      <c r="J2578" t="str">
        <f>"10/15/2019 00:39"</f>
        <v>10/15/2019 00:39</v>
      </c>
    </row>
    <row r="2579" spans="1:10" x14ac:dyDescent="0.3">
      <c r="A2579" t="s">
        <v>6</v>
      </c>
      <c r="B2579" t="str">
        <f>"10/15/2019 00:00"</f>
        <v>10/15/2019 00:00</v>
      </c>
      <c r="C2579">
        <v>150</v>
      </c>
      <c r="D2579" t="s">
        <v>7</v>
      </c>
      <c r="E2579" s="2" t="s">
        <v>12</v>
      </c>
      <c r="F2579">
        <f t="shared" si="40"/>
        <v>297.45</v>
      </c>
      <c r="G2579" t="s">
        <v>16</v>
      </c>
      <c r="H2579" t="s">
        <v>10</v>
      </c>
      <c r="J2579" t="str">
        <f>"10/16/2019 00:39"</f>
        <v>10/16/2019 00:39</v>
      </c>
    </row>
    <row r="2580" spans="1:10" x14ac:dyDescent="0.3">
      <c r="A2580" t="s">
        <v>6</v>
      </c>
      <c r="B2580" t="str">
        <f>"10/16/2019 00:00"</f>
        <v>10/16/2019 00:00</v>
      </c>
      <c r="C2580">
        <v>151</v>
      </c>
      <c r="D2580" t="s">
        <v>7</v>
      </c>
      <c r="E2580" s="2" t="s">
        <v>12</v>
      </c>
      <c r="F2580">
        <f t="shared" si="40"/>
        <v>299.43299999999999</v>
      </c>
      <c r="G2580" t="s">
        <v>16</v>
      </c>
      <c r="H2580" t="s">
        <v>10</v>
      </c>
      <c r="J2580" t="str">
        <f>"10/17/2019 00:39"</f>
        <v>10/17/2019 00:39</v>
      </c>
    </row>
    <row r="2581" spans="1:10" x14ac:dyDescent="0.3">
      <c r="A2581" t="s">
        <v>6</v>
      </c>
      <c r="B2581" t="str">
        <f>"10/17/2019 00:00"</f>
        <v>10/17/2019 00:00</v>
      </c>
      <c r="C2581">
        <v>150</v>
      </c>
      <c r="D2581" t="s">
        <v>7</v>
      </c>
      <c r="E2581" s="2" t="s">
        <v>12</v>
      </c>
      <c r="F2581">
        <f t="shared" si="40"/>
        <v>297.45</v>
      </c>
      <c r="G2581" t="s">
        <v>16</v>
      </c>
      <c r="H2581" t="s">
        <v>10</v>
      </c>
      <c r="J2581" t="str">
        <f>"10/18/2019 00:39"</f>
        <v>10/18/2019 00:39</v>
      </c>
    </row>
    <row r="2582" spans="1:10" x14ac:dyDescent="0.3">
      <c r="A2582" t="s">
        <v>6</v>
      </c>
      <c r="B2582" t="str">
        <f>"10/18/2019 00:00"</f>
        <v>10/18/2019 00:00</v>
      </c>
      <c r="C2582">
        <v>151</v>
      </c>
      <c r="D2582" t="s">
        <v>7</v>
      </c>
      <c r="E2582" s="2" t="s">
        <v>12</v>
      </c>
      <c r="F2582">
        <f t="shared" si="40"/>
        <v>299.43299999999999</v>
      </c>
      <c r="G2582" t="s">
        <v>16</v>
      </c>
      <c r="H2582" t="s">
        <v>10</v>
      </c>
      <c r="J2582" t="str">
        <f>"10/19/2019 00:39"</f>
        <v>10/19/2019 00:39</v>
      </c>
    </row>
    <row r="2583" spans="1:10" x14ac:dyDescent="0.3">
      <c r="A2583" t="s">
        <v>6</v>
      </c>
      <c r="B2583" t="str">
        <f>"10/19/2019 00:00"</f>
        <v>10/19/2019 00:00</v>
      </c>
      <c r="C2583">
        <v>150</v>
      </c>
      <c r="D2583" t="s">
        <v>7</v>
      </c>
      <c r="E2583" s="2" t="s">
        <v>12</v>
      </c>
      <c r="F2583">
        <f t="shared" si="40"/>
        <v>297.45</v>
      </c>
      <c r="G2583" t="s">
        <v>16</v>
      </c>
      <c r="H2583" t="s">
        <v>10</v>
      </c>
      <c r="J2583" t="str">
        <f>"10/20/2019 00:39"</f>
        <v>10/20/2019 00:39</v>
      </c>
    </row>
    <row r="2584" spans="1:10" x14ac:dyDescent="0.3">
      <c r="A2584" t="s">
        <v>6</v>
      </c>
      <c r="B2584" t="str">
        <f>"10/20/2019 00:00"</f>
        <v>10/20/2019 00:00</v>
      </c>
      <c r="C2584">
        <v>150</v>
      </c>
      <c r="D2584" t="s">
        <v>7</v>
      </c>
      <c r="E2584" s="2" t="s">
        <v>12</v>
      </c>
      <c r="F2584">
        <f t="shared" si="40"/>
        <v>297.45</v>
      </c>
      <c r="G2584" t="s">
        <v>16</v>
      </c>
      <c r="H2584" t="s">
        <v>10</v>
      </c>
      <c r="J2584" t="str">
        <f>"10/21/2019 00:39"</f>
        <v>10/21/2019 00:39</v>
      </c>
    </row>
    <row r="2585" spans="1:10" x14ac:dyDescent="0.3">
      <c r="A2585" t="s">
        <v>6</v>
      </c>
      <c r="B2585" t="str">
        <f>"10/21/2019 00:00"</f>
        <v>10/21/2019 00:00</v>
      </c>
      <c r="C2585">
        <v>151</v>
      </c>
      <c r="D2585" t="s">
        <v>7</v>
      </c>
      <c r="E2585" s="2" t="s">
        <v>12</v>
      </c>
      <c r="F2585">
        <f t="shared" si="40"/>
        <v>299.43299999999999</v>
      </c>
      <c r="G2585" t="s">
        <v>16</v>
      </c>
      <c r="H2585" t="s">
        <v>10</v>
      </c>
      <c r="J2585" t="str">
        <f>"10/22/2019 00:39"</f>
        <v>10/22/2019 00:39</v>
      </c>
    </row>
    <row r="2586" spans="1:10" x14ac:dyDescent="0.3">
      <c r="A2586" t="s">
        <v>6</v>
      </c>
      <c r="B2586" t="str">
        <f>"10/22/2019 00:00"</f>
        <v>10/22/2019 00:00</v>
      </c>
      <c r="C2586">
        <v>151</v>
      </c>
      <c r="D2586" t="s">
        <v>7</v>
      </c>
      <c r="E2586" s="2" t="s">
        <v>12</v>
      </c>
      <c r="F2586">
        <f t="shared" si="40"/>
        <v>299.43299999999999</v>
      </c>
      <c r="G2586" t="s">
        <v>16</v>
      </c>
      <c r="H2586" t="s">
        <v>10</v>
      </c>
      <c r="J2586" t="str">
        <f>"10/23/2019 00:39"</f>
        <v>10/23/2019 00:39</v>
      </c>
    </row>
    <row r="2587" spans="1:10" x14ac:dyDescent="0.3">
      <c r="A2587" t="s">
        <v>6</v>
      </c>
      <c r="B2587" t="str">
        <f>"10/23/2019 00:00"</f>
        <v>10/23/2019 00:00</v>
      </c>
      <c r="C2587">
        <v>123</v>
      </c>
      <c r="D2587" t="s">
        <v>7</v>
      </c>
      <c r="E2587" s="2" t="s">
        <v>12</v>
      </c>
      <c r="F2587">
        <f t="shared" si="40"/>
        <v>243.90900000000002</v>
      </c>
      <c r="G2587" t="s">
        <v>16</v>
      </c>
      <c r="H2587" t="s">
        <v>10</v>
      </c>
      <c r="J2587" t="str">
        <f>"10/24/2019 00:39"</f>
        <v>10/24/2019 00:39</v>
      </c>
    </row>
    <row r="2588" spans="1:10" x14ac:dyDescent="0.3">
      <c r="A2588" t="s">
        <v>6</v>
      </c>
      <c r="B2588" t="str">
        <f>"10/24/2019 00:00"</f>
        <v>10/24/2019 00:00</v>
      </c>
      <c r="C2588">
        <v>88.6</v>
      </c>
      <c r="D2588" t="s">
        <v>7</v>
      </c>
      <c r="E2588" s="2" t="s">
        <v>12</v>
      </c>
      <c r="F2588">
        <f t="shared" si="40"/>
        <v>175.69380000000001</v>
      </c>
      <c r="G2588" t="s">
        <v>16</v>
      </c>
      <c r="H2588" t="s">
        <v>10</v>
      </c>
      <c r="J2588" t="str">
        <f>"10/25/2019 00:39"</f>
        <v>10/25/2019 00:39</v>
      </c>
    </row>
    <row r="2589" spans="1:10" x14ac:dyDescent="0.3">
      <c r="A2589" t="s">
        <v>6</v>
      </c>
      <c r="B2589" t="str">
        <f>"10/25/2019 00:00"</f>
        <v>10/25/2019 00:00</v>
      </c>
      <c r="C2589">
        <v>79.2</v>
      </c>
      <c r="D2589" t="s">
        <v>7</v>
      </c>
      <c r="E2589" s="2" t="s">
        <v>12</v>
      </c>
      <c r="F2589">
        <f t="shared" si="40"/>
        <v>157.05360000000002</v>
      </c>
      <c r="G2589" t="s">
        <v>16</v>
      </c>
      <c r="H2589" t="s">
        <v>10</v>
      </c>
      <c r="J2589" t="str">
        <f>"10/26/2019 00:39"</f>
        <v>10/26/2019 00:39</v>
      </c>
    </row>
    <row r="2590" spans="1:10" x14ac:dyDescent="0.3">
      <c r="A2590" t="s">
        <v>6</v>
      </c>
      <c r="B2590" t="str">
        <f>"10/26/2019 00:00"</f>
        <v>10/26/2019 00:00</v>
      </c>
      <c r="C2590">
        <v>74.7</v>
      </c>
      <c r="D2590" t="s">
        <v>7</v>
      </c>
      <c r="E2590" s="2" t="s">
        <v>12</v>
      </c>
      <c r="F2590">
        <f t="shared" si="40"/>
        <v>148.1301</v>
      </c>
      <c r="G2590" t="s">
        <v>16</v>
      </c>
      <c r="H2590" t="s">
        <v>10</v>
      </c>
      <c r="J2590" t="str">
        <f>"10/27/2019 00:39"</f>
        <v>10/27/2019 00:39</v>
      </c>
    </row>
    <row r="2591" spans="1:10" x14ac:dyDescent="0.3">
      <c r="A2591" t="s">
        <v>6</v>
      </c>
      <c r="B2591" t="str">
        <f>"10/27/2019 00:00"</f>
        <v>10/27/2019 00:00</v>
      </c>
      <c r="C2591">
        <v>68.5</v>
      </c>
      <c r="D2591" t="s">
        <v>7</v>
      </c>
      <c r="E2591" s="2" t="s">
        <v>12</v>
      </c>
      <c r="F2591">
        <f t="shared" si="40"/>
        <v>135.8355</v>
      </c>
      <c r="G2591" t="s">
        <v>16</v>
      </c>
      <c r="H2591" t="s">
        <v>10</v>
      </c>
      <c r="J2591" t="str">
        <f>"10/28/2019 00:39"</f>
        <v>10/28/2019 00:39</v>
      </c>
    </row>
    <row r="2592" spans="1:10" x14ac:dyDescent="0.3">
      <c r="A2592" t="s">
        <v>6</v>
      </c>
      <c r="B2592" t="str">
        <f>"10/28/2019 00:00"</f>
        <v>10/28/2019 00:00</v>
      </c>
      <c r="C2592">
        <v>72.8</v>
      </c>
      <c r="D2592" t="s">
        <v>7</v>
      </c>
      <c r="E2592" s="2" t="s">
        <v>12</v>
      </c>
      <c r="F2592">
        <f t="shared" si="40"/>
        <v>144.36240000000001</v>
      </c>
      <c r="G2592" t="s">
        <v>16</v>
      </c>
      <c r="H2592" t="s">
        <v>10</v>
      </c>
      <c r="J2592" t="str">
        <f>"10/29/2019 00:39"</f>
        <v>10/29/2019 00:39</v>
      </c>
    </row>
    <row r="2593" spans="1:10" x14ac:dyDescent="0.3">
      <c r="A2593" t="s">
        <v>6</v>
      </c>
      <c r="B2593" t="str">
        <f>"10/29/2019 00:00"</f>
        <v>10/29/2019 00:00</v>
      </c>
      <c r="C2593">
        <v>76.099999999999994</v>
      </c>
      <c r="D2593" t="s">
        <v>7</v>
      </c>
      <c r="E2593" s="2" t="s">
        <v>12</v>
      </c>
      <c r="F2593">
        <f t="shared" si="40"/>
        <v>150.90629999999999</v>
      </c>
      <c r="G2593" t="s">
        <v>16</v>
      </c>
      <c r="H2593" t="s">
        <v>10</v>
      </c>
      <c r="J2593" t="str">
        <f>"10/30/2019 00:39"</f>
        <v>10/30/2019 00:39</v>
      </c>
    </row>
    <row r="2594" spans="1:10" x14ac:dyDescent="0.3">
      <c r="A2594" t="s">
        <v>6</v>
      </c>
      <c r="B2594" t="str">
        <f>"10/30/2019 00:00"</f>
        <v>10/30/2019 00:00</v>
      </c>
      <c r="C2594">
        <v>76.2</v>
      </c>
      <c r="D2594" t="s">
        <v>7</v>
      </c>
      <c r="E2594" s="2" t="s">
        <v>12</v>
      </c>
      <c r="F2594">
        <f t="shared" si="40"/>
        <v>151.1046</v>
      </c>
      <c r="G2594" t="s">
        <v>16</v>
      </c>
      <c r="H2594" t="s">
        <v>10</v>
      </c>
      <c r="J2594" t="str">
        <f>"10/31/2019 00:39"</f>
        <v>10/31/2019 00:39</v>
      </c>
    </row>
    <row r="2595" spans="1:10" x14ac:dyDescent="0.3">
      <c r="A2595" t="s">
        <v>6</v>
      </c>
      <c r="B2595" t="str">
        <f>"10/31/2019 00:00"</f>
        <v>10/31/2019 00:00</v>
      </c>
      <c r="C2595">
        <v>96.5</v>
      </c>
      <c r="D2595" t="s">
        <v>7</v>
      </c>
      <c r="E2595" s="2" t="s">
        <v>12</v>
      </c>
      <c r="F2595">
        <f t="shared" si="40"/>
        <v>191.3595</v>
      </c>
      <c r="G2595" t="s">
        <v>16</v>
      </c>
      <c r="H2595" t="s">
        <v>10</v>
      </c>
      <c r="J2595" t="str">
        <f>"11/01/2019 00:39"</f>
        <v>11/01/2019 00:39</v>
      </c>
    </row>
    <row r="2596" spans="1:10" x14ac:dyDescent="0.3">
      <c r="A2596" t="s">
        <v>6</v>
      </c>
      <c r="B2596" t="str">
        <f>"11/01/2019 00:00"</f>
        <v>11/01/2019 00:00</v>
      </c>
      <c r="C2596">
        <v>114</v>
      </c>
      <c r="D2596" t="s">
        <v>7</v>
      </c>
      <c r="E2596" s="2" t="s">
        <v>12</v>
      </c>
      <c r="F2596">
        <f t="shared" si="40"/>
        <v>226.06200000000001</v>
      </c>
      <c r="G2596" t="s">
        <v>16</v>
      </c>
      <c r="H2596" t="s">
        <v>10</v>
      </c>
      <c r="J2596" t="str">
        <f>"11/02/2019 00:39"</f>
        <v>11/02/2019 00:39</v>
      </c>
    </row>
    <row r="2597" spans="1:10" x14ac:dyDescent="0.3">
      <c r="A2597" t="s">
        <v>6</v>
      </c>
      <c r="B2597" t="str">
        <f>"11/02/2019 00:00"</f>
        <v>11/02/2019 00:00</v>
      </c>
      <c r="C2597">
        <v>114</v>
      </c>
      <c r="D2597" t="s">
        <v>7</v>
      </c>
      <c r="E2597" s="2" t="s">
        <v>12</v>
      </c>
      <c r="F2597">
        <f t="shared" si="40"/>
        <v>226.06200000000001</v>
      </c>
      <c r="G2597" t="s">
        <v>16</v>
      </c>
      <c r="H2597" t="s">
        <v>10</v>
      </c>
      <c r="J2597" t="str">
        <f>"11/03/2019 00:39"</f>
        <v>11/03/2019 00:39</v>
      </c>
    </row>
    <row r="2598" spans="1:10" x14ac:dyDescent="0.3">
      <c r="A2598" t="s">
        <v>6</v>
      </c>
      <c r="B2598" t="str">
        <f>"11/03/2019 00:00"</f>
        <v>11/03/2019 00:00</v>
      </c>
      <c r="C2598">
        <v>114</v>
      </c>
      <c r="D2598" t="s">
        <v>7</v>
      </c>
      <c r="E2598" s="2" t="s">
        <v>12</v>
      </c>
      <c r="F2598">
        <f t="shared" si="40"/>
        <v>226.06200000000001</v>
      </c>
      <c r="G2598" t="s">
        <v>16</v>
      </c>
      <c r="H2598" t="s">
        <v>10</v>
      </c>
      <c r="J2598" t="str">
        <f>"11/04/2019 00:39"</f>
        <v>11/04/2019 00:39</v>
      </c>
    </row>
    <row r="2599" spans="1:10" x14ac:dyDescent="0.3">
      <c r="A2599" t="s">
        <v>6</v>
      </c>
      <c r="B2599" t="str">
        <f>"11/04/2019 00:00"</f>
        <v>11/04/2019 00:00</v>
      </c>
      <c r="C2599">
        <v>115</v>
      </c>
      <c r="D2599" t="s">
        <v>7</v>
      </c>
      <c r="E2599" s="2" t="s">
        <v>12</v>
      </c>
      <c r="F2599">
        <f t="shared" si="40"/>
        <v>228.04500000000002</v>
      </c>
      <c r="G2599" t="s">
        <v>16</v>
      </c>
      <c r="H2599" t="s">
        <v>10</v>
      </c>
      <c r="J2599" t="str">
        <f>"11/05/2019 00:39"</f>
        <v>11/05/2019 00:39</v>
      </c>
    </row>
    <row r="2600" spans="1:10" x14ac:dyDescent="0.3">
      <c r="A2600" t="s">
        <v>6</v>
      </c>
      <c r="B2600" t="str">
        <f>"11/05/2019 00:00"</f>
        <v>11/05/2019 00:00</v>
      </c>
      <c r="C2600">
        <v>115</v>
      </c>
      <c r="D2600" t="s">
        <v>7</v>
      </c>
      <c r="E2600" s="2" t="s">
        <v>12</v>
      </c>
      <c r="F2600">
        <f t="shared" si="40"/>
        <v>228.04500000000002</v>
      </c>
      <c r="G2600" t="s">
        <v>16</v>
      </c>
      <c r="H2600" t="s">
        <v>10</v>
      </c>
      <c r="J2600" t="str">
        <f>"11/06/2019 00:39"</f>
        <v>11/06/2019 00:39</v>
      </c>
    </row>
    <row r="2601" spans="1:10" x14ac:dyDescent="0.3">
      <c r="A2601" t="s">
        <v>6</v>
      </c>
      <c r="B2601" t="str">
        <f>"11/06/2019 00:00"</f>
        <v>11/06/2019 00:00</v>
      </c>
      <c r="C2601">
        <v>102</v>
      </c>
      <c r="D2601" t="s">
        <v>7</v>
      </c>
      <c r="E2601" s="2" t="s">
        <v>12</v>
      </c>
      <c r="F2601">
        <f t="shared" si="40"/>
        <v>202.26600000000002</v>
      </c>
      <c r="G2601" t="s">
        <v>16</v>
      </c>
      <c r="H2601" t="s">
        <v>10</v>
      </c>
      <c r="J2601" t="str">
        <f>"11/07/2019 00:39"</f>
        <v>11/07/2019 00:39</v>
      </c>
    </row>
    <row r="2602" spans="1:10" x14ac:dyDescent="0.3">
      <c r="A2602" t="s">
        <v>6</v>
      </c>
      <c r="B2602" t="str">
        <f>"11/07/2019 00:00"</f>
        <v>11/07/2019 00:00</v>
      </c>
      <c r="C2602">
        <v>95.4</v>
      </c>
      <c r="D2602" t="s">
        <v>7</v>
      </c>
      <c r="E2602" s="2" t="s">
        <v>12</v>
      </c>
      <c r="F2602">
        <f t="shared" si="40"/>
        <v>189.17820000000003</v>
      </c>
      <c r="G2602" t="s">
        <v>16</v>
      </c>
      <c r="H2602" t="s">
        <v>10</v>
      </c>
      <c r="J2602" t="str">
        <f>"11/08/2019 00:39"</f>
        <v>11/08/2019 00:39</v>
      </c>
    </row>
    <row r="2603" spans="1:10" x14ac:dyDescent="0.3">
      <c r="A2603" t="s">
        <v>6</v>
      </c>
      <c r="B2603" t="str">
        <f>"11/08/2019 00:00"</f>
        <v>11/08/2019 00:00</v>
      </c>
      <c r="C2603">
        <v>95.7</v>
      </c>
      <c r="D2603" t="s">
        <v>7</v>
      </c>
      <c r="E2603" s="2" t="s">
        <v>12</v>
      </c>
      <c r="F2603">
        <f t="shared" si="40"/>
        <v>189.77310000000003</v>
      </c>
      <c r="G2603" t="s">
        <v>16</v>
      </c>
      <c r="H2603" t="s">
        <v>10</v>
      </c>
      <c r="J2603" t="str">
        <f>"11/09/2019 00:39"</f>
        <v>11/09/2019 00:39</v>
      </c>
    </row>
    <row r="2604" spans="1:10" x14ac:dyDescent="0.3">
      <c r="A2604" t="s">
        <v>6</v>
      </c>
      <c r="B2604" t="str">
        <f>"11/09/2019 00:00"</f>
        <v>11/09/2019 00:00</v>
      </c>
      <c r="C2604">
        <v>95.7</v>
      </c>
      <c r="D2604" t="s">
        <v>7</v>
      </c>
      <c r="E2604" s="2" t="s">
        <v>12</v>
      </c>
      <c r="F2604">
        <f t="shared" si="40"/>
        <v>189.77310000000003</v>
      </c>
      <c r="G2604" t="s">
        <v>16</v>
      </c>
      <c r="H2604" t="s">
        <v>10</v>
      </c>
      <c r="J2604" t="str">
        <f>"11/10/2019 00:39"</f>
        <v>11/10/2019 00:39</v>
      </c>
    </row>
    <row r="2605" spans="1:10" x14ac:dyDescent="0.3">
      <c r="A2605" t="s">
        <v>6</v>
      </c>
      <c r="B2605" t="str">
        <f>"11/10/2019 00:00"</f>
        <v>11/10/2019 00:00</v>
      </c>
      <c r="C2605">
        <v>95.5</v>
      </c>
      <c r="D2605" t="s">
        <v>7</v>
      </c>
      <c r="E2605" s="2" t="s">
        <v>12</v>
      </c>
      <c r="F2605">
        <f t="shared" si="40"/>
        <v>189.37650000000002</v>
      </c>
      <c r="G2605" t="s">
        <v>16</v>
      </c>
      <c r="H2605" t="s">
        <v>10</v>
      </c>
      <c r="J2605" t="str">
        <f>"11/11/2019 00:39"</f>
        <v>11/11/2019 00:39</v>
      </c>
    </row>
    <row r="2606" spans="1:10" x14ac:dyDescent="0.3">
      <c r="A2606" t="s">
        <v>6</v>
      </c>
      <c r="B2606" t="str">
        <f>"11/11/2019 00:00"</f>
        <v>11/11/2019 00:00</v>
      </c>
      <c r="C2606">
        <v>95.6</v>
      </c>
      <c r="D2606" t="s">
        <v>7</v>
      </c>
      <c r="E2606" s="2" t="s">
        <v>12</v>
      </c>
      <c r="F2606">
        <f t="shared" si="40"/>
        <v>189.57480000000001</v>
      </c>
      <c r="G2606" t="s">
        <v>16</v>
      </c>
      <c r="H2606" t="s">
        <v>10</v>
      </c>
      <c r="J2606" t="str">
        <f>"11/12/2019 00:39"</f>
        <v>11/12/2019 00:39</v>
      </c>
    </row>
    <row r="2607" spans="1:10" x14ac:dyDescent="0.3">
      <c r="A2607" t="s">
        <v>6</v>
      </c>
      <c r="B2607" t="str">
        <f>"11/12/2019 00:00"</f>
        <v>11/12/2019 00:00</v>
      </c>
      <c r="C2607">
        <v>95.6</v>
      </c>
      <c r="D2607" t="s">
        <v>7</v>
      </c>
      <c r="E2607" s="2" t="s">
        <v>12</v>
      </c>
      <c r="F2607">
        <f t="shared" si="40"/>
        <v>189.57480000000001</v>
      </c>
      <c r="G2607" t="s">
        <v>16</v>
      </c>
      <c r="H2607" t="s">
        <v>10</v>
      </c>
      <c r="J2607" t="str">
        <f>"11/13/2019 00:39"</f>
        <v>11/13/2019 00:39</v>
      </c>
    </row>
    <row r="2608" spans="1:10" x14ac:dyDescent="0.3">
      <c r="A2608" t="s">
        <v>6</v>
      </c>
      <c r="B2608" t="str">
        <f>"11/13/2019 00:00"</f>
        <v>11/13/2019 00:00</v>
      </c>
      <c r="C2608">
        <v>87.5</v>
      </c>
      <c r="D2608" t="s">
        <v>7</v>
      </c>
      <c r="E2608" s="2" t="s">
        <v>12</v>
      </c>
      <c r="F2608">
        <f t="shared" si="40"/>
        <v>173.51250000000002</v>
      </c>
      <c r="G2608" t="s">
        <v>16</v>
      </c>
      <c r="H2608" t="s">
        <v>10</v>
      </c>
      <c r="J2608" t="str">
        <f>"11/14/2019 00:39"</f>
        <v>11/14/2019 00:39</v>
      </c>
    </row>
    <row r="2609" spans="1:10" x14ac:dyDescent="0.3">
      <c r="A2609" t="s">
        <v>6</v>
      </c>
      <c r="B2609" t="str">
        <f>"11/14/2019 00:00"</f>
        <v>11/14/2019 00:00</v>
      </c>
      <c r="C2609">
        <v>81.8</v>
      </c>
      <c r="D2609" t="s">
        <v>7</v>
      </c>
      <c r="E2609" s="2" t="s">
        <v>12</v>
      </c>
      <c r="F2609">
        <f t="shared" si="40"/>
        <v>162.20939999999999</v>
      </c>
      <c r="G2609" t="s">
        <v>16</v>
      </c>
      <c r="H2609" t="s">
        <v>10</v>
      </c>
      <c r="J2609" t="str">
        <f>"11/15/2019 00:39"</f>
        <v>11/15/2019 00:39</v>
      </c>
    </row>
    <row r="2610" spans="1:10" x14ac:dyDescent="0.3">
      <c r="A2610" t="s">
        <v>6</v>
      </c>
      <c r="B2610" t="str">
        <f>"11/15/2019 00:00"</f>
        <v>11/15/2019 00:00</v>
      </c>
      <c r="C2610">
        <v>81.3</v>
      </c>
      <c r="D2610" t="s">
        <v>7</v>
      </c>
      <c r="E2610" s="2" t="s">
        <v>12</v>
      </c>
      <c r="F2610">
        <f t="shared" si="40"/>
        <v>161.21790000000001</v>
      </c>
      <c r="G2610" t="s">
        <v>16</v>
      </c>
      <c r="H2610" t="s">
        <v>10</v>
      </c>
      <c r="J2610" t="str">
        <f>"11/16/2019 00:39"</f>
        <v>11/16/2019 00:39</v>
      </c>
    </row>
    <row r="2611" spans="1:10" x14ac:dyDescent="0.3">
      <c r="A2611" t="s">
        <v>6</v>
      </c>
      <c r="B2611" t="str">
        <f>"11/16/2019 00:00"</f>
        <v>11/16/2019 00:00</v>
      </c>
      <c r="C2611">
        <v>81.099999999999994</v>
      </c>
      <c r="D2611" t="s">
        <v>7</v>
      </c>
      <c r="E2611" s="2" t="s">
        <v>12</v>
      </c>
      <c r="F2611">
        <f t="shared" si="40"/>
        <v>160.82130000000001</v>
      </c>
      <c r="G2611" t="s">
        <v>16</v>
      </c>
      <c r="H2611" t="s">
        <v>10</v>
      </c>
      <c r="J2611" t="str">
        <f>"11/17/2019 00:39"</f>
        <v>11/17/2019 00:39</v>
      </c>
    </row>
    <row r="2612" spans="1:10" x14ac:dyDescent="0.3">
      <c r="A2612" t="s">
        <v>6</v>
      </c>
      <c r="B2612" t="str">
        <f>"11/17/2019 00:00"</f>
        <v>11/17/2019 00:00</v>
      </c>
      <c r="C2612">
        <v>80.900000000000006</v>
      </c>
      <c r="D2612" t="s">
        <v>7</v>
      </c>
      <c r="E2612" s="2" t="s">
        <v>12</v>
      </c>
      <c r="F2612">
        <f t="shared" si="40"/>
        <v>160.42470000000003</v>
      </c>
      <c r="G2612" t="s">
        <v>16</v>
      </c>
      <c r="H2612" t="s">
        <v>10</v>
      </c>
      <c r="J2612" t="str">
        <f>"11/18/2019 00:39"</f>
        <v>11/18/2019 00:39</v>
      </c>
    </row>
    <row r="2613" spans="1:10" x14ac:dyDescent="0.3">
      <c r="A2613" t="s">
        <v>6</v>
      </c>
      <c r="B2613" t="str">
        <f>"11/18/2019 00:00"</f>
        <v>11/18/2019 00:00</v>
      </c>
      <c r="C2613">
        <v>81.3</v>
      </c>
      <c r="D2613" t="s">
        <v>7</v>
      </c>
      <c r="E2613" s="2" t="s">
        <v>12</v>
      </c>
      <c r="F2613">
        <f t="shared" si="40"/>
        <v>161.21790000000001</v>
      </c>
      <c r="G2613" t="s">
        <v>16</v>
      </c>
      <c r="H2613" t="s">
        <v>10</v>
      </c>
      <c r="J2613" t="str">
        <f>"11/19/2019 00:39"</f>
        <v>11/19/2019 00:39</v>
      </c>
    </row>
    <row r="2614" spans="1:10" x14ac:dyDescent="0.3">
      <c r="A2614" t="s">
        <v>6</v>
      </c>
      <c r="B2614" t="str">
        <f>"11/19/2019 00:00"</f>
        <v>11/19/2019 00:00</v>
      </c>
      <c r="C2614">
        <v>83.2</v>
      </c>
      <c r="D2614" t="s">
        <v>7</v>
      </c>
      <c r="E2614" s="2" t="s">
        <v>12</v>
      </c>
      <c r="F2614">
        <f t="shared" si="40"/>
        <v>164.98560000000001</v>
      </c>
      <c r="G2614" t="s">
        <v>16</v>
      </c>
      <c r="H2614" t="s">
        <v>10</v>
      </c>
      <c r="J2614" t="str">
        <f>"11/20/2019 00:39"</f>
        <v>11/20/2019 00:39</v>
      </c>
    </row>
    <row r="2615" spans="1:10" x14ac:dyDescent="0.3">
      <c r="A2615" t="s">
        <v>6</v>
      </c>
      <c r="B2615" t="str">
        <f>"11/20/2019 00:00"</f>
        <v>11/20/2019 00:00</v>
      </c>
      <c r="C2615">
        <v>87.2</v>
      </c>
      <c r="D2615" t="s">
        <v>7</v>
      </c>
      <c r="E2615" s="2" t="s">
        <v>12</v>
      </c>
      <c r="F2615">
        <f t="shared" si="40"/>
        <v>172.91760000000002</v>
      </c>
      <c r="G2615" t="s">
        <v>16</v>
      </c>
      <c r="H2615" t="s">
        <v>10</v>
      </c>
      <c r="J2615" t="str">
        <f>"11/21/2019 00:39"</f>
        <v>11/21/2019 00:39</v>
      </c>
    </row>
    <row r="2616" spans="1:10" x14ac:dyDescent="0.3">
      <c r="A2616" t="s">
        <v>6</v>
      </c>
      <c r="B2616" t="str">
        <f>"11/21/2019 00:00"</f>
        <v>11/21/2019 00:00</v>
      </c>
      <c r="C2616">
        <v>87.6</v>
      </c>
      <c r="D2616" t="s">
        <v>7</v>
      </c>
      <c r="E2616" s="2" t="s">
        <v>12</v>
      </c>
      <c r="F2616">
        <f t="shared" si="40"/>
        <v>173.71080000000001</v>
      </c>
      <c r="G2616" t="s">
        <v>16</v>
      </c>
      <c r="H2616" t="s">
        <v>10</v>
      </c>
      <c r="J2616" t="str">
        <f>"11/22/2019 00:39"</f>
        <v>11/22/2019 00:39</v>
      </c>
    </row>
    <row r="2617" spans="1:10" x14ac:dyDescent="0.3">
      <c r="A2617" t="s">
        <v>6</v>
      </c>
      <c r="B2617" t="str">
        <f>"11/22/2019 00:00"</f>
        <v>11/22/2019 00:00</v>
      </c>
      <c r="C2617">
        <v>87.1</v>
      </c>
      <c r="D2617" t="s">
        <v>7</v>
      </c>
      <c r="E2617" s="2" t="s">
        <v>12</v>
      </c>
      <c r="F2617">
        <f t="shared" si="40"/>
        <v>172.7193</v>
      </c>
      <c r="G2617" t="s">
        <v>16</v>
      </c>
      <c r="H2617" t="s">
        <v>10</v>
      </c>
      <c r="J2617" t="str">
        <f>"11/23/2019 00:39"</f>
        <v>11/23/2019 00:39</v>
      </c>
    </row>
    <row r="2618" spans="1:10" x14ac:dyDescent="0.3">
      <c r="A2618" t="s">
        <v>6</v>
      </c>
      <c r="B2618" t="str">
        <f>"11/23/2019 00:00"</f>
        <v>11/23/2019 00:00</v>
      </c>
      <c r="C2618">
        <v>77.3</v>
      </c>
      <c r="D2618" t="s">
        <v>7</v>
      </c>
      <c r="E2618" s="2" t="s">
        <v>12</v>
      </c>
      <c r="F2618">
        <f t="shared" si="40"/>
        <v>153.2859</v>
      </c>
      <c r="G2618" t="s">
        <v>16</v>
      </c>
      <c r="H2618" t="s">
        <v>10</v>
      </c>
      <c r="J2618" t="str">
        <f>"11/24/2019 00:39"</f>
        <v>11/24/2019 00:39</v>
      </c>
    </row>
    <row r="2619" spans="1:10" x14ac:dyDescent="0.3">
      <c r="A2619" t="s">
        <v>6</v>
      </c>
      <c r="B2619" t="str">
        <f>"11/24/2019 00:00"</f>
        <v>11/24/2019 00:00</v>
      </c>
      <c r="C2619">
        <v>71.599999999999994</v>
      </c>
      <c r="D2619" t="s">
        <v>7</v>
      </c>
      <c r="E2619" s="2" t="s">
        <v>12</v>
      </c>
      <c r="F2619">
        <f t="shared" si="40"/>
        <v>141.9828</v>
      </c>
      <c r="G2619" t="s">
        <v>16</v>
      </c>
      <c r="H2619" t="s">
        <v>10</v>
      </c>
      <c r="J2619" t="str">
        <f>"11/25/2019 00:39"</f>
        <v>11/25/2019 00:39</v>
      </c>
    </row>
    <row r="2620" spans="1:10" x14ac:dyDescent="0.3">
      <c r="A2620" t="s">
        <v>6</v>
      </c>
      <c r="B2620" t="str">
        <f>"11/25/2019 00:00"</f>
        <v>11/25/2019 00:00</v>
      </c>
      <c r="C2620">
        <v>78.3</v>
      </c>
      <c r="D2620" t="s">
        <v>7</v>
      </c>
      <c r="E2620" s="2" t="s">
        <v>12</v>
      </c>
      <c r="F2620">
        <f t="shared" si="40"/>
        <v>155.2689</v>
      </c>
      <c r="G2620" t="s">
        <v>16</v>
      </c>
      <c r="H2620" t="s">
        <v>10</v>
      </c>
      <c r="J2620" t="str">
        <f>"11/26/2019 00:39"</f>
        <v>11/26/2019 00:39</v>
      </c>
    </row>
    <row r="2621" spans="1:10" x14ac:dyDescent="0.3">
      <c r="A2621" t="s">
        <v>6</v>
      </c>
      <c r="B2621" t="str">
        <f>"11/26/2019 00:00"</f>
        <v>11/26/2019 00:00</v>
      </c>
      <c r="C2621">
        <v>82.3</v>
      </c>
      <c r="D2621" t="s">
        <v>7</v>
      </c>
      <c r="E2621" s="2" t="s">
        <v>12</v>
      </c>
      <c r="F2621">
        <f t="shared" si="40"/>
        <v>163.20089999999999</v>
      </c>
      <c r="G2621" t="s">
        <v>16</v>
      </c>
      <c r="H2621" t="s">
        <v>10</v>
      </c>
      <c r="J2621" t="str">
        <f>"11/27/2019 00:39"</f>
        <v>11/27/2019 00:39</v>
      </c>
    </row>
    <row r="2622" spans="1:10" x14ac:dyDescent="0.3">
      <c r="A2622" t="s">
        <v>6</v>
      </c>
      <c r="B2622" t="str">
        <f>"11/27/2019 00:00"</f>
        <v>11/27/2019 00:00</v>
      </c>
      <c r="C2622">
        <v>82.1</v>
      </c>
      <c r="D2622" t="s">
        <v>7</v>
      </c>
      <c r="E2622" s="2" t="s">
        <v>12</v>
      </c>
      <c r="F2622">
        <f t="shared" si="40"/>
        <v>162.80429999999998</v>
      </c>
      <c r="G2622" t="s">
        <v>16</v>
      </c>
      <c r="H2622" t="s">
        <v>10</v>
      </c>
      <c r="J2622" t="str">
        <f>"11/28/2019 00:39"</f>
        <v>11/28/2019 00:39</v>
      </c>
    </row>
    <row r="2623" spans="1:10" x14ac:dyDescent="0.3">
      <c r="A2623" t="s">
        <v>6</v>
      </c>
      <c r="B2623" t="str">
        <f>"11/28/2019 00:00"</f>
        <v>11/28/2019 00:00</v>
      </c>
      <c r="C2623">
        <v>81.8</v>
      </c>
      <c r="D2623" t="s">
        <v>7</v>
      </c>
      <c r="E2623" s="2" t="s">
        <v>12</v>
      </c>
      <c r="F2623">
        <f t="shared" si="40"/>
        <v>162.20939999999999</v>
      </c>
      <c r="G2623" t="s">
        <v>16</v>
      </c>
      <c r="H2623" t="s">
        <v>10</v>
      </c>
      <c r="J2623" t="str">
        <f>"11/29/2019 00:39"</f>
        <v>11/29/2019 00:39</v>
      </c>
    </row>
    <row r="2624" spans="1:10" x14ac:dyDescent="0.3">
      <c r="A2624" t="s">
        <v>6</v>
      </c>
      <c r="B2624" t="str">
        <f>"11/29/2019 00:00"</f>
        <v>11/29/2019 00:00</v>
      </c>
      <c r="C2624">
        <v>81.900000000000006</v>
      </c>
      <c r="D2624" t="s">
        <v>7</v>
      </c>
      <c r="E2624" s="2" t="s">
        <v>12</v>
      </c>
      <c r="F2624">
        <f t="shared" si="40"/>
        <v>162.40770000000001</v>
      </c>
      <c r="G2624" t="s">
        <v>16</v>
      </c>
      <c r="H2624" t="s">
        <v>10</v>
      </c>
      <c r="J2624" t="str">
        <f>"11/30/2019 00:39"</f>
        <v>11/30/2019 00:39</v>
      </c>
    </row>
    <row r="2625" spans="1:10" x14ac:dyDescent="0.3">
      <c r="A2625" t="s">
        <v>6</v>
      </c>
      <c r="B2625" t="str">
        <f>"11/30/2019 00:00"</f>
        <v>11/30/2019 00:00</v>
      </c>
      <c r="C2625">
        <v>74.8</v>
      </c>
      <c r="D2625" t="s">
        <v>7</v>
      </c>
      <c r="E2625" s="2" t="s">
        <v>12</v>
      </c>
      <c r="F2625">
        <f t="shared" si="40"/>
        <v>148.32839999999999</v>
      </c>
      <c r="G2625" t="s">
        <v>16</v>
      </c>
      <c r="H2625" t="s">
        <v>10</v>
      </c>
      <c r="J2625" t="str">
        <f>"12/01/2019 00:39"</f>
        <v>12/01/2019 00:39</v>
      </c>
    </row>
    <row r="2626" spans="1:10" x14ac:dyDescent="0.3">
      <c r="A2626" t="s">
        <v>6</v>
      </c>
      <c r="B2626" t="str">
        <f>"12/01/2019 00:00"</f>
        <v>12/01/2019 00:00</v>
      </c>
      <c r="C2626">
        <v>49</v>
      </c>
      <c r="D2626" t="s">
        <v>7</v>
      </c>
      <c r="E2626" s="2" t="s">
        <v>12</v>
      </c>
      <c r="F2626">
        <f t="shared" si="40"/>
        <v>97.167000000000002</v>
      </c>
      <c r="G2626" t="s">
        <v>16</v>
      </c>
      <c r="H2626" t="s">
        <v>10</v>
      </c>
      <c r="J2626" t="str">
        <f>"12/02/2019 00:39"</f>
        <v>12/02/2019 00:39</v>
      </c>
    </row>
    <row r="2627" spans="1:10" x14ac:dyDescent="0.3">
      <c r="A2627" t="s">
        <v>6</v>
      </c>
      <c r="B2627" t="str">
        <f>"12/02/2019 00:00"</f>
        <v>12/02/2019 00:00</v>
      </c>
      <c r="C2627">
        <v>14</v>
      </c>
      <c r="D2627" t="s">
        <v>7</v>
      </c>
      <c r="E2627" s="2" t="s">
        <v>12</v>
      </c>
      <c r="F2627">
        <f t="shared" si="40"/>
        <v>27.762</v>
      </c>
      <c r="G2627" t="s">
        <v>16</v>
      </c>
      <c r="H2627" t="s">
        <v>10</v>
      </c>
      <c r="J2627" t="str">
        <f>"12/03/2019 00:39"</f>
        <v>12/03/2019 00:39</v>
      </c>
    </row>
    <row r="2628" spans="1:10" x14ac:dyDescent="0.3">
      <c r="A2628" t="s">
        <v>6</v>
      </c>
      <c r="B2628" t="str">
        <f>"12/03/2019 00:00"</f>
        <v>12/03/2019 00:00</v>
      </c>
      <c r="C2628">
        <v>0.63</v>
      </c>
      <c r="D2628" t="s">
        <v>7</v>
      </c>
      <c r="E2628" s="2" t="s">
        <v>12</v>
      </c>
      <c r="F2628">
        <f t="shared" si="40"/>
        <v>1.24929</v>
      </c>
      <c r="G2628" t="s">
        <v>16</v>
      </c>
      <c r="H2628" t="s">
        <v>10</v>
      </c>
      <c r="J2628" t="str">
        <f>"12/04/2019 00:39"</f>
        <v>12/04/2019 00:39</v>
      </c>
    </row>
    <row r="2629" spans="1:10" x14ac:dyDescent="0.3">
      <c r="A2629" t="s">
        <v>6</v>
      </c>
      <c r="B2629" t="str">
        <f>"12/04/2019 00:00"</f>
        <v>12/04/2019 00:00</v>
      </c>
      <c r="C2629">
        <v>0.63</v>
      </c>
      <c r="D2629" t="s">
        <v>7</v>
      </c>
      <c r="E2629" s="2" t="s">
        <v>12</v>
      </c>
      <c r="F2629">
        <f t="shared" si="40"/>
        <v>1.24929</v>
      </c>
      <c r="G2629" t="s">
        <v>16</v>
      </c>
      <c r="H2629" t="s">
        <v>10</v>
      </c>
      <c r="J2629" t="str">
        <f>"12/05/2019 00:39"</f>
        <v>12/05/2019 00:39</v>
      </c>
    </row>
    <row r="2630" spans="1:10" x14ac:dyDescent="0.3">
      <c r="A2630" t="s">
        <v>6</v>
      </c>
      <c r="B2630" t="str">
        <f>"12/05/2019 00:00"</f>
        <v>12/05/2019 00:00</v>
      </c>
      <c r="C2630">
        <v>0.63</v>
      </c>
      <c r="D2630" t="s">
        <v>7</v>
      </c>
      <c r="E2630" s="2" t="s">
        <v>12</v>
      </c>
      <c r="F2630">
        <f t="shared" si="40"/>
        <v>1.24929</v>
      </c>
      <c r="G2630" t="s">
        <v>16</v>
      </c>
      <c r="H2630" t="s">
        <v>10</v>
      </c>
      <c r="J2630" t="str">
        <f>"12/06/2019 00:39"</f>
        <v>12/06/2019 00:39</v>
      </c>
    </row>
    <row r="2631" spans="1:10" x14ac:dyDescent="0.3">
      <c r="A2631" t="s">
        <v>6</v>
      </c>
      <c r="B2631" t="str">
        <f>"12/06/2019 00:00"</f>
        <v>12/06/2019 00:00</v>
      </c>
      <c r="C2631">
        <v>0.63</v>
      </c>
      <c r="D2631" t="s">
        <v>7</v>
      </c>
      <c r="E2631" s="2" t="s">
        <v>12</v>
      </c>
      <c r="F2631">
        <f t="shared" si="40"/>
        <v>1.24929</v>
      </c>
      <c r="G2631" t="s">
        <v>16</v>
      </c>
      <c r="H2631" t="s">
        <v>10</v>
      </c>
      <c r="J2631" t="str">
        <f>"12/07/2019 00:39"</f>
        <v>12/07/2019 00:39</v>
      </c>
    </row>
    <row r="2632" spans="1:10" x14ac:dyDescent="0.3">
      <c r="A2632" t="s">
        <v>6</v>
      </c>
      <c r="B2632" t="str">
        <f>"12/07/2019 00:00"</f>
        <v>12/07/2019 00:00</v>
      </c>
      <c r="C2632">
        <v>0.63</v>
      </c>
      <c r="D2632" t="s">
        <v>7</v>
      </c>
      <c r="E2632" s="2" t="s">
        <v>12</v>
      </c>
      <c r="F2632">
        <f t="shared" si="40"/>
        <v>1.24929</v>
      </c>
      <c r="G2632" t="s">
        <v>16</v>
      </c>
      <c r="H2632" t="s">
        <v>10</v>
      </c>
      <c r="J2632" t="str">
        <f>"12/08/2019 00:39"</f>
        <v>12/08/2019 00:39</v>
      </c>
    </row>
    <row r="2633" spans="1:10" x14ac:dyDescent="0.3">
      <c r="A2633" t="s">
        <v>6</v>
      </c>
      <c r="B2633" t="str">
        <f>"12/08/2019 00:00"</f>
        <v>12/08/2019 00:00</v>
      </c>
      <c r="C2633">
        <v>0.63</v>
      </c>
      <c r="D2633" t="s">
        <v>7</v>
      </c>
      <c r="E2633" s="2" t="s">
        <v>12</v>
      </c>
      <c r="F2633">
        <f t="shared" si="40"/>
        <v>1.24929</v>
      </c>
      <c r="G2633" t="s">
        <v>16</v>
      </c>
      <c r="H2633" t="s">
        <v>10</v>
      </c>
      <c r="J2633" t="str">
        <f>"12/09/2019 00:39"</f>
        <v>12/09/2019 00:39</v>
      </c>
    </row>
    <row r="2634" spans="1:10" x14ac:dyDescent="0.3">
      <c r="A2634" t="s">
        <v>6</v>
      </c>
      <c r="B2634" t="str">
        <f>"12/09/2019 00:00"</f>
        <v>12/09/2019 00:00</v>
      </c>
      <c r="C2634">
        <v>0.63</v>
      </c>
      <c r="D2634" t="s">
        <v>7</v>
      </c>
      <c r="E2634" s="2" t="s">
        <v>12</v>
      </c>
      <c r="F2634">
        <f t="shared" ref="F2634:F2697" si="41">C2634*1.983</f>
        <v>1.24929</v>
      </c>
      <c r="G2634" t="s">
        <v>16</v>
      </c>
      <c r="H2634" t="s">
        <v>10</v>
      </c>
      <c r="J2634" t="str">
        <f>"12/10/2019 00:39"</f>
        <v>12/10/2019 00:39</v>
      </c>
    </row>
    <row r="2635" spans="1:10" x14ac:dyDescent="0.3">
      <c r="A2635" t="s">
        <v>6</v>
      </c>
      <c r="B2635" t="str">
        <f>"12/10/2019 00:00"</f>
        <v>12/10/2019 00:00</v>
      </c>
      <c r="C2635">
        <v>0.63</v>
      </c>
      <c r="D2635" t="s">
        <v>7</v>
      </c>
      <c r="E2635" s="2" t="s">
        <v>12</v>
      </c>
      <c r="F2635">
        <f t="shared" si="41"/>
        <v>1.24929</v>
      </c>
      <c r="G2635" t="s">
        <v>16</v>
      </c>
      <c r="H2635" t="s">
        <v>10</v>
      </c>
      <c r="J2635" t="str">
        <f>"12/11/2019 00:39"</f>
        <v>12/11/2019 00:39</v>
      </c>
    </row>
    <row r="2636" spans="1:10" x14ac:dyDescent="0.3">
      <c r="A2636" t="s">
        <v>6</v>
      </c>
      <c r="B2636" t="str">
        <f>"12/11/2019 00:00"</f>
        <v>12/11/2019 00:00</v>
      </c>
      <c r="C2636">
        <v>0.63</v>
      </c>
      <c r="D2636" t="s">
        <v>7</v>
      </c>
      <c r="E2636" s="2" t="s">
        <v>12</v>
      </c>
      <c r="F2636">
        <f t="shared" si="41"/>
        <v>1.24929</v>
      </c>
      <c r="G2636" t="s">
        <v>16</v>
      </c>
      <c r="H2636" t="s">
        <v>10</v>
      </c>
      <c r="J2636" t="str">
        <f>"12/12/2019 00:39"</f>
        <v>12/12/2019 00:39</v>
      </c>
    </row>
    <row r="2637" spans="1:10" x14ac:dyDescent="0.3">
      <c r="A2637" t="s">
        <v>6</v>
      </c>
      <c r="B2637" t="str">
        <f>"12/12/2019 00:00"</f>
        <v>12/12/2019 00:00</v>
      </c>
      <c r="C2637">
        <v>0.62</v>
      </c>
      <c r="D2637" t="s">
        <v>7</v>
      </c>
      <c r="E2637" s="2" t="s">
        <v>12</v>
      </c>
      <c r="F2637">
        <f t="shared" si="41"/>
        <v>1.22946</v>
      </c>
      <c r="G2637" t="s">
        <v>16</v>
      </c>
      <c r="H2637" t="s">
        <v>10</v>
      </c>
      <c r="J2637" t="str">
        <f>"12/13/2019 00:39"</f>
        <v>12/13/2019 00:39</v>
      </c>
    </row>
    <row r="2638" spans="1:10" x14ac:dyDescent="0.3">
      <c r="A2638" t="s">
        <v>6</v>
      </c>
      <c r="B2638" t="str">
        <f>"12/13/2019 00:00"</f>
        <v>12/13/2019 00:00</v>
      </c>
      <c r="C2638">
        <v>0.56299999999999994</v>
      </c>
      <c r="D2638" t="s">
        <v>7</v>
      </c>
      <c r="E2638" s="2" t="s">
        <v>12</v>
      </c>
      <c r="F2638">
        <f t="shared" si="41"/>
        <v>1.1164289999999999</v>
      </c>
      <c r="G2638" t="s">
        <v>16</v>
      </c>
      <c r="H2638" t="s">
        <v>10</v>
      </c>
      <c r="J2638" t="str">
        <f>"12/14/2019 00:39"</f>
        <v>12/14/2019 00:39</v>
      </c>
    </row>
    <row r="2639" spans="1:10" x14ac:dyDescent="0.3">
      <c r="A2639" t="s">
        <v>6</v>
      </c>
      <c r="B2639" t="str">
        <f>"12/14/2019 00:00"</f>
        <v>12/14/2019 00:00</v>
      </c>
      <c r="C2639">
        <v>0.81599999999999995</v>
      </c>
      <c r="D2639" t="s">
        <v>7</v>
      </c>
      <c r="E2639" s="2" t="s">
        <v>12</v>
      </c>
      <c r="F2639">
        <f t="shared" si="41"/>
        <v>1.618128</v>
      </c>
      <c r="G2639" t="s">
        <v>16</v>
      </c>
      <c r="H2639" t="s">
        <v>10</v>
      </c>
      <c r="J2639" t="str">
        <f>"12/15/2019 00:39"</f>
        <v>12/15/2019 00:39</v>
      </c>
    </row>
    <row r="2640" spans="1:10" x14ac:dyDescent="0.3">
      <c r="A2640" t="s">
        <v>6</v>
      </c>
      <c r="B2640" t="str">
        <f>"12/15/2019 00:00"</f>
        <v>12/15/2019 00:00</v>
      </c>
      <c r="C2640">
        <v>0.995</v>
      </c>
      <c r="D2640" t="s">
        <v>7</v>
      </c>
      <c r="E2640" s="2" t="s">
        <v>12</v>
      </c>
      <c r="F2640">
        <f t="shared" si="41"/>
        <v>1.973085</v>
      </c>
      <c r="G2640" t="s">
        <v>16</v>
      </c>
      <c r="H2640" t="s">
        <v>10</v>
      </c>
      <c r="J2640" t="str">
        <f>"12/16/2019 00:39"</f>
        <v>12/16/2019 00:39</v>
      </c>
    </row>
    <row r="2641" spans="1:10" x14ac:dyDescent="0.3">
      <c r="A2641" t="s">
        <v>6</v>
      </c>
      <c r="B2641" t="str">
        <f>"12/16/2019 00:00"</f>
        <v>12/16/2019 00:00</v>
      </c>
      <c r="C2641">
        <v>0.90300000000000002</v>
      </c>
      <c r="D2641" t="s">
        <v>7</v>
      </c>
      <c r="E2641" s="2" t="s">
        <v>12</v>
      </c>
      <c r="F2641">
        <f t="shared" si="41"/>
        <v>1.7906490000000002</v>
      </c>
      <c r="G2641" t="s">
        <v>16</v>
      </c>
      <c r="H2641" t="s">
        <v>10</v>
      </c>
      <c r="J2641" t="str">
        <f>"12/17/2019 21:35"</f>
        <v>12/17/2019 21:35</v>
      </c>
    </row>
    <row r="2642" spans="1:10" x14ac:dyDescent="0.3">
      <c r="A2642" t="s">
        <v>6</v>
      </c>
      <c r="B2642" t="str">
        <f>"12/17/2019 00:00"</f>
        <v>12/17/2019 00:00</v>
      </c>
      <c r="C2642">
        <v>0.81599999999999995</v>
      </c>
      <c r="D2642" t="s">
        <v>7</v>
      </c>
      <c r="E2642" s="2" t="s">
        <v>12</v>
      </c>
      <c r="F2642">
        <f t="shared" si="41"/>
        <v>1.618128</v>
      </c>
      <c r="G2642" t="s">
        <v>16</v>
      </c>
      <c r="H2642" t="s">
        <v>10</v>
      </c>
      <c r="J2642" t="str">
        <f>"12/18/2019 08:45"</f>
        <v>12/18/2019 08:45</v>
      </c>
    </row>
    <row r="2643" spans="1:10" x14ac:dyDescent="0.3">
      <c r="A2643" t="s">
        <v>6</v>
      </c>
      <c r="B2643" t="str">
        <f>"12/18/2019 00:00"</f>
        <v>12/18/2019 00:00</v>
      </c>
      <c r="C2643">
        <v>0.81599999999999995</v>
      </c>
      <c r="D2643" t="s">
        <v>7</v>
      </c>
      <c r="E2643" s="2" t="s">
        <v>12</v>
      </c>
      <c r="F2643">
        <f t="shared" si="41"/>
        <v>1.618128</v>
      </c>
      <c r="G2643" t="s">
        <v>16</v>
      </c>
      <c r="H2643" t="s">
        <v>10</v>
      </c>
      <c r="J2643" t="str">
        <f>"12/19/2019 00:39"</f>
        <v>12/19/2019 00:39</v>
      </c>
    </row>
    <row r="2644" spans="1:10" x14ac:dyDescent="0.3">
      <c r="A2644" t="s">
        <v>6</v>
      </c>
      <c r="B2644" t="str">
        <f>"12/19/2019 00:00"</f>
        <v>12/19/2019 00:00</v>
      </c>
      <c r="C2644">
        <v>0.81599999999999995</v>
      </c>
      <c r="D2644" t="s">
        <v>7</v>
      </c>
      <c r="E2644" s="2" t="s">
        <v>12</v>
      </c>
      <c r="F2644">
        <f t="shared" si="41"/>
        <v>1.618128</v>
      </c>
      <c r="G2644" t="s">
        <v>16</v>
      </c>
      <c r="H2644" t="s">
        <v>10</v>
      </c>
      <c r="J2644" t="str">
        <f>"12/20/2019 00:39"</f>
        <v>12/20/2019 00:39</v>
      </c>
    </row>
    <row r="2645" spans="1:10" x14ac:dyDescent="0.3">
      <c r="A2645" t="s">
        <v>6</v>
      </c>
      <c r="B2645" t="str">
        <f>"12/20/2019 00:00"</f>
        <v>12/20/2019 00:00</v>
      </c>
      <c r="C2645">
        <v>0.81599999999999995</v>
      </c>
      <c r="D2645" t="s">
        <v>7</v>
      </c>
      <c r="E2645" s="2" t="s">
        <v>12</v>
      </c>
      <c r="F2645">
        <f t="shared" si="41"/>
        <v>1.618128</v>
      </c>
      <c r="G2645" t="s">
        <v>16</v>
      </c>
      <c r="H2645" t="s">
        <v>10</v>
      </c>
      <c r="J2645" t="str">
        <f>"12/21/2019 00:39"</f>
        <v>12/21/2019 00:39</v>
      </c>
    </row>
    <row r="2646" spans="1:10" x14ac:dyDescent="0.3">
      <c r="A2646" t="s">
        <v>6</v>
      </c>
      <c r="B2646" t="str">
        <f>"12/21/2019 00:00"</f>
        <v>12/21/2019 00:00</v>
      </c>
      <c r="C2646">
        <v>0.81599999999999995</v>
      </c>
      <c r="D2646" t="s">
        <v>7</v>
      </c>
      <c r="E2646" s="2" t="s">
        <v>12</v>
      </c>
      <c r="F2646">
        <f t="shared" si="41"/>
        <v>1.618128</v>
      </c>
      <c r="G2646" t="s">
        <v>16</v>
      </c>
      <c r="H2646" t="s">
        <v>10</v>
      </c>
      <c r="J2646" t="str">
        <f>"12/22/2019 00:39"</f>
        <v>12/22/2019 00:39</v>
      </c>
    </row>
    <row r="2647" spans="1:10" x14ac:dyDescent="0.3">
      <c r="A2647" t="s">
        <v>6</v>
      </c>
      <c r="B2647" t="str">
        <f>"12/22/2019 00:00"</f>
        <v>12/22/2019 00:00</v>
      </c>
      <c r="C2647">
        <v>0.81599999999999995</v>
      </c>
      <c r="D2647" t="s">
        <v>7</v>
      </c>
      <c r="E2647" s="2" t="s">
        <v>12</v>
      </c>
      <c r="F2647">
        <f t="shared" si="41"/>
        <v>1.618128</v>
      </c>
      <c r="G2647" t="s">
        <v>16</v>
      </c>
      <c r="H2647" t="s">
        <v>10</v>
      </c>
      <c r="J2647" t="str">
        <f>"12/23/2019 00:39"</f>
        <v>12/23/2019 00:39</v>
      </c>
    </row>
    <row r="2648" spans="1:10" x14ac:dyDescent="0.3">
      <c r="A2648" t="s">
        <v>6</v>
      </c>
      <c r="B2648" t="str">
        <f>"12/23/2019 00:00"</f>
        <v>12/23/2019 00:00</v>
      </c>
      <c r="C2648">
        <v>0.81599999999999995</v>
      </c>
      <c r="D2648" t="s">
        <v>7</v>
      </c>
      <c r="E2648" s="2" t="s">
        <v>12</v>
      </c>
      <c r="F2648">
        <f t="shared" si="41"/>
        <v>1.618128</v>
      </c>
      <c r="G2648" t="s">
        <v>16</v>
      </c>
      <c r="H2648" t="s">
        <v>10</v>
      </c>
      <c r="J2648" t="str">
        <f>"12/24/2019 00:39"</f>
        <v>12/24/2019 00:39</v>
      </c>
    </row>
    <row r="2649" spans="1:10" x14ac:dyDescent="0.3">
      <c r="A2649" t="s">
        <v>6</v>
      </c>
      <c r="B2649" t="str">
        <f>"12/24/2019 00:00"</f>
        <v>12/24/2019 00:00</v>
      </c>
      <c r="C2649">
        <v>0.81599999999999995</v>
      </c>
      <c r="D2649" t="s">
        <v>7</v>
      </c>
      <c r="E2649" s="2" t="s">
        <v>12</v>
      </c>
      <c r="F2649">
        <f t="shared" si="41"/>
        <v>1.618128</v>
      </c>
      <c r="G2649" t="s">
        <v>16</v>
      </c>
      <c r="H2649" t="s">
        <v>10</v>
      </c>
      <c r="J2649" t="str">
        <f>"12/25/2019 00:39"</f>
        <v>12/25/2019 00:39</v>
      </c>
    </row>
    <row r="2650" spans="1:10" x14ac:dyDescent="0.3">
      <c r="A2650" t="s">
        <v>6</v>
      </c>
      <c r="B2650" t="str">
        <f>"12/25/2019 00:00"</f>
        <v>12/25/2019 00:00</v>
      </c>
      <c r="C2650">
        <v>0.81599999999999995</v>
      </c>
      <c r="D2650" t="s">
        <v>7</v>
      </c>
      <c r="E2650" s="2" t="s">
        <v>12</v>
      </c>
      <c r="F2650">
        <f t="shared" si="41"/>
        <v>1.618128</v>
      </c>
      <c r="G2650" t="s">
        <v>16</v>
      </c>
      <c r="H2650" t="s">
        <v>10</v>
      </c>
      <c r="J2650" t="str">
        <f>"12/26/2019 00:39"</f>
        <v>12/26/2019 00:39</v>
      </c>
    </row>
    <row r="2651" spans="1:10" x14ac:dyDescent="0.3">
      <c r="A2651" t="s">
        <v>6</v>
      </c>
      <c r="B2651" t="str">
        <f>"12/26/2019 00:00"</f>
        <v>12/26/2019 00:00</v>
      </c>
      <c r="C2651">
        <v>0.81599999999999995</v>
      </c>
      <c r="D2651" t="s">
        <v>7</v>
      </c>
      <c r="E2651" s="2" t="s">
        <v>12</v>
      </c>
      <c r="F2651">
        <f t="shared" si="41"/>
        <v>1.618128</v>
      </c>
      <c r="G2651" t="s">
        <v>16</v>
      </c>
      <c r="H2651" t="s">
        <v>10</v>
      </c>
      <c r="J2651" t="str">
        <f>"12/27/2019 00:39"</f>
        <v>12/27/2019 00:39</v>
      </c>
    </row>
    <row r="2652" spans="1:10" x14ac:dyDescent="0.3">
      <c r="A2652" t="s">
        <v>6</v>
      </c>
      <c r="B2652" t="str">
        <f>"12/27/2019 00:00"</f>
        <v>12/27/2019 00:00</v>
      </c>
      <c r="C2652">
        <v>0.81599999999999995</v>
      </c>
      <c r="D2652" t="s">
        <v>7</v>
      </c>
      <c r="E2652" s="2" t="s">
        <v>12</v>
      </c>
      <c r="F2652">
        <f t="shared" si="41"/>
        <v>1.618128</v>
      </c>
      <c r="G2652" t="s">
        <v>16</v>
      </c>
      <c r="H2652" t="s">
        <v>10</v>
      </c>
      <c r="J2652" t="str">
        <f>"12/28/2019 00:39"</f>
        <v>12/28/2019 00:39</v>
      </c>
    </row>
    <row r="2653" spans="1:10" x14ac:dyDescent="0.3">
      <c r="A2653" t="s">
        <v>6</v>
      </c>
      <c r="B2653" t="str">
        <f>"12/28/2019 00:00"</f>
        <v>12/28/2019 00:00</v>
      </c>
      <c r="C2653">
        <v>0.81599999999999995</v>
      </c>
      <c r="D2653" t="s">
        <v>7</v>
      </c>
      <c r="E2653" s="2" t="s">
        <v>12</v>
      </c>
      <c r="F2653">
        <f t="shared" si="41"/>
        <v>1.618128</v>
      </c>
      <c r="G2653" t="s">
        <v>16</v>
      </c>
      <c r="H2653" t="s">
        <v>10</v>
      </c>
      <c r="J2653" t="str">
        <f>"12/29/2019 00:39"</f>
        <v>12/29/2019 00:39</v>
      </c>
    </row>
    <row r="2654" spans="1:10" x14ac:dyDescent="0.3">
      <c r="A2654" t="s">
        <v>6</v>
      </c>
      <c r="B2654" t="str">
        <f>"12/29/2019 00:00"</f>
        <v>12/29/2019 00:00</v>
      </c>
      <c r="C2654">
        <v>0.67700000000000005</v>
      </c>
      <c r="D2654" t="s">
        <v>7</v>
      </c>
      <c r="E2654" s="2" t="s">
        <v>12</v>
      </c>
      <c r="F2654">
        <f t="shared" si="41"/>
        <v>1.3424910000000001</v>
      </c>
      <c r="G2654" t="s">
        <v>16</v>
      </c>
      <c r="H2654" t="s">
        <v>10</v>
      </c>
      <c r="J2654" t="str">
        <f>"12/30/2019 00:39"</f>
        <v>12/30/2019 00:39</v>
      </c>
    </row>
    <row r="2655" spans="1:10" x14ac:dyDescent="0.3">
      <c r="A2655" t="s">
        <v>6</v>
      </c>
      <c r="B2655" t="str">
        <f>"12/30/2019 00:00"</f>
        <v>12/30/2019 00:00</v>
      </c>
      <c r="C2655">
        <v>0.63</v>
      </c>
      <c r="D2655" t="s">
        <v>7</v>
      </c>
      <c r="E2655" s="2" t="s">
        <v>12</v>
      </c>
      <c r="F2655">
        <f t="shared" si="41"/>
        <v>1.24929</v>
      </c>
      <c r="G2655" t="s">
        <v>16</v>
      </c>
      <c r="H2655" t="s">
        <v>10</v>
      </c>
      <c r="J2655" t="str">
        <f>"12/31/2019 00:39"</f>
        <v>12/31/2019 00:39</v>
      </c>
    </row>
    <row r="2656" spans="1:10" x14ac:dyDescent="0.3">
      <c r="A2656" t="s">
        <v>6</v>
      </c>
      <c r="B2656" t="str">
        <f>"12/31/2019 00:00"</f>
        <v>12/31/2019 00:00</v>
      </c>
      <c r="C2656">
        <v>0.63</v>
      </c>
      <c r="D2656" t="s">
        <v>7</v>
      </c>
      <c r="E2656" s="2" t="s">
        <v>12</v>
      </c>
      <c r="F2656">
        <f t="shared" si="41"/>
        <v>1.24929</v>
      </c>
      <c r="G2656" t="s">
        <v>16</v>
      </c>
      <c r="H2656" t="s">
        <v>10</v>
      </c>
      <c r="J2656" t="str">
        <f>"01/01/2020 00:39"</f>
        <v>01/01/2020 00:39</v>
      </c>
    </row>
    <row r="2657" spans="1:10" x14ac:dyDescent="0.3">
      <c r="A2657" t="s">
        <v>6</v>
      </c>
      <c r="B2657" t="str">
        <f>"01/01/2020 00:00"</f>
        <v>01/01/2020 00:00</v>
      </c>
      <c r="C2657">
        <v>0.63</v>
      </c>
      <c r="D2657" t="s">
        <v>7</v>
      </c>
      <c r="E2657" s="2" t="s">
        <v>12</v>
      </c>
      <c r="F2657">
        <f t="shared" si="41"/>
        <v>1.24929</v>
      </c>
      <c r="G2657" t="s">
        <v>16</v>
      </c>
      <c r="H2657" t="s">
        <v>10</v>
      </c>
      <c r="J2657" t="str">
        <f>"01/02/2020 00:39"</f>
        <v>01/02/2020 00:39</v>
      </c>
    </row>
    <row r="2658" spans="1:10" x14ac:dyDescent="0.3">
      <c r="A2658" t="s">
        <v>6</v>
      </c>
      <c r="B2658" t="str">
        <f>"01/02/2020 00:00"</f>
        <v>01/02/2020 00:00</v>
      </c>
      <c r="C2658">
        <v>0.63</v>
      </c>
      <c r="D2658" t="s">
        <v>7</v>
      </c>
      <c r="E2658" s="2" t="s">
        <v>12</v>
      </c>
      <c r="F2658">
        <f t="shared" si="41"/>
        <v>1.24929</v>
      </c>
      <c r="G2658" t="s">
        <v>16</v>
      </c>
      <c r="H2658" t="s">
        <v>10</v>
      </c>
      <c r="J2658" t="str">
        <f>"01/03/2020 00:39"</f>
        <v>01/03/2020 00:39</v>
      </c>
    </row>
    <row r="2659" spans="1:10" x14ac:dyDescent="0.3">
      <c r="A2659" t="s">
        <v>6</v>
      </c>
      <c r="B2659" t="str">
        <f>"01/03/2020 00:00"</f>
        <v>01/03/2020 00:00</v>
      </c>
      <c r="C2659">
        <v>0.63</v>
      </c>
      <c r="D2659" t="s">
        <v>7</v>
      </c>
      <c r="E2659" s="2" t="s">
        <v>12</v>
      </c>
      <c r="F2659">
        <f t="shared" si="41"/>
        <v>1.24929</v>
      </c>
      <c r="G2659" t="s">
        <v>16</v>
      </c>
      <c r="H2659" t="s">
        <v>10</v>
      </c>
      <c r="J2659" t="str">
        <f>"01/04/2020 00:39"</f>
        <v>01/04/2020 00:39</v>
      </c>
    </row>
    <row r="2660" spans="1:10" x14ac:dyDescent="0.3">
      <c r="A2660" t="s">
        <v>6</v>
      </c>
      <c r="B2660" t="str">
        <f>"01/04/2020 00:00"</f>
        <v>01/04/2020 00:00</v>
      </c>
      <c r="C2660">
        <v>0.63</v>
      </c>
      <c r="D2660" t="s">
        <v>7</v>
      </c>
      <c r="E2660" s="2" t="s">
        <v>12</v>
      </c>
      <c r="F2660">
        <f t="shared" si="41"/>
        <v>1.24929</v>
      </c>
      <c r="G2660" t="s">
        <v>16</v>
      </c>
      <c r="H2660" t="s">
        <v>10</v>
      </c>
      <c r="J2660" t="str">
        <f>"01/05/2020 00:39"</f>
        <v>01/05/2020 00:39</v>
      </c>
    </row>
    <row r="2661" spans="1:10" x14ac:dyDescent="0.3">
      <c r="A2661" t="s">
        <v>6</v>
      </c>
      <c r="B2661" t="str">
        <f>"01/05/2020 00:00"</f>
        <v>01/05/2020 00:00</v>
      </c>
      <c r="C2661">
        <v>0.63</v>
      </c>
      <c r="D2661" t="s">
        <v>7</v>
      </c>
      <c r="E2661" s="2" t="s">
        <v>12</v>
      </c>
      <c r="F2661">
        <f t="shared" si="41"/>
        <v>1.24929</v>
      </c>
      <c r="G2661" t="s">
        <v>16</v>
      </c>
      <c r="H2661" t="s">
        <v>10</v>
      </c>
      <c r="J2661" t="str">
        <f>"01/06/2020 00:39"</f>
        <v>01/06/2020 00:39</v>
      </c>
    </row>
    <row r="2662" spans="1:10" x14ac:dyDescent="0.3">
      <c r="A2662" t="s">
        <v>6</v>
      </c>
      <c r="B2662" t="str">
        <f>"01/06/2020 00:00"</f>
        <v>01/06/2020 00:00</v>
      </c>
      <c r="C2662">
        <v>0.63</v>
      </c>
      <c r="D2662" t="s">
        <v>7</v>
      </c>
      <c r="E2662" s="2" t="s">
        <v>12</v>
      </c>
      <c r="F2662">
        <f t="shared" si="41"/>
        <v>1.24929</v>
      </c>
      <c r="G2662" t="s">
        <v>16</v>
      </c>
      <c r="H2662" t="s">
        <v>10</v>
      </c>
      <c r="J2662" t="str">
        <f>"01/07/2020 00:39"</f>
        <v>01/07/2020 00:39</v>
      </c>
    </row>
    <row r="2663" spans="1:10" x14ac:dyDescent="0.3">
      <c r="A2663" t="s">
        <v>6</v>
      </c>
      <c r="B2663" t="str">
        <f>"01/07/2020 00:00"</f>
        <v>01/07/2020 00:00</v>
      </c>
      <c r="C2663">
        <v>0.63</v>
      </c>
      <c r="D2663" t="s">
        <v>7</v>
      </c>
      <c r="E2663" s="2" t="s">
        <v>12</v>
      </c>
      <c r="F2663">
        <f t="shared" si="41"/>
        <v>1.24929</v>
      </c>
      <c r="G2663" t="s">
        <v>16</v>
      </c>
      <c r="H2663" t="s">
        <v>10</v>
      </c>
      <c r="J2663" t="str">
        <f>"01/10/2020 13:51"</f>
        <v>01/10/2020 13:51</v>
      </c>
    </row>
    <row r="2664" spans="1:10" x14ac:dyDescent="0.3">
      <c r="A2664" t="s">
        <v>6</v>
      </c>
      <c r="B2664" t="str">
        <f>"01/08/2020 00:00"</f>
        <v>01/08/2020 00:00</v>
      </c>
      <c r="C2664">
        <v>0.63</v>
      </c>
      <c r="D2664" t="s">
        <v>7</v>
      </c>
      <c r="E2664" s="2" t="s">
        <v>12</v>
      </c>
      <c r="F2664">
        <f t="shared" si="41"/>
        <v>1.24929</v>
      </c>
      <c r="G2664" t="s">
        <v>16</v>
      </c>
      <c r="H2664" t="s">
        <v>10</v>
      </c>
      <c r="J2664" t="str">
        <f>"01/09/2020 00:39"</f>
        <v>01/09/2020 00:39</v>
      </c>
    </row>
    <row r="2665" spans="1:10" x14ac:dyDescent="0.3">
      <c r="A2665" t="s">
        <v>6</v>
      </c>
      <c r="B2665" t="str">
        <f>"01/09/2020 00:00"</f>
        <v>01/09/2020 00:00</v>
      </c>
      <c r="C2665">
        <v>0.63</v>
      </c>
      <c r="D2665" t="s">
        <v>7</v>
      </c>
      <c r="E2665" s="2" t="s">
        <v>12</v>
      </c>
      <c r="F2665">
        <f t="shared" si="41"/>
        <v>1.24929</v>
      </c>
      <c r="G2665" t="s">
        <v>16</v>
      </c>
      <c r="H2665" t="s">
        <v>10</v>
      </c>
      <c r="J2665" t="str">
        <f>"01/10/2020 00:39"</f>
        <v>01/10/2020 00:39</v>
      </c>
    </row>
    <row r="2666" spans="1:10" x14ac:dyDescent="0.3">
      <c r="A2666" t="s">
        <v>6</v>
      </c>
      <c r="B2666" t="str">
        <f>"01/10/2020 00:00"</f>
        <v>01/10/2020 00:00</v>
      </c>
      <c r="C2666">
        <v>0.63</v>
      </c>
      <c r="D2666" t="s">
        <v>7</v>
      </c>
      <c r="E2666" s="2" t="s">
        <v>12</v>
      </c>
      <c r="F2666">
        <f t="shared" si="41"/>
        <v>1.24929</v>
      </c>
      <c r="G2666" t="s">
        <v>16</v>
      </c>
      <c r="H2666" t="s">
        <v>10</v>
      </c>
      <c r="J2666" t="str">
        <f>"01/11/2020 00:39"</f>
        <v>01/11/2020 00:39</v>
      </c>
    </row>
    <row r="2667" spans="1:10" x14ac:dyDescent="0.3">
      <c r="A2667" t="s">
        <v>6</v>
      </c>
      <c r="B2667" t="str">
        <f>"01/11/2020 00:00"</f>
        <v>01/11/2020 00:00</v>
      </c>
      <c r="C2667">
        <v>0.63</v>
      </c>
      <c r="D2667" t="s">
        <v>7</v>
      </c>
      <c r="E2667" s="2" t="s">
        <v>12</v>
      </c>
      <c r="F2667">
        <f t="shared" si="41"/>
        <v>1.24929</v>
      </c>
      <c r="G2667" t="s">
        <v>16</v>
      </c>
      <c r="H2667" t="s">
        <v>10</v>
      </c>
      <c r="J2667" t="str">
        <f>"01/12/2020 00:39"</f>
        <v>01/12/2020 00:39</v>
      </c>
    </row>
    <row r="2668" spans="1:10" x14ac:dyDescent="0.3">
      <c r="A2668" t="s">
        <v>6</v>
      </c>
      <c r="B2668" t="str">
        <f>"01/12/2020 00:00"</f>
        <v>01/12/2020 00:00</v>
      </c>
      <c r="C2668">
        <v>0.63</v>
      </c>
      <c r="D2668" t="s">
        <v>7</v>
      </c>
      <c r="E2668" s="2" t="s">
        <v>12</v>
      </c>
      <c r="F2668">
        <f t="shared" si="41"/>
        <v>1.24929</v>
      </c>
      <c r="G2668" t="s">
        <v>16</v>
      </c>
      <c r="H2668" t="s">
        <v>10</v>
      </c>
      <c r="J2668" t="str">
        <f>"01/13/2020 00:39"</f>
        <v>01/13/2020 00:39</v>
      </c>
    </row>
    <row r="2669" spans="1:10" x14ac:dyDescent="0.3">
      <c r="A2669" t="s">
        <v>6</v>
      </c>
      <c r="B2669" t="str">
        <f>"01/13/2020 00:00"</f>
        <v>01/13/2020 00:00</v>
      </c>
      <c r="C2669">
        <v>0.63</v>
      </c>
      <c r="D2669" t="s">
        <v>7</v>
      </c>
      <c r="E2669" s="2" t="s">
        <v>12</v>
      </c>
      <c r="F2669">
        <f t="shared" si="41"/>
        <v>1.24929</v>
      </c>
      <c r="G2669" t="s">
        <v>16</v>
      </c>
      <c r="H2669" t="s">
        <v>10</v>
      </c>
      <c r="J2669" t="str">
        <f>"01/14/2020 00:39"</f>
        <v>01/14/2020 00:39</v>
      </c>
    </row>
    <row r="2670" spans="1:10" x14ac:dyDescent="0.3">
      <c r="A2670" t="s">
        <v>6</v>
      </c>
      <c r="B2670" t="str">
        <f>"01/14/2020 00:00"</f>
        <v>01/14/2020 00:00</v>
      </c>
      <c r="C2670">
        <v>0.63</v>
      </c>
      <c r="D2670" t="s">
        <v>7</v>
      </c>
      <c r="E2670" s="2" t="s">
        <v>12</v>
      </c>
      <c r="F2670">
        <f t="shared" si="41"/>
        <v>1.24929</v>
      </c>
      <c r="G2670" t="s">
        <v>16</v>
      </c>
      <c r="H2670" t="s">
        <v>10</v>
      </c>
      <c r="J2670" t="str">
        <f>"01/15/2020 00:39"</f>
        <v>01/15/2020 00:39</v>
      </c>
    </row>
    <row r="2671" spans="1:10" x14ac:dyDescent="0.3">
      <c r="A2671" t="s">
        <v>6</v>
      </c>
      <c r="B2671" t="str">
        <f>"01/15/2020 00:00"</f>
        <v>01/15/2020 00:00</v>
      </c>
      <c r="C2671">
        <v>0.63</v>
      </c>
      <c r="D2671" t="s">
        <v>7</v>
      </c>
      <c r="E2671" s="2" t="s">
        <v>12</v>
      </c>
      <c r="F2671">
        <f t="shared" si="41"/>
        <v>1.24929</v>
      </c>
      <c r="G2671" t="s">
        <v>16</v>
      </c>
      <c r="H2671" t="s">
        <v>10</v>
      </c>
      <c r="J2671" t="str">
        <f>"01/16/2020 00:39"</f>
        <v>01/16/2020 00:39</v>
      </c>
    </row>
    <row r="2672" spans="1:10" x14ac:dyDescent="0.3">
      <c r="A2672" t="s">
        <v>6</v>
      </c>
      <c r="B2672" t="str">
        <f>"01/16/2020 00:00"</f>
        <v>01/16/2020 00:00</v>
      </c>
      <c r="C2672">
        <v>0.63</v>
      </c>
      <c r="D2672" t="s">
        <v>7</v>
      </c>
      <c r="E2672" s="2" t="s">
        <v>12</v>
      </c>
      <c r="F2672">
        <f t="shared" si="41"/>
        <v>1.24929</v>
      </c>
      <c r="G2672" t="s">
        <v>16</v>
      </c>
      <c r="H2672" t="s">
        <v>10</v>
      </c>
      <c r="J2672" t="str">
        <f>"01/17/2020 00:39"</f>
        <v>01/17/2020 00:39</v>
      </c>
    </row>
    <row r="2673" spans="1:10" x14ac:dyDescent="0.3">
      <c r="A2673" t="s">
        <v>6</v>
      </c>
      <c r="B2673" t="str">
        <f>"01/17/2020 00:00"</f>
        <v>01/17/2020 00:00</v>
      </c>
      <c r="C2673">
        <v>0.63</v>
      </c>
      <c r="D2673" t="s">
        <v>7</v>
      </c>
      <c r="E2673" s="2" t="s">
        <v>12</v>
      </c>
      <c r="F2673">
        <f t="shared" si="41"/>
        <v>1.24929</v>
      </c>
      <c r="G2673" t="s">
        <v>16</v>
      </c>
      <c r="H2673" t="s">
        <v>10</v>
      </c>
      <c r="J2673" t="str">
        <f>"01/18/2020 00:39"</f>
        <v>01/18/2020 00:39</v>
      </c>
    </row>
    <row r="2674" spans="1:10" x14ac:dyDescent="0.3">
      <c r="A2674" t="s">
        <v>6</v>
      </c>
      <c r="B2674" t="str">
        <f>"01/18/2020 00:00"</f>
        <v>01/18/2020 00:00</v>
      </c>
      <c r="C2674">
        <v>0.63</v>
      </c>
      <c r="D2674" t="s">
        <v>7</v>
      </c>
      <c r="E2674" s="2" t="s">
        <v>12</v>
      </c>
      <c r="F2674">
        <f t="shared" si="41"/>
        <v>1.24929</v>
      </c>
      <c r="G2674" t="s">
        <v>16</v>
      </c>
      <c r="H2674" t="s">
        <v>10</v>
      </c>
      <c r="J2674" t="str">
        <f>"01/19/2020 00:39"</f>
        <v>01/19/2020 00:39</v>
      </c>
    </row>
    <row r="2675" spans="1:10" x14ac:dyDescent="0.3">
      <c r="A2675" t="s">
        <v>6</v>
      </c>
      <c r="B2675" t="str">
        <f>"01/19/2020 00:00"</f>
        <v>01/19/2020 00:00</v>
      </c>
      <c r="C2675">
        <v>0.55400000000000005</v>
      </c>
      <c r="D2675" t="s">
        <v>7</v>
      </c>
      <c r="E2675" s="2" t="s">
        <v>12</v>
      </c>
      <c r="F2675">
        <f t="shared" si="41"/>
        <v>1.0985820000000002</v>
      </c>
      <c r="G2675" t="s">
        <v>16</v>
      </c>
      <c r="H2675" t="s">
        <v>10</v>
      </c>
      <c r="J2675" t="str">
        <f>"01/20/2020 00:39"</f>
        <v>01/20/2020 00:39</v>
      </c>
    </row>
    <row r="2676" spans="1:10" x14ac:dyDescent="0.3">
      <c r="A2676" t="s">
        <v>6</v>
      </c>
      <c r="B2676" t="str">
        <f>"01/20/2020 00:00"</f>
        <v>01/20/2020 00:00</v>
      </c>
      <c r="C2676">
        <v>0.46400000000000002</v>
      </c>
      <c r="D2676" t="s">
        <v>7</v>
      </c>
      <c r="E2676" s="2" t="s">
        <v>12</v>
      </c>
      <c r="F2676">
        <f t="shared" si="41"/>
        <v>0.92011200000000004</v>
      </c>
      <c r="G2676" t="s">
        <v>16</v>
      </c>
      <c r="H2676" t="s">
        <v>10</v>
      </c>
      <c r="J2676" t="str">
        <f>"01/21/2020 00:39"</f>
        <v>01/21/2020 00:39</v>
      </c>
    </row>
    <row r="2677" spans="1:10" x14ac:dyDescent="0.3">
      <c r="A2677" t="s">
        <v>6</v>
      </c>
      <c r="B2677" t="str">
        <f>"01/21/2020 00:00"</f>
        <v>01/21/2020 00:00</v>
      </c>
      <c r="C2677">
        <v>0.48499999999999999</v>
      </c>
      <c r="D2677" t="s">
        <v>7</v>
      </c>
      <c r="E2677" s="2" t="s">
        <v>12</v>
      </c>
      <c r="F2677">
        <f t="shared" si="41"/>
        <v>0.96175500000000003</v>
      </c>
      <c r="G2677" t="s">
        <v>16</v>
      </c>
      <c r="H2677" t="s">
        <v>10</v>
      </c>
      <c r="J2677" t="str">
        <f>"01/22/2020 00:39"</f>
        <v>01/22/2020 00:39</v>
      </c>
    </row>
    <row r="2678" spans="1:10" x14ac:dyDescent="0.3">
      <c r="A2678" t="s">
        <v>6</v>
      </c>
      <c r="B2678" t="str">
        <f>"01/22/2020 00:00"</f>
        <v>01/22/2020 00:00</v>
      </c>
      <c r="C2678">
        <v>0.63</v>
      </c>
      <c r="D2678" t="s">
        <v>7</v>
      </c>
      <c r="E2678" s="2" t="s">
        <v>12</v>
      </c>
      <c r="F2678">
        <f t="shared" si="41"/>
        <v>1.24929</v>
      </c>
      <c r="G2678" t="s">
        <v>16</v>
      </c>
      <c r="H2678" t="s">
        <v>10</v>
      </c>
      <c r="J2678" t="str">
        <f>"01/23/2020 00:39"</f>
        <v>01/23/2020 00:39</v>
      </c>
    </row>
    <row r="2679" spans="1:10" x14ac:dyDescent="0.3">
      <c r="A2679" t="s">
        <v>6</v>
      </c>
      <c r="B2679" t="str">
        <f>"01/23/2020 00:00"</f>
        <v>01/23/2020 00:00</v>
      </c>
      <c r="C2679">
        <v>0.63</v>
      </c>
      <c r="D2679" t="s">
        <v>7</v>
      </c>
      <c r="E2679" s="2" t="s">
        <v>12</v>
      </c>
      <c r="F2679">
        <f t="shared" si="41"/>
        <v>1.24929</v>
      </c>
      <c r="G2679" t="s">
        <v>16</v>
      </c>
      <c r="H2679" t="s">
        <v>10</v>
      </c>
      <c r="J2679" t="str">
        <f>"01/24/2020 00:39"</f>
        <v>01/24/2020 00:39</v>
      </c>
    </row>
    <row r="2680" spans="1:10" x14ac:dyDescent="0.3">
      <c r="A2680" t="s">
        <v>6</v>
      </c>
      <c r="B2680" t="str">
        <f>"01/24/2020 00:00"</f>
        <v>01/24/2020 00:00</v>
      </c>
      <c r="C2680">
        <v>0.63</v>
      </c>
      <c r="D2680" t="s">
        <v>7</v>
      </c>
      <c r="E2680" s="2" t="s">
        <v>12</v>
      </c>
      <c r="F2680">
        <f t="shared" si="41"/>
        <v>1.24929</v>
      </c>
      <c r="G2680" t="s">
        <v>16</v>
      </c>
      <c r="H2680" t="s">
        <v>10</v>
      </c>
      <c r="J2680" t="str">
        <f>"01/25/2020 00:39"</f>
        <v>01/25/2020 00:39</v>
      </c>
    </row>
    <row r="2681" spans="1:10" x14ac:dyDescent="0.3">
      <c r="A2681" t="s">
        <v>6</v>
      </c>
      <c r="B2681" t="str">
        <f>"01/25/2020 00:00"</f>
        <v>01/25/2020 00:00</v>
      </c>
      <c r="C2681">
        <v>0.63</v>
      </c>
      <c r="D2681" t="s">
        <v>7</v>
      </c>
      <c r="E2681" s="2" t="s">
        <v>12</v>
      </c>
      <c r="F2681">
        <f t="shared" si="41"/>
        <v>1.24929</v>
      </c>
      <c r="G2681" t="s">
        <v>16</v>
      </c>
      <c r="H2681" t="s">
        <v>10</v>
      </c>
      <c r="J2681" t="str">
        <f>"01/26/2020 00:39"</f>
        <v>01/26/2020 00:39</v>
      </c>
    </row>
    <row r="2682" spans="1:10" x14ac:dyDescent="0.3">
      <c r="A2682" t="s">
        <v>6</v>
      </c>
      <c r="B2682" t="str">
        <f>"01/26/2020 00:00"</f>
        <v>01/26/2020 00:00</v>
      </c>
      <c r="C2682">
        <v>0.63</v>
      </c>
      <c r="D2682" t="s">
        <v>7</v>
      </c>
      <c r="E2682" s="2" t="s">
        <v>12</v>
      </c>
      <c r="F2682">
        <f t="shared" si="41"/>
        <v>1.24929</v>
      </c>
      <c r="G2682" t="s">
        <v>16</v>
      </c>
      <c r="H2682" t="s">
        <v>10</v>
      </c>
      <c r="J2682" t="str">
        <f>"01/27/2020 00:39"</f>
        <v>01/27/2020 00:39</v>
      </c>
    </row>
    <row r="2683" spans="1:10" x14ac:dyDescent="0.3">
      <c r="A2683" t="s">
        <v>6</v>
      </c>
      <c r="B2683" t="str">
        <f>"01/27/2020 00:00"</f>
        <v>01/27/2020 00:00</v>
      </c>
      <c r="C2683">
        <v>0.63</v>
      </c>
      <c r="D2683" t="s">
        <v>7</v>
      </c>
      <c r="E2683" s="2" t="s">
        <v>12</v>
      </c>
      <c r="F2683">
        <f t="shared" si="41"/>
        <v>1.24929</v>
      </c>
      <c r="G2683" t="s">
        <v>16</v>
      </c>
      <c r="H2683" t="s">
        <v>10</v>
      </c>
      <c r="J2683" t="str">
        <f>"01/28/2020 00:40"</f>
        <v>01/28/2020 00:40</v>
      </c>
    </row>
    <row r="2684" spans="1:10" x14ac:dyDescent="0.3">
      <c r="A2684" t="s">
        <v>6</v>
      </c>
      <c r="B2684" t="str">
        <f>"01/28/2020 00:00"</f>
        <v>01/28/2020 00:00</v>
      </c>
      <c r="C2684">
        <v>0.63</v>
      </c>
      <c r="D2684" t="s">
        <v>7</v>
      </c>
      <c r="E2684" s="2" t="s">
        <v>12</v>
      </c>
      <c r="F2684">
        <f t="shared" si="41"/>
        <v>1.24929</v>
      </c>
      <c r="G2684" t="s">
        <v>16</v>
      </c>
      <c r="H2684" t="s">
        <v>10</v>
      </c>
      <c r="J2684" t="str">
        <f>"01/29/2020 00:40"</f>
        <v>01/29/2020 00:40</v>
      </c>
    </row>
    <row r="2685" spans="1:10" x14ac:dyDescent="0.3">
      <c r="A2685" t="s">
        <v>6</v>
      </c>
      <c r="B2685" t="str">
        <f>"01/29/2020 00:00"</f>
        <v>01/29/2020 00:00</v>
      </c>
      <c r="C2685">
        <v>0.63</v>
      </c>
      <c r="D2685" t="s">
        <v>7</v>
      </c>
      <c r="E2685" s="2" t="s">
        <v>12</v>
      </c>
      <c r="F2685">
        <f t="shared" si="41"/>
        <v>1.24929</v>
      </c>
      <c r="G2685" t="s">
        <v>16</v>
      </c>
      <c r="H2685" t="s">
        <v>10</v>
      </c>
      <c r="J2685" t="str">
        <f>"01/30/2020 00:40"</f>
        <v>01/30/2020 00:40</v>
      </c>
    </row>
    <row r="2686" spans="1:10" x14ac:dyDescent="0.3">
      <c r="A2686" t="s">
        <v>6</v>
      </c>
      <c r="B2686" t="str">
        <f>"01/30/2020 00:00"</f>
        <v>01/30/2020 00:00</v>
      </c>
      <c r="C2686">
        <v>0.63</v>
      </c>
      <c r="D2686" t="s">
        <v>7</v>
      </c>
      <c r="E2686" s="2" t="s">
        <v>12</v>
      </c>
      <c r="F2686">
        <f t="shared" si="41"/>
        <v>1.24929</v>
      </c>
      <c r="G2686" t="s">
        <v>16</v>
      </c>
      <c r="H2686" t="s">
        <v>10</v>
      </c>
      <c r="J2686" t="str">
        <f>"01/31/2020 00:40"</f>
        <v>01/31/2020 00:40</v>
      </c>
    </row>
    <row r="2687" spans="1:10" x14ac:dyDescent="0.3">
      <c r="A2687" t="s">
        <v>6</v>
      </c>
      <c r="B2687" t="str">
        <f>"01/31/2020 00:00"</f>
        <v>01/31/2020 00:00</v>
      </c>
      <c r="C2687">
        <v>0.63</v>
      </c>
      <c r="D2687" t="s">
        <v>7</v>
      </c>
      <c r="E2687" s="2" t="s">
        <v>12</v>
      </c>
      <c r="F2687">
        <f t="shared" si="41"/>
        <v>1.24929</v>
      </c>
      <c r="G2687" t="s">
        <v>16</v>
      </c>
      <c r="H2687" t="s">
        <v>10</v>
      </c>
      <c r="J2687" t="str">
        <f>"02/01/2020 00:39"</f>
        <v>02/01/2020 00:39</v>
      </c>
    </row>
    <row r="2688" spans="1:10" x14ac:dyDescent="0.3">
      <c r="A2688" t="s">
        <v>6</v>
      </c>
      <c r="B2688" t="str">
        <f>"02/01/2020 00:00"</f>
        <v>02/01/2020 00:00</v>
      </c>
      <c r="C2688">
        <v>0.63</v>
      </c>
      <c r="D2688" t="s">
        <v>7</v>
      </c>
      <c r="E2688" s="2" t="s">
        <v>12</v>
      </c>
      <c r="F2688">
        <f t="shared" si="41"/>
        <v>1.24929</v>
      </c>
      <c r="G2688" t="s">
        <v>16</v>
      </c>
      <c r="H2688" t="s">
        <v>10</v>
      </c>
      <c r="J2688" t="str">
        <f>"02/02/2020 00:39"</f>
        <v>02/02/2020 00:39</v>
      </c>
    </row>
    <row r="2689" spans="1:10" x14ac:dyDescent="0.3">
      <c r="A2689" t="s">
        <v>6</v>
      </c>
      <c r="B2689" t="str">
        <f>"02/02/2020 00:00"</f>
        <v>02/02/2020 00:00</v>
      </c>
      <c r="C2689">
        <v>0.63</v>
      </c>
      <c r="D2689" t="s">
        <v>7</v>
      </c>
      <c r="E2689" s="2" t="s">
        <v>12</v>
      </c>
      <c r="F2689">
        <f t="shared" si="41"/>
        <v>1.24929</v>
      </c>
      <c r="G2689" t="s">
        <v>16</v>
      </c>
      <c r="H2689" t="s">
        <v>10</v>
      </c>
      <c r="J2689" t="str">
        <f>"02/03/2020 00:39"</f>
        <v>02/03/2020 00:39</v>
      </c>
    </row>
    <row r="2690" spans="1:10" x14ac:dyDescent="0.3">
      <c r="A2690" t="s">
        <v>6</v>
      </c>
      <c r="B2690" t="str">
        <f>"02/03/2020 00:00"</f>
        <v>02/03/2020 00:00</v>
      </c>
      <c r="C2690">
        <v>0.63</v>
      </c>
      <c r="D2690" t="s">
        <v>7</v>
      </c>
      <c r="E2690" s="2" t="s">
        <v>12</v>
      </c>
      <c r="F2690">
        <f t="shared" si="41"/>
        <v>1.24929</v>
      </c>
      <c r="G2690" t="s">
        <v>16</v>
      </c>
      <c r="H2690" t="s">
        <v>10</v>
      </c>
      <c r="J2690" t="str">
        <f>"02/04/2020 00:39"</f>
        <v>02/04/2020 00:39</v>
      </c>
    </row>
    <row r="2691" spans="1:10" x14ac:dyDescent="0.3">
      <c r="A2691" t="s">
        <v>6</v>
      </c>
      <c r="B2691" t="str">
        <f>"02/04/2020 00:00"</f>
        <v>02/04/2020 00:00</v>
      </c>
      <c r="C2691">
        <v>0.47399999999999998</v>
      </c>
      <c r="D2691" t="s">
        <v>7</v>
      </c>
      <c r="E2691" s="2" t="s">
        <v>12</v>
      </c>
      <c r="F2691">
        <f t="shared" si="41"/>
        <v>0.93994199999999994</v>
      </c>
      <c r="G2691" t="s">
        <v>16</v>
      </c>
      <c r="H2691" t="s">
        <v>10</v>
      </c>
      <c r="J2691" t="str">
        <f>"02/05/2020 00:39"</f>
        <v>02/05/2020 00:39</v>
      </c>
    </row>
    <row r="2692" spans="1:10" x14ac:dyDescent="0.3">
      <c r="A2692" t="s">
        <v>6</v>
      </c>
      <c r="B2692" t="str">
        <f>"02/05/2020 00:00"</f>
        <v>02/05/2020 00:00</v>
      </c>
      <c r="C2692">
        <v>0.46400000000000002</v>
      </c>
      <c r="D2692" t="s">
        <v>7</v>
      </c>
      <c r="E2692" s="2" t="s">
        <v>12</v>
      </c>
      <c r="F2692">
        <f t="shared" si="41"/>
        <v>0.92011200000000004</v>
      </c>
      <c r="G2692" t="s">
        <v>16</v>
      </c>
      <c r="H2692" t="s">
        <v>10</v>
      </c>
      <c r="J2692" t="str">
        <f>"02/06/2020 00:39"</f>
        <v>02/06/2020 00:39</v>
      </c>
    </row>
    <row r="2693" spans="1:10" x14ac:dyDescent="0.3">
      <c r="A2693" t="s">
        <v>6</v>
      </c>
      <c r="B2693" t="str">
        <f>"02/06/2020 00:00"</f>
        <v>02/06/2020 00:00</v>
      </c>
      <c r="C2693">
        <v>0.46400000000000002</v>
      </c>
      <c r="D2693" t="s">
        <v>7</v>
      </c>
      <c r="E2693" s="2" t="s">
        <v>12</v>
      </c>
      <c r="F2693">
        <f t="shared" si="41"/>
        <v>0.92011200000000004</v>
      </c>
      <c r="G2693" t="s">
        <v>16</v>
      </c>
      <c r="H2693" t="s">
        <v>10</v>
      </c>
      <c r="J2693" t="str">
        <f>"02/07/2020 00:39"</f>
        <v>02/07/2020 00:39</v>
      </c>
    </row>
    <row r="2694" spans="1:10" x14ac:dyDescent="0.3">
      <c r="A2694" t="s">
        <v>6</v>
      </c>
      <c r="B2694" t="str">
        <f>"02/07/2020 00:00"</f>
        <v>02/07/2020 00:00</v>
      </c>
      <c r="C2694">
        <v>0.46400000000000002</v>
      </c>
      <c r="D2694" t="s">
        <v>7</v>
      </c>
      <c r="E2694" s="2" t="s">
        <v>12</v>
      </c>
      <c r="F2694">
        <f t="shared" si="41"/>
        <v>0.92011200000000004</v>
      </c>
      <c r="G2694" t="s">
        <v>16</v>
      </c>
      <c r="H2694" t="s">
        <v>10</v>
      </c>
      <c r="J2694" t="str">
        <f>"02/08/2020 00:39"</f>
        <v>02/08/2020 00:39</v>
      </c>
    </row>
    <row r="2695" spans="1:10" x14ac:dyDescent="0.3">
      <c r="A2695" t="s">
        <v>6</v>
      </c>
      <c r="B2695" t="str">
        <f>"02/08/2020 00:00"</f>
        <v>02/08/2020 00:00</v>
      </c>
      <c r="C2695">
        <v>0.46400000000000002</v>
      </c>
      <c r="D2695" t="s">
        <v>7</v>
      </c>
      <c r="E2695" s="2" t="s">
        <v>12</v>
      </c>
      <c r="F2695">
        <f t="shared" si="41"/>
        <v>0.92011200000000004</v>
      </c>
      <c r="G2695" t="s">
        <v>16</v>
      </c>
      <c r="H2695" t="s">
        <v>10</v>
      </c>
      <c r="J2695" t="str">
        <f>"02/09/2020 00:39"</f>
        <v>02/09/2020 00:39</v>
      </c>
    </row>
    <row r="2696" spans="1:10" x14ac:dyDescent="0.3">
      <c r="A2696" t="s">
        <v>6</v>
      </c>
      <c r="B2696" t="str">
        <f>"02/09/2020 00:00"</f>
        <v>02/09/2020 00:00</v>
      </c>
      <c r="C2696">
        <v>0.46400000000000002</v>
      </c>
      <c r="D2696" t="s">
        <v>7</v>
      </c>
      <c r="E2696" s="2" t="s">
        <v>12</v>
      </c>
      <c r="F2696">
        <f t="shared" si="41"/>
        <v>0.92011200000000004</v>
      </c>
      <c r="G2696" t="s">
        <v>16</v>
      </c>
      <c r="H2696" t="s">
        <v>10</v>
      </c>
      <c r="J2696" t="str">
        <f>"02/10/2020 00:39"</f>
        <v>02/10/2020 00:39</v>
      </c>
    </row>
    <row r="2697" spans="1:10" x14ac:dyDescent="0.3">
      <c r="A2697" t="s">
        <v>6</v>
      </c>
      <c r="B2697" t="str">
        <f>"02/10/2020 00:00"</f>
        <v>02/10/2020 00:00</v>
      </c>
      <c r="C2697">
        <v>0.46400000000000002</v>
      </c>
      <c r="D2697" t="s">
        <v>7</v>
      </c>
      <c r="E2697" s="2" t="s">
        <v>12</v>
      </c>
      <c r="F2697">
        <f t="shared" si="41"/>
        <v>0.92011200000000004</v>
      </c>
      <c r="G2697" t="s">
        <v>16</v>
      </c>
      <c r="H2697" t="s">
        <v>10</v>
      </c>
      <c r="J2697" t="str">
        <f>"02/11/2020 00:39"</f>
        <v>02/11/2020 00:39</v>
      </c>
    </row>
    <row r="2698" spans="1:10" x14ac:dyDescent="0.3">
      <c r="A2698" t="s">
        <v>6</v>
      </c>
      <c r="B2698" t="str">
        <f>"02/11/2020 00:00"</f>
        <v>02/11/2020 00:00</v>
      </c>
      <c r="C2698">
        <v>0.46400000000000002</v>
      </c>
      <c r="D2698" t="s">
        <v>7</v>
      </c>
      <c r="E2698" s="2" t="s">
        <v>12</v>
      </c>
      <c r="F2698">
        <f t="shared" ref="F2698:F2761" si="42">C2698*1.983</f>
        <v>0.92011200000000004</v>
      </c>
      <c r="G2698" t="s">
        <v>16</v>
      </c>
      <c r="H2698" t="s">
        <v>10</v>
      </c>
      <c r="J2698" t="str">
        <f>"02/12/2020 00:39"</f>
        <v>02/12/2020 00:39</v>
      </c>
    </row>
    <row r="2699" spans="1:10" x14ac:dyDescent="0.3">
      <c r="A2699" t="s">
        <v>6</v>
      </c>
      <c r="B2699" t="str">
        <f>"02/12/2020 00:00"</f>
        <v>02/12/2020 00:00</v>
      </c>
      <c r="C2699">
        <v>0.46400000000000002</v>
      </c>
      <c r="D2699" t="s">
        <v>7</v>
      </c>
      <c r="E2699" s="2" t="s">
        <v>12</v>
      </c>
      <c r="F2699">
        <f t="shared" si="42"/>
        <v>0.92011200000000004</v>
      </c>
      <c r="G2699" t="s">
        <v>16</v>
      </c>
      <c r="H2699" t="s">
        <v>10</v>
      </c>
      <c r="J2699" t="str">
        <f>"02/13/2020 00:39"</f>
        <v>02/13/2020 00:39</v>
      </c>
    </row>
    <row r="2700" spans="1:10" x14ac:dyDescent="0.3">
      <c r="A2700" t="s">
        <v>6</v>
      </c>
      <c r="B2700" t="str">
        <f>"02/13/2020 00:00"</f>
        <v>02/13/2020 00:00</v>
      </c>
      <c r="C2700">
        <v>0.378</v>
      </c>
      <c r="D2700" t="s">
        <v>7</v>
      </c>
      <c r="E2700" s="2" t="s">
        <v>12</v>
      </c>
      <c r="F2700">
        <f t="shared" si="42"/>
        <v>0.74957400000000007</v>
      </c>
      <c r="G2700" t="s">
        <v>16</v>
      </c>
      <c r="H2700" t="s">
        <v>10</v>
      </c>
      <c r="J2700" t="str">
        <f>"02/14/2020 00:39"</f>
        <v>02/14/2020 00:39</v>
      </c>
    </row>
    <row r="2701" spans="1:10" x14ac:dyDescent="0.3">
      <c r="A2701" t="s">
        <v>6</v>
      </c>
      <c r="B2701" t="str">
        <f>"02/14/2020 00:00"</f>
        <v>02/14/2020 00:00</v>
      </c>
      <c r="C2701">
        <v>0.31900000000000001</v>
      </c>
      <c r="D2701" t="s">
        <v>7</v>
      </c>
      <c r="E2701" s="2" t="s">
        <v>12</v>
      </c>
      <c r="F2701">
        <f t="shared" si="42"/>
        <v>0.63257700000000006</v>
      </c>
      <c r="G2701" t="s">
        <v>16</v>
      </c>
      <c r="H2701" t="s">
        <v>10</v>
      </c>
      <c r="J2701" t="str">
        <f>"02/15/2020 00:39"</f>
        <v>02/15/2020 00:39</v>
      </c>
    </row>
    <row r="2702" spans="1:10" x14ac:dyDescent="0.3">
      <c r="A2702" t="s">
        <v>6</v>
      </c>
      <c r="B2702" t="str">
        <f>"02/15/2020 00:00"</f>
        <v>02/15/2020 00:00</v>
      </c>
      <c r="C2702">
        <v>0.31900000000000001</v>
      </c>
      <c r="D2702" t="s">
        <v>7</v>
      </c>
      <c r="E2702" s="2" t="s">
        <v>12</v>
      </c>
      <c r="F2702">
        <f t="shared" si="42"/>
        <v>0.63257700000000006</v>
      </c>
      <c r="G2702" t="s">
        <v>16</v>
      </c>
      <c r="H2702" t="s">
        <v>10</v>
      </c>
      <c r="J2702" t="str">
        <f>"02/16/2020 00:39"</f>
        <v>02/16/2020 00:39</v>
      </c>
    </row>
    <row r="2703" spans="1:10" x14ac:dyDescent="0.3">
      <c r="A2703" t="s">
        <v>6</v>
      </c>
      <c r="B2703" t="str">
        <f>"02/16/2020 00:00"</f>
        <v>02/16/2020 00:00</v>
      </c>
      <c r="C2703">
        <v>0.31900000000000001</v>
      </c>
      <c r="D2703" t="s">
        <v>7</v>
      </c>
      <c r="E2703" s="2" t="s">
        <v>12</v>
      </c>
      <c r="F2703">
        <f t="shared" si="42"/>
        <v>0.63257700000000006</v>
      </c>
      <c r="G2703" t="s">
        <v>16</v>
      </c>
      <c r="H2703" t="s">
        <v>10</v>
      </c>
      <c r="J2703" t="str">
        <f>"02/17/2020 00:39"</f>
        <v>02/17/2020 00:39</v>
      </c>
    </row>
    <row r="2704" spans="1:10" x14ac:dyDescent="0.3">
      <c r="A2704" t="s">
        <v>6</v>
      </c>
      <c r="B2704" t="str">
        <f>"02/17/2020 00:00"</f>
        <v>02/17/2020 00:00</v>
      </c>
      <c r="C2704">
        <v>0.31900000000000001</v>
      </c>
      <c r="D2704" t="s">
        <v>7</v>
      </c>
      <c r="E2704" s="2" t="s">
        <v>12</v>
      </c>
      <c r="F2704">
        <f t="shared" si="42"/>
        <v>0.63257700000000006</v>
      </c>
      <c r="G2704" t="s">
        <v>16</v>
      </c>
      <c r="H2704" t="s">
        <v>10</v>
      </c>
      <c r="J2704" t="str">
        <f>"02/18/2020 00:39"</f>
        <v>02/18/2020 00:39</v>
      </c>
    </row>
    <row r="2705" spans="1:10" x14ac:dyDescent="0.3">
      <c r="A2705" t="s">
        <v>6</v>
      </c>
      <c r="B2705" t="str">
        <f>"02/18/2020 00:00"</f>
        <v>02/18/2020 00:00</v>
      </c>
      <c r="C2705">
        <v>0.31900000000000001</v>
      </c>
      <c r="D2705" t="s">
        <v>7</v>
      </c>
      <c r="E2705" s="2" t="s">
        <v>12</v>
      </c>
      <c r="F2705">
        <f t="shared" si="42"/>
        <v>0.63257700000000006</v>
      </c>
      <c r="G2705" t="s">
        <v>16</v>
      </c>
      <c r="H2705" t="s">
        <v>10</v>
      </c>
      <c r="J2705" t="str">
        <f>"02/19/2020 00:39"</f>
        <v>02/19/2020 00:39</v>
      </c>
    </row>
    <row r="2706" spans="1:10" x14ac:dyDescent="0.3">
      <c r="A2706" t="s">
        <v>6</v>
      </c>
      <c r="B2706" t="str">
        <f>"02/19/2020 00:00"</f>
        <v>02/19/2020 00:00</v>
      </c>
      <c r="C2706">
        <v>0.31900000000000001</v>
      </c>
      <c r="D2706" t="s">
        <v>7</v>
      </c>
      <c r="E2706" s="2" t="s">
        <v>12</v>
      </c>
      <c r="F2706">
        <f t="shared" si="42"/>
        <v>0.63257700000000006</v>
      </c>
      <c r="G2706" t="s">
        <v>16</v>
      </c>
      <c r="H2706" t="s">
        <v>10</v>
      </c>
      <c r="J2706" t="str">
        <f>"02/20/2020 00:39"</f>
        <v>02/20/2020 00:39</v>
      </c>
    </row>
    <row r="2707" spans="1:10" x14ac:dyDescent="0.3">
      <c r="A2707" t="s">
        <v>6</v>
      </c>
      <c r="B2707" t="str">
        <f>"02/20/2020 00:00"</f>
        <v>02/20/2020 00:00</v>
      </c>
      <c r="C2707">
        <v>0.31900000000000001</v>
      </c>
      <c r="D2707" t="s">
        <v>7</v>
      </c>
      <c r="E2707" s="2" t="s">
        <v>12</v>
      </c>
      <c r="F2707">
        <f t="shared" si="42"/>
        <v>0.63257700000000006</v>
      </c>
      <c r="G2707" t="s">
        <v>16</v>
      </c>
      <c r="H2707" t="s">
        <v>10</v>
      </c>
      <c r="J2707" t="str">
        <f>"02/21/2020 00:39"</f>
        <v>02/21/2020 00:39</v>
      </c>
    </row>
    <row r="2708" spans="1:10" x14ac:dyDescent="0.3">
      <c r="A2708" t="s">
        <v>6</v>
      </c>
      <c r="B2708" t="str">
        <f>"02/21/2020 00:00"</f>
        <v>02/21/2020 00:00</v>
      </c>
      <c r="C2708">
        <v>0.31900000000000001</v>
      </c>
      <c r="D2708" t="s">
        <v>7</v>
      </c>
      <c r="E2708" s="2" t="s">
        <v>12</v>
      </c>
      <c r="F2708">
        <f t="shared" si="42"/>
        <v>0.63257700000000006</v>
      </c>
      <c r="G2708" t="s">
        <v>16</v>
      </c>
      <c r="H2708" t="s">
        <v>10</v>
      </c>
      <c r="J2708" t="str">
        <f>"02/22/2020 00:39"</f>
        <v>02/22/2020 00:39</v>
      </c>
    </row>
    <row r="2709" spans="1:10" x14ac:dyDescent="0.3">
      <c r="A2709" t="s">
        <v>6</v>
      </c>
      <c r="B2709" t="str">
        <f>"02/22/2020 00:00"</f>
        <v>02/22/2020 00:00</v>
      </c>
      <c r="C2709">
        <v>0.31900000000000001</v>
      </c>
      <c r="D2709" t="s">
        <v>7</v>
      </c>
      <c r="E2709" s="2" t="s">
        <v>12</v>
      </c>
      <c r="F2709">
        <f t="shared" si="42"/>
        <v>0.63257700000000006</v>
      </c>
      <c r="G2709" t="s">
        <v>16</v>
      </c>
      <c r="H2709" t="s">
        <v>10</v>
      </c>
      <c r="J2709" t="str">
        <f>"02/23/2020 00:39"</f>
        <v>02/23/2020 00:39</v>
      </c>
    </row>
    <row r="2710" spans="1:10" x14ac:dyDescent="0.3">
      <c r="A2710" t="s">
        <v>6</v>
      </c>
      <c r="B2710" t="str">
        <f>"02/23/2020 00:00"</f>
        <v>02/23/2020 00:00</v>
      </c>
      <c r="C2710">
        <v>0.31900000000000001</v>
      </c>
      <c r="D2710" t="s">
        <v>7</v>
      </c>
      <c r="E2710" s="2" t="s">
        <v>12</v>
      </c>
      <c r="F2710">
        <f t="shared" si="42"/>
        <v>0.63257700000000006</v>
      </c>
      <c r="G2710" t="s">
        <v>16</v>
      </c>
      <c r="H2710" t="s">
        <v>10</v>
      </c>
      <c r="J2710" t="str">
        <f>"02/24/2020 00:39"</f>
        <v>02/24/2020 00:39</v>
      </c>
    </row>
    <row r="2711" spans="1:10" x14ac:dyDescent="0.3">
      <c r="A2711" t="s">
        <v>6</v>
      </c>
      <c r="B2711" t="str">
        <f>"02/24/2020 00:00"</f>
        <v>02/24/2020 00:00</v>
      </c>
      <c r="C2711">
        <v>0.31900000000000001</v>
      </c>
      <c r="D2711" t="s">
        <v>7</v>
      </c>
      <c r="E2711" s="2" t="s">
        <v>12</v>
      </c>
      <c r="F2711">
        <f t="shared" si="42"/>
        <v>0.63257700000000006</v>
      </c>
      <c r="G2711" t="s">
        <v>16</v>
      </c>
      <c r="H2711" t="s">
        <v>10</v>
      </c>
      <c r="J2711" t="str">
        <f>"02/25/2020 00:39"</f>
        <v>02/25/2020 00:39</v>
      </c>
    </row>
    <row r="2712" spans="1:10" x14ac:dyDescent="0.3">
      <c r="A2712" t="s">
        <v>6</v>
      </c>
      <c r="B2712" t="str">
        <f>"02/25/2020 00:00"</f>
        <v>02/25/2020 00:00</v>
      </c>
      <c r="C2712">
        <v>0.31900000000000001</v>
      </c>
      <c r="D2712" t="s">
        <v>7</v>
      </c>
      <c r="E2712" s="2" t="s">
        <v>12</v>
      </c>
      <c r="F2712">
        <f t="shared" si="42"/>
        <v>0.63257700000000006</v>
      </c>
      <c r="G2712" t="s">
        <v>16</v>
      </c>
      <c r="H2712" t="s">
        <v>10</v>
      </c>
      <c r="J2712" t="str">
        <f>"02/26/2020 00:39"</f>
        <v>02/26/2020 00:39</v>
      </c>
    </row>
    <row r="2713" spans="1:10" x14ac:dyDescent="0.3">
      <c r="A2713" t="s">
        <v>6</v>
      </c>
      <c r="B2713" t="str">
        <f>"02/26/2020 00:00"</f>
        <v>02/26/2020 00:00</v>
      </c>
      <c r="C2713">
        <v>0.31900000000000001</v>
      </c>
      <c r="D2713" t="s">
        <v>7</v>
      </c>
      <c r="E2713" s="2" t="s">
        <v>12</v>
      </c>
      <c r="F2713">
        <f t="shared" si="42"/>
        <v>0.63257700000000006</v>
      </c>
      <c r="G2713" t="s">
        <v>16</v>
      </c>
      <c r="H2713" t="s">
        <v>10</v>
      </c>
      <c r="J2713" t="str">
        <f>"02/27/2020 00:39"</f>
        <v>02/27/2020 00:39</v>
      </c>
    </row>
    <row r="2714" spans="1:10" x14ac:dyDescent="0.3">
      <c r="A2714" t="s">
        <v>6</v>
      </c>
      <c r="B2714" t="str">
        <f>"02/27/2020 00:00"</f>
        <v>02/27/2020 00:00</v>
      </c>
      <c r="C2714">
        <v>0.31900000000000001</v>
      </c>
      <c r="D2714" t="s">
        <v>7</v>
      </c>
      <c r="E2714" s="2" t="s">
        <v>12</v>
      </c>
      <c r="F2714">
        <f t="shared" si="42"/>
        <v>0.63257700000000006</v>
      </c>
      <c r="G2714" t="s">
        <v>16</v>
      </c>
      <c r="H2714" t="s">
        <v>10</v>
      </c>
      <c r="J2714" t="str">
        <f>"02/28/2020 00:39"</f>
        <v>02/28/2020 00:39</v>
      </c>
    </row>
    <row r="2715" spans="1:10" x14ac:dyDescent="0.3">
      <c r="A2715" t="s">
        <v>6</v>
      </c>
      <c r="B2715" t="str">
        <f>"02/28/2020 00:00"</f>
        <v>02/28/2020 00:00</v>
      </c>
      <c r="C2715">
        <v>0.31900000000000001</v>
      </c>
      <c r="D2715" t="s">
        <v>7</v>
      </c>
      <c r="E2715" s="2" t="s">
        <v>12</v>
      </c>
      <c r="F2715">
        <f t="shared" si="42"/>
        <v>0.63257700000000006</v>
      </c>
      <c r="G2715" t="s">
        <v>16</v>
      </c>
      <c r="H2715" t="s">
        <v>10</v>
      </c>
      <c r="J2715" t="str">
        <f>"02/29/2020 00:39"</f>
        <v>02/29/2020 00:39</v>
      </c>
    </row>
    <row r="2716" spans="1:10" x14ac:dyDescent="0.3">
      <c r="A2716" t="s">
        <v>6</v>
      </c>
      <c r="B2716" t="str">
        <f>"02/29/2020 00:00"</f>
        <v>02/29/2020 00:00</v>
      </c>
      <c r="C2716">
        <v>0.31900000000000001</v>
      </c>
      <c r="D2716" t="s">
        <v>7</v>
      </c>
      <c r="E2716" s="2" t="s">
        <v>12</v>
      </c>
      <c r="F2716">
        <f t="shared" si="42"/>
        <v>0.63257700000000006</v>
      </c>
      <c r="G2716" t="s">
        <v>16</v>
      </c>
      <c r="H2716" t="s">
        <v>10</v>
      </c>
      <c r="J2716" t="str">
        <f>"03/01/2020 00:39"</f>
        <v>03/01/2020 00:39</v>
      </c>
    </row>
    <row r="2717" spans="1:10" x14ac:dyDescent="0.3">
      <c r="A2717" t="s">
        <v>6</v>
      </c>
      <c r="B2717" t="str">
        <f>"03/01/2020 00:00"</f>
        <v>03/01/2020 00:00</v>
      </c>
      <c r="C2717">
        <v>0.31900000000000001</v>
      </c>
      <c r="D2717" t="s">
        <v>7</v>
      </c>
      <c r="E2717" s="2" t="s">
        <v>12</v>
      </c>
      <c r="F2717">
        <f t="shared" si="42"/>
        <v>0.63257700000000006</v>
      </c>
      <c r="G2717" t="s">
        <v>16</v>
      </c>
      <c r="H2717" t="s">
        <v>10</v>
      </c>
      <c r="J2717" t="str">
        <f>"03/02/2020 00:39"</f>
        <v>03/02/2020 00:39</v>
      </c>
    </row>
    <row r="2718" spans="1:10" x14ac:dyDescent="0.3">
      <c r="A2718" t="s">
        <v>6</v>
      </c>
      <c r="B2718" t="str">
        <f>"03/02/2020 00:00"</f>
        <v>03/02/2020 00:00</v>
      </c>
      <c r="C2718">
        <v>0.31900000000000001</v>
      </c>
      <c r="D2718" t="s">
        <v>7</v>
      </c>
      <c r="E2718" s="2" t="s">
        <v>12</v>
      </c>
      <c r="F2718">
        <f t="shared" si="42"/>
        <v>0.63257700000000006</v>
      </c>
      <c r="G2718" t="s">
        <v>16</v>
      </c>
      <c r="H2718" t="s">
        <v>10</v>
      </c>
      <c r="J2718" t="str">
        <f>"03/03/2020 00:39"</f>
        <v>03/03/2020 00:39</v>
      </c>
    </row>
    <row r="2719" spans="1:10" x14ac:dyDescent="0.3">
      <c r="A2719" t="s">
        <v>6</v>
      </c>
      <c r="B2719" t="str">
        <f>"03/03/2020 00:00"</f>
        <v>03/03/2020 00:00</v>
      </c>
      <c r="C2719">
        <v>0.31900000000000001</v>
      </c>
      <c r="D2719" t="s">
        <v>7</v>
      </c>
      <c r="E2719" s="2" t="s">
        <v>12</v>
      </c>
      <c r="F2719">
        <f t="shared" si="42"/>
        <v>0.63257700000000006</v>
      </c>
      <c r="G2719" t="s">
        <v>16</v>
      </c>
      <c r="H2719" t="s">
        <v>10</v>
      </c>
      <c r="J2719" t="str">
        <f>"03/04/2020 00:39"</f>
        <v>03/04/2020 00:39</v>
      </c>
    </row>
    <row r="2720" spans="1:10" x14ac:dyDescent="0.3">
      <c r="A2720" t="s">
        <v>6</v>
      </c>
      <c r="B2720" t="str">
        <f>"03/04/2020 00:00"</f>
        <v>03/04/2020 00:00</v>
      </c>
      <c r="C2720">
        <v>0.31900000000000001</v>
      </c>
      <c r="D2720" t="s">
        <v>7</v>
      </c>
      <c r="E2720" s="2" t="s">
        <v>12</v>
      </c>
      <c r="F2720">
        <f t="shared" si="42"/>
        <v>0.63257700000000006</v>
      </c>
      <c r="G2720" t="s">
        <v>16</v>
      </c>
      <c r="H2720" t="s">
        <v>10</v>
      </c>
      <c r="J2720" t="str">
        <f>"03/05/2020 00:39"</f>
        <v>03/05/2020 00:39</v>
      </c>
    </row>
    <row r="2721" spans="1:10" x14ac:dyDescent="0.3">
      <c r="A2721" t="s">
        <v>6</v>
      </c>
      <c r="B2721" t="str">
        <f>"03/05/2020 00:00"</f>
        <v>03/05/2020 00:00</v>
      </c>
      <c r="C2721">
        <v>0.31900000000000001</v>
      </c>
      <c r="D2721" t="s">
        <v>7</v>
      </c>
      <c r="E2721" s="2" t="s">
        <v>12</v>
      </c>
      <c r="F2721">
        <f t="shared" si="42"/>
        <v>0.63257700000000006</v>
      </c>
      <c r="G2721" t="s">
        <v>16</v>
      </c>
      <c r="H2721" t="s">
        <v>10</v>
      </c>
      <c r="J2721" t="str">
        <f>"03/06/2020 00:39"</f>
        <v>03/06/2020 00:39</v>
      </c>
    </row>
    <row r="2722" spans="1:10" x14ac:dyDescent="0.3">
      <c r="A2722" t="s">
        <v>6</v>
      </c>
      <c r="B2722" t="str">
        <f>"03/06/2020 00:00"</f>
        <v>03/06/2020 00:00</v>
      </c>
      <c r="C2722">
        <v>0.31900000000000001</v>
      </c>
      <c r="D2722" t="s">
        <v>7</v>
      </c>
      <c r="E2722" s="2" t="s">
        <v>12</v>
      </c>
      <c r="F2722">
        <f t="shared" si="42"/>
        <v>0.63257700000000006</v>
      </c>
      <c r="G2722" t="s">
        <v>16</v>
      </c>
      <c r="H2722" t="s">
        <v>10</v>
      </c>
      <c r="J2722" t="str">
        <f>"03/07/2020 00:39"</f>
        <v>03/07/2020 00:39</v>
      </c>
    </row>
    <row r="2723" spans="1:10" x14ac:dyDescent="0.3">
      <c r="A2723" t="s">
        <v>6</v>
      </c>
      <c r="B2723" t="str">
        <f>"03/07/2020 00:00"</f>
        <v>03/07/2020 00:00</v>
      </c>
      <c r="C2723">
        <v>0.31900000000000001</v>
      </c>
      <c r="D2723" t="s">
        <v>7</v>
      </c>
      <c r="E2723" s="2" t="s">
        <v>12</v>
      </c>
      <c r="F2723">
        <f t="shared" si="42"/>
        <v>0.63257700000000006</v>
      </c>
      <c r="G2723" t="s">
        <v>16</v>
      </c>
      <c r="H2723" t="s">
        <v>10</v>
      </c>
      <c r="J2723" t="str">
        <f>"03/08/2020 00:39"</f>
        <v>03/08/2020 00:39</v>
      </c>
    </row>
    <row r="2724" spans="1:10" x14ac:dyDescent="0.3">
      <c r="A2724" t="s">
        <v>6</v>
      </c>
      <c r="B2724" t="str">
        <f>"03/08/2020 00:00"</f>
        <v>03/08/2020 00:00</v>
      </c>
      <c r="C2724">
        <v>0.31900000000000001</v>
      </c>
      <c r="D2724" t="s">
        <v>7</v>
      </c>
      <c r="E2724" s="2" t="s">
        <v>12</v>
      </c>
      <c r="F2724">
        <f t="shared" si="42"/>
        <v>0.63257700000000006</v>
      </c>
      <c r="G2724" t="s">
        <v>16</v>
      </c>
      <c r="H2724" t="s">
        <v>10</v>
      </c>
      <c r="J2724" t="str">
        <f>"03/09/2020 00:39"</f>
        <v>03/09/2020 00:39</v>
      </c>
    </row>
    <row r="2725" spans="1:10" x14ac:dyDescent="0.3">
      <c r="A2725" t="s">
        <v>6</v>
      </c>
      <c r="B2725" t="str">
        <f>"03/09/2020 00:00"</f>
        <v>03/09/2020 00:00</v>
      </c>
      <c r="C2725">
        <v>0.31900000000000001</v>
      </c>
      <c r="D2725" t="s">
        <v>7</v>
      </c>
      <c r="E2725" s="2" t="s">
        <v>12</v>
      </c>
      <c r="F2725">
        <f t="shared" si="42"/>
        <v>0.63257700000000006</v>
      </c>
      <c r="G2725" t="s">
        <v>16</v>
      </c>
      <c r="H2725" t="s">
        <v>10</v>
      </c>
      <c r="J2725" t="str">
        <f>"03/10/2020 00:39"</f>
        <v>03/10/2020 00:39</v>
      </c>
    </row>
    <row r="2726" spans="1:10" x14ac:dyDescent="0.3">
      <c r="A2726" t="s">
        <v>6</v>
      </c>
      <c r="B2726" t="str">
        <f>"03/10/2020 00:00"</f>
        <v>03/10/2020 00:00</v>
      </c>
      <c r="C2726">
        <v>0.31900000000000001</v>
      </c>
      <c r="D2726" t="s">
        <v>7</v>
      </c>
      <c r="E2726" s="2" t="s">
        <v>12</v>
      </c>
      <c r="F2726">
        <f t="shared" si="42"/>
        <v>0.63257700000000006</v>
      </c>
      <c r="G2726" t="s">
        <v>16</v>
      </c>
      <c r="H2726" t="s">
        <v>10</v>
      </c>
      <c r="J2726" t="str">
        <f>"03/11/2020 00:39"</f>
        <v>03/11/2020 00:39</v>
      </c>
    </row>
    <row r="2727" spans="1:10" x14ac:dyDescent="0.3">
      <c r="A2727" t="s">
        <v>6</v>
      </c>
      <c r="B2727" t="str">
        <f>"03/11/2020 00:00"</f>
        <v>03/11/2020 00:00</v>
      </c>
      <c r="C2727">
        <v>0.31900000000000001</v>
      </c>
      <c r="D2727" t="s">
        <v>7</v>
      </c>
      <c r="E2727" s="2" t="s">
        <v>12</v>
      </c>
      <c r="F2727">
        <f t="shared" si="42"/>
        <v>0.63257700000000006</v>
      </c>
      <c r="G2727" t="s">
        <v>16</v>
      </c>
      <c r="H2727" t="s">
        <v>10</v>
      </c>
      <c r="J2727" t="str">
        <f>"03/12/2020 00:39"</f>
        <v>03/12/2020 00:39</v>
      </c>
    </row>
    <row r="2728" spans="1:10" x14ac:dyDescent="0.3">
      <c r="A2728" t="s">
        <v>6</v>
      </c>
      <c r="B2728" t="str">
        <f>"03/12/2020 00:00"</f>
        <v>03/12/2020 00:00</v>
      </c>
      <c r="C2728">
        <v>0.31900000000000001</v>
      </c>
      <c r="D2728" t="s">
        <v>7</v>
      </c>
      <c r="E2728" s="2" t="s">
        <v>12</v>
      </c>
      <c r="F2728">
        <f t="shared" si="42"/>
        <v>0.63257700000000006</v>
      </c>
      <c r="G2728" t="s">
        <v>16</v>
      </c>
      <c r="H2728" t="s">
        <v>10</v>
      </c>
      <c r="J2728" t="str">
        <f>"03/13/2020 00:39"</f>
        <v>03/13/2020 00:39</v>
      </c>
    </row>
    <row r="2729" spans="1:10" x14ac:dyDescent="0.3">
      <c r="A2729" t="s">
        <v>6</v>
      </c>
      <c r="B2729" t="str">
        <f>"03/13/2020 00:00"</f>
        <v>03/13/2020 00:00</v>
      </c>
      <c r="C2729">
        <v>0.31900000000000001</v>
      </c>
      <c r="D2729" t="s">
        <v>7</v>
      </c>
      <c r="E2729" s="2" t="s">
        <v>12</v>
      </c>
      <c r="F2729">
        <f t="shared" si="42"/>
        <v>0.63257700000000006</v>
      </c>
      <c r="G2729" t="s">
        <v>16</v>
      </c>
      <c r="H2729" t="s">
        <v>10</v>
      </c>
      <c r="J2729" t="str">
        <f>"03/14/2020 00:39"</f>
        <v>03/14/2020 00:39</v>
      </c>
    </row>
    <row r="2730" spans="1:10" x14ac:dyDescent="0.3">
      <c r="A2730" t="s">
        <v>6</v>
      </c>
      <c r="B2730" t="str">
        <f>"03/14/2020 00:00"</f>
        <v>03/14/2020 00:00</v>
      </c>
      <c r="C2730">
        <v>0.31900000000000001</v>
      </c>
      <c r="D2730" t="s">
        <v>7</v>
      </c>
      <c r="E2730" s="2" t="s">
        <v>12</v>
      </c>
      <c r="F2730">
        <f t="shared" si="42"/>
        <v>0.63257700000000006</v>
      </c>
      <c r="G2730" t="s">
        <v>16</v>
      </c>
      <c r="H2730" t="s">
        <v>10</v>
      </c>
      <c r="J2730" t="str">
        <f>"03/15/2020 00:39"</f>
        <v>03/15/2020 00:39</v>
      </c>
    </row>
    <row r="2731" spans="1:10" x14ac:dyDescent="0.3">
      <c r="A2731" t="s">
        <v>6</v>
      </c>
      <c r="B2731" t="str">
        <f>"03/15/2020 00:00"</f>
        <v>03/15/2020 00:00</v>
      </c>
      <c r="C2731">
        <v>0.31900000000000001</v>
      </c>
      <c r="D2731" t="s">
        <v>7</v>
      </c>
      <c r="E2731" s="2" t="s">
        <v>12</v>
      </c>
      <c r="F2731">
        <f t="shared" si="42"/>
        <v>0.63257700000000006</v>
      </c>
      <c r="G2731" t="s">
        <v>16</v>
      </c>
      <c r="H2731" t="s">
        <v>10</v>
      </c>
      <c r="J2731" t="str">
        <f>"03/16/2020 00:39"</f>
        <v>03/16/2020 00:39</v>
      </c>
    </row>
    <row r="2732" spans="1:10" x14ac:dyDescent="0.3">
      <c r="A2732" t="s">
        <v>6</v>
      </c>
      <c r="B2732" t="str">
        <f>"03/16/2020 00:00"</f>
        <v>03/16/2020 00:00</v>
      </c>
      <c r="C2732">
        <v>0.31900000000000001</v>
      </c>
      <c r="D2732" t="s">
        <v>7</v>
      </c>
      <c r="E2732" s="2" t="s">
        <v>12</v>
      </c>
      <c r="F2732">
        <f t="shared" si="42"/>
        <v>0.63257700000000006</v>
      </c>
      <c r="G2732" t="s">
        <v>16</v>
      </c>
      <c r="H2732" t="s">
        <v>10</v>
      </c>
      <c r="J2732" t="str">
        <f>"03/17/2020 00:39"</f>
        <v>03/17/2020 00:39</v>
      </c>
    </row>
    <row r="2733" spans="1:10" x14ac:dyDescent="0.3">
      <c r="A2733" t="s">
        <v>6</v>
      </c>
      <c r="B2733" t="str">
        <f>"03/17/2020 00:00"</f>
        <v>03/17/2020 00:00</v>
      </c>
      <c r="C2733">
        <v>0.315</v>
      </c>
      <c r="D2733" t="s">
        <v>7</v>
      </c>
      <c r="E2733" s="2" t="s">
        <v>12</v>
      </c>
      <c r="F2733">
        <f t="shared" si="42"/>
        <v>0.62464500000000001</v>
      </c>
      <c r="G2733" t="s">
        <v>16</v>
      </c>
      <c r="H2733" t="s">
        <v>10</v>
      </c>
      <c r="J2733" t="str">
        <f>"03/18/2020 00:39"</f>
        <v>03/18/2020 00:39</v>
      </c>
    </row>
    <row r="2734" spans="1:10" x14ac:dyDescent="0.3">
      <c r="A2734" t="s">
        <v>6</v>
      </c>
      <c r="B2734" t="str">
        <f>"03/18/2020 00:00"</f>
        <v>03/18/2020 00:00</v>
      </c>
      <c r="C2734">
        <v>0.19700000000000001</v>
      </c>
      <c r="D2734" t="s">
        <v>7</v>
      </c>
      <c r="E2734" s="2" t="s">
        <v>12</v>
      </c>
      <c r="F2734">
        <f t="shared" si="42"/>
        <v>0.39065100000000003</v>
      </c>
      <c r="G2734" t="s">
        <v>16</v>
      </c>
      <c r="H2734" t="s">
        <v>10</v>
      </c>
      <c r="J2734" t="str">
        <f>"03/19/2020 00:39"</f>
        <v>03/19/2020 00:39</v>
      </c>
    </row>
    <row r="2735" spans="1:10" x14ac:dyDescent="0.3">
      <c r="A2735" t="s">
        <v>6</v>
      </c>
      <c r="B2735" t="str">
        <f>"03/19/2020 00:00"</f>
        <v>03/19/2020 00:00</v>
      </c>
      <c r="C2735">
        <v>0.19700000000000001</v>
      </c>
      <c r="D2735" t="s">
        <v>7</v>
      </c>
      <c r="E2735" s="2" t="s">
        <v>12</v>
      </c>
      <c r="F2735">
        <f t="shared" si="42"/>
        <v>0.39065100000000003</v>
      </c>
      <c r="G2735" t="s">
        <v>16</v>
      </c>
      <c r="H2735" t="s">
        <v>10</v>
      </c>
      <c r="J2735" t="str">
        <f>"03/20/2020 00:39"</f>
        <v>03/20/2020 00:39</v>
      </c>
    </row>
    <row r="2736" spans="1:10" x14ac:dyDescent="0.3">
      <c r="A2736" t="s">
        <v>6</v>
      </c>
      <c r="B2736" t="str">
        <f>"03/20/2020 00:00"</f>
        <v>03/20/2020 00:00</v>
      </c>
      <c r="C2736">
        <v>0.19700000000000001</v>
      </c>
      <c r="D2736" t="s">
        <v>7</v>
      </c>
      <c r="E2736" s="2" t="s">
        <v>12</v>
      </c>
      <c r="F2736">
        <f t="shared" si="42"/>
        <v>0.39065100000000003</v>
      </c>
      <c r="G2736" t="s">
        <v>16</v>
      </c>
      <c r="H2736" t="s">
        <v>10</v>
      </c>
      <c r="J2736" t="str">
        <f>"03/21/2020 00:39"</f>
        <v>03/21/2020 00:39</v>
      </c>
    </row>
    <row r="2737" spans="1:10" x14ac:dyDescent="0.3">
      <c r="A2737" t="s">
        <v>6</v>
      </c>
      <c r="B2737" t="str">
        <f>"03/21/2020 00:00"</f>
        <v>03/21/2020 00:00</v>
      </c>
      <c r="C2737">
        <v>0.19700000000000001</v>
      </c>
      <c r="D2737" t="s">
        <v>7</v>
      </c>
      <c r="E2737" s="2" t="s">
        <v>12</v>
      </c>
      <c r="F2737">
        <f t="shared" si="42"/>
        <v>0.39065100000000003</v>
      </c>
      <c r="G2737" t="s">
        <v>16</v>
      </c>
      <c r="H2737" t="s">
        <v>10</v>
      </c>
      <c r="J2737" t="str">
        <f>"03/22/2020 00:39"</f>
        <v>03/22/2020 00:39</v>
      </c>
    </row>
    <row r="2738" spans="1:10" x14ac:dyDescent="0.3">
      <c r="A2738" t="s">
        <v>6</v>
      </c>
      <c r="B2738" t="str">
        <f>"03/22/2020 00:00"</f>
        <v>03/22/2020 00:00</v>
      </c>
      <c r="C2738">
        <v>0.19700000000000001</v>
      </c>
      <c r="D2738" t="s">
        <v>7</v>
      </c>
      <c r="E2738" s="2" t="s">
        <v>12</v>
      </c>
      <c r="F2738">
        <f t="shared" si="42"/>
        <v>0.39065100000000003</v>
      </c>
      <c r="G2738" t="s">
        <v>16</v>
      </c>
      <c r="H2738" t="s">
        <v>10</v>
      </c>
      <c r="J2738" t="str">
        <f>"03/23/2020 00:39"</f>
        <v>03/23/2020 00:39</v>
      </c>
    </row>
    <row r="2739" spans="1:10" x14ac:dyDescent="0.3">
      <c r="A2739" t="s">
        <v>6</v>
      </c>
      <c r="B2739" t="str">
        <f>"03/23/2020 00:00"</f>
        <v>03/23/2020 00:00</v>
      </c>
      <c r="C2739">
        <v>0.19700000000000001</v>
      </c>
      <c r="D2739" t="s">
        <v>7</v>
      </c>
      <c r="E2739" s="2" t="s">
        <v>12</v>
      </c>
      <c r="F2739">
        <f t="shared" si="42"/>
        <v>0.39065100000000003</v>
      </c>
      <c r="G2739" t="s">
        <v>16</v>
      </c>
      <c r="H2739" t="s">
        <v>10</v>
      </c>
      <c r="J2739" t="str">
        <f>"03/24/2020 00:39"</f>
        <v>03/24/2020 00:39</v>
      </c>
    </row>
    <row r="2740" spans="1:10" x14ac:dyDescent="0.3">
      <c r="A2740" t="s">
        <v>6</v>
      </c>
      <c r="B2740" t="str">
        <f>"03/24/2020 00:00"</f>
        <v>03/24/2020 00:00</v>
      </c>
      <c r="C2740">
        <v>0.19700000000000001</v>
      </c>
      <c r="D2740" t="s">
        <v>7</v>
      </c>
      <c r="E2740" s="2" t="s">
        <v>12</v>
      </c>
      <c r="F2740">
        <f t="shared" si="42"/>
        <v>0.39065100000000003</v>
      </c>
      <c r="G2740" t="s">
        <v>16</v>
      </c>
      <c r="H2740" t="s">
        <v>10</v>
      </c>
      <c r="J2740" t="str">
        <f>"03/25/2020 00:39"</f>
        <v>03/25/2020 00:39</v>
      </c>
    </row>
    <row r="2741" spans="1:10" x14ac:dyDescent="0.3">
      <c r="A2741" t="s">
        <v>6</v>
      </c>
      <c r="B2741" t="str">
        <f>"03/25/2020 00:00"</f>
        <v>03/25/2020 00:00</v>
      </c>
      <c r="C2741">
        <v>0.19700000000000001</v>
      </c>
      <c r="D2741" t="s">
        <v>7</v>
      </c>
      <c r="E2741" s="2" t="s">
        <v>12</v>
      </c>
      <c r="F2741">
        <f t="shared" si="42"/>
        <v>0.39065100000000003</v>
      </c>
      <c r="G2741" t="s">
        <v>16</v>
      </c>
      <c r="H2741" t="s">
        <v>10</v>
      </c>
      <c r="J2741" t="str">
        <f>"03/26/2020 00:39"</f>
        <v>03/26/2020 00:39</v>
      </c>
    </row>
    <row r="2742" spans="1:10" x14ac:dyDescent="0.3">
      <c r="A2742" t="s">
        <v>6</v>
      </c>
      <c r="B2742" t="str">
        <f>"03/26/2020 00:00"</f>
        <v>03/26/2020 00:00</v>
      </c>
      <c r="C2742">
        <v>0.19700000000000001</v>
      </c>
      <c r="D2742" t="s">
        <v>7</v>
      </c>
      <c r="E2742" s="2" t="s">
        <v>12</v>
      </c>
      <c r="F2742">
        <f t="shared" si="42"/>
        <v>0.39065100000000003</v>
      </c>
      <c r="G2742" t="s">
        <v>16</v>
      </c>
      <c r="H2742" t="s">
        <v>10</v>
      </c>
      <c r="J2742" t="str">
        <f>"03/27/2020 00:39"</f>
        <v>03/27/2020 00:39</v>
      </c>
    </row>
    <row r="2743" spans="1:10" x14ac:dyDescent="0.3">
      <c r="A2743" t="s">
        <v>6</v>
      </c>
      <c r="B2743" t="str">
        <f>"03/27/2020 00:00"</f>
        <v>03/27/2020 00:00</v>
      </c>
      <c r="C2743">
        <v>0.19700000000000001</v>
      </c>
      <c r="D2743" t="s">
        <v>7</v>
      </c>
      <c r="E2743" s="2" t="s">
        <v>12</v>
      </c>
      <c r="F2743">
        <f t="shared" si="42"/>
        <v>0.39065100000000003</v>
      </c>
      <c r="G2743" t="s">
        <v>16</v>
      </c>
      <c r="H2743" t="s">
        <v>10</v>
      </c>
      <c r="J2743" t="str">
        <f>"03/28/2020 00:39"</f>
        <v>03/28/2020 00:39</v>
      </c>
    </row>
    <row r="2744" spans="1:10" x14ac:dyDescent="0.3">
      <c r="A2744" t="s">
        <v>6</v>
      </c>
      <c r="B2744" t="str">
        <f>"03/28/2020 00:00"</f>
        <v>03/28/2020 00:00</v>
      </c>
      <c r="C2744">
        <v>0.19700000000000001</v>
      </c>
      <c r="D2744" t="s">
        <v>7</v>
      </c>
      <c r="E2744" s="2" t="s">
        <v>12</v>
      </c>
      <c r="F2744">
        <f t="shared" si="42"/>
        <v>0.39065100000000003</v>
      </c>
      <c r="G2744" t="s">
        <v>16</v>
      </c>
      <c r="H2744" t="s">
        <v>10</v>
      </c>
      <c r="J2744" t="str">
        <f>"03/29/2020 00:39"</f>
        <v>03/29/2020 00:39</v>
      </c>
    </row>
    <row r="2745" spans="1:10" x14ac:dyDescent="0.3">
      <c r="A2745" t="s">
        <v>6</v>
      </c>
      <c r="B2745" t="str">
        <f>"03/29/2020 00:00"</f>
        <v>03/29/2020 00:00</v>
      </c>
      <c r="C2745">
        <v>0.19700000000000001</v>
      </c>
      <c r="D2745" t="s">
        <v>7</v>
      </c>
      <c r="E2745" s="2" t="s">
        <v>12</v>
      </c>
      <c r="F2745">
        <f t="shared" si="42"/>
        <v>0.39065100000000003</v>
      </c>
      <c r="G2745" t="s">
        <v>16</v>
      </c>
      <c r="H2745" t="s">
        <v>10</v>
      </c>
      <c r="J2745" t="str">
        <f>"03/30/2020 00:39"</f>
        <v>03/30/2020 00:39</v>
      </c>
    </row>
    <row r="2746" spans="1:10" x14ac:dyDescent="0.3">
      <c r="A2746" t="s">
        <v>6</v>
      </c>
      <c r="B2746" t="str">
        <f>"03/30/2020 00:00"</f>
        <v>03/30/2020 00:00</v>
      </c>
      <c r="C2746">
        <v>0.19700000000000001</v>
      </c>
      <c r="D2746" t="s">
        <v>7</v>
      </c>
      <c r="E2746" s="2" t="s">
        <v>12</v>
      </c>
      <c r="F2746">
        <f t="shared" si="42"/>
        <v>0.39065100000000003</v>
      </c>
      <c r="G2746" t="s">
        <v>16</v>
      </c>
      <c r="H2746" t="s">
        <v>10</v>
      </c>
      <c r="J2746" t="str">
        <f>"03/31/2020 00:39"</f>
        <v>03/31/2020 00:39</v>
      </c>
    </row>
    <row r="2747" spans="1:10" x14ac:dyDescent="0.3">
      <c r="A2747" t="s">
        <v>6</v>
      </c>
      <c r="B2747" t="str">
        <f>"03/31/2020 00:00"</f>
        <v>03/31/2020 00:00</v>
      </c>
      <c r="C2747">
        <v>0.129</v>
      </c>
      <c r="D2747" t="s">
        <v>7</v>
      </c>
      <c r="E2747" s="2" t="s">
        <v>12</v>
      </c>
      <c r="F2747">
        <f t="shared" si="42"/>
        <v>0.25580700000000001</v>
      </c>
      <c r="G2747" t="s">
        <v>16</v>
      </c>
      <c r="H2747" t="s">
        <v>10</v>
      </c>
      <c r="J2747" t="str">
        <f>"04/01/2020 00:39"</f>
        <v>04/01/2020 00:39</v>
      </c>
    </row>
    <row r="2748" spans="1:10" x14ac:dyDescent="0.3">
      <c r="A2748" t="s">
        <v>6</v>
      </c>
      <c r="B2748" t="str">
        <f>"04/01/2020 00:00"</f>
        <v>04/01/2020 00:00</v>
      </c>
      <c r="C2748">
        <v>0</v>
      </c>
      <c r="D2748" t="s">
        <v>7</v>
      </c>
      <c r="E2748" s="2" t="s">
        <v>12</v>
      </c>
      <c r="F2748">
        <f t="shared" si="42"/>
        <v>0</v>
      </c>
      <c r="G2748" t="s">
        <v>16</v>
      </c>
      <c r="H2748" t="s">
        <v>10</v>
      </c>
      <c r="J2748" t="str">
        <f>"04/02/2020 00:39"</f>
        <v>04/02/2020 00:39</v>
      </c>
    </row>
    <row r="2749" spans="1:10" x14ac:dyDescent="0.3">
      <c r="A2749" t="s">
        <v>6</v>
      </c>
      <c r="B2749" t="str">
        <f>"04/02/2020 00:00"</f>
        <v>04/02/2020 00:00</v>
      </c>
      <c r="C2749">
        <v>0</v>
      </c>
      <c r="D2749" t="s">
        <v>7</v>
      </c>
      <c r="E2749" s="2" t="s">
        <v>12</v>
      </c>
      <c r="F2749">
        <f t="shared" si="42"/>
        <v>0</v>
      </c>
      <c r="G2749" t="s">
        <v>16</v>
      </c>
      <c r="H2749" t="s">
        <v>10</v>
      </c>
      <c r="J2749" t="str">
        <f>"04/03/2020 00:39"</f>
        <v>04/03/2020 00:39</v>
      </c>
    </row>
    <row r="2750" spans="1:10" x14ac:dyDescent="0.3">
      <c r="A2750" t="s">
        <v>6</v>
      </c>
      <c r="B2750" t="str">
        <f>"04/03/2020 00:00"</f>
        <v>04/03/2020 00:00</v>
      </c>
      <c r="C2750">
        <v>0</v>
      </c>
      <c r="D2750" t="s">
        <v>7</v>
      </c>
      <c r="E2750" s="2" t="s">
        <v>12</v>
      </c>
      <c r="F2750">
        <f t="shared" si="42"/>
        <v>0</v>
      </c>
      <c r="G2750" t="s">
        <v>16</v>
      </c>
      <c r="H2750" t="s">
        <v>10</v>
      </c>
      <c r="J2750" t="str">
        <f>"04/04/2020 00:39"</f>
        <v>04/04/2020 00:39</v>
      </c>
    </row>
    <row r="2751" spans="1:10" x14ac:dyDescent="0.3">
      <c r="A2751" t="s">
        <v>6</v>
      </c>
      <c r="B2751" t="str">
        <f>"04/04/2020 00:00"</f>
        <v>04/04/2020 00:00</v>
      </c>
      <c r="C2751">
        <v>0</v>
      </c>
      <c r="D2751" t="s">
        <v>7</v>
      </c>
      <c r="E2751" s="2" t="s">
        <v>12</v>
      </c>
      <c r="F2751">
        <f t="shared" si="42"/>
        <v>0</v>
      </c>
      <c r="G2751" t="s">
        <v>16</v>
      </c>
      <c r="H2751" t="s">
        <v>10</v>
      </c>
      <c r="J2751" t="str">
        <f>"04/05/2020 00:39"</f>
        <v>04/05/2020 00:39</v>
      </c>
    </row>
    <row r="2752" spans="1:10" x14ac:dyDescent="0.3">
      <c r="A2752" t="s">
        <v>6</v>
      </c>
      <c r="B2752" t="str">
        <f>"04/05/2020 00:00"</f>
        <v>04/05/2020 00:00</v>
      </c>
      <c r="C2752">
        <v>0</v>
      </c>
      <c r="D2752" t="s">
        <v>7</v>
      </c>
      <c r="E2752" s="2" t="s">
        <v>12</v>
      </c>
      <c r="F2752">
        <f t="shared" si="42"/>
        <v>0</v>
      </c>
      <c r="G2752" t="s">
        <v>16</v>
      </c>
      <c r="H2752" t="s">
        <v>10</v>
      </c>
      <c r="J2752" t="str">
        <f>"04/06/2020 00:39"</f>
        <v>04/06/2020 00:39</v>
      </c>
    </row>
    <row r="2753" spans="1:10" x14ac:dyDescent="0.3">
      <c r="A2753" t="s">
        <v>6</v>
      </c>
      <c r="B2753" t="str">
        <f>"04/06/2020 00:00"</f>
        <v>04/06/2020 00:00</v>
      </c>
      <c r="C2753">
        <v>0</v>
      </c>
      <c r="D2753" t="s">
        <v>7</v>
      </c>
      <c r="E2753" s="2" t="s">
        <v>12</v>
      </c>
      <c r="F2753">
        <f t="shared" si="42"/>
        <v>0</v>
      </c>
      <c r="G2753" t="s">
        <v>16</v>
      </c>
      <c r="H2753" t="s">
        <v>10</v>
      </c>
      <c r="J2753" t="str">
        <f>"04/07/2020 00:39"</f>
        <v>04/07/2020 00:39</v>
      </c>
    </row>
    <row r="2754" spans="1:10" x14ac:dyDescent="0.3">
      <c r="A2754" t="s">
        <v>6</v>
      </c>
      <c r="B2754" t="str">
        <f>"04/07/2020 00:00"</f>
        <v>04/07/2020 00:00</v>
      </c>
      <c r="C2754">
        <v>0</v>
      </c>
      <c r="D2754" t="s">
        <v>7</v>
      </c>
      <c r="E2754" s="2" t="s">
        <v>12</v>
      </c>
      <c r="F2754">
        <f t="shared" si="42"/>
        <v>0</v>
      </c>
      <c r="G2754" t="s">
        <v>16</v>
      </c>
      <c r="H2754" t="s">
        <v>10</v>
      </c>
      <c r="J2754" t="str">
        <f>"04/08/2020 00:39"</f>
        <v>04/08/2020 00:39</v>
      </c>
    </row>
    <row r="2755" spans="1:10" x14ac:dyDescent="0.3">
      <c r="A2755" t="s">
        <v>6</v>
      </c>
      <c r="B2755" t="str">
        <f>"04/08/2020 00:00"</f>
        <v>04/08/2020 00:00</v>
      </c>
      <c r="C2755">
        <v>0</v>
      </c>
      <c r="D2755" t="s">
        <v>7</v>
      </c>
      <c r="E2755" s="2" t="s">
        <v>12</v>
      </c>
      <c r="F2755">
        <f t="shared" si="42"/>
        <v>0</v>
      </c>
      <c r="G2755" t="s">
        <v>16</v>
      </c>
      <c r="H2755" t="s">
        <v>10</v>
      </c>
      <c r="J2755" t="str">
        <f>"04/09/2020 00:39"</f>
        <v>04/09/2020 00:39</v>
      </c>
    </row>
    <row r="2756" spans="1:10" x14ac:dyDescent="0.3">
      <c r="A2756" t="s">
        <v>6</v>
      </c>
      <c r="B2756" t="str">
        <f>"04/09/2020 00:00"</f>
        <v>04/09/2020 00:00</v>
      </c>
      <c r="C2756">
        <v>0</v>
      </c>
      <c r="D2756" t="s">
        <v>7</v>
      </c>
      <c r="E2756" s="2" t="s">
        <v>12</v>
      </c>
      <c r="F2756">
        <f t="shared" si="42"/>
        <v>0</v>
      </c>
      <c r="G2756" t="s">
        <v>16</v>
      </c>
      <c r="H2756" t="s">
        <v>10</v>
      </c>
      <c r="J2756" t="str">
        <f>"04/10/2020 00:39"</f>
        <v>04/10/2020 00:39</v>
      </c>
    </row>
    <row r="2757" spans="1:10" x14ac:dyDescent="0.3">
      <c r="A2757" t="s">
        <v>6</v>
      </c>
      <c r="B2757" t="str">
        <f>"04/10/2020 00:00"</f>
        <v>04/10/2020 00:00</v>
      </c>
      <c r="C2757">
        <v>0</v>
      </c>
      <c r="D2757" t="s">
        <v>7</v>
      </c>
      <c r="E2757" s="2" t="s">
        <v>12</v>
      </c>
      <c r="F2757">
        <f t="shared" si="42"/>
        <v>0</v>
      </c>
      <c r="G2757" t="s">
        <v>16</v>
      </c>
      <c r="H2757" t="s">
        <v>10</v>
      </c>
      <c r="J2757" t="str">
        <f>"04/11/2020 00:39"</f>
        <v>04/11/2020 00:39</v>
      </c>
    </row>
    <row r="2758" spans="1:10" x14ac:dyDescent="0.3">
      <c r="A2758" t="s">
        <v>6</v>
      </c>
      <c r="B2758" t="str">
        <f>"04/11/2020 00:00"</f>
        <v>04/11/2020 00:00</v>
      </c>
      <c r="C2758">
        <v>0</v>
      </c>
      <c r="D2758" t="s">
        <v>7</v>
      </c>
      <c r="E2758" s="2" t="s">
        <v>12</v>
      </c>
      <c r="F2758">
        <f t="shared" si="42"/>
        <v>0</v>
      </c>
      <c r="G2758" t="s">
        <v>16</v>
      </c>
      <c r="H2758" t="s">
        <v>10</v>
      </c>
      <c r="J2758" t="str">
        <f>"04/12/2020 00:39"</f>
        <v>04/12/2020 00:39</v>
      </c>
    </row>
    <row r="2759" spans="1:10" x14ac:dyDescent="0.3">
      <c r="A2759" t="s">
        <v>6</v>
      </c>
      <c r="B2759" t="str">
        <f>"04/12/2020 00:00"</f>
        <v>04/12/2020 00:00</v>
      </c>
      <c r="C2759">
        <v>0</v>
      </c>
      <c r="D2759" t="s">
        <v>7</v>
      </c>
      <c r="E2759" s="2" t="s">
        <v>12</v>
      </c>
      <c r="F2759">
        <f t="shared" si="42"/>
        <v>0</v>
      </c>
      <c r="G2759" t="s">
        <v>16</v>
      </c>
      <c r="H2759" t="s">
        <v>10</v>
      </c>
      <c r="J2759" t="str">
        <f>"04/13/2020 00:39"</f>
        <v>04/13/2020 00:39</v>
      </c>
    </row>
    <row r="2760" spans="1:10" x14ac:dyDescent="0.3">
      <c r="A2760" t="s">
        <v>6</v>
      </c>
      <c r="B2760" t="str">
        <f>"04/13/2020 00:00"</f>
        <v>04/13/2020 00:00</v>
      </c>
      <c r="C2760">
        <v>0</v>
      </c>
      <c r="D2760" t="s">
        <v>7</v>
      </c>
      <c r="E2760" s="2" t="s">
        <v>12</v>
      </c>
      <c r="F2760">
        <f t="shared" si="42"/>
        <v>0</v>
      </c>
      <c r="G2760" t="s">
        <v>16</v>
      </c>
      <c r="H2760" t="s">
        <v>10</v>
      </c>
      <c r="J2760" t="str">
        <f>"04/14/2020 00:39"</f>
        <v>04/14/2020 00:39</v>
      </c>
    </row>
    <row r="2761" spans="1:10" x14ac:dyDescent="0.3">
      <c r="A2761" t="s">
        <v>6</v>
      </c>
      <c r="B2761" t="str">
        <f>"04/14/2020 00:00"</f>
        <v>04/14/2020 00:00</v>
      </c>
      <c r="C2761">
        <v>0</v>
      </c>
      <c r="D2761" t="s">
        <v>7</v>
      </c>
      <c r="E2761" s="2" t="s">
        <v>12</v>
      </c>
      <c r="F2761">
        <f t="shared" si="42"/>
        <v>0</v>
      </c>
      <c r="G2761" t="s">
        <v>16</v>
      </c>
      <c r="H2761" t="s">
        <v>10</v>
      </c>
      <c r="J2761" t="str">
        <f>"04/15/2020 00:39"</f>
        <v>04/15/2020 00:39</v>
      </c>
    </row>
    <row r="2762" spans="1:10" x14ac:dyDescent="0.3">
      <c r="A2762" t="s">
        <v>6</v>
      </c>
      <c r="B2762" t="str">
        <f>"04/15/2020 00:00"</f>
        <v>04/15/2020 00:00</v>
      </c>
      <c r="C2762">
        <v>0</v>
      </c>
      <c r="D2762" t="s">
        <v>7</v>
      </c>
      <c r="E2762" s="2" t="s">
        <v>12</v>
      </c>
      <c r="F2762">
        <f t="shared" ref="F2762:F2825" si="43">C2762*1.983</f>
        <v>0</v>
      </c>
      <c r="G2762" t="s">
        <v>16</v>
      </c>
      <c r="H2762" t="s">
        <v>10</v>
      </c>
      <c r="J2762" t="str">
        <f>"04/16/2020 00:39"</f>
        <v>04/16/2020 00:39</v>
      </c>
    </row>
    <row r="2763" spans="1:10" x14ac:dyDescent="0.3">
      <c r="A2763" t="s">
        <v>6</v>
      </c>
      <c r="B2763" t="str">
        <f>"04/16/2020 00:00"</f>
        <v>04/16/2020 00:00</v>
      </c>
      <c r="C2763">
        <v>0</v>
      </c>
      <c r="D2763" t="s">
        <v>7</v>
      </c>
      <c r="E2763" s="2" t="s">
        <v>12</v>
      </c>
      <c r="F2763">
        <f t="shared" si="43"/>
        <v>0</v>
      </c>
      <c r="G2763" t="s">
        <v>16</v>
      </c>
      <c r="H2763" t="s">
        <v>10</v>
      </c>
      <c r="J2763" t="str">
        <f>"04/17/2020 00:39"</f>
        <v>04/17/2020 00:39</v>
      </c>
    </row>
    <row r="2764" spans="1:10" x14ac:dyDescent="0.3">
      <c r="A2764" t="s">
        <v>6</v>
      </c>
      <c r="B2764" t="str">
        <f>"04/17/2020 00:00"</f>
        <v>04/17/2020 00:00</v>
      </c>
      <c r="C2764">
        <v>0</v>
      </c>
      <c r="D2764" t="s">
        <v>7</v>
      </c>
      <c r="E2764" s="2" t="s">
        <v>12</v>
      </c>
      <c r="F2764">
        <f t="shared" si="43"/>
        <v>0</v>
      </c>
      <c r="G2764" t="s">
        <v>16</v>
      </c>
      <c r="H2764" t="s">
        <v>10</v>
      </c>
      <c r="J2764" t="str">
        <f>"04/18/2020 00:39"</f>
        <v>04/18/2020 00:39</v>
      </c>
    </row>
    <row r="2765" spans="1:10" x14ac:dyDescent="0.3">
      <c r="A2765" t="s">
        <v>6</v>
      </c>
      <c r="B2765" t="str">
        <f>"04/18/2020 00:00"</f>
        <v>04/18/2020 00:00</v>
      </c>
      <c r="C2765">
        <v>0</v>
      </c>
      <c r="D2765" t="s">
        <v>7</v>
      </c>
      <c r="E2765" s="2" t="s">
        <v>12</v>
      </c>
      <c r="F2765">
        <f t="shared" si="43"/>
        <v>0</v>
      </c>
      <c r="G2765" t="s">
        <v>16</v>
      </c>
      <c r="H2765" t="s">
        <v>10</v>
      </c>
      <c r="J2765" t="str">
        <f>"04/19/2020 00:39"</f>
        <v>04/19/2020 00:39</v>
      </c>
    </row>
    <row r="2766" spans="1:10" x14ac:dyDescent="0.3">
      <c r="A2766" t="s">
        <v>6</v>
      </c>
      <c r="B2766" t="str">
        <f>"04/19/2020 00:00"</f>
        <v>04/19/2020 00:00</v>
      </c>
      <c r="C2766">
        <v>0</v>
      </c>
      <c r="D2766" t="s">
        <v>7</v>
      </c>
      <c r="E2766" s="2" t="s">
        <v>12</v>
      </c>
      <c r="F2766">
        <f t="shared" si="43"/>
        <v>0</v>
      </c>
      <c r="G2766" t="s">
        <v>16</v>
      </c>
      <c r="H2766" t="s">
        <v>10</v>
      </c>
      <c r="J2766" t="str">
        <f>"04/20/2020 00:39"</f>
        <v>04/20/2020 00:39</v>
      </c>
    </row>
    <row r="2767" spans="1:10" x14ac:dyDescent="0.3">
      <c r="A2767" t="s">
        <v>6</v>
      </c>
      <c r="B2767" t="str">
        <f>"04/20/2020 00:00"</f>
        <v>04/20/2020 00:00</v>
      </c>
      <c r="C2767">
        <v>0</v>
      </c>
      <c r="D2767" t="s">
        <v>7</v>
      </c>
      <c r="E2767" s="2" t="s">
        <v>12</v>
      </c>
      <c r="F2767">
        <f t="shared" si="43"/>
        <v>0</v>
      </c>
      <c r="G2767" t="s">
        <v>16</v>
      </c>
      <c r="H2767" t="s">
        <v>10</v>
      </c>
      <c r="J2767" t="str">
        <f>"04/21/2020 00:39"</f>
        <v>04/21/2020 00:39</v>
      </c>
    </row>
    <row r="2768" spans="1:10" x14ac:dyDescent="0.3">
      <c r="A2768" t="s">
        <v>6</v>
      </c>
      <c r="B2768" t="str">
        <f>"04/21/2020 00:00"</f>
        <v>04/21/2020 00:00</v>
      </c>
      <c r="C2768">
        <v>0</v>
      </c>
      <c r="D2768" t="s">
        <v>7</v>
      </c>
      <c r="E2768" s="2" t="s">
        <v>12</v>
      </c>
      <c r="F2768">
        <f t="shared" si="43"/>
        <v>0</v>
      </c>
      <c r="G2768" t="s">
        <v>16</v>
      </c>
      <c r="H2768" t="s">
        <v>10</v>
      </c>
      <c r="J2768" t="str">
        <f>"04/22/2020 00:39"</f>
        <v>04/22/2020 00:39</v>
      </c>
    </row>
    <row r="2769" spans="1:10" x14ac:dyDescent="0.3">
      <c r="A2769" t="s">
        <v>6</v>
      </c>
      <c r="B2769" t="str">
        <f>"04/22/2020 00:00"</f>
        <v>04/22/2020 00:00</v>
      </c>
      <c r="C2769">
        <v>0</v>
      </c>
      <c r="D2769" t="s">
        <v>7</v>
      </c>
      <c r="E2769" s="2" t="s">
        <v>12</v>
      </c>
      <c r="F2769">
        <f t="shared" si="43"/>
        <v>0</v>
      </c>
      <c r="G2769" t="s">
        <v>16</v>
      </c>
      <c r="H2769" t="s">
        <v>10</v>
      </c>
      <c r="J2769" t="str">
        <f>"04/23/2020 00:39"</f>
        <v>04/23/2020 00:39</v>
      </c>
    </row>
    <row r="2770" spans="1:10" x14ac:dyDescent="0.3">
      <c r="A2770" t="s">
        <v>6</v>
      </c>
      <c r="B2770" t="str">
        <f>"04/23/2020 00:00"</f>
        <v>04/23/2020 00:00</v>
      </c>
      <c r="C2770">
        <v>0</v>
      </c>
      <c r="D2770" t="s">
        <v>7</v>
      </c>
      <c r="E2770" s="2" t="s">
        <v>12</v>
      </c>
      <c r="F2770">
        <f t="shared" si="43"/>
        <v>0</v>
      </c>
      <c r="G2770" t="s">
        <v>16</v>
      </c>
      <c r="H2770" t="s">
        <v>10</v>
      </c>
      <c r="J2770" t="str">
        <f>"04/24/2020 00:39"</f>
        <v>04/24/2020 00:39</v>
      </c>
    </row>
    <row r="2771" spans="1:10" x14ac:dyDescent="0.3">
      <c r="A2771" t="s">
        <v>6</v>
      </c>
      <c r="B2771" t="str">
        <f>"04/24/2020 00:00"</f>
        <v>04/24/2020 00:00</v>
      </c>
      <c r="C2771">
        <v>0</v>
      </c>
      <c r="D2771" t="s">
        <v>7</v>
      </c>
      <c r="E2771" s="2" t="s">
        <v>12</v>
      </c>
      <c r="F2771">
        <f t="shared" si="43"/>
        <v>0</v>
      </c>
      <c r="G2771" t="s">
        <v>16</v>
      </c>
      <c r="H2771" t="s">
        <v>10</v>
      </c>
      <c r="J2771" t="str">
        <f>"04/25/2020 00:39"</f>
        <v>04/25/2020 00:39</v>
      </c>
    </row>
    <row r="2772" spans="1:10" x14ac:dyDescent="0.3">
      <c r="A2772" t="s">
        <v>6</v>
      </c>
      <c r="B2772" t="str">
        <f>"04/25/2020 00:00"</f>
        <v>04/25/2020 00:00</v>
      </c>
      <c r="C2772">
        <v>0</v>
      </c>
      <c r="D2772" t="s">
        <v>7</v>
      </c>
      <c r="E2772" s="2" t="s">
        <v>12</v>
      </c>
      <c r="F2772">
        <f t="shared" si="43"/>
        <v>0</v>
      </c>
      <c r="G2772" t="s">
        <v>16</v>
      </c>
      <c r="H2772" t="s">
        <v>10</v>
      </c>
      <c r="J2772" t="str">
        <f>"04/26/2020 00:39"</f>
        <v>04/26/2020 00:39</v>
      </c>
    </row>
    <row r="2773" spans="1:10" x14ac:dyDescent="0.3">
      <c r="A2773" t="s">
        <v>6</v>
      </c>
      <c r="B2773" t="str">
        <f>"04/26/2020 00:00"</f>
        <v>04/26/2020 00:00</v>
      </c>
      <c r="C2773">
        <v>0</v>
      </c>
      <c r="D2773" t="s">
        <v>7</v>
      </c>
      <c r="E2773" s="2" t="s">
        <v>12</v>
      </c>
      <c r="F2773">
        <f t="shared" si="43"/>
        <v>0</v>
      </c>
      <c r="G2773" t="s">
        <v>16</v>
      </c>
      <c r="H2773" t="s">
        <v>10</v>
      </c>
      <c r="J2773" t="str">
        <f>"04/27/2020 00:39"</f>
        <v>04/27/2020 00:39</v>
      </c>
    </row>
    <row r="2774" spans="1:10" x14ac:dyDescent="0.3">
      <c r="A2774" t="s">
        <v>6</v>
      </c>
      <c r="B2774" t="str">
        <f>"04/27/2020 00:00"</f>
        <v>04/27/2020 00:00</v>
      </c>
      <c r="C2774">
        <v>0</v>
      </c>
      <c r="D2774" t="s">
        <v>7</v>
      </c>
      <c r="E2774" s="2" t="s">
        <v>12</v>
      </c>
      <c r="F2774">
        <f t="shared" si="43"/>
        <v>0</v>
      </c>
      <c r="G2774" t="s">
        <v>16</v>
      </c>
      <c r="H2774" t="s">
        <v>10</v>
      </c>
      <c r="J2774" t="str">
        <f>"04/28/2020 00:39"</f>
        <v>04/28/2020 00:39</v>
      </c>
    </row>
    <row r="2775" spans="1:10" x14ac:dyDescent="0.3">
      <c r="A2775" t="s">
        <v>6</v>
      </c>
      <c r="B2775" t="str">
        <f>"04/28/2020 00:00"</f>
        <v>04/28/2020 00:00</v>
      </c>
      <c r="C2775">
        <v>0</v>
      </c>
      <c r="D2775" t="s">
        <v>7</v>
      </c>
      <c r="E2775" s="2" t="s">
        <v>12</v>
      </c>
      <c r="F2775">
        <f t="shared" si="43"/>
        <v>0</v>
      </c>
      <c r="G2775" t="s">
        <v>16</v>
      </c>
      <c r="H2775" t="s">
        <v>10</v>
      </c>
      <c r="J2775" t="str">
        <f>"04/29/2020 00:39"</f>
        <v>04/29/2020 00:39</v>
      </c>
    </row>
    <row r="2776" spans="1:10" x14ac:dyDescent="0.3">
      <c r="A2776" t="s">
        <v>6</v>
      </c>
      <c r="B2776" t="str">
        <f>"04/29/2020 00:00"</f>
        <v>04/29/2020 00:00</v>
      </c>
      <c r="C2776">
        <v>0</v>
      </c>
      <c r="D2776" t="s">
        <v>7</v>
      </c>
      <c r="E2776" s="2" t="s">
        <v>12</v>
      </c>
      <c r="F2776">
        <f t="shared" si="43"/>
        <v>0</v>
      </c>
      <c r="G2776" t="s">
        <v>16</v>
      </c>
      <c r="H2776" t="s">
        <v>10</v>
      </c>
      <c r="J2776" t="str">
        <f>"04/30/2020 00:39"</f>
        <v>04/30/2020 00:39</v>
      </c>
    </row>
    <row r="2777" spans="1:10" x14ac:dyDescent="0.3">
      <c r="A2777" t="s">
        <v>6</v>
      </c>
      <c r="B2777" t="str">
        <f>"04/30/2020 00:00"</f>
        <v>04/30/2020 00:00</v>
      </c>
      <c r="C2777">
        <v>0</v>
      </c>
      <c r="D2777" t="s">
        <v>7</v>
      </c>
      <c r="E2777" s="2" t="s">
        <v>12</v>
      </c>
      <c r="F2777">
        <f t="shared" si="43"/>
        <v>0</v>
      </c>
      <c r="G2777" t="s">
        <v>16</v>
      </c>
      <c r="H2777" t="s">
        <v>10</v>
      </c>
      <c r="J2777" t="str">
        <f>"05/01/2020 00:39"</f>
        <v>05/01/2020 00:39</v>
      </c>
    </row>
    <row r="2778" spans="1:10" x14ac:dyDescent="0.3">
      <c r="A2778" t="s">
        <v>6</v>
      </c>
      <c r="B2778" t="str">
        <f>"05/01/2020 00:00"</f>
        <v>05/01/2020 00:00</v>
      </c>
      <c r="C2778">
        <v>0</v>
      </c>
      <c r="D2778" t="s">
        <v>7</v>
      </c>
      <c r="E2778" s="2" t="s">
        <v>12</v>
      </c>
      <c r="F2778">
        <f t="shared" si="43"/>
        <v>0</v>
      </c>
      <c r="G2778" t="s">
        <v>16</v>
      </c>
      <c r="H2778" t="s">
        <v>10</v>
      </c>
      <c r="J2778" t="str">
        <f>"05/02/2020 00:39"</f>
        <v>05/02/2020 00:39</v>
      </c>
    </row>
    <row r="2779" spans="1:10" x14ac:dyDescent="0.3">
      <c r="A2779" t="s">
        <v>6</v>
      </c>
      <c r="B2779" t="str">
        <f>"05/02/2020 00:00"</f>
        <v>05/02/2020 00:00</v>
      </c>
      <c r="C2779">
        <v>0</v>
      </c>
      <c r="D2779" t="s">
        <v>7</v>
      </c>
      <c r="E2779" s="2" t="s">
        <v>12</v>
      </c>
      <c r="F2779">
        <f t="shared" si="43"/>
        <v>0</v>
      </c>
      <c r="G2779" t="s">
        <v>16</v>
      </c>
      <c r="H2779" t="s">
        <v>10</v>
      </c>
      <c r="J2779" t="str">
        <f>"05/03/2020 00:39"</f>
        <v>05/03/2020 00:39</v>
      </c>
    </row>
    <row r="2780" spans="1:10" x14ac:dyDescent="0.3">
      <c r="A2780" t="s">
        <v>6</v>
      </c>
      <c r="B2780" t="str">
        <f>"05/03/2020 00:00"</f>
        <v>05/03/2020 00:00</v>
      </c>
      <c r="C2780">
        <v>0</v>
      </c>
      <c r="D2780" t="s">
        <v>7</v>
      </c>
      <c r="E2780" s="2" t="s">
        <v>12</v>
      </c>
      <c r="F2780">
        <f t="shared" si="43"/>
        <v>0</v>
      </c>
      <c r="G2780" t="s">
        <v>16</v>
      </c>
      <c r="H2780" t="s">
        <v>10</v>
      </c>
      <c r="J2780" t="str">
        <f>"05/04/2020 00:39"</f>
        <v>05/04/2020 00:39</v>
      </c>
    </row>
    <row r="2781" spans="1:10" x14ac:dyDescent="0.3">
      <c r="A2781" t="s">
        <v>6</v>
      </c>
      <c r="B2781" t="str">
        <f>"05/04/2020 00:00"</f>
        <v>05/04/2020 00:00</v>
      </c>
      <c r="C2781">
        <v>0</v>
      </c>
      <c r="D2781" t="s">
        <v>7</v>
      </c>
      <c r="E2781" s="2" t="s">
        <v>12</v>
      </c>
      <c r="F2781">
        <f t="shared" si="43"/>
        <v>0</v>
      </c>
      <c r="G2781" t="s">
        <v>16</v>
      </c>
      <c r="H2781" t="s">
        <v>10</v>
      </c>
      <c r="J2781" t="str">
        <f>"05/05/2020 00:39"</f>
        <v>05/05/2020 00:39</v>
      </c>
    </row>
    <row r="2782" spans="1:10" x14ac:dyDescent="0.3">
      <c r="A2782" t="s">
        <v>6</v>
      </c>
      <c r="B2782" t="str">
        <f>"05/05/2020 00:00"</f>
        <v>05/05/2020 00:00</v>
      </c>
      <c r="C2782">
        <v>0</v>
      </c>
      <c r="D2782" t="s">
        <v>7</v>
      </c>
      <c r="E2782" s="2" t="s">
        <v>12</v>
      </c>
      <c r="F2782">
        <f t="shared" si="43"/>
        <v>0</v>
      </c>
      <c r="G2782" t="s">
        <v>16</v>
      </c>
      <c r="H2782" t="s">
        <v>10</v>
      </c>
      <c r="J2782" t="str">
        <f>"05/06/2020 00:39"</f>
        <v>05/06/2020 00:39</v>
      </c>
    </row>
    <row r="2783" spans="1:10" x14ac:dyDescent="0.3">
      <c r="A2783" t="s">
        <v>6</v>
      </c>
      <c r="B2783" t="str">
        <f>"05/06/2020 00:00"</f>
        <v>05/06/2020 00:00</v>
      </c>
      <c r="C2783">
        <v>0</v>
      </c>
      <c r="D2783" t="s">
        <v>7</v>
      </c>
      <c r="E2783" s="2" t="s">
        <v>12</v>
      </c>
      <c r="F2783">
        <f t="shared" si="43"/>
        <v>0</v>
      </c>
      <c r="G2783" t="s">
        <v>16</v>
      </c>
      <c r="H2783" t="s">
        <v>10</v>
      </c>
      <c r="J2783" t="str">
        <f>"05/07/2020 00:39"</f>
        <v>05/07/2020 00:39</v>
      </c>
    </row>
    <row r="2784" spans="1:10" x14ac:dyDescent="0.3">
      <c r="A2784" t="s">
        <v>6</v>
      </c>
      <c r="B2784" t="str">
        <f>"05/07/2020 00:00"</f>
        <v>05/07/2020 00:00</v>
      </c>
      <c r="C2784">
        <v>0</v>
      </c>
      <c r="D2784" t="s">
        <v>7</v>
      </c>
      <c r="E2784" s="2" t="s">
        <v>12</v>
      </c>
      <c r="F2784">
        <f t="shared" si="43"/>
        <v>0</v>
      </c>
      <c r="G2784" t="s">
        <v>16</v>
      </c>
      <c r="H2784" t="s">
        <v>10</v>
      </c>
      <c r="J2784" t="str">
        <f>"05/08/2020 00:39"</f>
        <v>05/08/2020 00:39</v>
      </c>
    </row>
    <row r="2785" spans="1:10" x14ac:dyDescent="0.3">
      <c r="A2785" t="s">
        <v>6</v>
      </c>
      <c r="B2785" t="str">
        <f>"05/08/2020 00:00"</f>
        <v>05/08/2020 00:00</v>
      </c>
      <c r="C2785">
        <v>0</v>
      </c>
      <c r="D2785" t="s">
        <v>7</v>
      </c>
      <c r="E2785" s="2" t="s">
        <v>12</v>
      </c>
      <c r="F2785">
        <f t="shared" si="43"/>
        <v>0</v>
      </c>
      <c r="G2785" t="s">
        <v>16</v>
      </c>
      <c r="H2785" t="s">
        <v>10</v>
      </c>
      <c r="J2785" t="str">
        <f>"05/09/2020 00:39"</f>
        <v>05/09/2020 00:39</v>
      </c>
    </row>
    <row r="2786" spans="1:10" x14ac:dyDescent="0.3">
      <c r="A2786" t="s">
        <v>6</v>
      </c>
      <c r="B2786" t="str">
        <f>"05/09/2020 00:00"</f>
        <v>05/09/2020 00:00</v>
      </c>
      <c r="C2786">
        <v>0</v>
      </c>
      <c r="D2786" t="s">
        <v>7</v>
      </c>
      <c r="E2786" s="2" t="s">
        <v>12</v>
      </c>
      <c r="F2786">
        <f t="shared" si="43"/>
        <v>0</v>
      </c>
      <c r="G2786" t="s">
        <v>16</v>
      </c>
      <c r="H2786" t="s">
        <v>10</v>
      </c>
      <c r="J2786" t="str">
        <f>"05/10/2020 00:39"</f>
        <v>05/10/2020 00:39</v>
      </c>
    </row>
    <row r="2787" spans="1:10" x14ac:dyDescent="0.3">
      <c r="A2787" t="s">
        <v>6</v>
      </c>
      <c r="B2787" t="str">
        <f>"05/10/2020 00:00"</f>
        <v>05/10/2020 00:00</v>
      </c>
      <c r="C2787">
        <v>0</v>
      </c>
      <c r="D2787" t="s">
        <v>7</v>
      </c>
      <c r="E2787" s="2" t="s">
        <v>12</v>
      </c>
      <c r="F2787">
        <f t="shared" si="43"/>
        <v>0</v>
      </c>
      <c r="G2787" t="s">
        <v>16</v>
      </c>
      <c r="H2787" t="s">
        <v>10</v>
      </c>
      <c r="J2787" t="str">
        <f>"05/11/2020 00:39"</f>
        <v>05/11/2020 00:39</v>
      </c>
    </row>
    <row r="2788" spans="1:10" x14ac:dyDescent="0.3">
      <c r="A2788" t="s">
        <v>6</v>
      </c>
      <c r="B2788" t="str">
        <f>"05/11/2020 00:00"</f>
        <v>05/11/2020 00:00</v>
      </c>
      <c r="C2788">
        <v>0</v>
      </c>
      <c r="D2788" t="s">
        <v>7</v>
      </c>
      <c r="E2788" s="2" t="s">
        <v>12</v>
      </c>
      <c r="F2788">
        <f t="shared" si="43"/>
        <v>0</v>
      </c>
      <c r="G2788" t="s">
        <v>16</v>
      </c>
      <c r="H2788" t="s">
        <v>10</v>
      </c>
      <c r="J2788" t="str">
        <f>"05/12/2020 00:39"</f>
        <v>05/12/2020 00:39</v>
      </c>
    </row>
    <row r="2789" spans="1:10" x14ac:dyDescent="0.3">
      <c r="A2789" t="s">
        <v>6</v>
      </c>
      <c r="B2789" t="str">
        <f>"05/12/2020 00:00"</f>
        <v>05/12/2020 00:00</v>
      </c>
      <c r="C2789">
        <v>0</v>
      </c>
      <c r="D2789" t="s">
        <v>7</v>
      </c>
      <c r="E2789" s="2" t="s">
        <v>12</v>
      </c>
      <c r="F2789">
        <f t="shared" si="43"/>
        <v>0</v>
      </c>
      <c r="G2789" t="s">
        <v>16</v>
      </c>
      <c r="H2789" t="s">
        <v>10</v>
      </c>
      <c r="J2789" t="str">
        <f>"05/13/2020 00:39"</f>
        <v>05/13/2020 00:39</v>
      </c>
    </row>
    <row r="2790" spans="1:10" x14ac:dyDescent="0.3">
      <c r="A2790" t="s">
        <v>6</v>
      </c>
      <c r="B2790" t="str">
        <f>"05/13/2020 00:00"</f>
        <v>05/13/2020 00:00</v>
      </c>
      <c r="C2790">
        <v>0</v>
      </c>
      <c r="D2790" t="s">
        <v>7</v>
      </c>
      <c r="E2790" s="2" t="s">
        <v>12</v>
      </c>
      <c r="F2790">
        <f t="shared" si="43"/>
        <v>0</v>
      </c>
      <c r="G2790" t="s">
        <v>16</v>
      </c>
      <c r="H2790" t="s">
        <v>10</v>
      </c>
      <c r="J2790" t="str">
        <f>"05/14/2020 00:39"</f>
        <v>05/14/2020 00:39</v>
      </c>
    </row>
    <row r="2791" spans="1:10" x14ac:dyDescent="0.3">
      <c r="A2791" t="s">
        <v>6</v>
      </c>
      <c r="B2791" t="str">
        <f>"05/14/2020 00:00"</f>
        <v>05/14/2020 00:00</v>
      </c>
      <c r="C2791">
        <v>7.9200000000000007E-2</v>
      </c>
      <c r="D2791" t="s">
        <v>7</v>
      </c>
      <c r="E2791" s="2" t="s">
        <v>12</v>
      </c>
      <c r="F2791">
        <f t="shared" si="43"/>
        <v>0.15705360000000002</v>
      </c>
      <c r="G2791" t="s">
        <v>16</v>
      </c>
      <c r="H2791" t="s">
        <v>10</v>
      </c>
      <c r="J2791" t="str">
        <f>"05/15/2020 00:39"</f>
        <v>05/15/2020 00:39</v>
      </c>
    </row>
    <row r="2792" spans="1:10" x14ac:dyDescent="0.3">
      <c r="A2792" t="s">
        <v>6</v>
      </c>
      <c r="B2792" t="str">
        <f>"05/15/2020 00:00"</f>
        <v>05/15/2020 00:00</v>
      </c>
      <c r="C2792">
        <v>0.1</v>
      </c>
      <c r="D2792" t="s">
        <v>7</v>
      </c>
      <c r="E2792" s="2" t="s">
        <v>12</v>
      </c>
      <c r="F2792">
        <f t="shared" si="43"/>
        <v>0.19830000000000003</v>
      </c>
      <c r="G2792" t="s">
        <v>16</v>
      </c>
      <c r="H2792" t="s">
        <v>10</v>
      </c>
      <c r="J2792" t="str">
        <f>"05/16/2020 00:39"</f>
        <v>05/16/2020 00:39</v>
      </c>
    </row>
    <row r="2793" spans="1:10" x14ac:dyDescent="0.3">
      <c r="A2793" t="s">
        <v>6</v>
      </c>
      <c r="B2793" t="str">
        <f>"05/16/2020 00:00"</f>
        <v>05/16/2020 00:00</v>
      </c>
      <c r="C2793">
        <v>0.1</v>
      </c>
      <c r="D2793" t="s">
        <v>7</v>
      </c>
      <c r="E2793" s="2" t="s">
        <v>12</v>
      </c>
      <c r="F2793">
        <f t="shared" si="43"/>
        <v>0.19830000000000003</v>
      </c>
      <c r="G2793" t="s">
        <v>16</v>
      </c>
      <c r="H2793" t="s">
        <v>10</v>
      </c>
      <c r="J2793" t="str">
        <f>"05/17/2020 00:39"</f>
        <v>05/17/2020 00:39</v>
      </c>
    </row>
    <row r="2794" spans="1:10" x14ac:dyDescent="0.3">
      <c r="A2794" t="s">
        <v>6</v>
      </c>
      <c r="B2794" t="str">
        <f>"05/17/2020 00:00"</f>
        <v>05/17/2020 00:00</v>
      </c>
      <c r="C2794">
        <v>7.5499999999999998E-2</v>
      </c>
      <c r="D2794" t="s">
        <v>7</v>
      </c>
      <c r="E2794" s="2" t="s">
        <v>12</v>
      </c>
      <c r="F2794">
        <f t="shared" si="43"/>
        <v>0.1497165</v>
      </c>
      <c r="G2794" t="s">
        <v>16</v>
      </c>
      <c r="H2794" t="s">
        <v>10</v>
      </c>
      <c r="J2794" t="str">
        <f>"05/18/2020 00:39"</f>
        <v>05/18/2020 00:39</v>
      </c>
    </row>
    <row r="2795" spans="1:10" x14ac:dyDescent="0.3">
      <c r="A2795" t="s">
        <v>6</v>
      </c>
      <c r="B2795" t="str">
        <f>"05/18/2020 00:00"</f>
        <v>05/18/2020 00:00</v>
      </c>
      <c r="C2795">
        <v>0.05</v>
      </c>
      <c r="D2795" t="s">
        <v>7</v>
      </c>
      <c r="E2795" s="2" t="s">
        <v>12</v>
      </c>
      <c r="F2795">
        <f t="shared" si="43"/>
        <v>9.9150000000000016E-2</v>
      </c>
      <c r="G2795" t="s">
        <v>16</v>
      </c>
      <c r="H2795" t="s">
        <v>10</v>
      </c>
      <c r="J2795" t="str">
        <f>"05/19/2020 00:39"</f>
        <v>05/19/2020 00:39</v>
      </c>
    </row>
    <row r="2796" spans="1:10" x14ac:dyDescent="0.3">
      <c r="A2796" t="s">
        <v>6</v>
      </c>
      <c r="B2796" t="str">
        <f>"05/19/2020 00:00"</f>
        <v>05/19/2020 00:00</v>
      </c>
      <c r="C2796">
        <v>0.05</v>
      </c>
      <c r="D2796" t="s">
        <v>7</v>
      </c>
      <c r="E2796" s="2" t="s">
        <v>12</v>
      </c>
      <c r="F2796">
        <f t="shared" si="43"/>
        <v>9.9150000000000016E-2</v>
      </c>
      <c r="G2796" t="s">
        <v>16</v>
      </c>
      <c r="H2796" t="s">
        <v>10</v>
      </c>
      <c r="J2796" t="str">
        <f>"05/20/2020 00:39"</f>
        <v>05/20/2020 00:39</v>
      </c>
    </row>
    <row r="2797" spans="1:10" x14ac:dyDescent="0.3">
      <c r="A2797" t="s">
        <v>6</v>
      </c>
      <c r="B2797" t="str">
        <f>"05/20/2020 00:00"</f>
        <v>05/20/2020 00:00</v>
      </c>
      <c r="C2797">
        <v>0.05</v>
      </c>
      <c r="D2797" t="s">
        <v>7</v>
      </c>
      <c r="E2797" s="2" t="s">
        <v>12</v>
      </c>
      <c r="F2797">
        <f t="shared" si="43"/>
        <v>9.9150000000000016E-2</v>
      </c>
      <c r="G2797" t="s">
        <v>16</v>
      </c>
      <c r="H2797" t="s">
        <v>10</v>
      </c>
      <c r="J2797" t="str">
        <f>"05/21/2020 00:39"</f>
        <v>05/21/2020 00:39</v>
      </c>
    </row>
    <row r="2798" spans="1:10" x14ac:dyDescent="0.3">
      <c r="A2798" t="s">
        <v>6</v>
      </c>
      <c r="B2798" t="str">
        <f>"05/21/2020 00:00"</f>
        <v>05/21/2020 00:00</v>
      </c>
      <c r="C2798">
        <v>0.05</v>
      </c>
      <c r="D2798" t="s">
        <v>7</v>
      </c>
      <c r="E2798" s="2" t="s">
        <v>12</v>
      </c>
      <c r="F2798">
        <f t="shared" si="43"/>
        <v>9.9150000000000016E-2</v>
      </c>
      <c r="G2798" t="s">
        <v>16</v>
      </c>
      <c r="H2798" t="s">
        <v>10</v>
      </c>
      <c r="J2798" t="str">
        <f>"05/22/2020 00:39"</f>
        <v>05/22/2020 00:39</v>
      </c>
    </row>
    <row r="2799" spans="1:10" x14ac:dyDescent="0.3">
      <c r="A2799" t="s">
        <v>6</v>
      </c>
      <c r="B2799" t="str">
        <f>"05/22/2020 00:00"</f>
        <v>05/22/2020 00:00</v>
      </c>
      <c r="C2799">
        <v>0.05</v>
      </c>
      <c r="D2799" t="s">
        <v>7</v>
      </c>
      <c r="E2799" s="2" t="s">
        <v>12</v>
      </c>
      <c r="F2799">
        <f t="shared" si="43"/>
        <v>9.9150000000000016E-2</v>
      </c>
      <c r="G2799" t="s">
        <v>16</v>
      </c>
      <c r="H2799" t="s">
        <v>10</v>
      </c>
      <c r="J2799" t="str">
        <f>"05/23/2020 00:39"</f>
        <v>05/23/2020 00:39</v>
      </c>
    </row>
    <row r="2800" spans="1:10" x14ac:dyDescent="0.3">
      <c r="A2800" t="s">
        <v>6</v>
      </c>
      <c r="B2800" t="str">
        <f>"05/23/2020 00:00"</f>
        <v>05/23/2020 00:00</v>
      </c>
      <c r="C2800">
        <v>0.05</v>
      </c>
      <c r="D2800" t="s">
        <v>7</v>
      </c>
      <c r="E2800" s="2" t="s">
        <v>12</v>
      </c>
      <c r="F2800">
        <f t="shared" si="43"/>
        <v>9.9150000000000016E-2</v>
      </c>
      <c r="G2800" t="s">
        <v>16</v>
      </c>
      <c r="H2800" t="s">
        <v>10</v>
      </c>
      <c r="J2800" t="str">
        <f>"05/24/2020 00:39"</f>
        <v>05/24/2020 00:39</v>
      </c>
    </row>
    <row r="2801" spans="1:10" x14ac:dyDescent="0.3">
      <c r="A2801" t="s">
        <v>6</v>
      </c>
      <c r="B2801" t="str">
        <f>"05/24/2020 00:00"</f>
        <v>05/24/2020 00:00</v>
      </c>
      <c r="C2801">
        <v>0.05</v>
      </c>
      <c r="D2801" t="s">
        <v>7</v>
      </c>
      <c r="E2801" s="2" t="s">
        <v>12</v>
      </c>
      <c r="F2801">
        <f t="shared" si="43"/>
        <v>9.9150000000000016E-2</v>
      </c>
      <c r="G2801" t="s">
        <v>16</v>
      </c>
      <c r="H2801" t="s">
        <v>10</v>
      </c>
      <c r="J2801" t="str">
        <f>"05/25/2020 00:39"</f>
        <v>05/25/2020 00:39</v>
      </c>
    </row>
    <row r="2802" spans="1:10" x14ac:dyDescent="0.3">
      <c r="A2802" t="s">
        <v>6</v>
      </c>
      <c r="B2802" t="str">
        <f>"05/25/2020 00:00"</f>
        <v>05/25/2020 00:00</v>
      </c>
      <c r="C2802">
        <v>0.05</v>
      </c>
      <c r="D2802" t="s">
        <v>7</v>
      </c>
      <c r="E2802" s="2" t="s">
        <v>12</v>
      </c>
      <c r="F2802">
        <f t="shared" si="43"/>
        <v>9.9150000000000016E-2</v>
      </c>
      <c r="G2802" t="s">
        <v>16</v>
      </c>
      <c r="H2802" t="s">
        <v>10</v>
      </c>
      <c r="J2802" t="str">
        <f>"05/26/2020 00:39"</f>
        <v>05/26/2020 00:39</v>
      </c>
    </row>
    <row r="2803" spans="1:10" x14ac:dyDescent="0.3">
      <c r="A2803" t="s">
        <v>6</v>
      </c>
      <c r="B2803" t="str">
        <f>"05/26/2020 00:00"</f>
        <v>05/26/2020 00:00</v>
      </c>
      <c r="C2803">
        <v>49.5</v>
      </c>
      <c r="D2803" t="s">
        <v>7</v>
      </c>
      <c r="E2803" s="2" t="s">
        <v>12</v>
      </c>
      <c r="F2803">
        <f t="shared" si="43"/>
        <v>98.158500000000004</v>
      </c>
      <c r="G2803" t="s">
        <v>16</v>
      </c>
      <c r="H2803" t="s">
        <v>10</v>
      </c>
      <c r="J2803" t="str">
        <f>"05/27/2020 00:39"</f>
        <v>05/27/2020 00:39</v>
      </c>
    </row>
    <row r="2804" spans="1:10" x14ac:dyDescent="0.3">
      <c r="A2804" t="s">
        <v>6</v>
      </c>
      <c r="B2804" t="str">
        <f>"05/27/2020 00:00"</f>
        <v>05/27/2020 00:00</v>
      </c>
      <c r="C2804">
        <v>163</v>
      </c>
      <c r="D2804" t="s">
        <v>7</v>
      </c>
      <c r="E2804" s="2" t="s">
        <v>12</v>
      </c>
      <c r="F2804">
        <f t="shared" si="43"/>
        <v>323.22900000000004</v>
      </c>
      <c r="G2804" t="s">
        <v>16</v>
      </c>
      <c r="H2804" t="s">
        <v>10</v>
      </c>
      <c r="J2804" t="str">
        <f>"05/28/2020 00:39"</f>
        <v>05/28/2020 00:39</v>
      </c>
    </row>
    <row r="2805" spans="1:10" x14ac:dyDescent="0.3">
      <c r="A2805" t="s">
        <v>6</v>
      </c>
      <c r="B2805" t="str">
        <f>"05/28/2020 00:00"</f>
        <v>05/28/2020 00:00</v>
      </c>
      <c r="C2805">
        <v>267</v>
      </c>
      <c r="D2805" t="s">
        <v>7</v>
      </c>
      <c r="E2805" s="2" t="s">
        <v>12</v>
      </c>
      <c r="F2805">
        <f t="shared" si="43"/>
        <v>529.46100000000001</v>
      </c>
      <c r="G2805" t="s">
        <v>16</v>
      </c>
      <c r="H2805" t="s">
        <v>10</v>
      </c>
      <c r="J2805" t="str">
        <f>"05/29/2020 00:39"</f>
        <v>05/29/2020 00:39</v>
      </c>
    </row>
    <row r="2806" spans="1:10" x14ac:dyDescent="0.3">
      <c r="A2806" t="s">
        <v>6</v>
      </c>
      <c r="B2806" t="str">
        <f>"05/29/2020 00:00"</f>
        <v>05/29/2020 00:00</v>
      </c>
      <c r="C2806">
        <v>171</v>
      </c>
      <c r="D2806" t="s">
        <v>7</v>
      </c>
      <c r="E2806" s="2" t="s">
        <v>12</v>
      </c>
      <c r="F2806">
        <f t="shared" si="43"/>
        <v>339.09300000000002</v>
      </c>
      <c r="G2806" t="s">
        <v>16</v>
      </c>
      <c r="H2806" t="s">
        <v>10</v>
      </c>
      <c r="J2806" t="str">
        <f>"05/30/2020 00:39"</f>
        <v>05/30/2020 00:39</v>
      </c>
    </row>
    <row r="2807" spans="1:10" x14ac:dyDescent="0.3">
      <c r="A2807" t="s">
        <v>6</v>
      </c>
      <c r="B2807" t="str">
        <f>"05/30/2020 00:00"</f>
        <v>05/30/2020 00:00</v>
      </c>
      <c r="C2807">
        <v>199</v>
      </c>
      <c r="D2807" t="s">
        <v>7</v>
      </c>
      <c r="E2807" s="2" t="s">
        <v>12</v>
      </c>
      <c r="F2807">
        <f t="shared" si="43"/>
        <v>394.61700000000002</v>
      </c>
      <c r="G2807" t="s">
        <v>16</v>
      </c>
      <c r="H2807" t="s">
        <v>10</v>
      </c>
      <c r="J2807" t="str">
        <f>"05/31/2020 00:39"</f>
        <v>05/31/2020 00:39</v>
      </c>
    </row>
    <row r="2808" spans="1:10" x14ac:dyDescent="0.3">
      <c r="A2808" t="s">
        <v>6</v>
      </c>
      <c r="B2808" t="str">
        <f>"05/31/2020 00:00"</f>
        <v>05/31/2020 00:00</v>
      </c>
      <c r="C2808">
        <v>224</v>
      </c>
      <c r="D2808" t="s">
        <v>7</v>
      </c>
      <c r="E2808" s="2" t="s">
        <v>12</v>
      </c>
      <c r="F2808">
        <f t="shared" si="43"/>
        <v>444.19200000000001</v>
      </c>
      <c r="G2808" t="s">
        <v>16</v>
      </c>
      <c r="H2808" t="s">
        <v>10</v>
      </c>
      <c r="J2808" t="str">
        <f>"06/01/2020 00:39"</f>
        <v>06/01/2020 00:39</v>
      </c>
    </row>
    <row r="2809" spans="1:10" x14ac:dyDescent="0.3">
      <c r="A2809" t="s">
        <v>6</v>
      </c>
      <c r="B2809" t="str">
        <f>"06/01/2020 00:00"</f>
        <v>06/01/2020 00:00</v>
      </c>
      <c r="C2809">
        <v>264</v>
      </c>
      <c r="D2809" t="s">
        <v>7</v>
      </c>
      <c r="E2809" s="2" t="s">
        <v>12</v>
      </c>
      <c r="F2809">
        <f t="shared" si="43"/>
        <v>523.51200000000006</v>
      </c>
      <c r="G2809" t="s">
        <v>16</v>
      </c>
      <c r="H2809" t="s">
        <v>10</v>
      </c>
      <c r="J2809" t="str">
        <f>"06/02/2020 00:39"</f>
        <v>06/02/2020 00:39</v>
      </c>
    </row>
    <row r="2810" spans="1:10" x14ac:dyDescent="0.3">
      <c r="A2810" t="s">
        <v>6</v>
      </c>
      <c r="B2810" t="str">
        <f>"06/02/2020 00:00"</f>
        <v>06/02/2020 00:00</v>
      </c>
      <c r="C2810">
        <v>220</v>
      </c>
      <c r="D2810" t="s">
        <v>7</v>
      </c>
      <c r="E2810" s="2" t="s">
        <v>12</v>
      </c>
      <c r="F2810">
        <f t="shared" si="43"/>
        <v>436.26000000000005</v>
      </c>
      <c r="G2810" t="s">
        <v>16</v>
      </c>
      <c r="H2810" t="s">
        <v>10</v>
      </c>
      <c r="J2810" t="str">
        <f>"06/03/2020 00:39"</f>
        <v>06/03/2020 00:39</v>
      </c>
    </row>
    <row r="2811" spans="1:10" x14ac:dyDescent="0.3">
      <c r="A2811" t="s">
        <v>6</v>
      </c>
      <c r="B2811" t="str">
        <f>"06/03/2020 00:00"</f>
        <v>06/03/2020 00:00</v>
      </c>
      <c r="C2811">
        <v>297</v>
      </c>
      <c r="D2811" t="s">
        <v>7</v>
      </c>
      <c r="E2811" s="2" t="s">
        <v>12</v>
      </c>
      <c r="F2811">
        <f t="shared" si="43"/>
        <v>588.95100000000002</v>
      </c>
      <c r="G2811" t="s">
        <v>16</v>
      </c>
      <c r="H2811" t="s">
        <v>10</v>
      </c>
      <c r="J2811" t="str">
        <f>"06/04/2020 00:39"</f>
        <v>06/04/2020 00:39</v>
      </c>
    </row>
    <row r="2812" spans="1:10" x14ac:dyDescent="0.3">
      <c r="A2812" t="s">
        <v>6</v>
      </c>
      <c r="B2812" t="str">
        <f>"06/04/2020 00:00"</f>
        <v>06/04/2020 00:00</v>
      </c>
      <c r="C2812">
        <v>297</v>
      </c>
      <c r="D2812" t="s">
        <v>7</v>
      </c>
      <c r="E2812" s="2" t="s">
        <v>12</v>
      </c>
      <c r="F2812">
        <f t="shared" si="43"/>
        <v>588.95100000000002</v>
      </c>
      <c r="G2812" t="s">
        <v>16</v>
      </c>
      <c r="H2812" t="s">
        <v>10</v>
      </c>
      <c r="J2812" t="str">
        <f>"06/05/2020 00:39"</f>
        <v>06/05/2020 00:39</v>
      </c>
    </row>
    <row r="2813" spans="1:10" x14ac:dyDescent="0.3">
      <c r="A2813" t="s">
        <v>6</v>
      </c>
      <c r="B2813" t="str">
        <f>"06/05/2020 00:00"</f>
        <v>06/05/2020 00:00</v>
      </c>
      <c r="C2813">
        <v>335</v>
      </c>
      <c r="D2813" t="s">
        <v>7</v>
      </c>
      <c r="E2813" s="2" t="s">
        <v>12</v>
      </c>
      <c r="F2813">
        <f t="shared" si="43"/>
        <v>664.30500000000006</v>
      </c>
      <c r="G2813" t="s">
        <v>16</v>
      </c>
      <c r="H2813" t="s">
        <v>10</v>
      </c>
      <c r="J2813" t="str">
        <f>"06/06/2020 00:39"</f>
        <v>06/06/2020 00:39</v>
      </c>
    </row>
    <row r="2814" spans="1:10" x14ac:dyDescent="0.3">
      <c r="A2814" t="s">
        <v>6</v>
      </c>
      <c r="B2814" t="str">
        <f>"06/06/2020 00:00"</f>
        <v>06/06/2020 00:00</v>
      </c>
      <c r="C2814">
        <v>352</v>
      </c>
      <c r="D2814" t="s">
        <v>7</v>
      </c>
      <c r="E2814" s="2" t="s">
        <v>12</v>
      </c>
      <c r="F2814">
        <f t="shared" si="43"/>
        <v>698.01600000000008</v>
      </c>
      <c r="G2814" t="s">
        <v>16</v>
      </c>
      <c r="H2814" t="s">
        <v>10</v>
      </c>
      <c r="J2814" t="str">
        <f>"06/07/2020 00:39"</f>
        <v>06/07/2020 00:39</v>
      </c>
    </row>
    <row r="2815" spans="1:10" x14ac:dyDescent="0.3">
      <c r="A2815" t="s">
        <v>6</v>
      </c>
      <c r="B2815" t="str">
        <f>"06/07/2020 00:00"</f>
        <v>06/07/2020 00:00</v>
      </c>
      <c r="C2815">
        <v>323</v>
      </c>
      <c r="D2815" t="s">
        <v>7</v>
      </c>
      <c r="E2815" s="2" t="s">
        <v>12</v>
      </c>
      <c r="F2815">
        <f t="shared" si="43"/>
        <v>640.50900000000001</v>
      </c>
      <c r="G2815" t="s">
        <v>16</v>
      </c>
      <c r="H2815" t="s">
        <v>10</v>
      </c>
      <c r="J2815" t="str">
        <f>"06/08/2020 00:39"</f>
        <v>06/08/2020 00:39</v>
      </c>
    </row>
    <row r="2816" spans="1:10" x14ac:dyDescent="0.3">
      <c r="A2816" t="s">
        <v>6</v>
      </c>
      <c r="B2816" t="str">
        <f>"06/08/2020 00:00"</f>
        <v>06/08/2020 00:00</v>
      </c>
      <c r="C2816">
        <v>323</v>
      </c>
      <c r="D2816" t="s">
        <v>7</v>
      </c>
      <c r="E2816" s="2" t="s">
        <v>12</v>
      </c>
      <c r="F2816">
        <f t="shared" si="43"/>
        <v>640.50900000000001</v>
      </c>
      <c r="G2816" t="s">
        <v>16</v>
      </c>
      <c r="H2816" t="s">
        <v>10</v>
      </c>
      <c r="J2816" t="str">
        <f>"06/09/2020 00:39"</f>
        <v>06/09/2020 00:39</v>
      </c>
    </row>
    <row r="2817" spans="1:10" x14ac:dyDescent="0.3">
      <c r="A2817" t="s">
        <v>6</v>
      </c>
      <c r="B2817" t="str">
        <f>"06/09/2020 00:00"</f>
        <v>06/09/2020 00:00</v>
      </c>
      <c r="C2817">
        <v>301</v>
      </c>
      <c r="D2817" t="s">
        <v>7</v>
      </c>
      <c r="E2817" s="2" t="s">
        <v>12</v>
      </c>
      <c r="F2817">
        <f t="shared" si="43"/>
        <v>596.88300000000004</v>
      </c>
      <c r="G2817" t="s">
        <v>16</v>
      </c>
      <c r="H2817" t="s">
        <v>10</v>
      </c>
      <c r="J2817" t="str">
        <f>"06/10/2020 00:39"</f>
        <v>06/10/2020 00:39</v>
      </c>
    </row>
    <row r="2818" spans="1:10" x14ac:dyDescent="0.3">
      <c r="A2818" t="s">
        <v>6</v>
      </c>
      <c r="B2818" t="str">
        <f>"06/10/2020 00:00"</f>
        <v>06/10/2020 00:00</v>
      </c>
      <c r="C2818">
        <v>221</v>
      </c>
      <c r="D2818" t="s">
        <v>7</v>
      </c>
      <c r="E2818" s="2" t="s">
        <v>12</v>
      </c>
      <c r="F2818">
        <f t="shared" si="43"/>
        <v>438.24299999999999</v>
      </c>
      <c r="G2818" t="s">
        <v>16</v>
      </c>
      <c r="H2818" t="s">
        <v>10</v>
      </c>
      <c r="J2818" t="str">
        <f>"06/11/2020 00:39"</f>
        <v>06/11/2020 00:39</v>
      </c>
    </row>
    <row r="2819" spans="1:10" x14ac:dyDescent="0.3">
      <c r="A2819" t="s">
        <v>6</v>
      </c>
      <c r="B2819" t="str">
        <f>"06/11/2020 00:00"</f>
        <v>06/11/2020 00:00</v>
      </c>
      <c r="C2819">
        <v>194</v>
      </c>
      <c r="D2819" t="s">
        <v>7</v>
      </c>
      <c r="E2819" s="2" t="s">
        <v>12</v>
      </c>
      <c r="F2819">
        <f t="shared" si="43"/>
        <v>384.702</v>
      </c>
      <c r="G2819" t="s">
        <v>16</v>
      </c>
      <c r="H2819" t="s">
        <v>10</v>
      </c>
      <c r="J2819" t="str">
        <f>"06/12/2020 00:39"</f>
        <v>06/12/2020 00:39</v>
      </c>
    </row>
    <row r="2820" spans="1:10" x14ac:dyDescent="0.3">
      <c r="A2820" t="s">
        <v>6</v>
      </c>
      <c r="B2820" t="str">
        <f>"06/12/2020 00:00"</f>
        <v>06/12/2020 00:00</v>
      </c>
      <c r="C2820">
        <v>252</v>
      </c>
      <c r="D2820" t="s">
        <v>7</v>
      </c>
      <c r="E2820" s="2" t="s">
        <v>12</v>
      </c>
      <c r="F2820">
        <f t="shared" si="43"/>
        <v>499.71600000000001</v>
      </c>
      <c r="G2820" t="s">
        <v>16</v>
      </c>
      <c r="H2820" t="s">
        <v>10</v>
      </c>
      <c r="J2820" t="str">
        <f>"06/13/2020 00:39"</f>
        <v>06/13/2020 00:39</v>
      </c>
    </row>
    <row r="2821" spans="1:10" x14ac:dyDescent="0.3">
      <c r="A2821" t="s">
        <v>6</v>
      </c>
      <c r="B2821" t="str">
        <f>"06/13/2020 00:00"</f>
        <v>06/13/2020 00:00</v>
      </c>
      <c r="C2821">
        <v>357</v>
      </c>
      <c r="D2821" t="s">
        <v>7</v>
      </c>
      <c r="E2821" s="2" t="s">
        <v>12</v>
      </c>
      <c r="F2821">
        <f t="shared" si="43"/>
        <v>707.93100000000004</v>
      </c>
      <c r="G2821" t="s">
        <v>16</v>
      </c>
      <c r="H2821" t="s">
        <v>10</v>
      </c>
      <c r="J2821" t="str">
        <f>"06/14/2020 00:39"</f>
        <v>06/14/2020 00:39</v>
      </c>
    </row>
    <row r="2822" spans="1:10" x14ac:dyDescent="0.3">
      <c r="A2822" t="s">
        <v>6</v>
      </c>
      <c r="B2822" t="str">
        <f>"06/14/2020 00:00"</f>
        <v>06/14/2020 00:00</v>
      </c>
      <c r="C2822">
        <v>396</v>
      </c>
      <c r="D2822" t="s">
        <v>7</v>
      </c>
      <c r="E2822" s="2" t="s">
        <v>12</v>
      </c>
      <c r="F2822">
        <f t="shared" si="43"/>
        <v>785.26800000000003</v>
      </c>
      <c r="G2822" t="s">
        <v>16</v>
      </c>
      <c r="H2822" t="s">
        <v>10</v>
      </c>
      <c r="J2822" t="str">
        <f>"06/15/2020 00:39"</f>
        <v>06/15/2020 00:39</v>
      </c>
    </row>
    <row r="2823" spans="1:10" x14ac:dyDescent="0.3">
      <c r="A2823" t="s">
        <v>6</v>
      </c>
      <c r="B2823" t="str">
        <f>"06/15/2020 00:00"</f>
        <v>06/15/2020 00:00</v>
      </c>
      <c r="C2823">
        <v>343</v>
      </c>
      <c r="D2823" t="s">
        <v>7</v>
      </c>
      <c r="E2823" s="2" t="s">
        <v>12</v>
      </c>
      <c r="F2823">
        <f t="shared" si="43"/>
        <v>680.16899999999998</v>
      </c>
      <c r="G2823" t="s">
        <v>16</v>
      </c>
      <c r="H2823" t="s">
        <v>10</v>
      </c>
      <c r="J2823" t="str">
        <f>"06/16/2020 00:39"</f>
        <v>06/16/2020 00:39</v>
      </c>
    </row>
    <row r="2824" spans="1:10" x14ac:dyDescent="0.3">
      <c r="A2824" t="s">
        <v>6</v>
      </c>
      <c r="B2824" t="str">
        <f>"06/16/2020 00:00"</f>
        <v>06/16/2020 00:00</v>
      </c>
      <c r="C2824">
        <v>286</v>
      </c>
      <c r="D2824" t="s">
        <v>7</v>
      </c>
      <c r="E2824" s="2" t="s">
        <v>12</v>
      </c>
      <c r="F2824">
        <f t="shared" si="43"/>
        <v>567.13800000000003</v>
      </c>
      <c r="G2824" t="s">
        <v>16</v>
      </c>
      <c r="H2824" t="s">
        <v>10</v>
      </c>
      <c r="J2824" t="str">
        <f>"06/17/2020 00:39"</f>
        <v>06/17/2020 00:39</v>
      </c>
    </row>
    <row r="2825" spans="1:10" x14ac:dyDescent="0.3">
      <c r="A2825" t="s">
        <v>6</v>
      </c>
      <c r="B2825" t="str">
        <f>"06/17/2020 00:00"</f>
        <v>06/17/2020 00:00</v>
      </c>
      <c r="C2825">
        <v>226</v>
      </c>
      <c r="D2825" t="s">
        <v>7</v>
      </c>
      <c r="E2825" s="2" t="s">
        <v>12</v>
      </c>
      <c r="F2825">
        <f t="shared" si="43"/>
        <v>448.15800000000002</v>
      </c>
      <c r="G2825" t="s">
        <v>16</v>
      </c>
      <c r="H2825" t="s">
        <v>10</v>
      </c>
      <c r="J2825" t="str">
        <f>"06/18/2020 00:39"</f>
        <v>06/18/2020 00:39</v>
      </c>
    </row>
    <row r="2826" spans="1:10" x14ac:dyDescent="0.3">
      <c r="A2826" t="s">
        <v>6</v>
      </c>
      <c r="B2826" t="str">
        <f>"06/18/2020 00:00"</f>
        <v>06/18/2020 00:00</v>
      </c>
      <c r="C2826">
        <v>273</v>
      </c>
      <c r="D2826" t="s">
        <v>7</v>
      </c>
      <c r="E2826" s="2" t="s">
        <v>12</v>
      </c>
      <c r="F2826">
        <f t="shared" ref="F2826:F2889" si="44">C2826*1.983</f>
        <v>541.35900000000004</v>
      </c>
      <c r="G2826" t="s">
        <v>16</v>
      </c>
      <c r="H2826" t="s">
        <v>10</v>
      </c>
      <c r="J2826" t="str">
        <f>"06/19/2020 00:39"</f>
        <v>06/19/2020 00:39</v>
      </c>
    </row>
    <row r="2827" spans="1:10" x14ac:dyDescent="0.3">
      <c r="A2827" t="s">
        <v>6</v>
      </c>
      <c r="B2827" t="str">
        <f>"06/19/2020 00:00"</f>
        <v>06/19/2020 00:00</v>
      </c>
      <c r="C2827">
        <v>236</v>
      </c>
      <c r="D2827" t="s">
        <v>7</v>
      </c>
      <c r="E2827" s="2" t="s">
        <v>12</v>
      </c>
      <c r="F2827">
        <f t="shared" si="44"/>
        <v>467.988</v>
      </c>
      <c r="G2827" t="s">
        <v>16</v>
      </c>
      <c r="H2827" t="s">
        <v>10</v>
      </c>
      <c r="J2827" t="str">
        <f>"06/20/2020 00:39"</f>
        <v>06/20/2020 00:39</v>
      </c>
    </row>
    <row r="2828" spans="1:10" x14ac:dyDescent="0.3">
      <c r="A2828" t="s">
        <v>6</v>
      </c>
      <c r="B2828" t="str">
        <f>"06/20/2020 00:00"</f>
        <v>06/20/2020 00:00</v>
      </c>
      <c r="C2828">
        <v>196</v>
      </c>
      <c r="D2828" t="s">
        <v>7</v>
      </c>
      <c r="E2828" s="2" t="s">
        <v>12</v>
      </c>
      <c r="F2828">
        <f t="shared" si="44"/>
        <v>388.66800000000001</v>
      </c>
      <c r="G2828" t="s">
        <v>16</v>
      </c>
      <c r="H2828" t="s">
        <v>10</v>
      </c>
      <c r="J2828" t="str">
        <f>"06/21/2020 00:39"</f>
        <v>06/21/2020 00:39</v>
      </c>
    </row>
    <row r="2829" spans="1:10" x14ac:dyDescent="0.3">
      <c r="A2829" t="s">
        <v>6</v>
      </c>
      <c r="B2829" t="str">
        <f>"06/21/2020 00:00"</f>
        <v>06/21/2020 00:00</v>
      </c>
      <c r="C2829">
        <v>199</v>
      </c>
      <c r="D2829" t="s">
        <v>7</v>
      </c>
      <c r="E2829" s="2" t="s">
        <v>12</v>
      </c>
      <c r="F2829">
        <f t="shared" si="44"/>
        <v>394.61700000000002</v>
      </c>
      <c r="G2829" t="s">
        <v>16</v>
      </c>
      <c r="H2829" t="s">
        <v>10</v>
      </c>
      <c r="J2829" t="str">
        <f>"06/22/2020 00:39"</f>
        <v>06/22/2020 00:39</v>
      </c>
    </row>
    <row r="2830" spans="1:10" x14ac:dyDescent="0.3">
      <c r="A2830" t="s">
        <v>6</v>
      </c>
      <c r="B2830" t="str">
        <f>"06/22/2020 00:00"</f>
        <v>06/22/2020 00:00</v>
      </c>
      <c r="C2830">
        <v>200</v>
      </c>
      <c r="D2830" t="s">
        <v>7</v>
      </c>
      <c r="E2830" s="2" t="s">
        <v>12</v>
      </c>
      <c r="F2830">
        <f t="shared" si="44"/>
        <v>396.6</v>
      </c>
      <c r="G2830" t="s">
        <v>16</v>
      </c>
      <c r="H2830" t="s">
        <v>10</v>
      </c>
      <c r="J2830" t="str">
        <f>"06/23/2020 00:39"</f>
        <v>06/23/2020 00:39</v>
      </c>
    </row>
    <row r="2831" spans="1:10" x14ac:dyDescent="0.3">
      <c r="A2831" t="s">
        <v>6</v>
      </c>
      <c r="B2831" t="str">
        <f>"06/23/2020 00:00"</f>
        <v>06/23/2020 00:00</v>
      </c>
      <c r="C2831">
        <v>200</v>
      </c>
      <c r="D2831" t="s">
        <v>7</v>
      </c>
      <c r="E2831" s="2" t="s">
        <v>12</v>
      </c>
      <c r="F2831">
        <f t="shared" si="44"/>
        <v>396.6</v>
      </c>
      <c r="G2831" t="s">
        <v>16</v>
      </c>
      <c r="H2831" t="s">
        <v>10</v>
      </c>
      <c r="J2831" t="str">
        <f>"06/24/2020 00:39"</f>
        <v>06/24/2020 00:39</v>
      </c>
    </row>
    <row r="2832" spans="1:10" x14ac:dyDescent="0.3">
      <c r="A2832" t="s">
        <v>6</v>
      </c>
      <c r="B2832" t="str">
        <f>"06/24/2020 00:00"</f>
        <v>06/24/2020 00:00</v>
      </c>
      <c r="C2832">
        <v>229</v>
      </c>
      <c r="D2832" t="s">
        <v>7</v>
      </c>
      <c r="E2832" s="2" t="s">
        <v>12</v>
      </c>
      <c r="F2832">
        <f t="shared" si="44"/>
        <v>454.10700000000003</v>
      </c>
      <c r="G2832" t="s">
        <v>16</v>
      </c>
      <c r="H2832" t="s">
        <v>10</v>
      </c>
      <c r="J2832" t="str">
        <f>"06/25/2020 00:39"</f>
        <v>06/25/2020 00:39</v>
      </c>
    </row>
    <row r="2833" spans="1:10" x14ac:dyDescent="0.3">
      <c r="A2833" t="s">
        <v>6</v>
      </c>
      <c r="B2833" t="str">
        <f>"06/25/2020 00:00"</f>
        <v>06/25/2020 00:00</v>
      </c>
      <c r="C2833">
        <v>249</v>
      </c>
      <c r="D2833" t="s">
        <v>7</v>
      </c>
      <c r="E2833" s="2" t="s">
        <v>12</v>
      </c>
      <c r="F2833">
        <f t="shared" si="44"/>
        <v>493.767</v>
      </c>
      <c r="G2833" t="s">
        <v>16</v>
      </c>
      <c r="H2833" t="s">
        <v>10</v>
      </c>
      <c r="J2833" t="str">
        <f>"06/26/2020 00:39"</f>
        <v>06/26/2020 00:39</v>
      </c>
    </row>
    <row r="2834" spans="1:10" x14ac:dyDescent="0.3">
      <c r="A2834" t="s">
        <v>6</v>
      </c>
      <c r="B2834" t="str">
        <f>"06/26/2020 00:00"</f>
        <v>06/26/2020 00:00</v>
      </c>
      <c r="C2834">
        <v>246</v>
      </c>
      <c r="D2834" t="s">
        <v>7</v>
      </c>
      <c r="E2834" s="2" t="s">
        <v>12</v>
      </c>
      <c r="F2834">
        <f t="shared" si="44"/>
        <v>487.81800000000004</v>
      </c>
      <c r="G2834" t="s">
        <v>16</v>
      </c>
      <c r="H2834" t="s">
        <v>10</v>
      </c>
      <c r="J2834" t="str">
        <f>"06/27/2020 00:39"</f>
        <v>06/27/2020 00:39</v>
      </c>
    </row>
    <row r="2835" spans="1:10" x14ac:dyDescent="0.3">
      <c r="A2835" t="s">
        <v>6</v>
      </c>
      <c r="B2835" t="str">
        <f>"06/27/2020 00:00"</f>
        <v>06/27/2020 00:00</v>
      </c>
      <c r="C2835">
        <v>248</v>
      </c>
      <c r="D2835" t="s">
        <v>7</v>
      </c>
      <c r="E2835" s="2" t="s">
        <v>12</v>
      </c>
      <c r="F2835">
        <f t="shared" si="44"/>
        <v>491.78400000000005</v>
      </c>
      <c r="G2835" t="s">
        <v>16</v>
      </c>
      <c r="H2835" t="s">
        <v>10</v>
      </c>
      <c r="J2835" t="str">
        <f>"06/28/2020 00:39"</f>
        <v>06/28/2020 00:39</v>
      </c>
    </row>
    <row r="2836" spans="1:10" x14ac:dyDescent="0.3">
      <c r="A2836" t="s">
        <v>6</v>
      </c>
      <c r="B2836" t="str">
        <f>"06/28/2020 00:00"</f>
        <v>06/28/2020 00:00</v>
      </c>
      <c r="C2836">
        <v>248</v>
      </c>
      <c r="D2836" t="s">
        <v>7</v>
      </c>
      <c r="E2836" s="2" t="s">
        <v>12</v>
      </c>
      <c r="F2836">
        <f t="shared" si="44"/>
        <v>491.78400000000005</v>
      </c>
      <c r="G2836" t="s">
        <v>16</v>
      </c>
      <c r="H2836" t="s">
        <v>10</v>
      </c>
      <c r="J2836" t="str">
        <f>"06/29/2020 00:39"</f>
        <v>06/29/2020 00:39</v>
      </c>
    </row>
    <row r="2837" spans="1:10" x14ac:dyDescent="0.3">
      <c r="A2837" t="s">
        <v>6</v>
      </c>
      <c r="B2837" t="str">
        <f>"06/29/2020 00:00"</f>
        <v>06/29/2020 00:00</v>
      </c>
      <c r="C2837">
        <v>248</v>
      </c>
      <c r="D2837" t="s">
        <v>7</v>
      </c>
      <c r="E2837" s="2" t="s">
        <v>12</v>
      </c>
      <c r="F2837">
        <f t="shared" si="44"/>
        <v>491.78400000000005</v>
      </c>
      <c r="G2837" t="s">
        <v>16</v>
      </c>
      <c r="H2837" t="s">
        <v>10</v>
      </c>
      <c r="J2837" t="str">
        <f>"06/30/2020 00:39"</f>
        <v>06/30/2020 00:39</v>
      </c>
    </row>
    <row r="2838" spans="1:10" x14ac:dyDescent="0.3">
      <c r="A2838" t="s">
        <v>6</v>
      </c>
      <c r="B2838" t="str">
        <f>"06/30/2020 00:00"</f>
        <v>06/30/2020 00:00</v>
      </c>
      <c r="C2838">
        <v>248</v>
      </c>
      <c r="D2838" t="s">
        <v>7</v>
      </c>
      <c r="E2838" s="2" t="s">
        <v>12</v>
      </c>
      <c r="F2838">
        <f t="shared" si="44"/>
        <v>491.78400000000005</v>
      </c>
      <c r="G2838" t="s">
        <v>16</v>
      </c>
      <c r="H2838" t="s">
        <v>10</v>
      </c>
      <c r="J2838" t="str">
        <f>"07/01/2020 00:39"</f>
        <v>07/01/2020 00:39</v>
      </c>
    </row>
    <row r="2839" spans="1:10" x14ac:dyDescent="0.3">
      <c r="A2839" t="s">
        <v>6</v>
      </c>
      <c r="B2839" t="str">
        <f>"07/01/2020 00:00"</f>
        <v>07/01/2020 00:00</v>
      </c>
      <c r="C2839">
        <v>278</v>
      </c>
      <c r="D2839" t="s">
        <v>7</v>
      </c>
      <c r="E2839" s="2" t="s">
        <v>12</v>
      </c>
      <c r="F2839">
        <f t="shared" si="44"/>
        <v>551.274</v>
      </c>
      <c r="G2839" t="s">
        <v>16</v>
      </c>
      <c r="H2839" t="s">
        <v>10</v>
      </c>
      <c r="J2839" t="str">
        <f>"07/02/2020 00:39"</f>
        <v>07/02/2020 00:39</v>
      </c>
    </row>
    <row r="2840" spans="1:10" x14ac:dyDescent="0.3">
      <c r="A2840" t="s">
        <v>6</v>
      </c>
      <c r="B2840" t="str">
        <f>"07/02/2020 00:00"</f>
        <v>07/02/2020 00:00</v>
      </c>
      <c r="C2840">
        <v>321</v>
      </c>
      <c r="D2840" t="s">
        <v>7</v>
      </c>
      <c r="E2840" s="2" t="s">
        <v>12</v>
      </c>
      <c r="F2840">
        <f t="shared" si="44"/>
        <v>636.54300000000001</v>
      </c>
      <c r="G2840" t="s">
        <v>16</v>
      </c>
      <c r="H2840" t="s">
        <v>10</v>
      </c>
      <c r="J2840" t="str">
        <f>"07/03/2020 00:39"</f>
        <v>07/03/2020 00:39</v>
      </c>
    </row>
    <row r="2841" spans="1:10" x14ac:dyDescent="0.3">
      <c r="A2841" t="s">
        <v>6</v>
      </c>
      <c r="B2841" t="str">
        <f>"07/03/2020 00:00"</f>
        <v>07/03/2020 00:00</v>
      </c>
      <c r="C2841">
        <v>350</v>
      </c>
      <c r="D2841" t="s">
        <v>7</v>
      </c>
      <c r="E2841" s="2" t="s">
        <v>12</v>
      </c>
      <c r="F2841">
        <f t="shared" si="44"/>
        <v>694.05000000000007</v>
      </c>
      <c r="G2841" t="s">
        <v>16</v>
      </c>
      <c r="H2841" t="s">
        <v>10</v>
      </c>
      <c r="J2841" t="str">
        <f>"07/04/2020 00:39"</f>
        <v>07/04/2020 00:39</v>
      </c>
    </row>
    <row r="2842" spans="1:10" x14ac:dyDescent="0.3">
      <c r="A2842" t="s">
        <v>6</v>
      </c>
      <c r="B2842" t="str">
        <f>"07/04/2020 00:00"</f>
        <v>07/04/2020 00:00</v>
      </c>
      <c r="C2842">
        <v>351</v>
      </c>
      <c r="D2842" t="s">
        <v>7</v>
      </c>
      <c r="E2842" s="2" t="s">
        <v>12</v>
      </c>
      <c r="F2842">
        <f t="shared" si="44"/>
        <v>696.03300000000002</v>
      </c>
      <c r="G2842" t="s">
        <v>16</v>
      </c>
      <c r="H2842" t="s">
        <v>10</v>
      </c>
      <c r="J2842" t="str">
        <f>"07/05/2020 00:39"</f>
        <v>07/05/2020 00:39</v>
      </c>
    </row>
    <row r="2843" spans="1:10" x14ac:dyDescent="0.3">
      <c r="A2843" t="s">
        <v>6</v>
      </c>
      <c r="B2843" t="str">
        <f>"07/05/2020 00:00"</f>
        <v>07/05/2020 00:00</v>
      </c>
      <c r="C2843">
        <v>352</v>
      </c>
      <c r="D2843" t="s">
        <v>7</v>
      </c>
      <c r="E2843" s="2" t="s">
        <v>12</v>
      </c>
      <c r="F2843">
        <f t="shared" si="44"/>
        <v>698.01600000000008</v>
      </c>
      <c r="G2843" t="s">
        <v>16</v>
      </c>
      <c r="H2843" t="s">
        <v>10</v>
      </c>
      <c r="J2843" t="str">
        <f>"07/06/2020 00:39"</f>
        <v>07/06/2020 00:39</v>
      </c>
    </row>
    <row r="2844" spans="1:10" x14ac:dyDescent="0.3">
      <c r="A2844" t="s">
        <v>6</v>
      </c>
      <c r="B2844" t="str">
        <f>"07/06/2020 00:00"</f>
        <v>07/06/2020 00:00</v>
      </c>
      <c r="C2844">
        <v>352</v>
      </c>
      <c r="D2844" t="s">
        <v>7</v>
      </c>
      <c r="E2844" s="2" t="s">
        <v>12</v>
      </c>
      <c r="F2844">
        <f t="shared" si="44"/>
        <v>698.01600000000008</v>
      </c>
      <c r="G2844" t="s">
        <v>16</v>
      </c>
      <c r="H2844" t="s">
        <v>10</v>
      </c>
      <c r="J2844" t="str">
        <f>"07/07/2020 00:39"</f>
        <v>07/07/2020 00:39</v>
      </c>
    </row>
    <row r="2845" spans="1:10" x14ac:dyDescent="0.3">
      <c r="A2845" t="s">
        <v>6</v>
      </c>
      <c r="B2845" t="str">
        <f>"07/07/2020 00:00"</f>
        <v>07/07/2020 00:00</v>
      </c>
      <c r="C2845">
        <v>370</v>
      </c>
      <c r="D2845" t="s">
        <v>7</v>
      </c>
      <c r="E2845" s="2" t="s">
        <v>12</v>
      </c>
      <c r="F2845">
        <f t="shared" si="44"/>
        <v>733.71</v>
      </c>
      <c r="G2845" t="s">
        <v>16</v>
      </c>
      <c r="H2845" t="s">
        <v>10</v>
      </c>
      <c r="J2845" t="str">
        <f>"07/08/2020 00:39"</f>
        <v>07/08/2020 00:39</v>
      </c>
    </row>
    <row r="2846" spans="1:10" x14ac:dyDescent="0.3">
      <c r="A2846" t="s">
        <v>6</v>
      </c>
      <c r="B2846" t="str">
        <f>"07/08/2020 00:00"</f>
        <v>07/08/2020 00:00</v>
      </c>
      <c r="C2846">
        <v>383</v>
      </c>
      <c r="D2846" t="s">
        <v>7</v>
      </c>
      <c r="E2846" s="2" t="s">
        <v>12</v>
      </c>
      <c r="F2846">
        <f t="shared" si="44"/>
        <v>759.48900000000003</v>
      </c>
      <c r="G2846" t="s">
        <v>16</v>
      </c>
      <c r="H2846" t="s">
        <v>10</v>
      </c>
      <c r="J2846" t="str">
        <f>"07/09/2020 00:39"</f>
        <v>07/09/2020 00:39</v>
      </c>
    </row>
    <row r="2847" spans="1:10" x14ac:dyDescent="0.3">
      <c r="A2847" t="s">
        <v>6</v>
      </c>
      <c r="B2847" t="str">
        <f>"07/09/2020 00:00"</f>
        <v>07/09/2020 00:00</v>
      </c>
      <c r="C2847">
        <v>383</v>
      </c>
      <c r="D2847" t="s">
        <v>7</v>
      </c>
      <c r="E2847" s="2" t="s">
        <v>12</v>
      </c>
      <c r="F2847">
        <f t="shared" si="44"/>
        <v>759.48900000000003</v>
      </c>
      <c r="G2847" t="s">
        <v>16</v>
      </c>
      <c r="H2847" t="s">
        <v>10</v>
      </c>
      <c r="J2847" t="str">
        <f>"07/10/2020 00:39"</f>
        <v>07/10/2020 00:39</v>
      </c>
    </row>
    <row r="2848" spans="1:10" x14ac:dyDescent="0.3">
      <c r="A2848" t="s">
        <v>6</v>
      </c>
      <c r="B2848" t="str">
        <f>"07/10/2020 00:00"</f>
        <v>07/10/2020 00:00</v>
      </c>
      <c r="C2848">
        <v>383</v>
      </c>
      <c r="D2848" t="s">
        <v>7</v>
      </c>
      <c r="E2848" s="2" t="s">
        <v>12</v>
      </c>
      <c r="F2848">
        <f t="shared" si="44"/>
        <v>759.48900000000003</v>
      </c>
      <c r="G2848" t="s">
        <v>16</v>
      </c>
      <c r="H2848" t="s">
        <v>10</v>
      </c>
      <c r="J2848" t="str">
        <f>"07/11/2020 00:39"</f>
        <v>07/11/2020 00:39</v>
      </c>
    </row>
    <row r="2849" spans="1:10" x14ac:dyDescent="0.3">
      <c r="A2849" t="s">
        <v>6</v>
      </c>
      <c r="B2849" t="str">
        <f>"07/11/2020 00:00"</f>
        <v>07/11/2020 00:00</v>
      </c>
      <c r="C2849">
        <v>383</v>
      </c>
      <c r="D2849" t="s">
        <v>7</v>
      </c>
      <c r="E2849" s="2" t="s">
        <v>12</v>
      </c>
      <c r="F2849">
        <f t="shared" si="44"/>
        <v>759.48900000000003</v>
      </c>
      <c r="G2849" t="s">
        <v>16</v>
      </c>
      <c r="H2849" t="s">
        <v>10</v>
      </c>
      <c r="J2849" t="str">
        <f>"07/12/2020 00:39"</f>
        <v>07/12/2020 00:39</v>
      </c>
    </row>
    <row r="2850" spans="1:10" x14ac:dyDescent="0.3">
      <c r="A2850" t="s">
        <v>6</v>
      </c>
      <c r="B2850" t="str">
        <f>"07/12/2020 00:00"</f>
        <v>07/12/2020 00:00</v>
      </c>
      <c r="C2850">
        <v>382</v>
      </c>
      <c r="D2850" t="s">
        <v>7</v>
      </c>
      <c r="E2850" s="2" t="s">
        <v>12</v>
      </c>
      <c r="F2850">
        <f t="shared" si="44"/>
        <v>757.50600000000009</v>
      </c>
      <c r="G2850" t="s">
        <v>16</v>
      </c>
      <c r="H2850" t="s">
        <v>10</v>
      </c>
      <c r="J2850" t="str">
        <f>"07/13/2020 00:39"</f>
        <v>07/13/2020 00:39</v>
      </c>
    </row>
    <row r="2851" spans="1:10" x14ac:dyDescent="0.3">
      <c r="A2851" t="s">
        <v>6</v>
      </c>
      <c r="B2851" t="str">
        <f>"07/13/2020 00:00"</f>
        <v>07/13/2020 00:00</v>
      </c>
      <c r="C2851">
        <v>382</v>
      </c>
      <c r="D2851" t="s">
        <v>7</v>
      </c>
      <c r="E2851" s="2" t="s">
        <v>12</v>
      </c>
      <c r="F2851">
        <f t="shared" si="44"/>
        <v>757.50600000000009</v>
      </c>
      <c r="G2851" t="s">
        <v>16</v>
      </c>
      <c r="H2851" t="s">
        <v>10</v>
      </c>
      <c r="J2851" t="str">
        <f>"07/14/2020 00:39"</f>
        <v>07/14/2020 00:39</v>
      </c>
    </row>
    <row r="2852" spans="1:10" x14ac:dyDescent="0.3">
      <c r="A2852" t="s">
        <v>6</v>
      </c>
      <c r="B2852" t="str">
        <f>"07/14/2020 00:00"</f>
        <v>07/14/2020 00:00</v>
      </c>
      <c r="C2852">
        <v>382</v>
      </c>
      <c r="D2852" t="s">
        <v>7</v>
      </c>
      <c r="E2852" s="2" t="s">
        <v>12</v>
      </c>
      <c r="F2852">
        <f t="shared" si="44"/>
        <v>757.50600000000009</v>
      </c>
      <c r="G2852" t="s">
        <v>16</v>
      </c>
      <c r="H2852" t="s">
        <v>10</v>
      </c>
      <c r="J2852" t="str">
        <f>"07/15/2020 00:39"</f>
        <v>07/15/2020 00:39</v>
      </c>
    </row>
    <row r="2853" spans="1:10" x14ac:dyDescent="0.3">
      <c r="A2853" t="s">
        <v>6</v>
      </c>
      <c r="B2853" t="str">
        <f>"07/15/2020 00:00"</f>
        <v>07/15/2020 00:00</v>
      </c>
      <c r="C2853">
        <v>382</v>
      </c>
      <c r="D2853" t="s">
        <v>7</v>
      </c>
      <c r="E2853" s="2" t="s">
        <v>12</v>
      </c>
      <c r="F2853">
        <f t="shared" si="44"/>
        <v>757.50600000000009</v>
      </c>
      <c r="G2853" t="s">
        <v>16</v>
      </c>
      <c r="H2853" t="s">
        <v>10</v>
      </c>
      <c r="J2853" t="str">
        <f>"07/16/2020 00:39"</f>
        <v>07/16/2020 00:39</v>
      </c>
    </row>
    <row r="2854" spans="1:10" x14ac:dyDescent="0.3">
      <c r="A2854" t="s">
        <v>6</v>
      </c>
      <c r="B2854" t="str">
        <f>"07/16/2020 00:00"</f>
        <v>07/16/2020 00:00</v>
      </c>
      <c r="C2854">
        <v>382</v>
      </c>
      <c r="D2854" t="s">
        <v>7</v>
      </c>
      <c r="E2854" s="2" t="s">
        <v>12</v>
      </c>
      <c r="F2854">
        <f t="shared" si="44"/>
        <v>757.50600000000009</v>
      </c>
      <c r="G2854" t="s">
        <v>16</v>
      </c>
      <c r="H2854" t="s">
        <v>10</v>
      </c>
      <c r="J2854" t="str">
        <f>"07/17/2020 00:39"</f>
        <v>07/17/2020 00:39</v>
      </c>
    </row>
    <row r="2855" spans="1:10" x14ac:dyDescent="0.3">
      <c r="A2855" t="s">
        <v>6</v>
      </c>
      <c r="B2855" t="str">
        <f>"07/17/2020 00:00"</f>
        <v>07/17/2020 00:00</v>
      </c>
      <c r="C2855">
        <v>382</v>
      </c>
      <c r="D2855" t="s">
        <v>7</v>
      </c>
      <c r="E2855" s="2" t="s">
        <v>12</v>
      </c>
      <c r="F2855">
        <f t="shared" si="44"/>
        <v>757.50600000000009</v>
      </c>
      <c r="G2855" t="s">
        <v>16</v>
      </c>
      <c r="H2855" t="s">
        <v>10</v>
      </c>
      <c r="J2855" t="str">
        <f>"07/18/2020 00:39"</f>
        <v>07/18/2020 00:39</v>
      </c>
    </row>
    <row r="2856" spans="1:10" x14ac:dyDescent="0.3">
      <c r="A2856" t="s">
        <v>6</v>
      </c>
      <c r="B2856" t="str">
        <f>"07/18/2020 00:00"</f>
        <v>07/18/2020 00:00</v>
      </c>
      <c r="C2856">
        <v>381</v>
      </c>
      <c r="D2856" t="s">
        <v>7</v>
      </c>
      <c r="E2856" s="2" t="s">
        <v>12</v>
      </c>
      <c r="F2856">
        <f t="shared" si="44"/>
        <v>755.52300000000002</v>
      </c>
      <c r="G2856" t="s">
        <v>16</v>
      </c>
      <c r="H2856" t="s">
        <v>10</v>
      </c>
      <c r="J2856" t="str">
        <f>"07/19/2020 00:39"</f>
        <v>07/19/2020 00:39</v>
      </c>
    </row>
    <row r="2857" spans="1:10" x14ac:dyDescent="0.3">
      <c r="A2857" t="s">
        <v>6</v>
      </c>
      <c r="B2857" t="str">
        <f>"07/19/2020 00:00"</f>
        <v>07/19/2020 00:00</v>
      </c>
      <c r="C2857">
        <v>381</v>
      </c>
      <c r="D2857" t="s">
        <v>7</v>
      </c>
      <c r="E2857" s="2" t="s">
        <v>12</v>
      </c>
      <c r="F2857">
        <f t="shared" si="44"/>
        <v>755.52300000000002</v>
      </c>
      <c r="G2857" t="s">
        <v>16</v>
      </c>
      <c r="H2857" t="s">
        <v>10</v>
      </c>
      <c r="J2857" t="str">
        <f>"07/20/2020 00:39"</f>
        <v>07/20/2020 00:39</v>
      </c>
    </row>
    <row r="2858" spans="1:10" x14ac:dyDescent="0.3">
      <c r="A2858" t="s">
        <v>6</v>
      </c>
      <c r="B2858" t="str">
        <f>"07/20/2020 00:00"</f>
        <v>07/20/2020 00:00</v>
      </c>
      <c r="C2858">
        <v>381</v>
      </c>
      <c r="D2858" t="s">
        <v>7</v>
      </c>
      <c r="E2858" s="2" t="s">
        <v>12</v>
      </c>
      <c r="F2858">
        <f t="shared" si="44"/>
        <v>755.52300000000002</v>
      </c>
      <c r="G2858" t="s">
        <v>16</v>
      </c>
      <c r="H2858" t="s">
        <v>10</v>
      </c>
      <c r="J2858" t="str">
        <f>"07/21/2020 00:39"</f>
        <v>07/21/2020 00:39</v>
      </c>
    </row>
    <row r="2859" spans="1:10" x14ac:dyDescent="0.3">
      <c r="A2859" t="s">
        <v>6</v>
      </c>
      <c r="B2859" t="str">
        <f>"07/21/2020 00:00"</f>
        <v>07/21/2020 00:00</v>
      </c>
      <c r="C2859">
        <v>381</v>
      </c>
      <c r="D2859" t="s">
        <v>7</v>
      </c>
      <c r="E2859" s="2" t="s">
        <v>12</v>
      </c>
      <c r="F2859">
        <f t="shared" si="44"/>
        <v>755.52300000000002</v>
      </c>
      <c r="G2859" t="s">
        <v>16</v>
      </c>
      <c r="H2859" t="s">
        <v>10</v>
      </c>
      <c r="J2859" t="str">
        <f>"07/22/2020 00:39"</f>
        <v>07/22/2020 00:39</v>
      </c>
    </row>
    <row r="2860" spans="1:10" x14ac:dyDescent="0.3">
      <c r="A2860" t="s">
        <v>6</v>
      </c>
      <c r="B2860" t="str">
        <f>"07/22/2020 00:00"</f>
        <v>07/22/2020 00:00</v>
      </c>
      <c r="C2860">
        <v>381</v>
      </c>
      <c r="D2860" t="s">
        <v>7</v>
      </c>
      <c r="E2860" s="2" t="s">
        <v>12</v>
      </c>
      <c r="F2860">
        <f t="shared" si="44"/>
        <v>755.52300000000002</v>
      </c>
      <c r="G2860" t="s">
        <v>16</v>
      </c>
      <c r="H2860" t="s">
        <v>10</v>
      </c>
      <c r="J2860" t="str">
        <f>"07/23/2020 00:39"</f>
        <v>07/23/2020 00:39</v>
      </c>
    </row>
    <row r="2861" spans="1:10" x14ac:dyDescent="0.3">
      <c r="A2861" t="s">
        <v>6</v>
      </c>
      <c r="B2861" t="str">
        <f>"07/23/2020 00:00"</f>
        <v>07/23/2020 00:00</v>
      </c>
      <c r="C2861">
        <v>381</v>
      </c>
      <c r="D2861" t="s">
        <v>7</v>
      </c>
      <c r="E2861" s="2" t="s">
        <v>12</v>
      </c>
      <c r="F2861">
        <f t="shared" si="44"/>
        <v>755.52300000000002</v>
      </c>
      <c r="G2861" t="s">
        <v>16</v>
      </c>
      <c r="H2861" t="s">
        <v>10</v>
      </c>
      <c r="J2861" t="str">
        <f>"07/24/2020 00:39"</f>
        <v>07/24/2020 00:39</v>
      </c>
    </row>
    <row r="2862" spans="1:10" x14ac:dyDescent="0.3">
      <c r="A2862" t="s">
        <v>6</v>
      </c>
      <c r="B2862" t="str">
        <f>"07/24/2020 00:00"</f>
        <v>07/24/2020 00:00</v>
      </c>
      <c r="C2862">
        <v>381</v>
      </c>
      <c r="D2862" t="s">
        <v>7</v>
      </c>
      <c r="E2862" s="2" t="s">
        <v>12</v>
      </c>
      <c r="F2862">
        <f t="shared" si="44"/>
        <v>755.52300000000002</v>
      </c>
      <c r="G2862" t="s">
        <v>16</v>
      </c>
      <c r="H2862" t="s">
        <v>10</v>
      </c>
      <c r="J2862" t="str">
        <f>"07/25/2020 00:39"</f>
        <v>07/25/2020 00:39</v>
      </c>
    </row>
    <row r="2863" spans="1:10" x14ac:dyDescent="0.3">
      <c r="A2863" t="s">
        <v>6</v>
      </c>
      <c r="B2863" t="str">
        <f>"07/25/2020 00:00"</f>
        <v>07/25/2020 00:00</v>
      </c>
      <c r="C2863">
        <v>381</v>
      </c>
      <c r="D2863" t="s">
        <v>7</v>
      </c>
      <c r="E2863" s="2" t="s">
        <v>12</v>
      </c>
      <c r="F2863">
        <f t="shared" si="44"/>
        <v>755.52300000000002</v>
      </c>
      <c r="G2863" t="s">
        <v>16</v>
      </c>
      <c r="H2863" t="s">
        <v>10</v>
      </c>
      <c r="J2863" t="str">
        <f>"07/26/2020 00:39"</f>
        <v>07/26/2020 00:39</v>
      </c>
    </row>
    <row r="2864" spans="1:10" x14ac:dyDescent="0.3">
      <c r="A2864" t="s">
        <v>6</v>
      </c>
      <c r="B2864" t="str">
        <f>"07/26/2020 00:00"</f>
        <v>07/26/2020 00:00</v>
      </c>
      <c r="C2864">
        <v>381</v>
      </c>
      <c r="D2864" t="s">
        <v>7</v>
      </c>
      <c r="E2864" s="2" t="s">
        <v>12</v>
      </c>
      <c r="F2864">
        <f t="shared" si="44"/>
        <v>755.52300000000002</v>
      </c>
      <c r="G2864" t="s">
        <v>16</v>
      </c>
      <c r="H2864" t="s">
        <v>10</v>
      </c>
      <c r="J2864" t="str">
        <f>"07/27/2020 00:39"</f>
        <v>07/27/2020 00:39</v>
      </c>
    </row>
    <row r="2865" spans="1:10" x14ac:dyDescent="0.3">
      <c r="A2865" t="s">
        <v>6</v>
      </c>
      <c r="B2865" t="str">
        <f>"07/27/2020 00:00"</f>
        <v>07/27/2020 00:00</v>
      </c>
      <c r="C2865">
        <v>381</v>
      </c>
      <c r="D2865" t="s">
        <v>7</v>
      </c>
      <c r="E2865" s="2" t="s">
        <v>12</v>
      </c>
      <c r="F2865">
        <f t="shared" si="44"/>
        <v>755.52300000000002</v>
      </c>
      <c r="G2865" t="s">
        <v>16</v>
      </c>
      <c r="H2865" t="s">
        <v>10</v>
      </c>
      <c r="J2865" t="str">
        <f>"07/28/2020 00:39"</f>
        <v>07/28/2020 00:39</v>
      </c>
    </row>
    <row r="2866" spans="1:10" x14ac:dyDescent="0.3">
      <c r="A2866" t="s">
        <v>6</v>
      </c>
      <c r="B2866" t="str">
        <f>"07/28/2020 00:00"</f>
        <v>07/28/2020 00:00</v>
      </c>
      <c r="C2866">
        <v>381</v>
      </c>
      <c r="D2866" t="s">
        <v>7</v>
      </c>
      <c r="E2866" s="2" t="s">
        <v>12</v>
      </c>
      <c r="F2866">
        <f t="shared" si="44"/>
        <v>755.52300000000002</v>
      </c>
      <c r="G2866" t="s">
        <v>16</v>
      </c>
      <c r="H2866" t="s">
        <v>10</v>
      </c>
      <c r="J2866" t="str">
        <f>"07/29/2020 00:39"</f>
        <v>07/29/2020 00:39</v>
      </c>
    </row>
    <row r="2867" spans="1:10" x14ac:dyDescent="0.3">
      <c r="A2867" t="s">
        <v>6</v>
      </c>
      <c r="B2867" t="str">
        <f>"07/29/2020 00:00"</f>
        <v>07/29/2020 00:00</v>
      </c>
      <c r="C2867">
        <v>380</v>
      </c>
      <c r="D2867" t="s">
        <v>7</v>
      </c>
      <c r="E2867" s="2" t="s">
        <v>12</v>
      </c>
      <c r="F2867">
        <f t="shared" si="44"/>
        <v>753.54000000000008</v>
      </c>
      <c r="G2867" t="s">
        <v>16</v>
      </c>
      <c r="H2867" t="s">
        <v>10</v>
      </c>
      <c r="J2867" t="str">
        <f>"07/30/2020 00:39"</f>
        <v>07/30/2020 00:39</v>
      </c>
    </row>
    <row r="2868" spans="1:10" x14ac:dyDescent="0.3">
      <c r="A2868" t="s">
        <v>6</v>
      </c>
      <c r="B2868" t="str">
        <f>"07/30/2020 00:00"</f>
        <v>07/30/2020 00:00</v>
      </c>
      <c r="C2868">
        <v>381</v>
      </c>
      <c r="D2868" t="s">
        <v>7</v>
      </c>
      <c r="E2868" s="2" t="s">
        <v>12</v>
      </c>
      <c r="F2868">
        <f t="shared" si="44"/>
        <v>755.52300000000002</v>
      </c>
      <c r="G2868" t="s">
        <v>16</v>
      </c>
      <c r="H2868" t="s">
        <v>10</v>
      </c>
      <c r="J2868" t="str">
        <f>"07/31/2020 00:39"</f>
        <v>07/31/2020 00:39</v>
      </c>
    </row>
    <row r="2869" spans="1:10" x14ac:dyDescent="0.3">
      <c r="A2869" t="s">
        <v>6</v>
      </c>
      <c r="B2869" t="str">
        <f>"07/31/2020 00:00"</f>
        <v>07/31/2020 00:00</v>
      </c>
      <c r="C2869">
        <v>381</v>
      </c>
      <c r="D2869" t="s">
        <v>7</v>
      </c>
      <c r="E2869" s="2" t="s">
        <v>12</v>
      </c>
      <c r="F2869">
        <f t="shared" si="44"/>
        <v>755.52300000000002</v>
      </c>
      <c r="G2869" t="s">
        <v>16</v>
      </c>
      <c r="H2869" t="s">
        <v>10</v>
      </c>
      <c r="J2869" t="str">
        <f>"08/01/2020 00:39"</f>
        <v>08/01/2020 00:39</v>
      </c>
    </row>
    <row r="2870" spans="1:10" x14ac:dyDescent="0.3">
      <c r="A2870" t="s">
        <v>6</v>
      </c>
      <c r="B2870" t="str">
        <f>"08/01/2020 00:00"</f>
        <v>08/01/2020 00:00</v>
      </c>
      <c r="C2870">
        <v>381</v>
      </c>
      <c r="D2870" t="s">
        <v>7</v>
      </c>
      <c r="E2870" s="2" t="s">
        <v>12</v>
      </c>
      <c r="F2870">
        <f t="shared" si="44"/>
        <v>755.52300000000002</v>
      </c>
      <c r="G2870" t="s">
        <v>16</v>
      </c>
      <c r="H2870" t="s">
        <v>10</v>
      </c>
      <c r="J2870" t="str">
        <f>"08/02/2020 00:39"</f>
        <v>08/02/2020 00:39</v>
      </c>
    </row>
    <row r="2871" spans="1:10" x14ac:dyDescent="0.3">
      <c r="A2871" t="s">
        <v>6</v>
      </c>
      <c r="B2871" t="str">
        <f>"08/02/2020 00:00"</f>
        <v>08/02/2020 00:00</v>
      </c>
      <c r="C2871">
        <v>381</v>
      </c>
      <c r="D2871" t="s">
        <v>7</v>
      </c>
      <c r="E2871" s="2" t="s">
        <v>12</v>
      </c>
      <c r="F2871">
        <f t="shared" si="44"/>
        <v>755.52300000000002</v>
      </c>
      <c r="G2871" t="s">
        <v>16</v>
      </c>
      <c r="H2871" t="s">
        <v>10</v>
      </c>
      <c r="J2871" t="str">
        <f>"08/03/2020 00:39"</f>
        <v>08/03/2020 00:39</v>
      </c>
    </row>
    <row r="2872" spans="1:10" x14ac:dyDescent="0.3">
      <c r="A2872" t="s">
        <v>6</v>
      </c>
      <c r="B2872" t="str">
        <f>"08/03/2020 00:00"</f>
        <v>08/03/2020 00:00</v>
      </c>
      <c r="C2872">
        <v>381</v>
      </c>
      <c r="D2872" t="s">
        <v>7</v>
      </c>
      <c r="E2872" s="2" t="s">
        <v>12</v>
      </c>
      <c r="F2872">
        <f t="shared" si="44"/>
        <v>755.52300000000002</v>
      </c>
      <c r="G2872" t="s">
        <v>16</v>
      </c>
      <c r="H2872" t="s">
        <v>10</v>
      </c>
      <c r="J2872" t="str">
        <f>"08/04/2020 00:39"</f>
        <v>08/04/2020 00:39</v>
      </c>
    </row>
    <row r="2873" spans="1:10" x14ac:dyDescent="0.3">
      <c r="A2873" t="s">
        <v>6</v>
      </c>
      <c r="B2873" t="str">
        <f>"08/04/2020 00:00"</f>
        <v>08/04/2020 00:00</v>
      </c>
      <c r="C2873">
        <v>381</v>
      </c>
      <c r="D2873" t="s">
        <v>7</v>
      </c>
      <c r="E2873" s="2" t="s">
        <v>12</v>
      </c>
      <c r="F2873">
        <f t="shared" si="44"/>
        <v>755.52300000000002</v>
      </c>
      <c r="G2873" t="s">
        <v>16</v>
      </c>
      <c r="H2873" t="s">
        <v>10</v>
      </c>
      <c r="J2873" t="str">
        <f>"08/05/2020 00:39"</f>
        <v>08/05/2020 00:39</v>
      </c>
    </row>
    <row r="2874" spans="1:10" x14ac:dyDescent="0.3">
      <c r="A2874" t="s">
        <v>6</v>
      </c>
      <c r="B2874" t="str">
        <f>"08/05/2020 00:00"</f>
        <v>08/05/2020 00:00</v>
      </c>
      <c r="C2874">
        <v>381</v>
      </c>
      <c r="D2874" t="s">
        <v>7</v>
      </c>
      <c r="E2874" s="2" t="s">
        <v>12</v>
      </c>
      <c r="F2874">
        <f t="shared" si="44"/>
        <v>755.52300000000002</v>
      </c>
      <c r="G2874" t="s">
        <v>16</v>
      </c>
      <c r="H2874" t="s">
        <v>10</v>
      </c>
      <c r="J2874" t="str">
        <f>"08/06/2020 00:39"</f>
        <v>08/06/2020 00:39</v>
      </c>
    </row>
    <row r="2875" spans="1:10" x14ac:dyDescent="0.3">
      <c r="A2875" t="s">
        <v>6</v>
      </c>
      <c r="B2875" t="str">
        <f>"08/06/2020 00:00"</f>
        <v>08/06/2020 00:00</v>
      </c>
      <c r="C2875">
        <v>380</v>
      </c>
      <c r="D2875" t="s">
        <v>7</v>
      </c>
      <c r="E2875" s="2" t="s">
        <v>12</v>
      </c>
      <c r="F2875">
        <f t="shared" si="44"/>
        <v>753.54000000000008</v>
      </c>
      <c r="G2875" t="s">
        <v>16</v>
      </c>
      <c r="H2875" t="s">
        <v>10</v>
      </c>
      <c r="J2875" t="str">
        <f>"08/07/2020 00:39"</f>
        <v>08/07/2020 00:39</v>
      </c>
    </row>
    <row r="2876" spans="1:10" x14ac:dyDescent="0.3">
      <c r="A2876" t="s">
        <v>6</v>
      </c>
      <c r="B2876" t="str">
        <f>"08/07/2020 00:00"</f>
        <v>08/07/2020 00:00</v>
      </c>
      <c r="C2876">
        <v>380</v>
      </c>
      <c r="D2876" t="s">
        <v>7</v>
      </c>
      <c r="E2876" s="2" t="s">
        <v>12</v>
      </c>
      <c r="F2876">
        <f t="shared" si="44"/>
        <v>753.54000000000008</v>
      </c>
      <c r="G2876" t="s">
        <v>16</v>
      </c>
      <c r="H2876" t="s">
        <v>10</v>
      </c>
      <c r="J2876" t="str">
        <f>"08/08/2020 00:39"</f>
        <v>08/08/2020 00:39</v>
      </c>
    </row>
    <row r="2877" spans="1:10" x14ac:dyDescent="0.3">
      <c r="A2877" t="s">
        <v>6</v>
      </c>
      <c r="B2877" t="str">
        <f>"08/08/2020 00:00"</f>
        <v>08/08/2020 00:00</v>
      </c>
      <c r="C2877">
        <v>380</v>
      </c>
      <c r="D2877" t="s">
        <v>7</v>
      </c>
      <c r="E2877" s="2" t="s">
        <v>12</v>
      </c>
      <c r="F2877">
        <f t="shared" si="44"/>
        <v>753.54000000000008</v>
      </c>
      <c r="G2877" t="s">
        <v>16</v>
      </c>
      <c r="H2877" t="s">
        <v>10</v>
      </c>
      <c r="J2877" t="str">
        <f>"08/09/2020 00:39"</f>
        <v>08/09/2020 00:39</v>
      </c>
    </row>
    <row r="2878" spans="1:10" x14ac:dyDescent="0.3">
      <c r="A2878" t="s">
        <v>6</v>
      </c>
      <c r="B2878" t="str">
        <f>"08/09/2020 00:00"</f>
        <v>08/09/2020 00:00</v>
      </c>
      <c r="C2878">
        <v>380</v>
      </c>
      <c r="D2878" t="s">
        <v>7</v>
      </c>
      <c r="E2878" s="2" t="s">
        <v>12</v>
      </c>
      <c r="F2878">
        <f t="shared" si="44"/>
        <v>753.54000000000008</v>
      </c>
      <c r="G2878" t="s">
        <v>16</v>
      </c>
      <c r="H2878" t="s">
        <v>10</v>
      </c>
      <c r="J2878" t="str">
        <f>"08/10/2020 00:39"</f>
        <v>08/10/2020 00:39</v>
      </c>
    </row>
    <row r="2879" spans="1:10" x14ac:dyDescent="0.3">
      <c r="A2879" t="s">
        <v>6</v>
      </c>
      <c r="B2879" t="str">
        <f>"08/10/2020 00:00"</f>
        <v>08/10/2020 00:00</v>
      </c>
      <c r="C2879">
        <v>358</v>
      </c>
      <c r="D2879" t="s">
        <v>7</v>
      </c>
      <c r="E2879" s="2" t="s">
        <v>12</v>
      </c>
      <c r="F2879">
        <f t="shared" si="44"/>
        <v>709.91399999999999</v>
      </c>
      <c r="G2879" t="s">
        <v>16</v>
      </c>
      <c r="H2879" t="s">
        <v>10</v>
      </c>
      <c r="J2879" t="str">
        <f>"08/11/2020 00:39"</f>
        <v>08/11/2020 00:39</v>
      </c>
    </row>
    <row r="2880" spans="1:10" x14ac:dyDescent="0.3">
      <c r="A2880" t="s">
        <v>6</v>
      </c>
      <c r="B2880" t="str">
        <f>"08/11/2020 00:00"</f>
        <v>08/11/2020 00:00</v>
      </c>
      <c r="C2880">
        <v>313</v>
      </c>
      <c r="D2880" t="s">
        <v>7</v>
      </c>
      <c r="E2880" s="2" t="s">
        <v>12</v>
      </c>
      <c r="F2880">
        <f t="shared" si="44"/>
        <v>620.67899999999997</v>
      </c>
      <c r="G2880" t="s">
        <v>16</v>
      </c>
      <c r="H2880" t="s">
        <v>10</v>
      </c>
      <c r="J2880" t="str">
        <f>"08/12/2020 00:39"</f>
        <v>08/12/2020 00:39</v>
      </c>
    </row>
    <row r="2881" spans="1:10" x14ac:dyDescent="0.3">
      <c r="A2881" t="s">
        <v>6</v>
      </c>
      <c r="B2881" t="str">
        <f>"08/12/2020 00:00"</f>
        <v>08/12/2020 00:00</v>
      </c>
      <c r="C2881">
        <v>273</v>
      </c>
      <c r="D2881" t="s">
        <v>7</v>
      </c>
      <c r="E2881" s="2" t="s">
        <v>12</v>
      </c>
      <c r="F2881">
        <f t="shared" si="44"/>
        <v>541.35900000000004</v>
      </c>
      <c r="G2881" t="s">
        <v>16</v>
      </c>
      <c r="H2881" t="s">
        <v>10</v>
      </c>
      <c r="J2881" t="str">
        <f>"08/13/2020 00:39"</f>
        <v>08/13/2020 00:39</v>
      </c>
    </row>
    <row r="2882" spans="1:10" x14ac:dyDescent="0.3">
      <c r="A2882" t="s">
        <v>6</v>
      </c>
      <c r="B2882" t="str">
        <f>"08/13/2020 00:00"</f>
        <v>08/13/2020 00:00</v>
      </c>
      <c r="C2882">
        <v>235</v>
      </c>
      <c r="D2882" t="s">
        <v>7</v>
      </c>
      <c r="E2882" s="2" t="s">
        <v>12</v>
      </c>
      <c r="F2882">
        <f t="shared" si="44"/>
        <v>466.005</v>
      </c>
      <c r="G2882" t="s">
        <v>16</v>
      </c>
      <c r="H2882" t="s">
        <v>10</v>
      </c>
      <c r="J2882" t="str">
        <f>"08/14/2020 00:39"</f>
        <v>08/14/2020 00:39</v>
      </c>
    </row>
    <row r="2883" spans="1:10" x14ac:dyDescent="0.3">
      <c r="A2883" t="s">
        <v>6</v>
      </c>
      <c r="B2883" t="str">
        <f>"08/14/2020 00:00"</f>
        <v>08/14/2020 00:00</v>
      </c>
      <c r="C2883">
        <v>195</v>
      </c>
      <c r="D2883" t="s">
        <v>7</v>
      </c>
      <c r="E2883" s="2" t="s">
        <v>12</v>
      </c>
      <c r="F2883">
        <f t="shared" si="44"/>
        <v>386.685</v>
      </c>
      <c r="G2883" t="s">
        <v>16</v>
      </c>
      <c r="H2883" t="s">
        <v>10</v>
      </c>
      <c r="J2883" t="str">
        <f>"08/15/2020 00:39"</f>
        <v>08/15/2020 00:39</v>
      </c>
    </row>
    <row r="2884" spans="1:10" x14ac:dyDescent="0.3">
      <c r="A2884" t="s">
        <v>6</v>
      </c>
      <c r="B2884" t="str">
        <f>"08/15/2020 00:00"</f>
        <v>08/15/2020 00:00</v>
      </c>
      <c r="C2884">
        <v>154</v>
      </c>
      <c r="D2884" t="s">
        <v>7</v>
      </c>
      <c r="E2884" s="2" t="s">
        <v>12</v>
      </c>
      <c r="F2884">
        <f t="shared" si="44"/>
        <v>305.38200000000001</v>
      </c>
      <c r="G2884" t="s">
        <v>16</v>
      </c>
      <c r="H2884" t="s">
        <v>10</v>
      </c>
      <c r="J2884" t="str">
        <f>"08/16/2020 00:39"</f>
        <v>08/16/2020 00:39</v>
      </c>
    </row>
    <row r="2885" spans="1:10" x14ac:dyDescent="0.3">
      <c r="A2885" t="s">
        <v>6</v>
      </c>
      <c r="B2885" t="str">
        <f>"08/16/2020 00:00"</f>
        <v>08/16/2020 00:00</v>
      </c>
      <c r="C2885">
        <v>111</v>
      </c>
      <c r="D2885" t="s">
        <v>7</v>
      </c>
      <c r="E2885" s="2" t="s">
        <v>12</v>
      </c>
      <c r="F2885">
        <f t="shared" si="44"/>
        <v>220.113</v>
      </c>
      <c r="G2885" t="s">
        <v>16</v>
      </c>
      <c r="H2885" t="s">
        <v>10</v>
      </c>
      <c r="J2885" t="str">
        <f>"08/17/2020 00:39"</f>
        <v>08/17/2020 00:39</v>
      </c>
    </row>
    <row r="2886" spans="1:10" x14ac:dyDescent="0.3">
      <c r="A2886" t="s">
        <v>6</v>
      </c>
      <c r="B2886" t="str">
        <f>"08/17/2020 00:00"</f>
        <v>08/17/2020 00:00</v>
      </c>
      <c r="C2886">
        <v>72.099999999999994</v>
      </c>
      <c r="D2886" t="s">
        <v>7</v>
      </c>
      <c r="E2886" s="2" t="s">
        <v>12</v>
      </c>
      <c r="F2886">
        <f t="shared" si="44"/>
        <v>142.9743</v>
      </c>
      <c r="G2886" t="s">
        <v>16</v>
      </c>
      <c r="H2886" t="s">
        <v>10</v>
      </c>
      <c r="J2886" t="str">
        <f>"08/18/2020 00:39"</f>
        <v>08/18/2020 00:39</v>
      </c>
    </row>
    <row r="2887" spans="1:10" x14ac:dyDescent="0.3">
      <c r="A2887" t="s">
        <v>6</v>
      </c>
      <c r="B2887" t="str">
        <f>"08/18/2020 00:00"</f>
        <v>08/18/2020 00:00</v>
      </c>
      <c r="C2887">
        <v>57.7</v>
      </c>
      <c r="D2887" t="s">
        <v>7</v>
      </c>
      <c r="E2887" s="2" t="s">
        <v>12</v>
      </c>
      <c r="F2887">
        <f t="shared" si="44"/>
        <v>114.41910000000001</v>
      </c>
      <c r="G2887" t="s">
        <v>16</v>
      </c>
      <c r="H2887" t="s">
        <v>10</v>
      </c>
      <c r="J2887" t="str">
        <f>"08/19/2020 00:39"</f>
        <v>08/19/2020 00:39</v>
      </c>
    </row>
    <row r="2888" spans="1:10" x14ac:dyDescent="0.3">
      <c r="A2888" t="s">
        <v>6</v>
      </c>
      <c r="B2888" t="str">
        <f>"08/19/2020 00:00"</f>
        <v>08/19/2020 00:00</v>
      </c>
      <c r="C2888">
        <v>70.400000000000006</v>
      </c>
      <c r="D2888" t="s">
        <v>7</v>
      </c>
      <c r="E2888" s="2" t="s">
        <v>12</v>
      </c>
      <c r="F2888">
        <f t="shared" si="44"/>
        <v>139.60320000000002</v>
      </c>
      <c r="G2888" t="s">
        <v>16</v>
      </c>
      <c r="H2888" t="s">
        <v>10</v>
      </c>
      <c r="J2888" t="str">
        <f>"08/20/2020 00:39"</f>
        <v>08/20/2020 00:39</v>
      </c>
    </row>
    <row r="2889" spans="1:10" x14ac:dyDescent="0.3">
      <c r="A2889" t="s">
        <v>6</v>
      </c>
      <c r="B2889" t="str">
        <f>"08/20/2020 00:00"</f>
        <v>08/20/2020 00:00</v>
      </c>
      <c r="C2889">
        <v>42.4</v>
      </c>
      <c r="D2889" t="s">
        <v>7</v>
      </c>
      <c r="E2889" s="2" t="s">
        <v>12</v>
      </c>
      <c r="F2889">
        <f t="shared" si="44"/>
        <v>84.0792</v>
      </c>
      <c r="G2889" t="s">
        <v>16</v>
      </c>
      <c r="H2889" t="s">
        <v>10</v>
      </c>
      <c r="J2889" t="str">
        <f>"08/21/2020 00:39"</f>
        <v>08/21/2020 00:39</v>
      </c>
    </row>
    <row r="2890" spans="1:10" x14ac:dyDescent="0.3">
      <c r="A2890" t="s">
        <v>6</v>
      </c>
      <c r="B2890" t="str">
        <f>"08/21/2020 00:00"</f>
        <v>08/21/2020 00:00</v>
      </c>
      <c r="C2890">
        <v>9.25</v>
      </c>
      <c r="D2890" t="s">
        <v>7</v>
      </c>
      <c r="E2890" s="2" t="s">
        <v>12</v>
      </c>
      <c r="F2890">
        <f t="shared" ref="F2890:F2954" si="45">C2890*1.983</f>
        <v>18.342750000000002</v>
      </c>
      <c r="G2890" t="s">
        <v>16</v>
      </c>
      <c r="H2890" t="s">
        <v>10</v>
      </c>
      <c r="J2890" t="str">
        <f>"08/22/2020 00:39"</f>
        <v>08/22/2020 00:39</v>
      </c>
    </row>
    <row r="2891" spans="1:10" x14ac:dyDescent="0.3">
      <c r="A2891" t="s">
        <v>6</v>
      </c>
      <c r="B2891" t="str">
        <f>"08/22/2020 00:00"</f>
        <v>08/22/2020 00:00</v>
      </c>
      <c r="C2891">
        <v>8.58</v>
      </c>
      <c r="D2891" t="s">
        <v>7</v>
      </c>
      <c r="E2891" s="2" t="s">
        <v>12</v>
      </c>
      <c r="F2891">
        <f t="shared" si="45"/>
        <v>17.014140000000001</v>
      </c>
      <c r="G2891" t="s">
        <v>16</v>
      </c>
      <c r="H2891" t="s">
        <v>10</v>
      </c>
      <c r="J2891" t="str">
        <f>"08/23/2020 00:39"</f>
        <v>08/23/2020 00:39</v>
      </c>
    </row>
    <row r="2892" spans="1:10" x14ac:dyDescent="0.3">
      <c r="A2892" t="s">
        <v>6</v>
      </c>
      <c r="B2892" t="str">
        <f>"08/23/2020 00:00"</f>
        <v>08/23/2020 00:00</v>
      </c>
      <c r="C2892">
        <v>8.14</v>
      </c>
      <c r="D2892" t="s">
        <v>7</v>
      </c>
      <c r="E2892" s="2" t="s">
        <v>12</v>
      </c>
      <c r="F2892">
        <f t="shared" si="45"/>
        <v>16.141620000000003</v>
      </c>
      <c r="G2892" t="s">
        <v>16</v>
      </c>
      <c r="H2892" t="s">
        <v>10</v>
      </c>
      <c r="J2892" t="str">
        <f>"08/24/2020 00:39"</f>
        <v>08/24/2020 00:39</v>
      </c>
    </row>
    <row r="2893" spans="1:10" x14ac:dyDescent="0.3">
      <c r="A2893" t="s">
        <v>6</v>
      </c>
      <c r="B2893" t="str">
        <f>"08/24/2020 00:00"</f>
        <v>08/24/2020 00:00</v>
      </c>
      <c r="C2893">
        <v>8.6999999999999993</v>
      </c>
      <c r="D2893" t="s">
        <v>7</v>
      </c>
      <c r="E2893" s="2" t="s">
        <v>12</v>
      </c>
      <c r="F2893">
        <f t="shared" si="45"/>
        <v>17.252099999999999</v>
      </c>
      <c r="G2893" t="s">
        <v>16</v>
      </c>
      <c r="H2893" t="s">
        <v>10</v>
      </c>
      <c r="J2893" t="str">
        <f>"08/25/2020 00:39"</f>
        <v>08/25/2020 00:39</v>
      </c>
    </row>
    <row r="2894" spans="1:10" x14ac:dyDescent="0.3">
      <c r="A2894" t="s">
        <v>6</v>
      </c>
      <c r="B2894" t="str">
        <f>"08/25/2020 00:00"</f>
        <v>08/25/2020 00:00</v>
      </c>
      <c r="C2894">
        <v>9.39</v>
      </c>
      <c r="D2894" t="s">
        <v>7</v>
      </c>
      <c r="E2894" s="2" t="s">
        <v>12</v>
      </c>
      <c r="F2894">
        <f t="shared" si="45"/>
        <v>18.620370000000001</v>
      </c>
      <c r="G2894" t="s">
        <v>16</v>
      </c>
      <c r="H2894" t="s">
        <v>10</v>
      </c>
      <c r="J2894" t="str">
        <f>"08/26/2020 00:39"</f>
        <v>08/26/2020 00:39</v>
      </c>
    </row>
    <row r="2895" spans="1:10" x14ac:dyDescent="0.3">
      <c r="A2895" t="s">
        <v>6</v>
      </c>
      <c r="B2895" t="str">
        <f>"08/26/2020 00:00"</f>
        <v>08/26/2020 00:00</v>
      </c>
      <c r="C2895">
        <v>6.72</v>
      </c>
      <c r="D2895" t="s">
        <v>7</v>
      </c>
      <c r="E2895" s="2" t="s">
        <v>12</v>
      </c>
      <c r="F2895">
        <f t="shared" si="45"/>
        <v>13.325760000000001</v>
      </c>
      <c r="G2895" t="s">
        <v>16</v>
      </c>
      <c r="H2895" t="s">
        <v>10</v>
      </c>
      <c r="J2895" t="str">
        <f>"08/27/2020 00:39"</f>
        <v>08/27/2020 00:39</v>
      </c>
    </row>
    <row r="2896" spans="1:10" x14ac:dyDescent="0.3">
      <c r="A2896" t="s">
        <v>6</v>
      </c>
      <c r="B2896" t="str">
        <f>"08/27/2020 00:00"</f>
        <v>08/27/2020 00:00</v>
      </c>
      <c r="C2896">
        <v>3.81</v>
      </c>
      <c r="D2896" t="s">
        <v>7</v>
      </c>
      <c r="E2896" s="2" t="s">
        <v>12</v>
      </c>
      <c r="F2896">
        <f t="shared" si="45"/>
        <v>7.5552300000000008</v>
      </c>
      <c r="G2896" t="s">
        <v>16</v>
      </c>
      <c r="H2896" t="s">
        <v>10</v>
      </c>
      <c r="J2896" t="str">
        <f>"08/28/2020 00:39"</f>
        <v>08/28/2020 00:39</v>
      </c>
    </row>
    <row r="2897" spans="1:10" x14ac:dyDescent="0.3">
      <c r="A2897" t="s">
        <v>6</v>
      </c>
      <c r="B2897" t="str">
        <f>"08/28/2020 00:00"</f>
        <v>08/28/2020 00:00</v>
      </c>
      <c r="C2897">
        <v>2.2999999999999998</v>
      </c>
      <c r="D2897" t="s">
        <v>7</v>
      </c>
      <c r="E2897" s="2" t="s">
        <v>12</v>
      </c>
      <c r="F2897">
        <f t="shared" si="45"/>
        <v>4.5609000000000002</v>
      </c>
      <c r="G2897" t="s">
        <v>16</v>
      </c>
      <c r="H2897" t="s">
        <v>10</v>
      </c>
      <c r="J2897" t="str">
        <f>"08/29/2020 00:39"</f>
        <v>08/29/2020 00:39</v>
      </c>
    </row>
    <row r="2898" spans="1:10" x14ac:dyDescent="0.3">
      <c r="A2898" t="s">
        <v>6</v>
      </c>
      <c r="B2898" t="str">
        <f>"08/29/2020 00:00"</f>
        <v>08/29/2020 00:00</v>
      </c>
      <c r="C2898">
        <v>2.33</v>
      </c>
      <c r="D2898" t="s">
        <v>7</v>
      </c>
      <c r="E2898" s="2" t="s">
        <v>12</v>
      </c>
      <c r="F2898">
        <f t="shared" si="45"/>
        <v>4.6203900000000004</v>
      </c>
      <c r="G2898" t="s">
        <v>16</v>
      </c>
      <c r="H2898" t="s">
        <v>10</v>
      </c>
      <c r="J2898" t="str">
        <f>"08/30/2020 00:39"</f>
        <v>08/30/2020 00:39</v>
      </c>
    </row>
    <row r="2899" spans="1:10" x14ac:dyDescent="0.3">
      <c r="A2899" t="s">
        <v>6</v>
      </c>
      <c r="B2899" t="str">
        <f>"08/30/2020 00:00"</f>
        <v>08/30/2020 00:00</v>
      </c>
      <c r="C2899">
        <v>2.33</v>
      </c>
      <c r="D2899" t="s">
        <v>7</v>
      </c>
      <c r="E2899" s="2" t="s">
        <v>12</v>
      </c>
      <c r="F2899">
        <f t="shared" si="45"/>
        <v>4.6203900000000004</v>
      </c>
      <c r="G2899" t="s">
        <v>16</v>
      </c>
      <c r="H2899" t="s">
        <v>10</v>
      </c>
      <c r="J2899" t="str">
        <f>"08/31/2020 00:39"</f>
        <v>08/31/2020 00:39</v>
      </c>
    </row>
    <row r="2900" spans="1:10" x14ac:dyDescent="0.3">
      <c r="A2900" t="s">
        <v>6</v>
      </c>
      <c r="B2900" t="str">
        <f>"08/31/2020 00:00"</f>
        <v>08/31/2020 00:00</v>
      </c>
      <c r="C2900">
        <v>2.33</v>
      </c>
      <c r="D2900" t="s">
        <v>7</v>
      </c>
      <c r="E2900" s="2" t="s">
        <v>12</v>
      </c>
      <c r="F2900">
        <f t="shared" si="45"/>
        <v>4.6203900000000004</v>
      </c>
      <c r="G2900" t="s">
        <v>16</v>
      </c>
      <c r="H2900" t="s">
        <v>10</v>
      </c>
      <c r="J2900" t="str">
        <f>"09/01/2020 00:39"</f>
        <v>09/01/2020 00:39</v>
      </c>
    </row>
    <row r="2901" spans="1:10" x14ac:dyDescent="0.3">
      <c r="A2901" t="s">
        <v>6</v>
      </c>
      <c r="B2901" t="str">
        <f>"09/01/2020 00:00"</f>
        <v>09/01/2020 00:00</v>
      </c>
      <c r="C2901">
        <v>2.33</v>
      </c>
      <c r="D2901" t="s">
        <v>7</v>
      </c>
      <c r="E2901" s="2" t="s">
        <v>12</v>
      </c>
      <c r="F2901">
        <f t="shared" si="45"/>
        <v>4.6203900000000004</v>
      </c>
      <c r="G2901" t="s">
        <v>16</v>
      </c>
      <c r="H2901" t="s">
        <v>10</v>
      </c>
      <c r="J2901" t="str">
        <f>"09/02/2020 00:39"</f>
        <v>09/02/2020 00:39</v>
      </c>
    </row>
    <row r="2902" spans="1:10" x14ac:dyDescent="0.3">
      <c r="A2902" t="s">
        <v>6</v>
      </c>
      <c r="B2902" t="str">
        <f>"09/02/2020 00:00"</f>
        <v>09/02/2020 00:00</v>
      </c>
      <c r="C2902">
        <v>2.33</v>
      </c>
      <c r="D2902" t="s">
        <v>7</v>
      </c>
      <c r="E2902" s="2" t="s">
        <v>12</v>
      </c>
      <c r="F2902">
        <f t="shared" si="45"/>
        <v>4.6203900000000004</v>
      </c>
      <c r="G2902" t="s">
        <v>16</v>
      </c>
      <c r="H2902" t="s">
        <v>10</v>
      </c>
      <c r="J2902" t="str">
        <f>"09/03/2020 00:39"</f>
        <v>09/03/2020 00:39</v>
      </c>
    </row>
    <row r="2903" spans="1:10" x14ac:dyDescent="0.3">
      <c r="A2903" t="s">
        <v>6</v>
      </c>
      <c r="B2903" t="str">
        <f>"09/03/2020 00:00"</f>
        <v>09/03/2020 00:00</v>
      </c>
      <c r="C2903">
        <v>2.31</v>
      </c>
      <c r="D2903" t="s">
        <v>7</v>
      </c>
      <c r="E2903" s="2" t="s">
        <v>12</v>
      </c>
      <c r="F2903">
        <f t="shared" si="45"/>
        <v>4.58073</v>
      </c>
      <c r="G2903" t="s">
        <v>16</v>
      </c>
      <c r="H2903" t="s">
        <v>10</v>
      </c>
      <c r="J2903" t="str">
        <f>"09/04/2020 00:39"</f>
        <v>09/04/2020 00:39</v>
      </c>
    </row>
    <row r="2904" spans="1:10" x14ac:dyDescent="0.3">
      <c r="A2904" t="s">
        <v>6</v>
      </c>
      <c r="B2904" t="str">
        <f>"09/04/2020 00:00"</f>
        <v>09/04/2020 00:00</v>
      </c>
      <c r="C2904">
        <v>2.2799999999999998</v>
      </c>
      <c r="D2904" t="s">
        <v>7</v>
      </c>
      <c r="E2904" s="2" t="s">
        <v>12</v>
      </c>
      <c r="F2904">
        <f t="shared" si="45"/>
        <v>4.5212399999999997</v>
      </c>
      <c r="G2904" t="s">
        <v>16</v>
      </c>
      <c r="H2904" t="s">
        <v>10</v>
      </c>
      <c r="J2904" t="str">
        <f>"09/05/2020 00:40"</f>
        <v>09/05/2020 00:40</v>
      </c>
    </row>
    <row r="2905" spans="1:10" x14ac:dyDescent="0.3">
      <c r="A2905" t="s">
        <v>6</v>
      </c>
      <c r="B2905" t="str">
        <f>"09/05/2020 00:00"</f>
        <v>09/05/2020 00:00</v>
      </c>
      <c r="C2905">
        <v>2.06</v>
      </c>
      <c r="D2905" t="s">
        <v>7</v>
      </c>
      <c r="E2905" s="2" t="s">
        <v>12</v>
      </c>
      <c r="F2905">
        <f t="shared" si="45"/>
        <v>4.0849800000000007</v>
      </c>
      <c r="G2905" t="s">
        <v>16</v>
      </c>
      <c r="H2905" t="s">
        <v>10</v>
      </c>
      <c r="J2905" t="str">
        <f>"09/06/2020 00:39"</f>
        <v>09/06/2020 00:39</v>
      </c>
    </row>
    <row r="2906" spans="1:10" x14ac:dyDescent="0.3">
      <c r="A2906" t="s">
        <v>6</v>
      </c>
      <c r="B2906" t="str">
        <f>"09/06/2020 00:00"</f>
        <v>09/06/2020 00:00</v>
      </c>
      <c r="C2906">
        <v>2.0499999999999998</v>
      </c>
      <c r="D2906" t="s">
        <v>7</v>
      </c>
      <c r="E2906" s="2" t="s">
        <v>12</v>
      </c>
      <c r="F2906">
        <f t="shared" si="45"/>
        <v>4.06515</v>
      </c>
      <c r="G2906" t="s">
        <v>16</v>
      </c>
      <c r="H2906" t="s">
        <v>10</v>
      </c>
      <c r="J2906" t="str">
        <f>"09/07/2020 00:39"</f>
        <v>09/07/2020 00:39</v>
      </c>
    </row>
    <row r="2907" spans="1:10" x14ac:dyDescent="0.3">
      <c r="A2907" t="s">
        <v>6</v>
      </c>
      <c r="B2907" t="str">
        <f>"09/07/2020 00:00"</f>
        <v>09/07/2020 00:00</v>
      </c>
      <c r="C2907">
        <v>2.02</v>
      </c>
      <c r="D2907" t="s">
        <v>7</v>
      </c>
      <c r="E2907" s="2" t="s">
        <v>12</v>
      </c>
      <c r="F2907">
        <f t="shared" si="45"/>
        <v>4.0056600000000007</v>
      </c>
      <c r="G2907" t="s">
        <v>16</v>
      </c>
      <c r="H2907" t="s">
        <v>10</v>
      </c>
      <c r="J2907" t="str">
        <f>"09/08/2020 00:39"</f>
        <v>09/08/2020 00:39</v>
      </c>
    </row>
    <row r="2908" spans="1:10" x14ac:dyDescent="0.3">
      <c r="A2908" t="s">
        <v>6</v>
      </c>
      <c r="B2908" t="str">
        <f>"09/08/2020 00:00"</f>
        <v>09/08/2020 00:00</v>
      </c>
      <c r="C2908">
        <v>2.12</v>
      </c>
      <c r="D2908" t="s">
        <v>7</v>
      </c>
      <c r="E2908" s="2" t="s">
        <v>12</v>
      </c>
      <c r="F2908">
        <f t="shared" si="45"/>
        <v>4.2039600000000004</v>
      </c>
      <c r="G2908" t="s">
        <v>16</v>
      </c>
      <c r="H2908" t="s">
        <v>10</v>
      </c>
      <c r="J2908" t="str">
        <f>"09/09/2020 00:39"</f>
        <v>09/09/2020 00:39</v>
      </c>
    </row>
    <row r="2909" spans="1:10" x14ac:dyDescent="0.3">
      <c r="A2909" t="s">
        <v>6</v>
      </c>
      <c r="B2909" t="str">
        <f>"09/09/2020 00:00"</f>
        <v>09/09/2020 00:00</v>
      </c>
      <c r="C2909">
        <v>2.14</v>
      </c>
      <c r="D2909" t="s">
        <v>7</v>
      </c>
      <c r="E2909" s="2" t="s">
        <v>12</v>
      </c>
      <c r="F2909">
        <f t="shared" si="45"/>
        <v>4.2436200000000008</v>
      </c>
      <c r="G2909" t="s">
        <v>16</v>
      </c>
      <c r="H2909" t="s">
        <v>10</v>
      </c>
      <c r="J2909" t="str">
        <f>"09/10/2020 00:39"</f>
        <v>09/10/2020 00:39</v>
      </c>
    </row>
    <row r="2910" spans="1:10" x14ac:dyDescent="0.3">
      <c r="A2910" t="s">
        <v>6</v>
      </c>
      <c r="B2910" t="str">
        <f>"09/10/2020 00:00"</f>
        <v>09/10/2020 00:00</v>
      </c>
      <c r="C2910">
        <v>2.0299999999999998</v>
      </c>
      <c r="D2910" t="s">
        <v>7</v>
      </c>
      <c r="E2910" s="2" t="s">
        <v>12</v>
      </c>
      <c r="F2910">
        <f t="shared" si="45"/>
        <v>4.0254899999999996</v>
      </c>
      <c r="G2910" t="s">
        <v>16</v>
      </c>
      <c r="H2910" t="s">
        <v>10</v>
      </c>
      <c r="J2910" t="str">
        <f>"09/11/2020 00:39"</f>
        <v>09/11/2020 00:39</v>
      </c>
    </row>
    <row r="2911" spans="1:10" x14ac:dyDescent="0.3">
      <c r="A2911" t="s">
        <v>6</v>
      </c>
      <c r="B2911" t="str">
        <f>"09/11/2020 00:00"</f>
        <v>09/11/2020 00:00</v>
      </c>
      <c r="C2911">
        <v>2.02</v>
      </c>
      <c r="D2911" t="s">
        <v>7</v>
      </c>
      <c r="E2911" s="2" t="s">
        <v>12</v>
      </c>
      <c r="F2911">
        <f t="shared" si="45"/>
        <v>4.0056600000000007</v>
      </c>
      <c r="G2911" t="s">
        <v>16</v>
      </c>
      <c r="H2911" t="s">
        <v>10</v>
      </c>
      <c r="J2911" t="str">
        <f>"09/12/2020 00:39"</f>
        <v>09/12/2020 00:39</v>
      </c>
    </row>
    <row r="2912" spans="1:10" x14ac:dyDescent="0.3">
      <c r="A2912" t="s">
        <v>6</v>
      </c>
      <c r="B2912" t="str">
        <f>"09/12/2020 00:00"</f>
        <v>09/12/2020 00:00</v>
      </c>
      <c r="C2912">
        <v>2.02</v>
      </c>
      <c r="D2912" t="s">
        <v>7</v>
      </c>
      <c r="E2912" s="2" t="s">
        <v>12</v>
      </c>
      <c r="F2912">
        <f t="shared" si="45"/>
        <v>4.0056600000000007</v>
      </c>
      <c r="G2912" t="s">
        <v>16</v>
      </c>
      <c r="H2912" t="s">
        <v>10</v>
      </c>
      <c r="J2912" t="str">
        <f>"09/13/2020 00:39"</f>
        <v>09/13/2020 00:39</v>
      </c>
    </row>
    <row r="2913" spans="1:10" x14ac:dyDescent="0.3">
      <c r="A2913" t="s">
        <v>6</v>
      </c>
      <c r="B2913" t="str">
        <f>"09/13/2020 00:00"</f>
        <v>09/13/2020 00:00</v>
      </c>
      <c r="C2913">
        <v>2.02</v>
      </c>
      <c r="D2913" t="s">
        <v>7</v>
      </c>
      <c r="E2913" s="2" t="s">
        <v>12</v>
      </c>
      <c r="F2913">
        <f t="shared" si="45"/>
        <v>4.0056600000000007</v>
      </c>
      <c r="G2913" t="s">
        <v>16</v>
      </c>
      <c r="H2913" t="s">
        <v>10</v>
      </c>
      <c r="J2913" t="str">
        <f>"09/14/2020 00:39"</f>
        <v>09/14/2020 00:39</v>
      </c>
    </row>
    <row r="2914" spans="1:10" x14ac:dyDescent="0.3">
      <c r="A2914" t="s">
        <v>6</v>
      </c>
      <c r="B2914" t="str">
        <f>"09/14/2020 00:00"</f>
        <v>09/14/2020 00:00</v>
      </c>
      <c r="C2914">
        <v>1.9</v>
      </c>
      <c r="D2914" t="s">
        <v>7</v>
      </c>
      <c r="E2914" s="2" t="s">
        <v>12</v>
      </c>
      <c r="F2914">
        <f t="shared" si="45"/>
        <v>3.7677</v>
      </c>
      <c r="G2914" t="s">
        <v>16</v>
      </c>
      <c r="H2914" t="s">
        <v>10</v>
      </c>
      <c r="J2914" t="str">
        <f>"09/15/2020 00:40"</f>
        <v>09/15/2020 00:40</v>
      </c>
    </row>
    <row r="2915" spans="1:10" x14ac:dyDescent="0.3">
      <c r="A2915" t="s">
        <v>6</v>
      </c>
      <c r="B2915" t="str">
        <f>"09/15/2020 00:00"</f>
        <v>09/15/2020 00:00</v>
      </c>
      <c r="C2915">
        <v>1.74</v>
      </c>
      <c r="D2915" t="s">
        <v>7</v>
      </c>
      <c r="E2915" s="2" t="s">
        <v>12</v>
      </c>
      <c r="F2915">
        <f t="shared" si="45"/>
        <v>3.4504200000000003</v>
      </c>
      <c r="G2915" t="s">
        <v>16</v>
      </c>
      <c r="H2915" t="s">
        <v>10</v>
      </c>
      <c r="J2915" t="str">
        <f>"09/16/2020 00:39"</f>
        <v>09/16/2020 00:39</v>
      </c>
    </row>
    <row r="2916" spans="1:10" x14ac:dyDescent="0.3">
      <c r="A2916" t="s">
        <v>6</v>
      </c>
      <c r="B2916" t="str">
        <f>"09/16/2020 00:00"</f>
        <v>09/16/2020 00:00</v>
      </c>
      <c r="C2916">
        <v>1.77</v>
      </c>
      <c r="D2916" t="s">
        <v>7</v>
      </c>
      <c r="E2916" s="2" t="s">
        <v>12</v>
      </c>
      <c r="F2916">
        <f t="shared" si="45"/>
        <v>3.5099100000000001</v>
      </c>
      <c r="G2916" t="s">
        <v>16</v>
      </c>
      <c r="H2916" t="s">
        <v>10</v>
      </c>
      <c r="J2916" t="str">
        <f>"09/17/2020 00:39"</f>
        <v>09/17/2020 00:39</v>
      </c>
    </row>
    <row r="2917" spans="1:10" x14ac:dyDescent="0.3">
      <c r="A2917" t="s">
        <v>6</v>
      </c>
      <c r="B2917" t="str">
        <f>"09/17/2020 00:00"</f>
        <v>09/17/2020 00:00</v>
      </c>
      <c r="C2917">
        <v>1.74</v>
      </c>
      <c r="D2917" t="s">
        <v>7</v>
      </c>
      <c r="E2917" s="2" t="s">
        <v>12</v>
      </c>
      <c r="F2917">
        <f t="shared" si="45"/>
        <v>3.4504200000000003</v>
      </c>
      <c r="G2917" t="s">
        <v>16</v>
      </c>
      <c r="H2917" t="s">
        <v>10</v>
      </c>
      <c r="J2917" t="str">
        <f>"09/18/2020 00:40"</f>
        <v>09/18/2020 00:40</v>
      </c>
    </row>
    <row r="2918" spans="1:10" x14ac:dyDescent="0.3">
      <c r="A2918" t="s">
        <v>6</v>
      </c>
      <c r="B2918" t="str">
        <f>"09/18/2020 00:00"</f>
        <v>09/18/2020 00:00</v>
      </c>
      <c r="C2918">
        <v>1.74</v>
      </c>
      <c r="D2918" t="s">
        <v>7</v>
      </c>
      <c r="E2918" s="2" t="s">
        <v>12</v>
      </c>
      <c r="F2918">
        <f t="shared" si="45"/>
        <v>3.4504200000000003</v>
      </c>
      <c r="G2918" t="s">
        <v>16</v>
      </c>
      <c r="H2918" t="s">
        <v>10</v>
      </c>
      <c r="J2918" t="str">
        <f>"09/19/2020 00:39"</f>
        <v>09/19/2020 00:39</v>
      </c>
    </row>
    <row r="2919" spans="1:10" x14ac:dyDescent="0.3">
      <c r="A2919" t="s">
        <v>6</v>
      </c>
      <c r="B2919" t="str">
        <f>"09/19/2020 00:00"</f>
        <v>09/19/2020 00:00</v>
      </c>
      <c r="C2919">
        <v>1.74</v>
      </c>
      <c r="D2919" t="s">
        <v>7</v>
      </c>
      <c r="E2919" s="2" t="s">
        <v>12</v>
      </c>
      <c r="F2919">
        <f t="shared" si="45"/>
        <v>3.4504200000000003</v>
      </c>
      <c r="G2919" t="s">
        <v>16</v>
      </c>
      <c r="H2919" t="s">
        <v>10</v>
      </c>
      <c r="J2919" t="str">
        <f>"09/20/2020 00:39"</f>
        <v>09/20/2020 00:39</v>
      </c>
    </row>
    <row r="2920" spans="1:10" x14ac:dyDescent="0.3">
      <c r="A2920" t="s">
        <v>6</v>
      </c>
      <c r="B2920" t="str">
        <f>"09/20/2020 00:00"</f>
        <v>09/20/2020 00:00</v>
      </c>
      <c r="C2920">
        <v>1.74</v>
      </c>
      <c r="D2920" t="s">
        <v>7</v>
      </c>
      <c r="E2920" s="2" t="s">
        <v>12</v>
      </c>
      <c r="F2920">
        <f t="shared" si="45"/>
        <v>3.4504200000000003</v>
      </c>
      <c r="G2920" t="s">
        <v>16</v>
      </c>
      <c r="H2920" t="s">
        <v>10</v>
      </c>
      <c r="J2920" t="str">
        <f>"09/21/2020 00:40"</f>
        <v>09/21/2020 00:40</v>
      </c>
    </row>
    <row r="2921" spans="1:10" x14ac:dyDescent="0.3">
      <c r="A2921" t="s">
        <v>6</v>
      </c>
      <c r="B2921" t="str">
        <f>"09/21/2020 00:00"</f>
        <v>09/21/2020 00:00</v>
      </c>
      <c r="C2921">
        <v>1.74</v>
      </c>
      <c r="D2921" t="s">
        <v>7</v>
      </c>
      <c r="E2921" s="2" t="s">
        <v>12</v>
      </c>
      <c r="F2921">
        <f t="shared" si="45"/>
        <v>3.4504200000000003</v>
      </c>
      <c r="G2921" t="s">
        <v>16</v>
      </c>
      <c r="H2921" t="s">
        <v>10</v>
      </c>
      <c r="J2921" t="str">
        <f>"09/22/2020 00:39"</f>
        <v>09/22/2020 00:39</v>
      </c>
    </row>
    <row r="2922" spans="1:10" x14ac:dyDescent="0.3">
      <c r="A2922" t="s">
        <v>6</v>
      </c>
      <c r="B2922" t="str">
        <f>"09/22/2020 00:00"</f>
        <v>09/22/2020 00:00</v>
      </c>
      <c r="C2922">
        <v>1.74</v>
      </c>
      <c r="D2922" t="s">
        <v>7</v>
      </c>
      <c r="E2922" s="2" t="s">
        <v>12</v>
      </c>
      <c r="F2922">
        <f t="shared" si="45"/>
        <v>3.4504200000000003</v>
      </c>
      <c r="G2922" t="s">
        <v>16</v>
      </c>
      <c r="H2922" t="s">
        <v>10</v>
      </c>
      <c r="J2922" t="str">
        <f>"09/23/2020 00:39"</f>
        <v>09/23/2020 00:39</v>
      </c>
    </row>
    <row r="2923" spans="1:10" x14ac:dyDescent="0.3">
      <c r="A2923" t="s">
        <v>6</v>
      </c>
      <c r="B2923" t="str">
        <f>"09/23/2020 00:00"</f>
        <v>09/23/2020 00:00</v>
      </c>
      <c r="C2923">
        <v>1.74</v>
      </c>
      <c r="D2923" t="s">
        <v>7</v>
      </c>
      <c r="E2923" s="2" t="s">
        <v>12</v>
      </c>
      <c r="F2923">
        <f t="shared" si="45"/>
        <v>3.4504200000000003</v>
      </c>
      <c r="G2923" t="s">
        <v>16</v>
      </c>
      <c r="H2923" t="s">
        <v>10</v>
      </c>
      <c r="J2923" t="str">
        <f>"09/24/2020 00:39"</f>
        <v>09/24/2020 00:39</v>
      </c>
    </row>
    <row r="2924" spans="1:10" x14ac:dyDescent="0.3">
      <c r="A2924" t="s">
        <v>6</v>
      </c>
      <c r="B2924" t="str">
        <f>"09/24/2020 00:00"</f>
        <v>09/24/2020 00:00</v>
      </c>
      <c r="C2924">
        <v>1.74</v>
      </c>
      <c r="D2924" t="s">
        <v>7</v>
      </c>
      <c r="E2924" s="2" t="s">
        <v>12</v>
      </c>
      <c r="F2924">
        <f t="shared" si="45"/>
        <v>3.4504200000000003</v>
      </c>
      <c r="G2924" t="s">
        <v>16</v>
      </c>
      <c r="H2924" t="s">
        <v>10</v>
      </c>
      <c r="J2924" t="str">
        <f>"09/25/2020 00:40"</f>
        <v>09/25/2020 00:40</v>
      </c>
    </row>
    <row r="2925" spans="1:10" x14ac:dyDescent="0.3">
      <c r="A2925" t="s">
        <v>6</v>
      </c>
      <c r="B2925" t="str">
        <f>"09/25/2020 00:00"</f>
        <v>09/25/2020 00:00</v>
      </c>
      <c r="C2925">
        <v>1.76</v>
      </c>
      <c r="D2925" t="s">
        <v>7</v>
      </c>
      <c r="E2925" s="2" t="s">
        <v>12</v>
      </c>
      <c r="F2925">
        <f t="shared" si="45"/>
        <v>3.4900800000000003</v>
      </c>
      <c r="G2925" t="s">
        <v>16</v>
      </c>
      <c r="H2925" t="s">
        <v>10</v>
      </c>
      <c r="J2925" t="str">
        <f>"09/26/2020 00:39"</f>
        <v>09/26/2020 00:39</v>
      </c>
    </row>
    <row r="2926" spans="1:10" x14ac:dyDescent="0.3">
      <c r="A2926" t="s">
        <v>6</v>
      </c>
      <c r="B2926" t="str">
        <f>"09/26/2020 00:00"</f>
        <v>09/26/2020 00:00</v>
      </c>
      <c r="C2926">
        <v>1.74</v>
      </c>
      <c r="D2926" t="s">
        <v>7</v>
      </c>
      <c r="E2926" s="2" t="s">
        <v>12</v>
      </c>
      <c r="F2926">
        <f t="shared" si="45"/>
        <v>3.4504200000000003</v>
      </c>
      <c r="G2926" t="s">
        <v>16</v>
      </c>
      <c r="H2926" t="s">
        <v>10</v>
      </c>
      <c r="J2926" t="str">
        <f>"09/27/2020 00:40"</f>
        <v>09/27/2020 00:40</v>
      </c>
    </row>
    <row r="2927" spans="1:10" x14ac:dyDescent="0.3">
      <c r="A2927" t="s">
        <v>6</v>
      </c>
      <c r="B2927" t="str">
        <f>"09/27/2020 00:00"</f>
        <v>09/27/2020 00:00</v>
      </c>
      <c r="C2927">
        <v>1.74</v>
      </c>
      <c r="D2927" t="s">
        <v>7</v>
      </c>
      <c r="E2927" s="2" t="s">
        <v>12</v>
      </c>
      <c r="F2927">
        <f t="shared" si="45"/>
        <v>3.4504200000000003</v>
      </c>
      <c r="G2927" t="s">
        <v>16</v>
      </c>
      <c r="H2927" t="s">
        <v>10</v>
      </c>
      <c r="J2927" t="str">
        <f>"09/28/2020 00:40"</f>
        <v>09/28/2020 00:40</v>
      </c>
    </row>
    <row r="2928" spans="1:10" x14ac:dyDescent="0.3">
      <c r="A2928" t="s">
        <v>6</v>
      </c>
      <c r="B2928" t="str">
        <f>"09/28/2020 00:00"</f>
        <v>09/28/2020 00:00</v>
      </c>
      <c r="C2928">
        <v>1.74</v>
      </c>
      <c r="D2928" t="s">
        <v>7</v>
      </c>
      <c r="E2928" s="2" t="s">
        <v>12</v>
      </c>
      <c r="F2928">
        <f t="shared" si="45"/>
        <v>3.4504200000000003</v>
      </c>
      <c r="G2928" t="s">
        <v>16</v>
      </c>
      <c r="H2928" t="s">
        <v>10</v>
      </c>
      <c r="J2928" t="str">
        <f>"09/29/2020 00:40"</f>
        <v>09/29/2020 00:40</v>
      </c>
    </row>
    <row r="2929" spans="1:10" x14ac:dyDescent="0.3">
      <c r="A2929" t="s">
        <v>6</v>
      </c>
      <c r="B2929" t="str">
        <f>"09/29/2020 00:00"</f>
        <v>09/29/2020 00:00</v>
      </c>
      <c r="C2929">
        <v>1.72</v>
      </c>
      <c r="D2929" t="s">
        <v>7</v>
      </c>
      <c r="E2929" s="2" t="s">
        <v>12</v>
      </c>
      <c r="F2929">
        <f t="shared" si="45"/>
        <v>3.4107600000000002</v>
      </c>
      <c r="G2929" t="s">
        <v>16</v>
      </c>
      <c r="H2929" t="s">
        <v>10</v>
      </c>
      <c r="J2929" t="str">
        <f>"09/30/2020 00:39"</f>
        <v>09/30/2020 00:39</v>
      </c>
    </row>
    <row r="2930" spans="1:10" x14ac:dyDescent="0.3">
      <c r="A2930" t="s">
        <v>6</v>
      </c>
      <c r="B2930" t="str">
        <f>"09/30/2020 00:00"</f>
        <v>09/30/2020 00:00</v>
      </c>
      <c r="C2930">
        <v>1.68</v>
      </c>
      <c r="D2930" t="s">
        <v>7</v>
      </c>
      <c r="E2930" s="2" t="s">
        <v>12</v>
      </c>
      <c r="F2930">
        <f t="shared" si="45"/>
        <v>3.3314400000000002</v>
      </c>
      <c r="G2930" t="s">
        <v>16</v>
      </c>
      <c r="H2930" t="s">
        <v>10</v>
      </c>
      <c r="J2930" t="str">
        <f>"10/01/2020 00:39"</f>
        <v>10/01/2020 00:39</v>
      </c>
    </row>
    <row r="2931" spans="1:10" s="4" customFormat="1" x14ac:dyDescent="0.3">
      <c r="B2931" s="4" t="s">
        <v>20</v>
      </c>
      <c r="E2931" s="2" t="s">
        <v>12</v>
      </c>
      <c r="F2931" s="5">
        <f>SUM(F2566:F2930)</f>
        <v>65838.734528099871</v>
      </c>
      <c r="G2931" s="4" t="s">
        <v>19</v>
      </c>
    </row>
    <row r="2932" spans="1:10" x14ac:dyDescent="0.3">
      <c r="A2932" t="s">
        <v>6</v>
      </c>
      <c r="B2932" t="str">
        <f>"10/01/2020 00:00"</f>
        <v>10/01/2020 00:00</v>
      </c>
      <c r="C2932">
        <v>1.7</v>
      </c>
      <c r="D2932" t="s">
        <v>7</v>
      </c>
      <c r="E2932" s="2" t="s">
        <v>12</v>
      </c>
      <c r="F2932">
        <f t="shared" si="45"/>
        <v>3.3711000000000002</v>
      </c>
      <c r="G2932" t="s">
        <v>16</v>
      </c>
      <c r="H2932" t="s">
        <v>10</v>
      </c>
      <c r="J2932" t="str">
        <f>"10/02/2020 00:40"</f>
        <v>10/02/2020 00:40</v>
      </c>
    </row>
    <row r="2933" spans="1:10" x14ac:dyDescent="0.3">
      <c r="A2933" t="s">
        <v>6</v>
      </c>
      <c r="B2933" t="str">
        <f>"10/02/2020 00:00"</f>
        <v>10/02/2020 00:00</v>
      </c>
      <c r="C2933">
        <v>1.56</v>
      </c>
      <c r="D2933" t="s">
        <v>7</v>
      </c>
      <c r="E2933" s="2" t="s">
        <v>12</v>
      </c>
      <c r="F2933">
        <f t="shared" si="45"/>
        <v>3.0934800000000005</v>
      </c>
      <c r="G2933" t="s">
        <v>16</v>
      </c>
      <c r="H2933" t="s">
        <v>10</v>
      </c>
      <c r="J2933" t="str">
        <f>"10/03/2020 00:39"</f>
        <v>10/03/2020 00:39</v>
      </c>
    </row>
    <row r="2934" spans="1:10" x14ac:dyDescent="0.3">
      <c r="A2934" t="s">
        <v>6</v>
      </c>
      <c r="B2934" t="str">
        <f>"10/03/2020 00:00"</f>
        <v>10/03/2020 00:00</v>
      </c>
      <c r="C2934">
        <v>1.53</v>
      </c>
      <c r="D2934" t="s">
        <v>7</v>
      </c>
      <c r="E2934" s="2" t="s">
        <v>12</v>
      </c>
      <c r="F2934">
        <f t="shared" si="45"/>
        <v>3.0339900000000002</v>
      </c>
      <c r="G2934" t="s">
        <v>16</v>
      </c>
      <c r="H2934" t="s">
        <v>10</v>
      </c>
      <c r="J2934" t="str">
        <f>"10/04/2020 00:39"</f>
        <v>10/04/2020 00:39</v>
      </c>
    </row>
    <row r="2935" spans="1:10" x14ac:dyDescent="0.3">
      <c r="A2935" t="s">
        <v>6</v>
      </c>
      <c r="B2935" t="str">
        <f>"10/04/2020 00:00"</f>
        <v>10/04/2020 00:00</v>
      </c>
      <c r="C2935">
        <v>1.48</v>
      </c>
      <c r="D2935" t="s">
        <v>7</v>
      </c>
      <c r="E2935" s="2" t="s">
        <v>12</v>
      </c>
      <c r="F2935">
        <f t="shared" si="45"/>
        <v>2.9348399999999999</v>
      </c>
      <c r="G2935" t="s">
        <v>16</v>
      </c>
      <c r="H2935" t="s">
        <v>10</v>
      </c>
      <c r="J2935" t="str">
        <f>"10/05/2020 09:09"</f>
        <v>10/05/2020 09:09</v>
      </c>
    </row>
    <row r="2936" spans="1:10" x14ac:dyDescent="0.3">
      <c r="A2936" t="s">
        <v>6</v>
      </c>
      <c r="B2936" t="str">
        <f>"10/05/2020 00:00"</f>
        <v>10/05/2020 00:00</v>
      </c>
      <c r="C2936">
        <v>2.3199999999999998</v>
      </c>
      <c r="D2936" t="s">
        <v>7</v>
      </c>
      <c r="E2936" s="2" t="s">
        <v>12</v>
      </c>
      <c r="F2936">
        <f t="shared" si="45"/>
        <v>4.6005599999999998</v>
      </c>
      <c r="G2936" t="s">
        <v>16</v>
      </c>
      <c r="H2936" t="s">
        <v>10</v>
      </c>
      <c r="J2936" t="str">
        <f>"10/06/2020 00:40"</f>
        <v>10/06/2020 00:40</v>
      </c>
    </row>
    <row r="2937" spans="1:10" x14ac:dyDescent="0.3">
      <c r="A2937" t="s">
        <v>6</v>
      </c>
      <c r="B2937" t="str">
        <f>"10/06/2020 00:00"</f>
        <v>10/06/2020 00:00</v>
      </c>
      <c r="C2937">
        <v>3.63</v>
      </c>
      <c r="D2937" t="s">
        <v>7</v>
      </c>
      <c r="E2937" s="2" t="s">
        <v>12</v>
      </c>
      <c r="F2937">
        <f t="shared" si="45"/>
        <v>7.1982900000000001</v>
      </c>
      <c r="G2937" t="s">
        <v>16</v>
      </c>
      <c r="H2937" t="s">
        <v>10</v>
      </c>
      <c r="J2937" t="str">
        <f>"10/07/2020 00:39"</f>
        <v>10/07/2020 00:39</v>
      </c>
    </row>
    <row r="2938" spans="1:10" x14ac:dyDescent="0.3">
      <c r="A2938" t="s">
        <v>6</v>
      </c>
      <c r="B2938" t="str">
        <f>"10/07/2020 00:00"</f>
        <v>10/07/2020 00:00</v>
      </c>
      <c r="C2938">
        <v>5.77</v>
      </c>
      <c r="D2938" t="s">
        <v>7</v>
      </c>
      <c r="E2938" s="2" t="s">
        <v>12</v>
      </c>
      <c r="F2938">
        <f t="shared" si="45"/>
        <v>11.44191</v>
      </c>
      <c r="G2938" t="s">
        <v>16</v>
      </c>
      <c r="H2938" t="s">
        <v>10</v>
      </c>
      <c r="J2938" t="str">
        <f>"10/08/2020 00:39"</f>
        <v>10/08/2020 00:39</v>
      </c>
    </row>
    <row r="2939" spans="1:10" x14ac:dyDescent="0.3">
      <c r="A2939" t="s">
        <v>6</v>
      </c>
      <c r="B2939" t="str">
        <f>"10/08/2020 00:00"</f>
        <v>10/08/2020 00:00</v>
      </c>
      <c r="C2939">
        <v>3</v>
      </c>
      <c r="D2939" t="s">
        <v>7</v>
      </c>
      <c r="E2939" s="2" t="s">
        <v>12</v>
      </c>
      <c r="F2939">
        <f t="shared" si="45"/>
        <v>5.9489999999999998</v>
      </c>
      <c r="G2939" t="s">
        <v>16</v>
      </c>
      <c r="H2939" t="s">
        <v>10</v>
      </c>
      <c r="J2939" t="str">
        <f>"10/09/2020 00:39"</f>
        <v>10/09/2020 00:39</v>
      </c>
    </row>
    <row r="2940" spans="1:10" x14ac:dyDescent="0.3">
      <c r="A2940" t="s">
        <v>6</v>
      </c>
      <c r="B2940" t="str">
        <f>"10/09/2020 00:00"</f>
        <v>10/09/2020 00:00</v>
      </c>
      <c r="C2940">
        <v>46.6</v>
      </c>
      <c r="D2940" t="s">
        <v>7</v>
      </c>
      <c r="E2940" s="2" t="s">
        <v>12</v>
      </c>
      <c r="F2940">
        <f t="shared" si="45"/>
        <v>92.407800000000009</v>
      </c>
      <c r="G2940" t="s">
        <v>16</v>
      </c>
      <c r="H2940" t="s">
        <v>10</v>
      </c>
      <c r="J2940" t="str">
        <f>"10/10/2020 00:39"</f>
        <v>10/10/2020 00:39</v>
      </c>
    </row>
    <row r="2941" spans="1:10" x14ac:dyDescent="0.3">
      <c r="A2941" t="s">
        <v>6</v>
      </c>
      <c r="B2941" t="str">
        <f>"10/10/2020 00:00"</f>
        <v>10/10/2020 00:00</v>
      </c>
      <c r="C2941">
        <v>156</v>
      </c>
      <c r="D2941" t="s">
        <v>7</v>
      </c>
      <c r="E2941" s="2" t="s">
        <v>12</v>
      </c>
      <c r="F2941">
        <f t="shared" si="45"/>
        <v>309.34800000000001</v>
      </c>
      <c r="G2941" t="s">
        <v>16</v>
      </c>
      <c r="H2941" t="s">
        <v>10</v>
      </c>
      <c r="J2941" t="str">
        <f>"10/11/2020 00:39"</f>
        <v>10/11/2020 00:39</v>
      </c>
    </row>
    <row r="2942" spans="1:10" x14ac:dyDescent="0.3">
      <c r="A2942" t="s">
        <v>6</v>
      </c>
      <c r="B2942" t="str">
        <f>"10/11/2020 00:00"</f>
        <v>10/11/2020 00:00</v>
      </c>
      <c r="C2942">
        <v>263</v>
      </c>
      <c r="D2942" t="s">
        <v>7</v>
      </c>
      <c r="E2942" s="2" t="s">
        <v>12</v>
      </c>
      <c r="F2942">
        <f t="shared" si="45"/>
        <v>521.529</v>
      </c>
      <c r="G2942" t="s">
        <v>16</v>
      </c>
      <c r="H2942" t="s">
        <v>10</v>
      </c>
      <c r="J2942" t="str">
        <f>"10/12/2020 06:58"</f>
        <v>10/12/2020 06:58</v>
      </c>
    </row>
    <row r="2943" spans="1:10" x14ac:dyDescent="0.3">
      <c r="A2943" t="s">
        <v>6</v>
      </c>
      <c r="B2943" t="str">
        <f>"10/12/2020 00:00"</f>
        <v>10/12/2020 00:00</v>
      </c>
      <c r="C2943">
        <v>300</v>
      </c>
      <c r="D2943" t="s">
        <v>7</v>
      </c>
      <c r="E2943" s="2" t="s">
        <v>12</v>
      </c>
      <c r="F2943">
        <f t="shared" si="45"/>
        <v>594.9</v>
      </c>
      <c r="G2943" t="s">
        <v>16</v>
      </c>
      <c r="H2943" t="s">
        <v>10</v>
      </c>
      <c r="J2943" t="str">
        <f>"10/13/2020 00:39"</f>
        <v>10/13/2020 00:39</v>
      </c>
    </row>
    <row r="2944" spans="1:10" x14ac:dyDescent="0.3">
      <c r="A2944" t="s">
        <v>6</v>
      </c>
      <c r="B2944" t="str">
        <f>"10/13/2020 00:00"</f>
        <v>10/13/2020 00:00</v>
      </c>
      <c r="C2944">
        <v>297</v>
      </c>
      <c r="D2944" t="s">
        <v>7</v>
      </c>
      <c r="E2944" s="2" t="s">
        <v>12</v>
      </c>
      <c r="F2944">
        <f t="shared" si="45"/>
        <v>588.95100000000002</v>
      </c>
      <c r="G2944" t="s">
        <v>16</v>
      </c>
      <c r="H2944" t="s">
        <v>10</v>
      </c>
      <c r="J2944" t="str">
        <f>"10/14/2020 00:39"</f>
        <v>10/14/2020 00:39</v>
      </c>
    </row>
    <row r="2945" spans="1:10" x14ac:dyDescent="0.3">
      <c r="A2945" t="s">
        <v>6</v>
      </c>
      <c r="B2945" t="str">
        <f>"10/14/2020 00:00"</f>
        <v>10/14/2020 00:00</v>
      </c>
      <c r="C2945">
        <v>345</v>
      </c>
      <c r="D2945" t="s">
        <v>7</v>
      </c>
      <c r="E2945" s="2" t="s">
        <v>12</v>
      </c>
      <c r="F2945">
        <f t="shared" si="45"/>
        <v>684.13499999999999</v>
      </c>
      <c r="G2945" t="s">
        <v>16</v>
      </c>
      <c r="H2945" t="s">
        <v>10</v>
      </c>
      <c r="J2945" t="str">
        <f>"10/15/2020 00:40"</f>
        <v>10/15/2020 00:40</v>
      </c>
    </row>
    <row r="2946" spans="1:10" x14ac:dyDescent="0.3">
      <c r="A2946" t="s">
        <v>6</v>
      </c>
      <c r="B2946" t="str">
        <f>"10/15/2020 00:00"</f>
        <v>10/15/2020 00:00</v>
      </c>
      <c r="C2946">
        <v>374</v>
      </c>
      <c r="D2946" t="s">
        <v>7</v>
      </c>
      <c r="E2946" s="2" t="s">
        <v>12</v>
      </c>
      <c r="F2946">
        <f t="shared" si="45"/>
        <v>741.64200000000005</v>
      </c>
      <c r="G2946" t="s">
        <v>16</v>
      </c>
      <c r="H2946" t="s">
        <v>10</v>
      </c>
      <c r="J2946" t="str">
        <f>"10/16/2020 00:39"</f>
        <v>10/16/2020 00:39</v>
      </c>
    </row>
    <row r="2947" spans="1:10" x14ac:dyDescent="0.3">
      <c r="A2947" t="s">
        <v>6</v>
      </c>
      <c r="B2947" t="str">
        <f>"10/16/2020 00:00"</f>
        <v>10/16/2020 00:00</v>
      </c>
      <c r="C2947">
        <v>353</v>
      </c>
      <c r="D2947" t="s">
        <v>7</v>
      </c>
      <c r="E2947" s="2" t="s">
        <v>12</v>
      </c>
      <c r="F2947">
        <f t="shared" si="45"/>
        <v>699.99900000000002</v>
      </c>
      <c r="G2947" t="s">
        <v>16</v>
      </c>
      <c r="H2947" t="s">
        <v>10</v>
      </c>
      <c r="J2947" t="str">
        <f>"10/17/2020 00:39"</f>
        <v>10/17/2020 00:39</v>
      </c>
    </row>
    <row r="2948" spans="1:10" x14ac:dyDescent="0.3">
      <c r="A2948" t="s">
        <v>6</v>
      </c>
      <c r="B2948" t="str">
        <f>"10/17/2020 00:00"</f>
        <v>10/17/2020 00:00</v>
      </c>
      <c r="C2948">
        <v>336</v>
      </c>
      <c r="D2948" t="s">
        <v>7</v>
      </c>
      <c r="E2948" s="2" t="s">
        <v>12</v>
      </c>
      <c r="F2948">
        <f t="shared" si="45"/>
        <v>666.28800000000001</v>
      </c>
      <c r="G2948" t="s">
        <v>16</v>
      </c>
      <c r="H2948" t="s">
        <v>10</v>
      </c>
      <c r="J2948" t="str">
        <f>"10/18/2020 00:40"</f>
        <v>10/18/2020 00:40</v>
      </c>
    </row>
    <row r="2949" spans="1:10" x14ac:dyDescent="0.3">
      <c r="A2949" t="s">
        <v>6</v>
      </c>
      <c r="B2949" t="str">
        <f>"10/18/2020 00:00"</f>
        <v>10/18/2020 00:00</v>
      </c>
      <c r="C2949">
        <v>335</v>
      </c>
      <c r="D2949" t="s">
        <v>7</v>
      </c>
      <c r="E2949" s="2" t="s">
        <v>12</v>
      </c>
      <c r="F2949">
        <f t="shared" si="45"/>
        <v>664.30500000000006</v>
      </c>
      <c r="G2949" t="s">
        <v>16</v>
      </c>
      <c r="H2949" t="s">
        <v>10</v>
      </c>
      <c r="J2949" t="str">
        <f>"10/19/2020 00:39"</f>
        <v>10/19/2020 00:39</v>
      </c>
    </row>
    <row r="2950" spans="1:10" x14ac:dyDescent="0.3">
      <c r="A2950" t="s">
        <v>6</v>
      </c>
      <c r="B2950" t="str">
        <f>"10/19/2020 00:00"</f>
        <v>10/19/2020 00:00</v>
      </c>
      <c r="C2950">
        <v>271</v>
      </c>
      <c r="D2950" t="s">
        <v>7</v>
      </c>
      <c r="E2950" s="2" t="s">
        <v>12</v>
      </c>
      <c r="F2950">
        <f t="shared" si="45"/>
        <v>537.39300000000003</v>
      </c>
      <c r="G2950" t="s">
        <v>16</v>
      </c>
      <c r="H2950" t="s">
        <v>10</v>
      </c>
      <c r="J2950" t="str">
        <f>"10/20/2020 00:39"</f>
        <v>10/20/2020 00:39</v>
      </c>
    </row>
    <row r="2951" spans="1:10" x14ac:dyDescent="0.3">
      <c r="A2951" t="s">
        <v>6</v>
      </c>
      <c r="B2951" t="str">
        <f>"10/20/2020 00:00"</f>
        <v>10/20/2020 00:00</v>
      </c>
      <c r="C2951">
        <v>209</v>
      </c>
      <c r="D2951" t="s">
        <v>7</v>
      </c>
      <c r="E2951" s="2" t="s">
        <v>12</v>
      </c>
      <c r="F2951">
        <f t="shared" si="45"/>
        <v>414.447</v>
      </c>
      <c r="G2951" t="s">
        <v>16</v>
      </c>
      <c r="H2951" t="s">
        <v>10</v>
      </c>
      <c r="J2951" t="str">
        <f>"10/21/2020 00:39"</f>
        <v>10/21/2020 00:39</v>
      </c>
    </row>
    <row r="2952" spans="1:10" x14ac:dyDescent="0.3">
      <c r="A2952" t="s">
        <v>6</v>
      </c>
      <c r="B2952" t="str">
        <f>"10/21/2020 00:00"</f>
        <v>10/21/2020 00:00</v>
      </c>
      <c r="C2952">
        <v>181</v>
      </c>
      <c r="D2952" t="s">
        <v>7</v>
      </c>
      <c r="E2952" s="2" t="s">
        <v>12</v>
      </c>
      <c r="F2952">
        <f t="shared" si="45"/>
        <v>358.923</v>
      </c>
      <c r="G2952" t="s">
        <v>16</v>
      </c>
      <c r="H2952" t="s">
        <v>10</v>
      </c>
      <c r="J2952" t="str">
        <f>"10/22/2020 00:39"</f>
        <v>10/22/2020 00:39</v>
      </c>
    </row>
    <row r="2953" spans="1:10" x14ac:dyDescent="0.3">
      <c r="A2953" t="s">
        <v>6</v>
      </c>
      <c r="B2953" t="str">
        <f>"10/22/2020 00:00"</f>
        <v>10/22/2020 00:00</v>
      </c>
      <c r="C2953">
        <v>154</v>
      </c>
      <c r="D2953" t="s">
        <v>7</v>
      </c>
      <c r="E2953" s="2" t="s">
        <v>12</v>
      </c>
      <c r="F2953">
        <f t="shared" si="45"/>
        <v>305.38200000000001</v>
      </c>
      <c r="G2953" t="s">
        <v>16</v>
      </c>
      <c r="H2953" t="s">
        <v>10</v>
      </c>
      <c r="J2953" t="str">
        <f>"10/23/2020 08:20"</f>
        <v>10/23/2020 08:20</v>
      </c>
    </row>
    <row r="2954" spans="1:10" x14ac:dyDescent="0.3">
      <c r="A2954" t="s">
        <v>6</v>
      </c>
      <c r="B2954" t="str">
        <f>"10/23/2020 00:00"</f>
        <v>10/23/2020 00:00</v>
      </c>
      <c r="C2954">
        <v>154</v>
      </c>
      <c r="D2954" t="s">
        <v>7</v>
      </c>
      <c r="E2954" s="2" t="s">
        <v>12</v>
      </c>
      <c r="F2954">
        <f t="shared" si="45"/>
        <v>305.38200000000001</v>
      </c>
      <c r="G2954" t="s">
        <v>16</v>
      </c>
      <c r="H2954" t="s">
        <v>10</v>
      </c>
      <c r="J2954" t="str">
        <f>"10/24/2020 00:39"</f>
        <v>10/24/2020 00:39</v>
      </c>
    </row>
    <row r="2955" spans="1:10" x14ac:dyDescent="0.3">
      <c r="A2955" t="s">
        <v>6</v>
      </c>
      <c r="B2955" t="str">
        <f>"10/24/2020 00:00"</f>
        <v>10/24/2020 00:00</v>
      </c>
      <c r="C2955">
        <v>132</v>
      </c>
      <c r="D2955" t="s">
        <v>7</v>
      </c>
      <c r="E2955" s="2" t="s">
        <v>12</v>
      </c>
      <c r="F2955">
        <f t="shared" ref="F2955:F3018" si="46">C2955*1.983</f>
        <v>261.75600000000003</v>
      </c>
      <c r="G2955" t="s">
        <v>16</v>
      </c>
      <c r="H2955" t="s">
        <v>10</v>
      </c>
      <c r="J2955" t="str">
        <f>"10/25/2020 00:40"</f>
        <v>10/25/2020 00:40</v>
      </c>
    </row>
    <row r="2956" spans="1:10" x14ac:dyDescent="0.3">
      <c r="A2956" t="s">
        <v>6</v>
      </c>
      <c r="B2956" t="str">
        <f>"10/25/2020 00:00"</f>
        <v>10/25/2020 00:00</v>
      </c>
      <c r="C2956">
        <v>120</v>
      </c>
      <c r="D2956" t="s">
        <v>7</v>
      </c>
      <c r="E2956" s="2" t="s">
        <v>12</v>
      </c>
      <c r="F2956">
        <f t="shared" si="46"/>
        <v>237.96</v>
      </c>
      <c r="G2956" t="s">
        <v>16</v>
      </c>
      <c r="H2956" t="s">
        <v>10</v>
      </c>
      <c r="J2956" t="str">
        <f>"10/26/2020 00:39"</f>
        <v>10/26/2020 00:39</v>
      </c>
    </row>
    <row r="2957" spans="1:10" x14ac:dyDescent="0.3">
      <c r="A2957" t="s">
        <v>6</v>
      </c>
      <c r="B2957" t="str">
        <f>"10/26/2020 00:00"</f>
        <v>10/26/2020 00:00</v>
      </c>
      <c r="C2957">
        <v>120</v>
      </c>
      <c r="D2957" t="s">
        <v>7</v>
      </c>
      <c r="E2957" s="2" t="s">
        <v>12</v>
      </c>
      <c r="F2957">
        <f t="shared" si="46"/>
        <v>237.96</v>
      </c>
      <c r="G2957" t="s">
        <v>16</v>
      </c>
      <c r="H2957" t="s">
        <v>10</v>
      </c>
      <c r="J2957" t="str">
        <f>"10/27/2020 00:39"</f>
        <v>10/27/2020 00:39</v>
      </c>
    </row>
    <row r="2958" spans="1:10" x14ac:dyDescent="0.3">
      <c r="A2958" t="s">
        <v>6</v>
      </c>
      <c r="B2958" t="str">
        <f>"10/27/2020 00:00"</f>
        <v>10/27/2020 00:00</v>
      </c>
      <c r="C2958">
        <v>120</v>
      </c>
      <c r="D2958" t="s">
        <v>7</v>
      </c>
      <c r="E2958" s="2" t="s">
        <v>12</v>
      </c>
      <c r="F2958">
        <f t="shared" si="46"/>
        <v>237.96</v>
      </c>
      <c r="G2958" t="s">
        <v>16</v>
      </c>
      <c r="H2958" t="s">
        <v>10</v>
      </c>
      <c r="J2958" t="str">
        <f>"10/28/2020 00:39"</f>
        <v>10/28/2020 00:39</v>
      </c>
    </row>
    <row r="2959" spans="1:10" x14ac:dyDescent="0.3">
      <c r="A2959" t="s">
        <v>6</v>
      </c>
      <c r="B2959" t="str">
        <f>"10/28/2020 00:00"</f>
        <v>10/28/2020 00:00</v>
      </c>
      <c r="C2959">
        <v>120</v>
      </c>
      <c r="D2959" t="s">
        <v>7</v>
      </c>
      <c r="E2959" s="2" t="s">
        <v>12</v>
      </c>
      <c r="F2959">
        <f t="shared" si="46"/>
        <v>237.96</v>
      </c>
      <c r="G2959" t="s">
        <v>16</v>
      </c>
      <c r="H2959" t="s">
        <v>10</v>
      </c>
      <c r="J2959" t="str">
        <f>"10/29/2020 00:40"</f>
        <v>10/29/2020 00:40</v>
      </c>
    </row>
    <row r="2960" spans="1:10" x14ac:dyDescent="0.3">
      <c r="A2960" t="s">
        <v>6</v>
      </c>
      <c r="B2960" t="str">
        <f>"10/29/2020 00:00"</f>
        <v>10/29/2020 00:00</v>
      </c>
      <c r="C2960">
        <v>120</v>
      </c>
      <c r="D2960" t="s">
        <v>7</v>
      </c>
      <c r="E2960" s="2" t="s">
        <v>12</v>
      </c>
      <c r="F2960">
        <f t="shared" si="46"/>
        <v>237.96</v>
      </c>
      <c r="G2960" t="s">
        <v>16</v>
      </c>
      <c r="H2960" t="s">
        <v>10</v>
      </c>
      <c r="J2960" t="str">
        <f>"10/30/2020 00:39"</f>
        <v>10/30/2020 00:39</v>
      </c>
    </row>
    <row r="2961" spans="1:10" x14ac:dyDescent="0.3">
      <c r="A2961" t="s">
        <v>6</v>
      </c>
      <c r="B2961" t="str">
        <f>"10/30/2020 00:00"</f>
        <v>10/30/2020 00:00</v>
      </c>
      <c r="C2961">
        <v>120</v>
      </c>
      <c r="D2961" t="s">
        <v>7</v>
      </c>
      <c r="E2961" s="2" t="s">
        <v>12</v>
      </c>
      <c r="F2961">
        <f t="shared" si="46"/>
        <v>237.96</v>
      </c>
      <c r="G2961" t="s">
        <v>16</v>
      </c>
      <c r="H2961" t="s">
        <v>10</v>
      </c>
      <c r="J2961" t="str">
        <f>"10/31/2020 00:39"</f>
        <v>10/31/2020 00:39</v>
      </c>
    </row>
    <row r="2962" spans="1:10" x14ac:dyDescent="0.3">
      <c r="A2962" t="s">
        <v>6</v>
      </c>
      <c r="B2962" t="str">
        <f>"10/31/2020 00:00"</f>
        <v>10/31/2020 00:00</v>
      </c>
      <c r="C2962">
        <v>119</v>
      </c>
      <c r="D2962" t="s">
        <v>7</v>
      </c>
      <c r="E2962" s="2" t="s">
        <v>12</v>
      </c>
      <c r="F2962">
        <f t="shared" si="46"/>
        <v>235.977</v>
      </c>
      <c r="G2962" t="s">
        <v>16</v>
      </c>
      <c r="H2962" t="s">
        <v>10</v>
      </c>
      <c r="J2962" t="str">
        <f>"11/01/2020 00:39"</f>
        <v>11/01/2020 00:39</v>
      </c>
    </row>
    <row r="2963" spans="1:10" x14ac:dyDescent="0.3">
      <c r="A2963" t="s">
        <v>6</v>
      </c>
      <c r="B2963" t="str">
        <f>"11/01/2020 00:00"</f>
        <v>11/01/2020 00:00</v>
      </c>
      <c r="C2963">
        <v>120</v>
      </c>
      <c r="D2963" t="s">
        <v>7</v>
      </c>
      <c r="E2963" s="2" t="s">
        <v>12</v>
      </c>
      <c r="F2963">
        <f t="shared" si="46"/>
        <v>237.96</v>
      </c>
      <c r="G2963" t="s">
        <v>16</v>
      </c>
      <c r="H2963" t="s">
        <v>10</v>
      </c>
      <c r="J2963" t="str">
        <f>"11/02/2020 00:39"</f>
        <v>11/02/2020 00:39</v>
      </c>
    </row>
    <row r="2964" spans="1:10" x14ac:dyDescent="0.3">
      <c r="A2964" t="s">
        <v>6</v>
      </c>
      <c r="B2964" t="str">
        <f>"11/02/2020 00:00"</f>
        <v>11/02/2020 00:00</v>
      </c>
      <c r="C2964">
        <v>120</v>
      </c>
      <c r="D2964" t="s">
        <v>7</v>
      </c>
      <c r="E2964" s="2" t="s">
        <v>12</v>
      </c>
      <c r="F2964">
        <f t="shared" si="46"/>
        <v>237.96</v>
      </c>
      <c r="G2964" t="s">
        <v>16</v>
      </c>
      <c r="H2964" t="s">
        <v>10</v>
      </c>
      <c r="J2964" t="str">
        <f>"11/03/2020 00:40"</f>
        <v>11/03/2020 00:40</v>
      </c>
    </row>
    <row r="2965" spans="1:10" x14ac:dyDescent="0.3">
      <c r="A2965" t="s">
        <v>6</v>
      </c>
      <c r="B2965" t="str">
        <f>"11/03/2020 00:00"</f>
        <v>11/03/2020 00:00</v>
      </c>
      <c r="C2965">
        <v>119</v>
      </c>
      <c r="D2965" t="s">
        <v>7</v>
      </c>
      <c r="E2965" s="2" t="s">
        <v>12</v>
      </c>
      <c r="F2965">
        <f t="shared" si="46"/>
        <v>235.977</v>
      </c>
      <c r="G2965" t="s">
        <v>16</v>
      </c>
      <c r="H2965" t="s">
        <v>10</v>
      </c>
      <c r="J2965" t="str">
        <f>"11/04/2020 00:39"</f>
        <v>11/04/2020 00:39</v>
      </c>
    </row>
    <row r="2966" spans="1:10" x14ac:dyDescent="0.3">
      <c r="A2966" t="s">
        <v>6</v>
      </c>
      <c r="B2966" t="str">
        <f>"11/04/2020 00:00"</f>
        <v>11/04/2020 00:00</v>
      </c>
      <c r="C2966">
        <v>119</v>
      </c>
      <c r="D2966" t="s">
        <v>7</v>
      </c>
      <c r="E2966" s="2" t="s">
        <v>12</v>
      </c>
      <c r="F2966">
        <f t="shared" si="46"/>
        <v>235.977</v>
      </c>
      <c r="G2966" t="s">
        <v>16</v>
      </c>
      <c r="H2966" t="s">
        <v>10</v>
      </c>
      <c r="J2966" t="str">
        <f>"11/05/2020 00:39"</f>
        <v>11/05/2020 00:39</v>
      </c>
    </row>
    <row r="2967" spans="1:10" x14ac:dyDescent="0.3">
      <c r="A2967" t="s">
        <v>6</v>
      </c>
      <c r="B2967" t="str">
        <f>"11/05/2020 00:00"</f>
        <v>11/05/2020 00:00</v>
      </c>
      <c r="C2967">
        <v>119</v>
      </c>
      <c r="D2967" t="s">
        <v>7</v>
      </c>
      <c r="E2967" s="2" t="s">
        <v>12</v>
      </c>
      <c r="F2967">
        <f t="shared" si="46"/>
        <v>235.977</v>
      </c>
      <c r="G2967" t="s">
        <v>16</v>
      </c>
      <c r="H2967" t="s">
        <v>10</v>
      </c>
      <c r="J2967" t="str">
        <f>"11/06/2020 00:40"</f>
        <v>11/06/2020 00:40</v>
      </c>
    </row>
    <row r="2968" spans="1:10" x14ac:dyDescent="0.3">
      <c r="A2968" t="s">
        <v>6</v>
      </c>
      <c r="B2968" t="str">
        <f>"11/06/2020 00:00"</f>
        <v>11/06/2020 00:00</v>
      </c>
      <c r="C2968">
        <v>119</v>
      </c>
      <c r="D2968" t="s">
        <v>7</v>
      </c>
      <c r="E2968" s="2" t="s">
        <v>12</v>
      </c>
      <c r="F2968">
        <f t="shared" si="46"/>
        <v>235.977</v>
      </c>
      <c r="G2968" t="s">
        <v>16</v>
      </c>
      <c r="H2968" t="s">
        <v>10</v>
      </c>
      <c r="J2968" t="str">
        <f>"11/07/2020 00:39"</f>
        <v>11/07/2020 00:39</v>
      </c>
    </row>
    <row r="2969" spans="1:10" x14ac:dyDescent="0.3">
      <c r="A2969" t="s">
        <v>6</v>
      </c>
      <c r="B2969" t="str">
        <f>"11/07/2020 00:00"</f>
        <v>11/07/2020 00:00</v>
      </c>
      <c r="C2969">
        <v>119</v>
      </c>
      <c r="D2969" t="s">
        <v>7</v>
      </c>
      <c r="E2969" s="2" t="s">
        <v>12</v>
      </c>
      <c r="F2969">
        <f t="shared" si="46"/>
        <v>235.977</v>
      </c>
      <c r="G2969" t="s">
        <v>16</v>
      </c>
      <c r="H2969" t="s">
        <v>10</v>
      </c>
      <c r="J2969" t="str">
        <f>"11/08/2020 00:40"</f>
        <v>11/08/2020 00:40</v>
      </c>
    </row>
    <row r="2970" spans="1:10" x14ac:dyDescent="0.3">
      <c r="A2970" t="s">
        <v>6</v>
      </c>
      <c r="B2970" t="str">
        <f>"11/08/2020 00:00"</f>
        <v>11/08/2020 00:00</v>
      </c>
      <c r="C2970">
        <v>119</v>
      </c>
      <c r="D2970" t="s">
        <v>7</v>
      </c>
      <c r="E2970" s="2" t="s">
        <v>12</v>
      </c>
      <c r="F2970">
        <f t="shared" si="46"/>
        <v>235.977</v>
      </c>
      <c r="G2970" t="s">
        <v>16</v>
      </c>
      <c r="H2970" t="s">
        <v>10</v>
      </c>
      <c r="J2970" t="str">
        <f>"11/09/2020 00:39"</f>
        <v>11/09/2020 00:39</v>
      </c>
    </row>
    <row r="2971" spans="1:10" x14ac:dyDescent="0.3">
      <c r="A2971" t="s">
        <v>6</v>
      </c>
      <c r="B2971" t="str">
        <f>"11/09/2020 00:00"</f>
        <v>11/09/2020 00:00</v>
      </c>
      <c r="C2971">
        <v>119</v>
      </c>
      <c r="D2971" t="s">
        <v>7</v>
      </c>
      <c r="E2971" s="2" t="s">
        <v>12</v>
      </c>
      <c r="F2971">
        <f t="shared" si="46"/>
        <v>235.977</v>
      </c>
      <c r="G2971" t="s">
        <v>16</v>
      </c>
      <c r="H2971" t="s">
        <v>10</v>
      </c>
      <c r="J2971" t="str">
        <f>"11/10/2020 00:39"</f>
        <v>11/10/2020 00:39</v>
      </c>
    </row>
    <row r="2972" spans="1:10" x14ac:dyDescent="0.3">
      <c r="A2972" t="s">
        <v>6</v>
      </c>
      <c r="B2972" t="str">
        <f>"11/10/2020 00:00"</f>
        <v>11/10/2020 00:00</v>
      </c>
      <c r="C2972">
        <v>125</v>
      </c>
      <c r="D2972" t="s">
        <v>7</v>
      </c>
      <c r="E2972" s="2" t="s">
        <v>12</v>
      </c>
      <c r="F2972">
        <f t="shared" si="46"/>
        <v>247.875</v>
      </c>
      <c r="G2972" t="s">
        <v>16</v>
      </c>
      <c r="H2972" t="s">
        <v>10</v>
      </c>
      <c r="J2972" t="str">
        <f>"11/11/2020 08:46"</f>
        <v>11/11/2020 08:46</v>
      </c>
    </row>
    <row r="2973" spans="1:10" x14ac:dyDescent="0.3">
      <c r="A2973" t="s">
        <v>6</v>
      </c>
      <c r="B2973" t="str">
        <f>"11/11/2020 00:00"</f>
        <v>11/11/2020 00:00</v>
      </c>
      <c r="C2973">
        <v>130</v>
      </c>
      <c r="D2973" t="s">
        <v>7</v>
      </c>
      <c r="E2973" s="2" t="s">
        <v>12</v>
      </c>
      <c r="F2973">
        <f t="shared" si="46"/>
        <v>257.79000000000002</v>
      </c>
      <c r="G2973" t="s">
        <v>16</v>
      </c>
      <c r="H2973" t="s">
        <v>10</v>
      </c>
      <c r="J2973" t="str">
        <f>"11/12/2020 00:40"</f>
        <v>11/12/2020 00:40</v>
      </c>
    </row>
    <row r="2974" spans="1:10" x14ac:dyDescent="0.3">
      <c r="A2974" t="s">
        <v>6</v>
      </c>
      <c r="B2974" t="str">
        <f>"11/12/2020 00:00"</f>
        <v>11/12/2020 00:00</v>
      </c>
      <c r="C2974">
        <v>130</v>
      </c>
      <c r="D2974" t="s">
        <v>7</v>
      </c>
      <c r="E2974" s="2" t="s">
        <v>12</v>
      </c>
      <c r="F2974">
        <f t="shared" si="46"/>
        <v>257.79000000000002</v>
      </c>
      <c r="G2974" t="s">
        <v>16</v>
      </c>
      <c r="H2974" t="s">
        <v>10</v>
      </c>
      <c r="J2974" t="str">
        <f>"11/13/2020 00:40"</f>
        <v>11/13/2020 00:40</v>
      </c>
    </row>
    <row r="2975" spans="1:10" x14ac:dyDescent="0.3">
      <c r="A2975" t="s">
        <v>6</v>
      </c>
      <c r="B2975" t="str">
        <f>"11/13/2020 00:00"</f>
        <v>11/13/2020 00:00</v>
      </c>
      <c r="C2975">
        <v>130</v>
      </c>
      <c r="D2975" t="s">
        <v>7</v>
      </c>
      <c r="E2975" s="2" t="s">
        <v>12</v>
      </c>
      <c r="F2975">
        <f t="shared" si="46"/>
        <v>257.79000000000002</v>
      </c>
      <c r="G2975" t="s">
        <v>16</v>
      </c>
      <c r="H2975" t="s">
        <v>10</v>
      </c>
      <c r="J2975" t="str">
        <f>"11/14/2020 00:39"</f>
        <v>11/14/2020 00:39</v>
      </c>
    </row>
    <row r="2976" spans="1:10" x14ac:dyDescent="0.3">
      <c r="A2976" t="s">
        <v>6</v>
      </c>
      <c r="B2976" t="str">
        <f>"11/14/2020 00:00"</f>
        <v>11/14/2020 00:00</v>
      </c>
      <c r="C2976">
        <v>130</v>
      </c>
      <c r="D2976" t="s">
        <v>7</v>
      </c>
      <c r="E2976" s="2" t="s">
        <v>12</v>
      </c>
      <c r="F2976">
        <f t="shared" si="46"/>
        <v>257.79000000000002</v>
      </c>
      <c r="G2976" t="s">
        <v>16</v>
      </c>
      <c r="H2976" t="s">
        <v>10</v>
      </c>
      <c r="J2976" t="str">
        <f>"11/15/2020 00:39"</f>
        <v>11/15/2020 00:39</v>
      </c>
    </row>
    <row r="2977" spans="1:10" x14ac:dyDescent="0.3">
      <c r="A2977" t="s">
        <v>6</v>
      </c>
      <c r="B2977" t="str">
        <f>"11/15/2020 00:00"</f>
        <v>11/15/2020 00:00</v>
      </c>
      <c r="C2977">
        <v>130</v>
      </c>
      <c r="D2977" t="s">
        <v>7</v>
      </c>
      <c r="E2977" s="2" t="s">
        <v>12</v>
      </c>
      <c r="F2977">
        <f t="shared" si="46"/>
        <v>257.79000000000002</v>
      </c>
      <c r="G2977" t="s">
        <v>16</v>
      </c>
      <c r="H2977" t="s">
        <v>10</v>
      </c>
      <c r="J2977" t="str">
        <f>"11/16/2020 00:39"</f>
        <v>11/16/2020 00:39</v>
      </c>
    </row>
    <row r="2978" spans="1:10" x14ac:dyDescent="0.3">
      <c r="A2978" t="s">
        <v>6</v>
      </c>
      <c r="B2978" t="str">
        <f>"11/16/2020 00:00"</f>
        <v>11/16/2020 00:00</v>
      </c>
      <c r="C2978">
        <v>130</v>
      </c>
      <c r="D2978" t="s">
        <v>7</v>
      </c>
      <c r="E2978" s="2" t="s">
        <v>12</v>
      </c>
      <c r="F2978">
        <f t="shared" si="46"/>
        <v>257.79000000000002</v>
      </c>
      <c r="G2978" t="s">
        <v>16</v>
      </c>
      <c r="H2978" t="s">
        <v>10</v>
      </c>
      <c r="J2978" t="str">
        <f>"11/17/2020 00:39"</f>
        <v>11/17/2020 00:39</v>
      </c>
    </row>
    <row r="2979" spans="1:10" x14ac:dyDescent="0.3">
      <c r="A2979" t="s">
        <v>6</v>
      </c>
      <c r="B2979" t="str">
        <f>"11/17/2020 00:00"</f>
        <v>11/17/2020 00:00</v>
      </c>
      <c r="C2979">
        <v>139</v>
      </c>
      <c r="D2979" t="s">
        <v>7</v>
      </c>
      <c r="E2979" s="2" t="s">
        <v>12</v>
      </c>
      <c r="F2979">
        <f t="shared" si="46"/>
        <v>275.637</v>
      </c>
      <c r="G2979" t="s">
        <v>16</v>
      </c>
      <c r="H2979" t="s">
        <v>10</v>
      </c>
      <c r="J2979" t="str">
        <f>"11/18/2020 00:40"</f>
        <v>11/18/2020 00:40</v>
      </c>
    </row>
    <row r="2980" spans="1:10" x14ac:dyDescent="0.3">
      <c r="A2980" t="s">
        <v>6</v>
      </c>
      <c r="B2980" t="str">
        <f>"11/18/2020 00:00"</f>
        <v>11/18/2020 00:00</v>
      </c>
      <c r="C2980">
        <v>146</v>
      </c>
      <c r="D2980" t="s">
        <v>7</v>
      </c>
      <c r="E2980" s="2" t="s">
        <v>12</v>
      </c>
      <c r="F2980">
        <f t="shared" si="46"/>
        <v>289.51800000000003</v>
      </c>
      <c r="G2980" t="s">
        <v>16</v>
      </c>
      <c r="H2980" t="s">
        <v>10</v>
      </c>
      <c r="J2980" t="str">
        <f>"11/19/2020 00:39"</f>
        <v>11/19/2020 00:39</v>
      </c>
    </row>
    <row r="2981" spans="1:10" x14ac:dyDescent="0.3">
      <c r="A2981" t="s">
        <v>6</v>
      </c>
      <c r="B2981" t="str">
        <f>"11/19/2020 00:00"</f>
        <v>11/19/2020 00:00</v>
      </c>
      <c r="C2981">
        <v>146</v>
      </c>
      <c r="D2981" t="s">
        <v>7</v>
      </c>
      <c r="E2981" s="2" t="s">
        <v>12</v>
      </c>
      <c r="F2981">
        <f t="shared" si="46"/>
        <v>289.51800000000003</v>
      </c>
      <c r="G2981" t="s">
        <v>16</v>
      </c>
      <c r="H2981" t="s">
        <v>10</v>
      </c>
      <c r="J2981" t="str">
        <f>"11/20/2020 00:39"</f>
        <v>11/20/2020 00:39</v>
      </c>
    </row>
    <row r="2982" spans="1:10" x14ac:dyDescent="0.3">
      <c r="A2982" t="s">
        <v>6</v>
      </c>
      <c r="B2982" t="str">
        <f>"11/20/2020 00:00"</f>
        <v>11/20/2020 00:00</v>
      </c>
      <c r="C2982">
        <v>146</v>
      </c>
      <c r="D2982" t="s">
        <v>7</v>
      </c>
      <c r="E2982" s="2" t="s">
        <v>12</v>
      </c>
      <c r="F2982">
        <f t="shared" si="46"/>
        <v>289.51800000000003</v>
      </c>
      <c r="G2982" t="s">
        <v>16</v>
      </c>
      <c r="H2982" t="s">
        <v>10</v>
      </c>
      <c r="J2982" t="str">
        <f>"11/21/2020 00:39"</f>
        <v>11/21/2020 00:39</v>
      </c>
    </row>
    <row r="2983" spans="1:10" x14ac:dyDescent="0.3">
      <c r="A2983" t="s">
        <v>6</v>
      </c>
      <c r="B2983" t="str">
        <f>"11/21/2020 00:00"</f>
        <v>11/21/2020 00:00</v>
      </c>
      <c r="C2983">
        <v>146</v>
      </c>
      <c r="D2983" t="s">
        <v>7</v>
      </c>
      <c r="E2983" s="2" t="s">
        <v>12</v>
      </c>
      <c r="F2983">
        <f t="shared" si="46"/>
        <v>289.51800000000003</v>
      </c>
      <c r="G2983" t="s">
        <v>16</v>
      </c>
      <c r="H2983" t="s">
        <v>10</v>
      </c>
      <c r="J2983" t="str">
        <f>"11/22/2020 00:39"</f>
        <v>11/22/2020 00:39</v>
      </c>
    </row>
    <row r="2984" spans="1:10" x14ac:dyDescent="0.3">
      <c r="A2984" t="s">
        <v>6</v>
      </c>
      <c r="B2984" t="str">
        <f>"11/22/2020 00:00"</f>
        <v>11/22/2020 00:00</v>
      </c>
      <c r="C2984">
        <v>147</v>
      </c>
      <c r="D2984" t="s">
        <v>7</v>
      </c>
      <c r="E2984" s="2" t="s">
        <v>12</v>
      </c>
      <c r="F2984">
        <f t="shared" si="46"/>
        <v>291.50100000000003</v>
      </c>
      <c r="G2984" t="s">
        <v>16</v>
      </c>
      <c r="H2984" t="s">
        <v>10</v>
      </c>
      <c r="J2984" t="str">
        <f>"11/23/2020 00:39"</f>
        <v>11/23/2020 00:39</v>
      </c>
    </row>
    <row r="2985" spans="1:10" x14ac:dyDescent="0.3">
      <c r="A2985" t="s">
        <v>6</v>
      </c>
      <c r="B2985" t="str">
        <f>"11/23/2020 00:00"</f>
        <v>11/23/2020 00:00</v>
      </c>
      <c r="C2985">
        <v>147</v>
      </c>
      <c r="D2985" t="s">
        <v>7</v>
      </c>
      <c r="E2985" s="2" t="s">
        <v>12</v>
      </c>
      <c r="F2985">
        <f t="shared" si="46"/>
        <v>291.50100000000003</v>
      </c>
      <c r="G2985" t="s">
        <v>16</v>
      </c>
      <c r="H2985" t="s">
        <v>10</v>
      </c>
      <c r="J2985" t="str">
        <f>"11/24/2020 00:39"</f>
        <v>11/24/2020 00:39</v>
      </c>
    </row>
    <row r="2986" spans="1:10" x14ac:dyDescent="0.3">
      <c r="A2986" t="s">
        <v>6</v>
      </c>
      <c r="B2986" t="str">
        <f>"11/24/2020 00:00"</f>
        <v>11/24/2020 00:00</v>
      </c>
      <c r="C2986">
        <v>147</v>
      </c>
      <c r="D2986" t="s">
        <v>7</v>
      </c>
      <c r="E2986" s="2" t="s">
        <v>12</v>
      </c>
      <c r="F2986">
        <f t="shared" si="46"/>
        <v>291.50100000000003</v>
      </c>
      <c r="G2986" t="s">
        <v>16</v>
      </c>
      <c r="H2986" t="s">
        <v>10</v>
      </c>
      <c r="J2986" t="str">
        <f>"11/25/2020 00:39"</f>
        <v>11/25/2020 00:39</v>
      </c>
    </row>
    <row r="2987" spans="1:10" x14ac:dyDescent="0.3">
      <c r="A2987" t="s">
        <v>6</v>
      </c>
      <c r="B2987" t="str">
        <f>"11/25/2020 00:00"</f>
        <v>11/25/2020 00:00</v>
      </c>
      <c r="C2987">
        <v>147</v>
      </c>
      <c r="D2987" t="s">
        <v>7</v>
      </c>
      <c r="E2987" s="2" t="s">
        <v>12</v>
      </c>
      <c r="F2987">
        <f t="shared" si="46"/>
        <v>291.50100000000003</v>
      </c>
      <c r="G2987" t="s">
        <v>16</v>
      </c>
      <c r="H2987" t="s">
        <v>10</v>
      </c>
      <c r="J2987" t="str">
        <f>"11/26/2020 00:40"</f>
        <v>11/26/2020 00:40</v>
      </c>
    </row>
    <row r="2988" spans="1:10" x14ac:dyDescent="0.3">
      <c r="A2988" t="s">
        <v>6</v>
      </c>
      <c r="B2988" t="str">
        <f>"11/26/2020 00:00"</f>
        <v>11/26/2020 00:00</v>
      </c>
      <c r="C2988">
        <v>147</v>
      </c>
      <c r="D2988" t="s">
        <v>7</v>
      </c>
      <c r="E2988" s="2" t="s">
        <v>12</v>
      </c>
      <c r="F2988">
        <f t="shared" si="46"/>
        <v>291.50100000000003</v>
      </c>
      <c r="G2988" t="s">
        <v>16</v>
      </c>
      <c r="H2988" t="s">
        <v>10</v>
      </c>
      <c r="J2988" t="str">
        <f>"11/27/2020 00:40"</f>
        <v>11/27/2020 00:40</v>
      </c>
    </row>
    <row r="2989" spans="1:10" x14ac:dyDescent="0.3">
      <c r="A2989" t="s">
        <v>6</v>
      </c>
      <c r="B2989" t="str">
        <f>"11/27/2020 00:00"</f>
        <v>11/27/2020 00:00</v>
      </c>
      <c r="C2989">
        <v>147</v>
      </c>
      <c r="D2989" t="s">
        <v>7</v>
      </c>
      <c r="E2989" s="2" t="s">
        <v>12</v>
      </c>
      <c r="F2989">
        <f t="shared" si="46"/>
        <v>291.50100000000003</v>
      </c>
      <c r="G2989" t="s">
        <v>16</v>
      </c>
      <c r="H2989" t="s">
        <v>10</v>
      </c>
      <c r="J2989" t="str">
        <f>"11/28/2020 00:40"</f>
        <v>11/28/2020 00:40</v>
      </c>
    </row>
    <row r="2990" spans="1:10" x14ac:dyDescent="0.3">
      <c r="A2990" t="s">
        <v>6</v>
      </c>
      <c r="B2990" t="str">
        <f>"11/28/2020 00:00"</f>
        <v>11/28/2020 00:00</v>
      </c>
      <c r="C2990">
        <v>147</v>
      </c>
      <c r="D2990" t="s">
        <v>7</v>
      </c>
      <c r="E2990" s="2" t="s">
        <v>12</v>
      </c>
      <c r="F2990">
        <f t="shared" si="46"/>
        <v>291.50100000000003</v>
      </c>
      <c r="G2990" t="s">
        <v>16</v>
      </c>
      <c r="H2990" t="s">
        <v>10</v>
      </c>
      <c r="J2990" t="str">
        <f>"11/29/2020 00:39"</f>
        <v>11/29/2020 00:39</v>
      </c>
    </row>
    <row r="2991" spans="1:10" x14ac:dyDescent="0.3">
      <c r="A2991" t="s">
        <v>6</v>
      </c>
      <c r="B2991" t="str">
        <f>"11/29/2020 00:00"</f>
        <v>11/29/2020 00:00</v>
      </c>
      <c r="C2991">
        <v>147</v>
      </c>
      <c r="D2991" t="s">
        <v>7</v>
      </c>
      <c r="E2991" s="2" t="s">
        <v>12</v>
      </c>
      <c r="F2991">
        <f t="shared" si="46"/>
        <v>291.50100000000003</v>
      </c>
      <c r="G2991" t="s">
        <v>16</v>
      </c>
      <c r="H2991" t="s">
        <v>10</v>
      </c>
      <c r="J2991" t="str">
        <f>"11/30/2020 00:39"</f>
        <v>11/30/2020 00:39</v>
      </c>
    </row>
    <row r="2992" spans="1:10" x14ac:dyDescent="0.3">
      <c r="A2992" t="s">
        <v>6</v>
      </c>
      <c r="B2992" t="str">
        <f>"11/30/2020 00:00"</f>
        <v>11/30/2020 00:00</v>
      </c>
      <c r="C2992">
        <v>147</v>
      </c>
      <c r="D2992" t="s">
        <v>7</v>
      </c>
      <c r="E2992" s="2" t="s">
        <v>12</v>
      </c>
      <c r="F2992">
        <f t="shared" si="46"/>
        <v>291.50100000000003</v>
      </c>
      <c r="G2992" t="s">
        <v>16</v>
      </c>
      <c r="H2992" t="s">
        <v>10</v>
      </c>
      <c r="J2992" t="str">
        <f>"12/01/2020 00:39"</f>
        <v>12/01/2020 00:39</v>
      </c>
    </row>
    <row r="2993" spans="1:10" x14ac:dyDescent="0.3">
      <c r="A2993" t="s">
        <v>6</v>
      </c>
      <c r="B2993" t="str">
        <f>"12/01/2020 00:00"</f>
        <v>12/01/2020 00:00</v>
      </c>
      <c r="C2993">
        <v>147</v>
      </c>
      <c r="D2993" t="s">
        <v>7</v>
      </c>
      <c r="E2993" s="2" t="s">
        <v>12</v>
      </c>
      <c r="F2993">
        <f t="shared" si="46"/>
        <v>291.50100000000003</v>
      </c>
      <c r="G2993" t="s">
        <v>16</v>
      </c>
      <c r="H2993" t="s">
        <v>10</v>
      </c>
      <c r="J2993" t="str">
        <f>"12/02/2020 00:39"</f>
        <v>12/02/2020 00:39</v>
      </c>
    </row>
    <row r="2994" spans="1:10" x14ac:dyDescent="0.3">
      <c r="A2994" t="s">
        <v>6</v>
      </c>
      <c r="B2994" t="str">
        <f>"12/02/2020 00:00"</f>
        <v>12/02/2020 00:00</v>
      </c>
      <c r="C2994">
        <v>147</v>
      </c>
      <c r="D2994" t="s">
        <v>7</v>
      </c>
      <c r="E2994" s="2" t="s">
        <v>12</v>
      </c>
      <c r="F2994">
        <f t="shared" si="46"/>
        <v>291.50100000000003</v>
      </c>
      <c r="G2994" t="s">
        <v>16</v>
      </c>
      <c r="H2994" t="s">
        <v>10</v>
      </c>
      <c r="J2994" t="str">
        <f>"12/03/2020 00:39"</f>
        <v>12/03/2020 00:39</v>
      </c>
    </row>
    <row r="2995" spans="1:10" x14ac:dyDescent="0.3">
      <c r="A2995" t="s">
        <v>6</v>
      </c>
      <c r="B2995" t="str">
        <f>"12/03/2020 00:00"</f>
        <v>12/03/2020 00:00</v>
      </c>
      <c r="C2995">
        <v>147</v>
      </c>
      <c r="D2995" t="s">
        <v>7</v>
      </c>
      <c r="E2995" s="2" t="s">
        <v>12</v>
      </c>
      <c r="F2995">
        <f t="shared" si="46"/>
        <v>291.50100000000003</v>
      </c>
      <c r="G2995" t="s">
        <v>16</v>
      </c>
      <c r="H2995" t="s">
        <v>10</v>
      </c>
      <c r="J2995" t="str">
        <f>"12/04/2020 00:40"</f>
        <v>12/04/2020 00:40</v>
      </c>
    </row>
    <row r="2996" spans="1:10" x14ac:dyDescent="0.3">
      <c r="A2996" t="s">
        <v>6</v>
      </c>
      <c r="B2996" t="str">
        <f>"12/04/2020 00:00"</f>
        <v>12/04/2020 00:00</v>
      </c>
      <c r="C2996">
        <v>147</v>
      </c>
      <c r="D2996" t="s">
        <v>7</v>
      </c>
      <c r="E2996" s="2" t="s">
        <v>12</v>
      </c>
      <c r="F2996">
        <f t="shared" si="46"/>
        <v>291.50100000000003</v>
      </c>
      <c r="G2996" t="s">
        <v>16</v>
      </c>
      <c r="H2996" t="s">
        <v>10</v>
      </c>
      <c r="J2996" t="str">
        <f>"12/05/2020 00:40"</f>
        <v>12/05/2020 00:40</v>
      </c>
    </row>
    <row r="2997" spans="1:10" x14ac:dyDescent="0.3">
      <c r="A2997" t="s">
        <v>6</v>
      </c>
      <c r="B2997" t="str">
        <f>"12/05/2020 00:00"</f>
        <v>12/05/2020 00:00</v>
      </c>
      <c r="C2997">
        <v>147</v>
      </c>
      <c r="D2997" t="s">
        <v>7</v>
      </c>
      <c r="E2997" s="2" t="s">
        <v>12</v>
      </c>
      <c r="F2997">
        <f t="shared" si="46"/>
        <v>291.50100000000003</v>
      </c>
      <c r="G2997" t="s">
        <v>16</v>
      </c>
      <c r="H2997" t="s">
        <v>10</v>
      </c>
      <c r="J2997" t="str">
        <f>"12/06/2020 00:39"</f>
        <v>12/06/2020 00:39</v>
      </c>
    </row>
    <row r="2998" spans="1:10" x14ac:dyDescent="0.3">
      <c r="A2998" t="s">
        <v>6</v>
      </c>
      <c r="B2998" t="str">
        <f>"12/06/2020 00:00"</f>
        <v>12/06/2020 00:00</v>
      </c>
      <c r="C2998">
        <v>147</v>
      </c>
      <c r="D2998" t="s">
        <v>7</v>
      </c>
      <c r="E2998" s="2" t="s">
        <v>12</v>
      </c>
      <c r="F2998">
        <f t="shared" si="46"/>
        <v>291.50100000000003</v>
      </c>
      <c r="G2998" t="s">
        <v>16</v>
      </c>
      <c r="H2998" t="s">
        <v>10</v>
      </c>
      <c r="J2998" t="str">
        <f>"12/07/2020 00:39"</f>
        <v>12/07/2020 00:39</v>
      </c>
    </row>
    <row r="2999" spans="1:10" x14ac:dyDescent="0.3">
      <c r="A2999" t="s">
        <v>6</v>
      </c>
      <c r="B2999" t="str">
        <f>"12/07/2020 00:00"</f>
        <v>12/07/2020 00:00</v>
      </c>
      <c r="C2999">
        <v>147</v>
      </c>
      <c r="D2999" t="s">
        <v>7</v>
      </c>
      <c r="E2999" s="2" t="s">
        <v>12</v>
      </c>
      <c r="F2999">
        <f t="shared" si="46"/>
        <v>291.50100000000003</v>
      </c>
      <c r="G2999" t="s">
        <v>16</v>
      </c>
      <c r="H2999" t="s">
        <v>10</v>
      </c>
      <c r="J2999" t="str">
        <f>"12/08/2020 00:40"</f>
        <v>12/08/2020 00:40</v>
      </c>
    </row>
    <row r="3000" spans="1:10" x14ac:dyDescent="0.3">
      <c r="A3000" t="s">
        <v>6</v>
      </c>
      <c r="B3000" t="str">
        <f>"12/08/2020 00:00"</f>
        <v>12/08/2020 00:00</v>
      </c>
      <c r="C3000">
        <v>144</v>
      </c>
      <c r="D3000" t="s">
        <v>7</v>
      </c>
      <c r="E3000" s="2" t="s">
        <v>12</v>
      </c>
      <c r="F3000">
        <f t="shared" si="46"/>
        <v>285.55200000000002</v>
      </c>
      <c r="G3000" t="s">
        <v>16</v>
      </c>
      <c r="H3000" t="s">
        <v>10</v>
      </c>
      <c r="J3000" t="str">
        <f>"12/09/2020 00:39"</f>
        <v>12/09/2020 00:39</v>
      </c>
    </row>
    <row r="3001" spans="1:10" x14ac:dyDescent="0.3">
      <c r="A3001" t="s">
        <v>6</v>
      </c>
      <c r="B3001" t="str">
        <f>"12/09/2020 00:00"</f>
        <v>12/09/2020 00:00</v>
      </c>
      <c r="C3001">
        <v>141</v>
      </c>
      <c r="D3001" t="s">
        <v>7</v>
      </c>
      <c r="E3001" s="2" t="s">
        <v>12</v>
      </c>
      <c r="F3001">
        <f t="shared" si="46"/>
        <v>279.60300000000001</v>
      </c>
      <c r="G3001" t="s">
        <v>16</v>
      </c>
      <c r="H3001" t="s">
        <v>10</v>
      </c>
      <c r="J3001" t="str">
        <f>"12/10/2020 00:39"</f>
        <v>12/10/2020 00:39</v>
      </c>
    </row>
    <row r="3002" spans="1:10" x14ac:dyDescent="0.3">
      <c r="A3002" t="s">
        <v>6</v>
      </c>
      <c r="B3002" t="str">
        <f>"12/10/2020 00:00"</f>
        <v>12/10/2020 00:00</v>
      </c>
      <c r="C3002">
        <v>141</v>
      </c>
      <c r="D3002" t="s">
        <v>7</v>
      </c>
      <c r="E3002" s="2" t="s">
        <v>12</v>
      </c>
      <c r="F3002">
        <f t="shared" si="46"/>
        <v>279.60300000000001</v>
      </c>
      <c r="G3002" t="s">
        <v>16</v>
      </c>
      <c r="H3002" t="s">
        <v>10</v>
      </c>
      <c r="J3002" t="str">
        <f>"12/11/2020 00:40"</f>
        <v>12/11/2020 00:40</v>
      </c>
    </row>
    <row r="3003" spans="1:10" x14ac:dyDescent="0.3">
      <c r="A3003" t="s">
        <v>6</v>
      </c>
      <c r="B3003" t="str">
        <f>"12/11/2020 00:00"</f>
        <v>12/11/2020 00:00</v>
      </c>
      <c r="C3003">
        <v>141</v>
      </c>
      <c r="D3003" t="s">
        <v>7</v>
      </c>
      <c r="E3003" s="2" t="s">
        <v>12</v>
      </c>
      <c r="F3003">
        <f t="shared" si="46"/>
        <v>279.60300000000001</v>
      </c>
      <c r="G3003" t="s">
        <v>16</v>
      </c>
      <c r="H3003" t="s">
        <v>10</v>
      </c>
      <c r="J3003" t="str">
        <f>"12/12/2020 00:39"</f>
        <v>12/12/2020 00:39</v>
      </c>
    </row>
    <row r="3004" spans="1:10" x14ac:dyDescent="0.3">
      <c r="A3004" t="s">
        <v>6</v>
      </c>
      <c r="B3004" t="str">
        <f>"12/12/2020 00:00"</f>
        <v>12/12/2020 00:00</v>
      </c>
      <c r="C3004">
        <v>141</v>
      </c>
      <c r="D3004" t="s">
        <v>7</v>
      </c>
      <c r="E3004" s="2" t="s">
        <v>12</v>
      </c>
      <c r="F3004">
        <f t="shared" si="46"/>
        <v>279.60300000000001</v>
      </c>
      <c r="G3004" t="s">
        <v>16</v>
      </c>
      <c r="H3004" t="s">
        <v>10</v>
      </c>
      <c r="J3004" t="str">
        <f>"12/13/2020 00:39"</f>
        <v>12/13/2020 00:39</v>
      </c>
    </row>
    <row r="3005" spans="1:10" x14ac:dyDescent="0.3">
      <c r="A3005" t="s">
        <v>6</v>
      </c>
      <c r="B3005" t="str">
        <f>"12/13/2020 00:00"</f>
        <v>12/13/2020 00:00</v>
      </c>
      <c r="C3005">
        <v>141</v>
      </c>
      <c r="D3005" t="s">
        <v>7</v>
      </c>
      <c r="E3005" s="2" t="s">
        <v>12</v>
      </c>
      <c r="F3005">
        <f t="shared" si="46"/>
        <v>279.60300000000001</v>
      </c>
      <c r="G3005" t="s">
        <v>16</v>
      </c>
      <c r="H3005" t="s">
        <v>10</v>
      </c>
      <c r="J3005" t="str">
        <f>"12/14/2020 00:39"</f>
        <v>12/14/2020 00:39</v>
      </c>
    </row>
    <row r="3006" spans="1:10" x14ac:dyDescent="0.3">
      <c r="A3006" t="s">
        <v>6</v>
      </c>
      <c r="B3006" t="str">
        <f>"12/14/2020 00:00"</f>
        <v>12/14/2020 00:00</v>
      </c>
      <c r="C3006">
        <v>141</v>
      </c>
      <c r="D3006" t="s">
        <v>7</v>
      </c>
      <c r="E3006" s="2" t="s">
        <v>12</v>
      </c>
      <c r="F3006">
        <f t="shared" si="46"/>
        <v>279.60300000000001</v>
      </c>
      <c r="G3006" t="s">
        <v>16</v>
      </c>
      <c r="H3006" t="s">
        <v>10</v>
      </c>
      <c r="J3006" t="str">
        <f>"12/15/2020 00:39"</f>
        <v>12/15/2020 00:39</v>
      </c>
    </row>
    <row r="3007" spans="1:10" x14ac:dyDescent="0.3">
      <c r="A3007" t="s">
        <v>6</v>
      </c>
      <c r="B3007" t="str">
        <f>"12/15/2020 00:00"</f>
        <v>12/15/2020 00:00</v>
      </c>
      <c r="C3007">
        <v>141</v>
      </c>
      <c r="D3007" t="s">
        <v>7</v>
      </c>
      <c r="E3007" s="2" t="s">
        <v>12</v>
      </c>
      <c r="F3007">
        <f t="shared" si="46"/>
        <v>279.60300000000001</v>
      </c>
      <c r="G3007" t="s">
        <v>16</v>
      </c>
      <c r="H3007" t="s">
        <v>10</v>
      </c>
      <c r="J3007" t="str">
        <f>"12/16/2020 00:39"</f>
        <v>12/16/2020 00:39</v>
      </c>
    </row>
    <row r="3008" spans="1:10" x14ac:dyDescent="0.3">
      <c r="A3008" t="s">
        <v>6</v>
      </c>
      <c r="B3008" t="str">
        <f>"12/16/2020 00:00"</f>
        <v>12/16/2020 00:00</v>
      </c>
      <c r="C3008">
        <v>141</v>
      </c>
      <c r="D3008" t="s">
        <v>7</v>
      </c>
      <c r="E3008" s="2" t="s">
        <v>12</v>
      </c>
      <c r="F3008">
        <f t="shared" si="46"/>
        <v>279.60300000000001</v>
      </c>
      <c r="G3008" t="s">
        <v>16</v>
      </c>
      <c r="H3008" t="s">
        <v>10</v>
      </c>
      <c r="J3008" t="str">
        <f>"12/17/2020 00:39"</f>
        <v>12/17/2020 00:39</v>
      </c>
    </row>
    <row r="3009" spans="1:10" x14ac:dyDescent="0.3">
      <c r="A3009" t="s">
        <v>6</v>
      </c>
      <c r="B3009" t="str">
        <f>"12/17/2020 00:00"</f>
        <v>12/17/2020 00:00</v>
      </c>
      <c r="C3009">
        <v>148</v>
      </c>
      <c r="D3009" t="s">
        <v>7</v>
      </c>
      <c r="E3009" s="2" t="s">
        <v>12</v>
      </c>
      <c r="F3009">
        <f t="shared" si="46"/>
        <v>293.48400000000004</v>
      </c>
      <c r="G3009" t="s">
        <v>16</v>
      </c>
      <c r="H3009" t="s">
        <v>10</v>
      </c>
      <c r="J3009" t="str">
        <f>"12/18/2020 00:39"</f>
        <v>12/18/2020 00:39</v>
      </c>
    </row>
    <row r="3010" spans="1:10" x14ac:dyDescent="0.3">
      <c r="A3010" t="s">
        <v>6</v>
      </c>
      <c r="B3010" t="str">
        <f>"12/18/2020 00:00"</f>
        <v>12/18/2020 00:00</v>
      </c>
      <c r="C3010">
        <v>156</v>
      </c>
      <c r="D3010" t="s">
        <v>7</v>
      </c>
      <c r="E3010" s="2" t="s">
        <v>12</v>
      </c>
      <c r="F3010">
        <f t="shared" si="46"/>
        <v>309.34800000000001</v>
      </c>
      <c r="G3010" t="s">
        <v>16</v>
      </c>
      <c r="H3010" t="s">
        <v>10</v>
      </c>
      <c r="J3010" t="str">
        <f>"12/19/2020 00:39"</f>
        <v>12/19/2020 00:39</v>
      </c>
    </row>
    <row r="3011" spans="1:10" x14ac:dyDescent="0.3">
      <c r="A3011" t="s">
        <v>6</v>
      </c>
      <c r="B3011" t="str">
        <f>"12/19/2020 00:00"</f>
        <v>12/19/2020 00:00</v>
      </c>
      <c r="C3011">
        <v>156</v>
      </c>
      <c r="D3011" t="s">
        <v>7</v>
      </c>
      <c r="E3011" s="2" t="s">
        <v>12</v>
      </c>
      <c r="F3011">
        <f t="shared" si="46"/>
        <v>309.34800000000001</v>
      </c>
      <c r="G3011" t="s">
        <v>16</v>
      </c>
      <c r="H3011" t="s">
        <v>10</v>
      </c>
      <c r="J3011" t="str">
        <f>"12/20/2020 00:39"</f>
        <v>12/20/2020 00:39</v>
      </c>
    </row>
    <row r="3012" spans="1:10" x14ac:dyDescent="0.3">
      <c r="A3012" t="s">
        <v>6</v>
      </c>
      <c r="B3012" t="str">
        <f>"12/20/2020 00:00"</f>
        <v>12/20/2020 00:00</v>
      </c>
      <c r="C3012">
        <v>153</v>
      </c>
      <c r="D3012" t="s">
        <v>7</v>
      </c>
      <c r="E3012" s="2" t="s">
        <v>12</v>
      </c>
      <c r="F3012">
        <f t="shared" si="46"/>
        <v>303.399</v>
      </c>
      <c r="G3012" t="s">
        <v>16</v>
      </c>
      <c r="H3012" t="s">
        <v>10</v>
      </c>
      <c r="J3012" t="str">
        <f>"12/21/2020 00:39"</f>
        <v>12/21/2020 00:39</v>
      </c>
    </row>
    <row r="3013" spans="1:10" x14ac:dyDescent="0.3">
      <c r="A3013" t="s">
        <v>6</v>
      </c>
      <c r="B3013" t="str">
        <f>"12/21/2020 00:00"</f>
        <v>12/21/2020 00:00</v>
      </c>
      <c r="C3013">
        <v>157</v>
      </c>
      <c r="D3013" t="s">
        <v>7</v>
      </c>
      <c r="E3013" s="2" t="s">
        <v>12</v>
      </c>
      <c r="F3013">
        <f t="shared" si="46"/>
        <v>311.33100000000002</v>
      </c>
      <c r="G3013" t="s">
        <v>16</v>
      </c>
      <c r="H3013" t="s">
        <v>10</v>
      </c>
      <c r="J3013" t="str">
        <f>"12/22/2020 00:39"</f>
        <v>12/22/2020 00:39</v>
      </c>
    </row>
    <row r="3014" spans="1:10" x14ac:dyDescent="0.3">
      <c r="A3014" t="s">
        <v>6</v>
      </c>
      <c r="B3014" t="str">
        <f>"12/22/2020 00:00"</f>
        <v>12/22/2020 00:00</v>
      </c>
      <c r="C3014">
        <v>156</v>
      </c>
      <c r="D3014" t="s">
        <v>7</v>
      </c>
      <c r="E3014" s="2" t="s">
        <v>12</v>
      </c>
      <c r="F3014">
        <f t="shared" si="46"/>
        <v>309.34800000000001</v>
      </c>
      <c r="G3014" t="s">
        <v>16</v>
      </c>
      <c r="H3014" t="s">
        <v>10</v>
      </c>
      <c r="J3014" t="str">
        <f>"12/23/2020 00:39"</f>
        <v>12/23/2020 00:39</v>
      </c>
    </row>
    <row r="3015" spans="1:10" x14ac:dyDescent="0.3">
      <c r="A3015" t="s">
        <v>6</v>
      </c>
      <c r="B3015" t="str">
        <f>"12/23/2020 00:00"</f>
        <v>12/23/2020 00:00</v>
      </c>
      <c r="C3015">
        <v>154</v>
      </c>
      <c r="D3015" t="s">
        <v>7</v>
      </c>
      <c r="E3015" s="2" t="s">
        <v>12</v>
      </c>
      <c r="F3015">
        <f t="shared" si="46"/>
        <v>305.38200000000001</v>
      </c>
      <c r="G3015" t="s">
        <v>16</v>
      </c>
      <c r="H3015" t="s">
        <v>10</v>
      </c>
      <c r="J3015" t="str">
        <f>"12/24/2020 00:39"</f>
        <v>12/24/2020 00:39</v>
      </c>
    </row>
    <row r="3016" spans="1:10" x14ac:dyDescent="0.3">
      <c r="A3016" t="s">
        <v>6</v>
      </c>
      <c r="B3016" t="str">
        <f>"12/24/2020 00:00"</f>
        <v>12/24/2020 00:00</v>
      </c>
      <c r="C3016">
        <v>150</v>
      </c>
      <c r="D3016" t="s">
        <v>7</v>
      </c>
      <c r="E3016" s="2" t="s">
        <v>12</v>
      </c>
      <c r="F3016">
        <f t="shared" si="46"/>
        <v>297.45</v>
      </c>
      <c r="G3016" t="s">
        <v>16</v>
      </c>
      <c r="H3016" t="s">
        <v>10</v>
      </c>
      <c r="J3016" t="str">
        <f>"12/25/2020 00:39"</f>
        <v>12/25/2020 00:39</v>
      </c>
    </row>
    <row r="3017" spans="1:10" x14ac:dyDescent="0.3">
      <c r="A3017" t="s">
        <v>6</v>
      </c>
      <c r="B3017" t="str">
        <f>"12/25/2020 00:00"</f>
        <v>12/25/2020 00:00</v>
      </c>
      <c r="C3017">
        <v>150</v>
      </c>
      <c r="D3017" t="s">
        <v>7</v>
      </c>
      <c r="E3017" s="2" t="s">
        <v>12</v>
      </c>
      <c r="F3017">
        <f t="shared" si="46"/>
        <v>297.45</v>
      </c>
      <c r="G3017" t="s">
        <v>16</v>
      </c>
      <c r="H3017" t="s">
        <v>10</v>
      </c>
      <c r="J3017" t="str">
        <f>"12/26/2020 00:39"</f>
        <v>12/26/2020 00:39</v>
      </c>
    </row>
    <row r="3018" spans="1:10" x14ac:dyDescent="0.3">
      <c r="A3018" t="s">
        <v>6</v>
      </c>
      <c r="B3018" t="str">
        <f>"12/26/2020 00:00"</f>
        <v>12/26/2020 00:00</v>
      </c>
      <c r="C3018">
        <v>150</v>
      </c>
      <c r="D3018" t="s">
        <v>7</v>
      </c>
      <c r="E3018" s="2" t="s">
        <v>12</v>
      </c>
      <c r="F3018">
        <f t="shared" si="46"/>
        <v>297.45</v>
      </c>
      <c r="G3018" t="s">
        <v>16</v>
      </c>
      <c r="H3018" t="s">
        <v>10</v>
      </c>
      <c r="J3018" t="str">
        <f>"12/27/2020 01:39"</f>
        <v>12/27/2020 01:39</v>
      </c>
    </row>
    <row r="3019" spans="1:10" x14ac:dyDescent="0.3">
      <c r="A3019" t="s">
        <v>6</v>
      </c>
      <c r="B3019" t="str">
        <f>"12/27/2020 00:00"</f>
        <v>12/27/2020 00:00</v>
      </c>
      <c r="C3019">
        <v>150</v>
      </c>
      <c r="D3019" t="s">
        <v>7</v>
      </c>
      <c r="E3019" s="2" t="s">
        <v>12</v>
      </c>
      <c r="F3019">
        <f t="shared" ref="F3019:F3082" si="47">C3019*1.983</f>
        <v>297.45</v>
      </c>
      <c r="G3019" t="s">
        <v>16</v>
      </c>
      <c r="H3019" t="s">
        <v>10</v>
      </c>
      <c r="J3019" t="str">
        <f>"12/28/2020 00:39"</f>
        <v>12/28/2020 00:39</v>
      </c>
    </row>
    <row r="3020" spans="1:10" x14ac:dyDescent="0.3">
      <c r="A3020" t="s">
        <v>6</v>
      </c>
      <c r="B3020" t="str">
        <f>"12/28/2020 00:00"</f>
        <v>12/28/2020 00:00</v>
      </c>
      <c r="C3020">
        <v>150</v>
      </c>
      <c r="D3020" t="s">
        <v>7</v>
      </c>
      <c r="E3020" s="2" t="s">
        <v>12</v>
      </c>
      <c r="F3020">
        <f t="shared" si="47"/>
        <v>297.45</v>
      </c>
      <c r="G3020" t="s">
        <v>16</v>
      </c>
      <c r="H3020" t="s">
        <v>10</v>
      </c>
      <c r="J3020" t="str">
        <f>"12/29/2020 00:39"</f>
        <v>12/29/2020 00:39</v>
      </c>
    </row>
    <row r="3021" spans="1:10" x14ac:dyDescent="0.3">
      <c r="A3021" t="s">
        <v>6</v>
      </c>
      <c r="B3021" t="str">
        <f>"12/29/2020 00:00"</f>
        <v>12/29/2020 00:00</v>
      </c>
      <c r="C3021">
        <v>150</v>
      </c>
      <c r="D3021" t="s">
        <v>7</v>
      </c>
      <c r="E3021" s="2" t="s">
        <v>12</v>
      </c>
      <c r="F3021">
        <f t="shared" si="47"/>
        <v>297.45</v>
      </c>
      <c r="G3021" t="s">
        <v>16</v>
      </c>
      <c r="H3021" t="s">
        <v>10</v>
      </c>
      <c r="J3021" t="str">
        <f>"12/30/2020 00:39"</f>
        <v>12/30/2020 00:39</v>
      </c>
    </row>
    <row r="3022" spans="1:10" x14ac:dyDescent="0.3">
      <c r="A3022" t="s">
        <v>6</v>
      </c>
      <c r="B3022" t="str">
        <f>"12/30/2020 00:00"</f>
        <v>12/30/2020 00:00</v>
      </c>
      <c r="C3022">
        <v>150</v>
      </c>
      <c r="D3022" t="s">
        <v>7</v>
      </c>
      <c r="E3022" s="2" t="s">
        <v>12</v>
      </c>
      <c r="F3022">
        <f t="shared" si="47"/>
        <v>297.45</v>
      </c>
      <c r="G3022" t="s">
        <v>16</v>
      </c>
      <c r="H3022" t="s">
        <v>10</v>
      </c>
      <c r="J3022" t="str">
        <f>"12/31/2020 00:39"</f>
        <v>12/31/2020 00:39</v>
      </c>
    </row>
    <row r="3023" spans="1:10" x14ac:dyDescent="0.3">
      <c r="A3023" t="s">
        <v>6</v>
      </c>
      <c r="B3023" t="str">
        <f>"12/31/2020 00:00"</f>
        <v>12/31/2020 00:00</v>
      </c>
      <c r="C3023">
        <v>150</v>
      </c>
      <c r="D3023" t="s">
        <v>7</v>
      </c>
      <c r="E3023" s="2" t="s">
        <v>12</v>
      </c>
      <c r="F3023">
        <f t="shared" si="47"/>
        <v>297.45</v>
      </c>
      <c r="G3023" t="s">
        <v>16</v>
      </c>
      <c r="H3023" t="s">
        <v>10</v>
      </c>
      <c r="J3023" t="str">
        <f>"01/01/2021 00:39"</f>
        <v>01/01/2021 00:39</v>
      </c>
    </row>
    <row r="3024" spans="1:10" x14ac:dyDescent="0.3">
      <c r="A3024" t="s">
        <v>6</v>
      </c>
      <c r="B3024" t="str">
        <f>"01/01/2021 00:00"</f>
        <v>01/01/2021 00:00</v>
      </c>
      <c r="C3024">
        <v>150</v>
      </c>
      <c r="D3024" t="s">
        <v>7</v>
      </c>
      <c r="E3024" s="2" t="s">
        <v>12</v>
      </c>
      <c r="F3024">
        <f t="shared" si="47"/>
        <v>297.45</v>
      </c>
      <c r="G3024" t="s">
        <v>16</v>
      </c>
      <c r="H3024" t="s">
        <v>10</v>
      </c>
      <c r="J3024" t="str">
        <f>"01/02/2021 02:49"</f>
        <v>01/02/2021 02:49</v>
      </c>
    </row>
    <row r="3025" spans="1:10" x14ac:dyDescent="0.3">
      <c r="A3025" t="s">
        <v>6</v>
      </c>
      <c r="B3025" t="str">
        <f>"01/02/2021 00:00"</f>
        <v>01/02/2021 00:00</v>
      </c>
      <c r="C3025">
        <v>150</v>
      </c>
      <c r="D3025" t="s">
        <v>7</v>
      </c>
      <c r="E3025" s="2" t="s">
        <v>12</v>
      </c>
      <c r="F3025">
        <f t="shared" si="47"/>
        <v>297.45</v>
      </c>
      <c r="G3025" t="s">
        <v>16</v>
      </c>
      <c r="H3025" t="s">
        <v>10</v>
      </c>
      <c r="J3025" t="str">
        <f>"01/03/2021 00:39"</f>
        <v>01/03/2021 00:39</v>
      </c>
    </row>
    <row r="3026" spans="1:10" x14ac:dyDescent="0.3">
      <c r="A3026" t="s">
        <v>6</v>
      </c>
      <c r="B3026" t="str">
        <f>"01/03/2021 00:00"</f>
        <v>01/03/2021 00:00</v>
      </c>
      <c r="C3026">
        <v>150</v>
      </c>
      <c r="D3026" t="s">
        <v>7</v>
      </c>
      <c r="E3026" s="2" t="s">
        <v>12</v>
      </c>
      <c r="F3026">
        <f t="shared" si="47"/>
        <v>297.45</v>
      </c>
      <c r="G3026" t="s">
        <v>16</v>
      </c>
      <c r="H3026" t="s">
        <v>10</v>
      </c>
      <c r="J3026" t="str">
        <f>"01/04/2021 00:39"</f>
        <v>01/04/2021 00:39</v>
      </c>
    </row>
    <row r="3027" spans="1:10" x14ac:dyDescent="0.3">
      <c r="A3027" t="s">
        <v>6</v>
      </c>
      <c r="B3027" t="str">
        <f>"01/04/2021 00:00"</f>
        <v>01/04/2021 00:00</v>
      </c>
      <c r="C3027">
        <v>150</v>
      </c>
      <c r="D3027" t="s">
        <v>7</v>
      </c>
      <c r="E3027" s="2" t="s">
        <v>12</v>
      </c>
      <c r="F3027">
        <f t="shared" si="47"/>
        <v>297.45</v>
      </c>
      <c r="G3027" t="s">
        <v>16</v>
      </c>
      <c r="H3027" t="s">
        <v>10</v>
      </c>
      <c r="J3027" t="str">
        <f>"01/05/2021 00:39"</f>
        <v>01/05/2021 00:39</v>
      </c>
    </row>
    <row r="3028" spans="1:10" x14ac:dyDescent="0.3">
      <c r="A3028" t="s">
        <v>6</v>
      </c>
      <c r="B3028" t="str">
        <f>"01/05/2021 00:00"</f>
        <v>01/05/2021 00:00</v>
      </c>
      <c r="C3028">
        <v>150</v>
      </c>
      <c r="D3028" t="s">
        <v>7</v>
      </c>
      <c r="E3028" s="2" t="s">
        <v>12</v>
      </c>
      <c r="F3028">
        <f t="shared" si="47"/>
        <v>297.45</v>
      </c>
      <c r="G3028" t="s">
        <v>16</v>
      </c>
      <c r="H3028" t="s">
        <v>10</v>
      </c>
      <c r="J3028" t="str">
        <f>"01/06/2021 00:39"</f>
        <v>01/06/2021 00:39</v>
      </c>
    </row>
    <row r="3029" spans="1:10" x14ac:dyDescent="0.3">
      <c r="A3029" t="s">
        <v>6</v>
      </c>
      <c r="B3029" t="str">
        <f>"01/06/2021 00:00"</f>
        <v>01/06/2021 00:00</v>
      </c>
      <c r="C3029">
        <v>150</v>
      </c>
      <c r="D3029" t="s">
        <v>7</v>
      </c>
      <c r="E3029" s="2" t="s">
        <v>12</v>
      </c>
      <c r="F3029">
        <f t="shared" si="47"/>
        <v>297.45</v>
      </c>
      <c r="G3029" t="s">
        <v>16</v>
      </c>
      <c r="H3029" t="s">
        <v>10</v>
      </c>
      <c r="J3029" t="str">
        <f>"01/07/2021 00:39"</f>
        <v>01/07/2021 00:39</v>
      </c>
    </row>
    <row r="3030" spans="1:10" x14ac:dyDescent="0.3">
      <c r="A3030" t="s">
        <v>6</v>
      </c>
      <c r="B3030" t="str">
        <f>"01/07/2021 00:00"</f>
        <v>01/07/2021 00:00</v>
      </c>
      <c r="C3030">
        <v>150</v>
      </c>
      <c r="D3030" t="s">
        <v>7</v>
      </c>
      <c r="E3030" s="2" t="s">
        <v>12</v>
      </c>
      <c r="F3030">
        <f t="shared" si="47"/>
        <v>297.45</v>
      </c>
      <c r="G3030" t="s">
        <v>16</v>
      </c>
      <c r="H3030" t="s">
        <v>10</v>
      </c>
      <c r="J3030" t="str">
        <f>"01/08/2021 00:39"</f>
        <v>01/08/2021 00:39</v>
      </c>
    </row>
    <row r="3031" spans="1:10" x14ac:dyDescent="0.3">
      <c r="A3031" t="s">
        <v>6</v>
      </c>
      <c r="B3031" t="str">
        <f>"01/08/2021 00:00"</f>
        <v>01/08/2021 00:00</v>
      </c>
      <c r="C3031">
        <v>150</v>
      </c>
      <c r="D3031" t="s">
        <v>7</v>
      </c>
      <c r="E3031" s="2" t="s">
        <v>12</v>
      </c>
      <c r="F3031">
        <f t="shared" si="47"/>
        <v>297.45</v>
      </c>
      <c r="G3031" t="s">
        <v>16</v>
      </c>
      <c r="H3031" t="s">
        <v>10</v>
      </c>
      <c r="J3031" t="str">
        <f>"01/09/2021 00:39"</f>
        <v>01/09/2021 00:39</v>
      </c>
    </row>
    <row r="3032" spans="1:10" x14ac:dyDescent="0.3">
      <c r="A3032" t="s">
        <v>6</v>
      </c>
      <c r="B3032" t="str">
        <f>"01/09/2021 00:00"</f>
        <v>01/09/2021 00:00</v>
      </c>
      <c r="C3032">
        <v>150</v>
      </c>
      <c r="D3032" t="s">
        <v>7</v>
      </c>
      <c r="E3032" s="2" t="s">
        <v>12</v>
      </c>
      <c r="F3032">
        <f t="shared" si="47"/>
        <v>297.45</v>
      </c>
      <c r="G3032" t="s">
        <v>16</v>
      </c>
      <c r="H3032" t="s">
        <v>10</v>
      </c>
      <c r="J3032" t="str">
        <f>"01/10/2021 00:39"</f>
        <v>01/10/2021 00:39</v>
      </c>
    </row>
    <row r="3033" spans="1:10" x14ac:dyDescent="0.3">
      <c r="A3033" t="s">
        <v>6</v>
      </c>
      <c r="B3033" t="str">
        <f>"01/10/2021 00:00"</f>
        <v>01/10/2021 00:00</v>
      </c>
      <c r="C3033">
        <v>150</v>
      </c>
      <c r="D3033" t="s">
        <v>7</v>
      </c>
      <c r="E3033" s="2" t="s">
        <v>12</v>
      </c>
      <c r="F3033">
        <f t="shared" si="47"/>
        <v>297.45</v>
      </c>
      <c r="G3033" t="s">
        <v>16</v>
      </c>
      <c r="H3033" t="s">
        <v>10</v>
      </c>
      <c r="J3033" t="str">
        <f>"01/11/2021 00:39"</f>
        <v>01/11/2021 00:39</v>
      </c>
    </row>
    <row r="3034" spans="1:10" x14ac:dyDescent="0.3">
      <c r="A3034" t="s">
        <v>6</v>
      </c>
      <c r="B3034" t="str">
        <f>"01/11/2021 00:00"</f>
        <v>01/11/2021 00:00</v>
      </c>
      <c r="C3034">
        <v>150</v>
      </c>
      <c r="D3034" t="s">
        <v>7</v>
      </c>
      <c r="E3034" s="2" t="s">
        <v>12</v>
      </c>
      <c r="F3034">
        <f t="shared" si="47"/>
        <v>297.45</v>
      </c>
      <c r="G3034" t="s">
        <v>16</v>
      </c>
      <c r="H3034" t="s">
        <v>10</v>
      </c>
      <c r="J3034" t="str">
        <f>"01/12/2021 00:39"</f>
        <v>01/12/2021 00:39</v>
      </c>
    </row>
    <row r="3035" spans="1:10" x14ac:dyDescent="0.3">
      <c r="A3035" t="s">
        <v>6</v>
      </c>
      <c r="B3035" t="str">
        <f>"01/12/2021 00:00"</f>
        <v>01/12/2021 00:00</v>
      </c>
      <c r="C3035">
        <v>150</v>
      </c>
      <c r="D3035" t="s">
        <v>7</v>
      </c>
      <c r="E3035" s="2" t="s">
        <v>12</v>
      </c>
      <c r="F3035">
        <f t="shared" si="47"/>
        <v>297.45</v>
      </c>
      <c r="G3035" t="s">
        <v>16</v>
      </c>
      <c r="H3035" t="s">
        <v>10</v>
      </c>
      <c r="J3035" t="str">
        <f>"01/13/2021 00:39"</f>
        <v>01/13/2021 00:39</v>
      </c>
    </row>
    <row r="3036" spans="1:10" x14ac:dyDescent="0.3">
      <c r="A3036" t="s">
        <v>6</v>
      </c>
      <c r="B3036" t="str">
        <f>"01/13/2021 00:00"</f>
        <v>01/13/2021 00:00</v>
      </c>
      <c r="C3036">
        <v>150</v>
      </c>
      <c r="D3036" t="s">
        <v>7</v>
      </c>
      <c r="E3036" s="2" t="s">
        <v>12</v>
      </c>
      <c r="F3036">
        <f t="shared" si="47"/>
        <v>297.45</v>
      </c>
      <c r="G3036" t="s">
        <v>16</v>
      </c>
      <c r="H3036" t="s">
        <v>10</v>
      </c>
      <c r="J3036" t="str">
        <f>"01/14/2021 00:39"</f>
        <v>01/14/2021 00:39</v>
      </c>
    </row>
    <row r="3037" spans="1:10" x14ac:dyDescent="0.3">
      <c r="A3037" t="s">
        <v>6</v>
      </c>
      <c r="B3037" t="str">
        <f>"01/14/2021 00:00"</f>
        <v>01/14/2021 00:00</v>
      </c>
      <c r="C3037">
        <v>150</v>
      </c>
      <c r="D3037" t="s">
        <v>7</v>
      </c>
      <c r="E3037" s="2" t="s">
        <v>12</v>
      </c>
      <c r="F3037">
        <f t="shared" si="47"/>
        <v>297.45</v>
      </c>
      <c r="G3037" t="s">
        <v>16</v>
      </c>
      <c r="H3037" t="s">
        <v>10</v>
      </c>
      <c r="J3037" t="str">
        <f>"01/15/2021 00:39"</f>
        <v>01/15/2021 00:39</v>
      </c>
    </row>
    <row r="3038" spans="1:10" x14ac:dyDescent="0.3">
      <c r="A3038" t="s">
        <v>6</v>
      </c>
      <c r="B3038" t="str">
        <f>"01/15/2021 00:00"</f>
        <v>01/15/2021 00:00</v>
      </c>
      <c r="C3038">
        <v>150</v>
      </c>
      <c r="D3038" t="s">
        <v>7</v>
      </c>
      <c r="E3038" s="2" t="s">
        <v>12</v>
      </c>
      <c r="F3038">
        <f t="shared" si="47"/>
        <v>297.45</v>
      </c>
      <c r="G3038" t="s">
        <v>16</v>
      </c>
      <c r="H3038" t="s">
        <v>10</v>
      </c>
      <c r="J3038" t="str">
        <f>"01/16/2021 00:39"</f>
        <v>01/16/2021 00:39</v>
      </c>
    </row>
    <row r="3039" spans="1:10" x14ac:dyDescent="0.3">
      <c r="A3039" t="s">
        <v>6</v>
      </c>
      <c r="B3039" t="str">
        <f>"01/16/2021 00:00"</f>
        <v>01/16/2021 00:00</v>
      </c>
      <c r="C3039">
        <v>150</v>
      </c>
      <c r="D3039" t="s">
        <v>7</v>
      </c>
      <c r="E3039" s="2" t="s">
        <v>12</v>
      </c>
      <c r="F3039">
        <f t="shared" si="47"/>
        <v>297.45</v>
      </c>
      <c r="G3039" t="s">
        <v>16</v>
      </c>
      <c r="H3039" t="s">
        <v>10</v>
      </c>
      <c r="J3039" t="str">
        <f>"01/17/2021 00:39"</f>
        <v>01/17/2021 00:39</v>
      </c>
    </row>
    <row r="3040" spans="1:10" x14ac:dyDescent="0.3">
      <c r="A3040" t="s">
        <v>6</v>
      </c>
      <c r="B3040" t="str">
        <f>"01/17/2021 00:00"</f>
        <v>01/17/2021 00:00</v>
      </c>
      <c r="C3040">
        <v>150</v>
      </c>
      <c r="D3040" t="s">
        <v>7</v>
      </c>
      <c r="E3040" s="2" t="s">
        <v>12</v>
      </c>
      <c r="F3040">
        <f t="shared" si="47"/>
        <v>297.45</v>
      </c>
      <c r="G3040" t="s">
        <v>16</v>
      </c>
      <c r="H3040" t="s">
        <v>10</v>
      </c>
      <c r="J3040" t="str">
        <f>"01/18/2021 00:39"</f>
        <v>01/18/2021 00:39</v>
      </c>
    </row>
    <row r="3041" spans="1:10" x14ac:dyDescent="0.3">
      <c r="A3041" t="s">
        <v>6</v>
      </c>
      <c r="B3041" t="str">
        <f>"01/18/2021 00:00"</f>
        <v>01/18/2021 00:00</v>
      </c>
      <c r="C3041">
        <v>150</v>
      </c>
      <c r="D3041" t="s">
        <v>7</v>
      </c>
      <c r="E3041" s="2" t="s">
        <v>12</v>
      </c>
      <c r="F3041">
        <f t="shared" si="47"/>
        <v>297.45</v>
      </c>
      <c r="G3041" t="s">
        <v>16</v>
      </c>
      <c r="H3041" t="s">
        <v>10</v>
      </c>
      <c r="J3041" t="str">
        <f>"01/19/2021 00:39"</f>
        <v>01/19/2021 00:39</v>
      </c>
    </row>
    <row r="3042" spans="1:10" x14ac:dyDescent="0.3">
      <c r="A3042" t="s">
        <v>6</v>
      </c>
      <c r="B3042" t="str">
        <f>"01/19/2021 00:00"</f>
        <v>01/19/2021 00:00</v>
      </c>
      <c r="C3042">
        <v>150</v>
      </c>
      <c r="D3042" t="s">
        <v>7</v>
      </c>
      <c r="E3042" s="2" t="s">
        <v>12</v>
      </c>
      <c r="F3042">
        <f t="shared" si="47"/>
        <v>297.45</v>
      </c>
      <c r="G3042" t="s">
        <v>16</v>
      </c>
      <c r="H3042" t="s">
        <v>10</v>
      </c>
      <c r="J3042" t="str">
        <f>"01/20/2021 00:39"</f>
        <v>01/20/2021 00:39</v>
      </c>
    </row>
    <row r="3043" spans="1:10" x14ac:dyDescent="0.3">
      <c r="A3043" t="s">
        <v>6</v>
      </c>
      <c r="B3043" t="str">
        <f>"01/20/2021 00:00"</f>
        <v>01/20/2021 00:00</v>
      </c>
      <c r="C3043">
        <v>150</v>
      </c>
      <c r="D3043" t="s">
        <v>7</v>
      </c>
      <c r="E3043" s="2" t="s">
        <v>12</v>
      </c>
      <c r="F3043">
        <f t="shared" si="47"/>
        <v>297.45</v>
      </c>
      <c r="G3043" t="s">
        <v>16</v>
      </c>
      <c r="H3043" t="s">
        <v>10</v>
      </c>
      <c r="J3043" t="str">
        <f>"01/21/2021 00:39"</f>
        <v>01/21/2021 00:39</v>
      </c>
    </row>
    <row r="3044" spans="1:10" x14ac:dyDescent="0.3">
      <c r="A3044" t="s">
        <v>6</v>
      </c>
      <c r="B3044" t="str">
        <f>"01/21/2021 00:00"</f>
        <v>01/21/2021 00:00</v>
      </c>
      <c r="C3044">
        <v>150</v>
      </c>
      <c r="D3044" t="s">
        <v>7</v>
      </c>
      <c r="E3044" s="2" t="s">
        <v>12</v>
      </c>
      <c r="F3044">
        <f t="shared" si="47"/>
        <v>297.45</v>
      </c>
      <c r="G3044" t="s">
        <v>16</v>
      </c>
      <c r="H3044" t="s">
        <v>10</v>
      </c>
      <c r="J3044" t="str">
        <f>"01/22/2021 00:39"</f>
        <v>01/22/2021 00:39</v>
      </c>
    </row>
    <row r="3045" spans="1:10" x14ac:dyDescent="0.3">
      <c r="A3045" t="s">
        <v>6</v>
      </c>
      <c r="B3045" t="str">
        <f>"01/22/2021 00:00"</f>
        <v>01/22/2021 00:00</v>
      </c>
      <c r="C3045">
        <v>150</v>
      </c>
      <c r="D3045" t="s">
        <v>7</v>
      </c>
      <c r="E3045" s="2" t="s">
        <v>12</v>
      </c>
      <c r="F3045">
        <f t="shared" si="47"/>
        <v>297.45</v>
      </c>
      <c r="G3045" t="s">
        <v>16</v>
      </c>
      <c r="H3045" t="s">
        <v>10</v>
      </c>
      <c r="J3045" t="str">
        <f>"01/23/2021 00:39"</f>
        <v>01/23/2021 00:39</v>
      </c>
    </row>
    <row r="3046" spans="1:10" x14ac:dyDescent="0.3">
      <c r="A3046" t="s">
        <v>6</v>
      </c>
      <c r="B3046" t="str">
        <f>"01/23/2021 00:00"</f>
        <v>01/23/2021 00:00</v>
      </c>
      <c r="C3046">
        <v>150</v>
      </c>
      <c r="D3046" t="s">
        <v>7</v>
      </c>
      <c r="E3046" s="2" t="s">
        <v>12</v>
      </c>
      <c r="F3046">
        <f t="shared" si="47"/>
        <v>297.45</v>
      </c>
      <c r="G3046" t="s">
        <v>16</v>
      </c>
      <c r="H3046" t="s">
        <v>10</v>
      </c>
      <c r="J3046" t="str">
        <f>"01/24/2021 00:39"</f>
        <v>01/24/2021 00:39</v>
      </c>
    </row>
    <row r="3047" spans="1:10" x14ac:dyDescent="0.3">
      <c r="A3047" t="s">
        <v>6</v>
      </c>
      <c r="B3047" t="str">
        <f>"01/24/2021 00:00"</f>
        <v>01/24/2021 00:00</v>
      </c>
      <c r="C3047">
        <v>150</v>
      </c>
      <c r="D3047" t="s">
        <v>7</v>
      </c>
      <c r="E3047" s="2" t="s">
        <v>12</v>
      </c>
      <c r="F3047">
        <f t="shared" si="47"/>
        <v>297.45</v>
      </c>
      <c r="G3047" t="s">
        <v>16</v>
      </c>
      <c r="H3047" t="s">
        <v>10</v>
      </c>
      <c r="J3047" t="str">
        <f>"01/25/2021 00:39"</f>
        <v>01/25/2021 00:39</v>
      </c>
    </row>
    <row r="3048" spans="1:10" x14ac:dyDescent="0.3">
      <c r="A3048" t="s">
        <v>6</v>
      </c>
      <c r="B3048" t="str">
        <f>"01/25/2021 00:00"</f>
        <v>01/25/2021 00:00</v>
      </c>
      <c r="C3048">
        <v>150</v>
      </c>
      <c r="D3048" t="s">
        <v>7</v>
      </c>
      <c r="E3048" s="2" t="s">
        <v>12</v>
      </c>
      <c r="F3048">
        <f t="shared" si="47"/>
        <v>297.45</v>
      </c>
      <c r="G3048" t="s">
        <v>16</v>
      </c>
      <c r="H3048" t="s">
        <v>10</v>
      </c>
      <c r="J3048" t="str">
        <f>"01/26/2021 00:39"</f>
        <v>01/26/2021 00:39</v>
      </c>
    </row>
    <row r="3049" spans="1:10" x14ac:dyDescent="0.3">
      <c r="A3049" t="s">
        <v>6</v>
      </c>
      <c r="B3049" t="str">
        <f>"01/26/2021 00:00"</f>
        <v>01/26/2021 00:00</v>
      </c>
      <c r="C3049">
        <v>150</v>
      </c>
      <c r="D3049" t="s">
        <v>7</v>
      </c>
      <c r="E3049" s="2" t="s">
        <v>12</v>
      </c>
      <c r="F3049">
        <f t="shared" si="47"/>
        <v>297.45</v>
      </c>
      <c r="G3049" t="s">
        <v>16</v>
      </c>
      <c r="H3049" t="s">
        <v>10</v>
      </c>
      <c r="J3049" t="str">
        <f>"01/27/2021 00:39"</f>
        <v>01/27/2021 00:39</v>
      </c>
    </row>
    <row r="3050" spans="1:10" x14ac:dyDescent="0.3">
      <c r="A3050" t="s">
        <v>6</v>
      </c>
      <c r="B3050" t="str">
        <f>"01/27/2021 00:00"</f>
        <v>01/27/2021 00:00</v>
      </c>
      <c r="C3050">
        <v>150</v>
      </c>
      <c r="D3050" t="s">
        <v>7</v>
      </c>
      <c r="E3050" s="2" t="s">
        <v>12</v>
      </c>
      <c r="F3050">
        <f t="shared" si="47"/>
        <v>297.45</v>
      </c>
      <c r="G3050" t="s">
        <v>16</v>
      </c>
      <c r="H3050" t="s">
        <v>10</v>
      </c>
      <c r="J3050" t="str">
        <f>"01/28/2021 00:39"</f>
        <v>01/28/2021 00:39</v>
      </c>
    </row>
    <row r="3051" spans="1:10" x14ac:dyDescent="0.3">
      <c r="A3051" t="s">
        <v>6</v>
      </c>
      <c r="B3051" t="str">
        <f>"01/28/2021 00:00"</f>
        <v>01/28/2021 00:00</v>
      </c>
      <c r="C3051">
        <v>150</v>
      </c>
      <c r="D3051" t="s">
        <v>7</v>
      </c>
      <c r="E3051" s="2" t="s">
        <v>12</v>
      </c>
      <c r="F3051">
        <f t="shared" si="47"/>
        <v>297.45</v>
      </c>
      <c r="G3051" t="s">
        <v>16</v>
      </c>
      <c r="H3051" t="s">
        <v>10</v>
      </c>
      <c r="J3051" t="str">
        <f>"01/29/2021 00:39"</f>
        <v>01/29/2021 00:39</v>
      </c>
    </row>
    <row r="3052" spans="1:10" x14ac:dyDescent="0.3">
      <c r="A3052" t="s">
        <v>6</v>
      </c>
      <c r="B3052" t="str">
        <f>"01/29/2021 00:00"</f>
        <v>01/29/2021 00:00</v>
      </c>
      <c r="C3052">
        <v>150</v>
      </c>
      <c r="D3052" t="s">
        <v>7</v>
      </c>
      <c r="E3052" s="2" t="s">
        <v>12</v>
      </c>
      <c r="F3052">
        <f t="shared" si="47"/>
        <v>297.45</v>
      </c>
      <c r="G3052" t="s">
        <v>16</v>
      </c>
      <c r="H3052" t="s">
        <v>10</v>
      </c>
      <c r="J3052" t="str">
        <f>"01/30/2021 00:39"</f>
        <v>01/30/2021 00:39</v>
      </c>
    </row>
    <row r="3053" spans="1:10" x14ac:dyDescent="0.3">
      <c r="A3053" t="s">
        <v>6</v>
      </c>
      <c r="B3053" t="str">
        <f>"01/30/2021 00:00"</f>
        <v>01/30/2021 00:00</v>
      </c>
      <c r="C3053">
        <v>150</v>
      </c>
      <c r="D3053" t="s">
        <v>7</v>
      </c>
      <c r="E3053" s="2" t="s">
        <v>12</v>
      </c>
      <c r="F3053">
        <f t="shared" si="47"/>
        <v>297.45</v>
      </c>
      <c r="G3053" t="s">
        <v>16</v>
      </c>
      <c r="H3053" t="s">
        <v>10</v>
      </c>
      <c r="J3053" t="str">
        <f>"01/31/2021 00:39"</f>
        <v>01/31/2021 00:39</v>
      </c>
    </row>
    <row r="3054" spans="1:10" x14ac:dyDescent="0.3">
      <c r="A3054" t="s">
        <v>6</v>
      </c>
      <c r="B3054" t="str">
        <f>"01/31/2021 00:00"</f>
        <v>01/31/2021 00:00</v>
      </c>
      <c r="C3054">
        <v>150</v>
      </c>
      <c r="D3054" t="s">
        <v>7</v>
      </c>
      <c r="E3054" s="2" t="s">
        <v>12</v>
      </c>
      <c r="F3054">
        <f t="shared" si="47"/>
        <v>297.45</v>
      </c>
      <c r="G3054" t="s">
        <v>16</v>
      </c>
      <c r="H3054" t="s">
        <v>10</v>
      </c>
      <c r="J3054" t="str">
        <f>"02/01/2021 00:39"</f>
        <v>02/01/2021 00:39</v>
      </c>
    </row>
    <row r="3055" spans="1:10" x14ac:dyDescent="0.3">
      <c r="A3055" t="s">
        <v>6</v>
      </c>
      <c r="B3055" t="str">
        <f>"02/01/2021 00:00"</f>
        <v>02/01/2021 00:00</v>
      </c>
      <c r="C3055">
        <v>150</v>
      </c>
      <c r="D3055" t="s">
        <v>7</v>
      </c>
      <c r="E3055" s="2" t="s">
        <v>12</v>
      </c>
      <c r="F3055">
        <f t="shared" si="47"/>
        <v>297.45</v>
      </c>
      <c r="G3055" t="s">
        <v>16</v>
      </c>
      <c r="H3055" t="s">
        <v>10</v>
      </c>
      <c r="J3055" t="str">
        <f>"02/02/2021 00:39"</f>
        <v>02/02/2021 00:39</v>
      </c>
    </row>
    <row r="3056" spans="1:10" x14ac:dyDescent="0.3">
      <c r="A3056" t="s">
        <v>6</v>
      </c>
      <c r="B3056" t="str">
        <f>"02/02/2021 00:00"</f>
        <v>02/02/2021 00:00</v>
      </c>
      <c r="C3056">
        <v>150</v>
      </c>
      <c r="D3056" t="s">
        <v>7</v>
      </c>
      <c r="E3056" s="2" t="s">
        <v>12</v>
      </c>
      <c r="F3056">
        <f t="shared" si="47"/>
        <v>297.45</v>
      </c>
      <c r="G3056" t="s">
        <v>16</v>
      </c>
      <c r="H3056" t="s">
        <v>10</v>
      </c>
      <c r="J3056" t="str">
        <f>"02/03/2021 00:39"</f>
        <v>02/03/2021 00:39</v>
      </c>
    </row>
    <row r="3057" spans="1:10" x14ac:dyDescent="0.3">
      <c r="A3057" t="s">
        <v>6</v>
      </c>
      <c r="B3057" t="str">
        <f>"02/03/2021 00:00"</f>
        <v>02/03/2021 00:00</v>
      </c>
      <c r="C3057">
        <v>150</v>
      </c>
      <c r="D3057" t="s">
        <v>7</v>
      </c>
      <c r="E3057" s="2" t="s">
        <v>12</v>
      </c>
      <c r="F3057">
        <f t="shared" si="47"/>
        <v>297.45</v>
      </c>
      <c r="G3057" t="s">
        <v>16</v>
      </c>
      <c r="H3057" t="s">
        <v>10</v>
      </c>
      <c r="J3057" t="str">
        <f>"02/04/2021 00:39"</f>
        <v>02/04/2021 00:39</v>
      </c>
    </row>
    <row r="3058" spans="1:10" x14ac:dyDescent="0.3">
      <c r="A3058" t="s">
        <v>6</v>
      </c>
      <c r="B3058" t="str">
        <f>"02/04/2021 00:00"</f>
        <v>02/04/2021 00:00</v>
      </c>
      <c r="C3058">
        <v>150</v>
      </c>
      <c r="D3058" t="s">
        <v>7</v>
      </c>
      <c r="E3058" s="2" t="s">
        <v>12</v>
      </c>
      <c r="F3058">
        <f t="shared" si="47"/>
        <v>297.45</v>
      </c>
      <c r="G3058" t="s">
        <v>16</v>
      </c>
      <c r="H3058" t="s">
        <v>10</v>
      </c>
      <c r="J3058" t="str">
        <f>"02/05/2021 00:39"</f>
        <v>02/05/2021 00:39</v>
      </c>
    </row>
    <row r="3059" spans="1:10" x14ac:dyDescent="0.3">
      <c r="A3059" t="s">
        <v>6</v>
      </c>
      <c r="B3059" t="str">
        <f>"02/05/2021 00:00"</f>
        <v>02/05/2021 00:00</v>
      </c>
      <c r="C3059">
        <v>150</v>
      </c>
      <c r="D3059" t="s">
        <v>7</v>
      </c>
      <c r="E3059" s="2" t="s">
        <v>12</v>
      </c>
      <c r="F3059">
        <f t="shared" si="47"/>
        <v>297.45</v>
      </c>
      <c r="G3059" t="s">
        <v>16</v>
      </c>
      <c r="H3059" t="s">
        <v>10</v>
      </c>
      <c r="J3059" t="str">
        <f>"02/06/2021 00:39"</f>
        <v>02/06/2021 00:39</v>
      </c>
    </row>
    <row r="3060" spans="1:10" x14ac:dyDescent="0.3">
      <c r="A3060" t="s">
        <v>6</v>
      </c>
      <c r="B3060" t="str">
        <f>"02/06/2021 00:00"</f>
        <v>02/06/2021 00:00</v>
      </c>
      <c r="C3060">
        <v>150</v>
      </c>
      <c r="D3060" t="s">
        <v>7</v>
      </c>
      <c r="E3060" s="2" t="s">
        <v>12</v>
      </c>
      <c r="F3060">
        <f t="shared" si="47"/>
        <v>297.45</v>
      </c>
      <c r="G3060" t="s">
        <v>16</v>
      </c>
      <c r="H3060" t="s">
        <v>10</v>
      </c>
      <c r="J3060" t="str">
        <f>"02/07/2021 00:39"</f>
        <v>02/07/2021 00:39</v>
      </c>
    </row>
    <row r="3061" spans="1:10" x14ac:dyDescent="0.3">
      <c r="A3061" t="s">
        <v>6</v>
      </c>
      <c r="B3061" t="str">
        <f>"02/07/2021 00:00"</f>
        <v>02/07/2021 00:00</v>
      </c>
      <c r="C3061">
        <v>150</v>
      </c>
      <c r="D3061" t="s">
        <v>7</v>
      </c>
      <c r="E3061" s="2" t="s">
        <v>12</v>
      </c>
      <c r="F3061">
        <f t="shared" si="47"/>
        <v>297.45</v>
      </c>
      <c r="G3061" t="s">
        <v>16</v>
      </c>
      <c r="H3061" t="s">
        <v>10</v>
      </c>
      <c r="J3061" t="str">
        <f>"02/08/2021 00:39"</f>
        <v>02/08/2021 00:39</v>
      </c>
    </row>
    <row r="3062" spans="1:10" x14ac:dyDescent="0.3">
      <c r="A3062" t="s">
        <v>6</v>
      </c>
      <c r="B3062" t="str">
        <f>"02/08/2021 00:00"</f>
        <v>02/08/2021 00:00</v>
      </c>
      <c r="C3062">
        <v>150</v>
      </c>
      <c r="D3062" t="s">
        <v>7</v>
      </c>
      <c r="E3062" s="2" t="s">
        <v>12</v>
      </c>
      <c r="F3062">
        <f t="shared" si="47"/>
        <v>297.45</v>
      </c>
      <c r="G3062" t="s">
        <v>16</v>
      </c>
      <c r="H3062" t="s">
        <v>10</v>
      </c>
      <c r="J3062" t="str">
        <f>"02/09/2021 00:39"</f>
        <v>02/09/2021 00:39</v>
      </c>
    </row>
    <row r="3063" spans="1:10" x14ac:dyDescent="0.3">
      <c r="A3063" t="s">
        <v>6</v>
      </c>
      <c r="B3063" t="str">
        <f>"02/09/2021 00:00"</f>
        <v>02/09/2021 00:00</v>
      </c>
      <c r="C3063">
        <v>150</v>
      </c>
      <c r="D3063" t="s">
        <v>7</v>
      </c>
      <c r="E3063" s="2" t="s">
        <v>12</v>
      </c>
      <c r="F3063">
        <f t="shared" si="47"/>
        <v>297.45</v>
      </c>
      <c r="G3063" t="s">
        <v>16</v>
      </c>
      <c r="H3063" t="s">
        <v>10</v>
      </c>
      <c r="J3063" t="str">
        <f>"02/10/2021 00:39"</f>
        <v>02/10/2021 00:39</v>
      </c>
    </row>
    <row r="3064" spans="1:10" x14ac:dyDescent="0.3">
      <c r="A3064" t="s">
        <v>6</v>
      </c>
      <c r="B3064" t="str">
        <f>"02/10/2021 00:00"</f>
        <v>02/10/2021 00:00</v>
      </c>
      <c r="C3064">
        <v>150</v>
      </c>
      <c r="D3064" t="s">
        <v>7</v>
      </c>
      <c r="E3064" s="2" t="s">
        <v>12</v>
      </c>
      <c r="F3064">
        <f t="shared" si="47"/>
        <v>297.45</v>
      </c>
      <c r="G3064" t="s">
        <v>16</v>
      </c>
      <c r="H3064" t="s">
        <v>10</v>
      </c>
      <c r="J3064" t="str">
        <f>"02/11/2021 00:39"</f>
        <v>02/11/2021 00:39</v>
      </c>
    </row>
    <row r="3065" spans="1:10" x14ac:dyDescent="0.3">
      <c r="A3065" t="s">
        <v>6</v>
      </c>
      <c r="B3065" t="str">
        <f>"02/11/2021 00:00"</f>
        <v>02/11/2021 00:00</v>
      </c>
      <c r="C3065">
        <v>150</v>
      </c>
      <c r="D3065" t="s">
        <v>7</v>
      </c>
      <c r="E3065" s="2" t="s">
        <v>12</v>
      </c>
      <c r="F3065">
        <f t="shared" si="47"/>
        <v>297.45</v>
      </c>
      <c r="G3065" t="s">
        <v>16</v>
      </c>
      <c r="H3065" t="s">
        <v>10</v>
      </c>
      <c r="J3065" t="str">
        <f>"02/12/2021 00:39"</f>
        <v>02/12/2021 00:39</v>
      </c>
    </row>
    <row r="3066" spans="1:10" x14ac:dyDescent="0.3">
      <c r="A3066" t="s">
        <v>6</v>
      </c>
      <c r="B3066" t="str">
        <f>"02/12/2021 00:00"</f>
        <v>02/12/2021 00:00</v>
      </c>
      <c r="C3066">
        <v>144</v>
      </c>
      <c r="D3066" t="s">
        <v>7</v>
      </c>
      <c r="E3066" s="2" t="s">
        <v>12</v>
      </c>
      <c r="F3066">
        <f t="shared" si="47"/>
        <v>285.55200000000002</v>
      </c>
      <c r="G3066" t="s">
        <v>16</v>
      </c>
      <c r="H3066" t="s">
        <v>10</v>
      </c>
      <c r="J3066" t="str">
        <f>"02/13/2021 00:39"</f>
        <v>02/13/2021 00:39</v>
      </c>
    </row>
    <row r="3067" spans="1:10" x14ac:dyDescent="0.3">
      <c r="A3067" t="s">
        <v>6</v>
      </c>
      <c r="B3067" t="str">
        <f>"02/13/2021 00:00"</f>
        <v>02/13/2021 00:00</v>
      </c>
      <c r="C3067">
        <v>139</v>
      </c>
      <c r="D3067" t="s">
        <v>7</v>
      </c>
      <c r="E3067" s="2" t="s">
        <v>12</v>
      </c>
      <c r="F3067">
        <f t="shared" si="47"/>
        <v>275.637</v>
      </c>
      <c r="G3067" t="s">
        <v>16</v>
      </c>
      <c r="H3067" t="s">
        <v>10</v>
      </c>
      <c r="J3067" t="str">
        <f>"02/14/2021 00:39"</f>
        <v>02/14/2021 00:39</v>
      </c>
    </row>
    <row r="3068" spans="1:10" x14ac:dyDescent="0.3">
      <c r="A3068" t="s">
        <v>6</v>
      </c>
      <c r="B3068" t="str">
        <f>"02/14/2021 00:00"</f>
        <v>02/14/2021 00:00</v>
      </c>
      <c r="C3068">
        <v>140</v>
      </c>
      <c r="D3068" t="s">
        <v>7</v>
      </c>
      <c r="E3068" s="2" t="s">
        <v>12</v>
      </c>
      <c r="F3068">
        <f t="shared" si="47"/>
        <v>277.62</v>
      </c>
      <c r="G3068" t="s">
        <v>16</v>
      </c>
      <c r="H3068" t="s">
        <v>10</v>
      </c>
      <c r="J3068" t="str">
        <f>"02/15/2021 00:39"</f>
        <v>02/15/2021 00:39</v>
      </c>
    </row>
    <row r="3069" spans="1:10" x14ac:dyDescent="0.3">
      <c r="A3069" t="s">
        <v>6</v>
      </c>
      <c r="B3069" t="str">
        <f>"02/15/2021 00:00"</f>
        <v>02/15/2021 00:00</v>
      </c>
      <c r="C3069">
        <v>139</v>
      </c>
      <c r="D3069" t="s">
        <v>7</v>
      </c>
      <c r="E3069" s="2" t="s">
        <v>12</v>
      </c>
      <c r="F3069">
        <f t="shared" si="47"/>
        <v>275.637</v>
      </c>
      <c r="G3069" t="s">
        <v>16</v>
      </c>
      <c r="H3069" t="s">
        <v>10</v>
      </c>
      <c r="J3069" t="str">
        <f>"02/16/2021 00:39"</f>
        <v>02/16/2021 00:39</v>
      </c>
    </row>
    <row r="3070" spans="1:10" x14ac:dyDescent="0.3">
      <c r="A3070" t="s">
        <v>6</v>
      </c>
      <c r="B3070" t="str">
        <f>"02/16/2021 00:00"</f>
        <v>02/16/2021 00:00</v>
      </c>
      <c r="C3070">
        <v>139</v>
      </c>
      <c r="D3070" t="s">
        <v>7</v>
      </c>
      <c r="E3070" s="2" t="s">
        <v>12</v>
      </c>
      <c r="F3070">
        <f t="shared" si="47"/>
        <v>275.637</v>
      </c>
      <c r="G3070" t="s">
        <v>16</v>
      </c>
      <c r="H3070" t="s">
        <v>10</v>
      </c>
      <c r="J3070" t="str">
        <f>"02/17/2021 00:39"</f>
        <v>02/17/2021 00:39</v>
      </c>
    </row>
    <row r="3071" spans="1:10" x14ac:dyDescent="0.3">
      <c r="A3071" t="s">
        <v>6</v>
      </c>
      <c r="B3071" t="str">
        <f>"02/17/2021 00:00"</f>
        <v>02/17/2021 00:00</v>
      </c>
      <c r="C3071">
        <v>139</v>
      </c>
      <c r="D3071" t="s">
        <v>7</v>
      </c>
      <c r="E3071" s="2" t="s">
        <v>12</v>
      </c>
      <c r="F3071">
        <f t="shared" si="47"/>
        <v>275.637</v>
      </c>
      <c r="G3071" t="s">
        <v>16</v>
      </c>
      <c r="H3071" t="s">
        <v>10</v>
      </c>
      <c r="J3071" t="str">
        <f>"02/18/2021 00:39"</f>
        <v>02/18/2021 00:39</v>
      </c>
    </row>
    <row r="3072" spans="1:10" x14ac:dyDescent="0.3">
      <c r="A3072" t="s">
        <v>6</v>
      </c>
      <c r="B3072" t="str">
        <f>"02/18/2021 00:00"</f>
        <v>02/18/2021 00:00</v>
      </c>
      <c r="C3072">
        <v>139</v>
      </c>
      <c r="D3072" t="s">
        <v>7</v>
      </c>
      <c r="E3072" s="2" t="s">
        <v>12</v>
      </c>
      <c r="F3072">
        <f t="shared" si="47"/>
        <v>275.637</v>
      </c>
      <c r="G3072" t="s">
        <v>16</v>
      </c>
      <c r="H3072" t="s">
        <v>10</v>
      </c>
      <c r="J3072" t="str">
        <f>"02/19/2021 00:39"</f>
        <v>02/19/2021 00:39</v>
      </c>
    </row>
    <row r="3073" spans="1:10" x14ac:dyDescent="0.3">
      <c r="A3073" t="s">
        <v>6</v>
      </c>
      <c r="B3073" t="str">
        <f>"02/19/2021 00:00"</f>
        <v>02/19/2021 00:00</v>
      </c>
      <c r="C3073">
        <v>139</v>
      </c>
      <c r="D3073" t="s">
        <v>7</v>
      </c>
      <c r="E3073" s="2" t="s">
        <v>12</v>
      </c>
      <c r="F3073">
        <f t="shared" si="47"/>
        <v>275.637</v>
      </c>
      <c r="G3073" t="s">
        <v>16</v>
      </c>
      <c r="H3073" t="s">
        <v>10</v>
      </c>
      <c r="J3073" t="str">
        <f>"02/20/2021 00:39"</f>
        <v>02/20/2021 00:39</v>
      </c>
    </row>
    <row r="3074" spans="1:10" x14ac:dyDescent="0.3">
      <c r="A3074" t="s">
        <v>6</v>
      </c>
      <c r="B3074" t="str">
        <f>"02/20/2021 00:00"</f>
        <v>02/20/2021 00:00</v>
      </c>
      <c r="C3074">
        <v>139</v>
      </c>
      <c r="D3074" t="s">
        <v>7</v>
      </c>
      <c r="E3074" s="2" t="s">
        <v>12</v>
      </c>
      <c r="F3074">
        <f t="shared" si="47"/>
        <v>275.637</v>
      </c>
      <c r="G3074" t="s">
        <v>16</v>
      </c>
      <c r="H3074" t="s">
        <v>10</v>
      </c>
      <c r="J3074" t="str">
        <f>"02/21/2021 00:39"</f>
        <v>02/21/2021 00:39</v>
      </c>
    </row>
    <row r="3075" spans="1:10" x14ac:dyDescent="0.3">
      <c r="A3075" t="s">
        <v>6</v>
      </c>
      <c r="B3075" t="str">
        <f>"02/21/2021 00:00"</f>
        <v>02/21/2021 00:00</v>
      </c>
      <c r="C3075">
        <v>139</v>
      </c>
      <c r="D3075" t="s">
        <v>7</v>
      </c>
      <c r="E3075" s="2" t="s">
        <v>12</v>
      </c>
      <c r="F3075">
        <f t="shared" si="47"/>
        <v>275.637</v>
      </c>
      <c r="G3075" t="s">
        <v>16</v>
      </c>
      <c r="H3075" t="s">
        <v>10</v>
      </c>
      <c r="J3075" t="str">
        <f>"02/22/2021 00:39"</f>
        <v>02/22/2021 00:39</v>
      </c>
    </row>
    <row r="3076" spans="1:10" x14ac:dyDescent="0.3">
      <c r="A3076" t="s">
        <v>6</v>
      </c>
      <c r="B3076" t="str">
        <f>"02/22/2021 00:00"</f>
        <v>02/22/2021 00:00</v>
      </c>
      <c r="C3076">
        <v>139</v>
      </c>
      <c r="D3076" t="s">
        <v>7</v>
      </c>
      <c r="E3076" s="2" t="s">
        <v>12</v>
      </c>
      <c r="F3076">
        <f t="shared" si="47"/>
        <v>275.637</v>
      </c>
      <c r="G3076" t="s">
        <v>16</v>
      </c>
      <c r="H3076" t="s">
        <v>10</v>
      </c>
      <c r="J3076" t="str">
        <f>"02/23/2021 00:39"</f>
        <v>02/23/2021 00:39</v>
      </c>
    </row>
    <row r="3077" spans="1:10" x14ac:dyDescent="0.3">
      <c r="A3077" t="s">
        <v>6</v>
      </c>
      <c r="B3077" t="str">
        <f>"02/23/2021 00:00"</f>
        <v>02/23/2021 00:00</v>
      </c>
      <c r="C3077">
        <v>139</v>
      </c>
      <c r="D3077" t="s">
        <v>7</v>
      </c>
      <c r="E3077" s="2" t="s">
        <v>12</v>
      </c>
      <c r="F3077">
        <f t="shared" si="47"/>
        <v>275.637</v>
      </c>
      <c r="G3077" t="s">
        <v>16</v>
      </c>
      <c r="H3077" t="s">
        <v>10</v>
      </c>
      <c r="J3077" t="str">
        <f>"02/24/2021 00:39"</f>
        <v>02/24/2021 00:39</v>
      </c>
    </row>
    <row r="3078" spans="1:10" x14ac:dyDescent="0.3">
      <c r="A3078" t="s">
        <v>6</v>
      </c>
      <c r="B3078" t="str">
        <f>"02/24/2021 00:00"</f>
        <v>02/24/2021 00:00</v>
      </c>
      <c r="C3078">
        <v>139</v>
      </c>
      <c r="D3078" t="s">
        <v>7</v>
      </c>
      <c r="E3078" s="2" t="s">
        <v>12</v>
      </c>
      <c r="F3078">
        <f t="shared" si="47"/>
        <v>275.637</v>
      </c>
      <c r="G3078" t="s">
        <v>16</v>
      </c>
      <c r="H3078" t="s">
        <v>10</v>
      </c>
      <c r="J3078" t="str">
        <f>"02/25/2021 00:39"</f>
        <v>02/25/2021 00:39</v>
      </c>
    </row>
    <row r="3079" spans="1:10" x14ac:dyDescent="0.3">
      <c r="A3079" t="s">
        <v>6</v>
      </c>
      <c r="B3079" t="str">
        <f>"02/25/2021 00:00"</f>
        <v>02/25/2021 00:00</v>
      </c>
      <c r="C3079">
        <v>139</v>
      </c>
      <c r="D3079" t="s">
        <v>7</v>
      </c>
      <c r="E3079" s="2" t="s">
        <v>12</v>
      </c>
      <c r="F3079">
        <f t="shared" si="47"/>
        <v>275.637</v>
      </c>
      <c r="G3079" t="s">
        <v>16</v>
      </c>
      <c r="H3079" t="s">
        <v>10</v>
      </c>
      <c r="J3079" t="str">
        <f>"02/26/2021 00:39"</f>
        <v>02/26/2021 00:39</v>
      </c>
    </row>
    <row r="3080" spans="1:10" x14ac:dyDescent="0.3">
      <c r="A3080" t="s">
        <v>6</v>
      </c>
      <c r="B3080" t="str">
        <f>"02/26/2021 00:00"</f>
        <v>02/26/2021 00:00</v>
      </c>
      <c r="C3080">
        <v>139</v>
      </c>
      <c r="D3080" t="s">
        <v>7</v>
      </c>
      <c r="E3080" s="2" t="s">
        <v>12</v>
      </c>
      <c r="F3080">
        <f t="shared" si="47"/>
        <v>275.637</v>
      </c>
      <c r="G3080" t="s">
        <v>16</v>
      </c>
      <c r="H3080" t="s">
        <v>10</v>
      </c>
      <c r="J3080" t="str">
        <f>"02/27/2021 00:39"</f>
        <v>02/27/2021 00:39</v>
      </c>
    </row>
    <row r="3081" spans="1:10" x14ac:dyDescent="0.3">
      <c r="A3081" t="s">
        <v>6</v>
      </c>
      <c r="B3081" t="str">
        <f>"02/27/2021 00:00"</f>
        <v>02/27/2021 00:00</v>
      </c>
      <c r="C3081">
        <v>140</v>
      </c>
      <c r="D3081" t="s">
        <v>7</v>
      </c>
      <c r="E3081" s="2" t="s">
        <v>12</v>
      </c>
      <c r="F3081">
        <f t="shared" si="47"/>
        <v>277.62</v>
      </c>
      <c r="G3081" t="s">
        <v>16</v>
      </c>
      <c r="H3081" t="s">
        <v>10</v>
      </c>
      <c r="J3081" t="str">
        <f>"02/28/2021 00:39"</f>
        <v>02/28/2021 00:39</v>
      </c>
    </row>
    <row r="3082" spans="1:10" x14ac:dyDescent="0.3">
      <c r="A3082" t="s">
        <v>6</v>
      </c>
      <c r="B3082" t="str">
        <f>"02/28/2021 00:00"</f>
        <v>02/28/2021 00:00</v>
      </c>
      <c r="C3082">
        <v>140</v>
      </c>
      <c r="D3082" t="s">
        <v>7</v>
      </c>
      <c r="E3082" s="2" t="s">
        <v>12</v>
      </c>
      <c r="F3082">
        <f t="shared" si="47"/>
        <v>277.62</v>
      </c>
      <c r="G3082" t="s">
        <v>16</v>
      </c>
      <c r="H3082" t="s">
        <v>10</v>
      </c>
      <c r="J3082" t="str">
        <f>"03/01/2021 00:39"</f>
        <v>03/01/2021 00:39</v>
      </c>
    </row>
    <row r="3083" spans="1:10" x14ac:dyDescent="0.3">
      <c r="A3083" t="s">
        <v>6</v>
      </c>
      <c r="B3083" t="str">
        <f>"03/01/2021 00:00"</f>
        <v>03/01/2021 00:00</v>
      </c>
      <c r="C3083">
        <v>139</v>
      </c>
      <c r="D3083" t="s">
        <v>7</v>
      </c>
      <c r="E3083" s="2" t="s">
        <v>12</v>
      </c>
      <c r="F3083">
        <f t="shared" ref="F3083:F3146" si="48">C3083*1.983</f>
        <v>275.637</v>
      </c>
      <c r="G3083" t="s">
        <v>16</v>
      </c>
      <c r="H3083" t="s">
        <v>10</v>
      </c>
      <c r="J3083" t="str">
        <f>"03/02/2021 00:39"</f>
        <v>03/02/2021 00:39</v>
      </c>
    </row>
    <row r="3084" spans="1:10" x14ac:dyDescent="0.3">
      <c r="A3084" t="s">
        <v>6</v>
      </c>
      <c r="B3084" t="str">
        <f>"03/02/2021 00:00"</f>
        <v>03/02/2021 00:00</v>
      </c>
      <c r="C3084">
        <v>139</v>
      </c>
      <c r="D3084" t="s">
        <v>7</v>
      </c>
      <c r="E3084" s="2" t="s">
        <v>12</v>
      </c>
      <c r="F3084">
        <f t="shared" si="48"/>
        <v>275.637</v>
      </c>
      <c r="G3084" t="s">
        <v>16</v>
      </c>
      <c r="H3084" t="s">
        <v>10</v>
      </c>
      <c r="J3084" t="str">
        <f>"03/03/2021 00:39"</f>
        <v>03/03/2021 00:39</v>
      </c>
    </row>
    <row r="3085" spans="1:10" x14ac:dyDescent="0.3">
      <c r="A3085" t="s">
        <v>6</v>
      </c>
      <c r="B3085" t="str">
        <f>"03/03/2021 00:00"</f>
        <v>03/03/2021 00:00</v>
      </c>
      <c r="C3085">
        <v>139</v>
      </c>
      <c r="D3085" t="s">
        <v>7</v>
      </c>
      <c r="E3085" s="2" t="s">
        <v>12</v>
      </c>
      <c r="F3085">
        <f t="shared" si="48"/>
        <v>275.637</v>
      </c>
      <c r="G3085" t="s">
        <v>16</v>
      </c>
      <c r="H3085" t="s">
        <v>10</v>
      </c>
      <c r="J3085" t="str">
        <f>"03/04/2021 00:39"</f>
        <v>03/04/2021 00:39</v>
      </c>
    </row>
    <row r="3086" spans="1:10" x14ac:dyDescent="0.3">
      <c r="A3086" t="s">
        <v>6</v>
      </c>
      <c r="B3086" t="str">
        <f>"03/04/2021 00:00"</f>
        <v>03/04/2021 00:00</v>
      </c>
      <c r="C3086">
        <v>139</v>
      </c>
      <c r="D3086" t="s">
        <v>7</v>
      </c>
      <c r="E3086" s="2" t="s">
        <v>12</v>
      </c>
      <c r="F3086">
        <f t="shared" si="48"/>
        <v>275.637</v>
      </c>
      <c r="G3086" t="s">
        <v>16</v>
      </c>
      <c r="H3086" t="s">
        <v>10</v>
      </c>
      <c r="J3086" t="str">
        <f>"03/05/2021 00:39"</f>
        <v>03/05/2021 00:39</v>
      </c>
    </row>
    <row r="3087" spans="1:10" x14ac:dyDescent="0.3">
      <c r="A3087" t="s">
        <v>6</v>
      </c>
      <c r="B3087" t="str">
        <f>"03/05/2021 00:00"</f>
        <v>03/05/2021 00:00</v>
      </c>
      <c r="C3087">
        <v>139</v>
      </c>
      <c r="D3087" t="s">
        <v>7</v>
      </c>
      <c r="E3087" s="2" t="s">
        <v>12</v>
      </c>
      <c r="F3087">
        <f t="shared" si="48"/>
        <v>275.637</v>
      </c>
      <c r="G3087" t="s">
        <v>16</v>
      </c>
      <c r="H3087" t="s">
        <v>10</v>
      </c>
      <c r="J3087" t="str">
        <f>"03/06/2021 00:39"</f>
        <v>03/06/2021 00:39</v>
      </c>
    </row>
    <row r="3088" spans="1:10" x14ac:dyDescent="0.3">
      <c r="A3088" t="s">
        <v>6</v>
      </c>
      <c r="B3088" t="str">
        <f>"03/06/2021 00:00"</f>
        <v>03/06/2021 00:00</v>
      </c>
      <c r="C3088">
        <v>139</v>
      </c>
      <c r="D3088" t="s">
        <v>7</v>
      </c>
      <c r="E3088" s="2" t="s">
        <v>12</v>
      </c>
      <c r="F3088">
        <f t="shared" si="48"/>
        <v>275.637</v>
      </c>
      <c r="G3088" t="s">
        <v>16</v>
      </c>
      <c r="H3088" t="s">
        <v>10</v>
      </c>
      <c r="J3088" t="str">
        <f>"03/07/2021 00:39"</f>
        <v>03/07/2021 00:39</v>
      </c>
    </row>
    <row r="3089" spans="1:10" x14ac:dyDescent="0.3">
      <c r="A3089" t="s">
        <v>6</v>
      </c>
      <c r="B3089" t="str">
        <f>"03/07/2021 00:00"</f>
        <v>03/07/2021 00:00</v>
      </c>
      <c r="C3089">
        <v>139</v>
      </c>
      <c r="D3089" t="s">
        <v>7</v>
      </c>
      <c r="E3089" s="2" t="s">
        <v>12</v>
      </c>
      <c r="F3089">
        <f t="shared" si="48"/>
        <v>275.637</v>
      </c>
      <c r="G3089" t="s">
        <v>16</v>
      </c>
      <c r="H3089" t="s">
        <v>10</v>
      </c>
      <c r="J3089" t="str">
        <f>"03/08/2021 00:39"</f>
        <v>03/08/2021 00:39</v>
      </c>
    </row>
    <row r="3090" spans="1:10" x14ac:dyDescent="0.3">
      <c r="A3090" t="s">
        <v>6</v>
      </c>
      <c r="B3090" t="str">
        <f>"03/08/2021 00:00"</f>
        <v>03/08/2021 00:00</v>
      </c>
      <c r="C3090">
        <v>139</v>
      </c>
      <c r="D3090" t="s">
        <v>7</v>
      </c>
      <c r="E3090" s="2" t="s">
        <v>12</v>
      </c>
      <c r="F3090">
        <f t="shared" si="48"/>
        <v>275.637</v>
      </c>
      <c r="G3090" t="s">
        <v>16</v>
      </c>
      <c r="H3090" t="s">
        <v>10</v>
      </c>
      <c r="J3090" t="str">
        <f>"03/09/2021 00:39"</f>
        <v>03/09/2021 00:39</v>
      </c>
    </row>
    <row r="3091" spans="1:10" x14ac:dyDescent="0.3">
      <c r="A3091" t="s">
        <v>6</v>
      </c>
      <c r="B3091" t="str">
        <f>"03/09/2021 00:00"</f>
        <v>03/09/2021 00:00</v>
      </c>
      <c r="C3091">
        <v>139</v>
      </c>
      <c r="D3091" t="s">
        <v>7</v>
      </c>
      <c r="E3091" s="2" t="s">
        <v>12</v>
      </c>
      <c r="F3091">
        <f t="shared" si="48"/>
        <v>275.637</v>
      </c>
      <c r="G3091" t="s">
        <v>16</v>
      </c>
      <c r="H3091" t="s">
        <v>10</v>
      </c>
      <c r="J3091" t="str">
        <f>"03/10/2021 00:39"</f>
        <v>03/10/2021 00:39</v>
      </c>
    </row>
    <row r="3092" spans="1:10" x14ac:dyDescent="0.3">
      <c r="A3092" t="s">
        <v>6</v>
      </c>
      <c r="B3092" t="str">
        <f>"03/10/2021 00:00"</f>
        <v>03/10/2021 00:00</v>
      </c>
      <c r="C3092">
        <v>139</v>
      </c>
      <c r="D3092" t="s">
        <v>7</v>
      </c>
      <c r="E3092" s="2" t="s">
        <v>12</v>
      </c>
      <c r="F3092">
        <f t="shared" si="48"/>
        <v>275.637</v>
      </c>
      <c r="G3092" t="s">
        <v>16</v>
      </c>
      <c r="H3092" t="s">
        <v>10</v>
      </c>
      <c r="J3092" t="str">
        <f>"03/11/2021 00:39"</f>
        <v>03/11/2021 00:39</v>
      </c>
    </row>
    <row r="3093" spans="1:10" x14ac:dyDescent="0.3">
      <c r="A3093" t="s">
        <v>6</v>
      </c>
      <c r="B3093" t="str">
        <f>"03/11/2021 00:00"</f>
        <v>03/11/2021 00:00</v>
      </c>
      <c r="C3093">
        <v>139</v>
      </c>
      <c r="D3093" t="s">
        <v>7</v>
      </c>
      <c r="E3093" s="2" t="s">
        <v>12</v>
      </c>
      <c r="F3093">
        <f t="shared" si="48"/>
        <v>275.637</v>
      </c>
      <c r="G3093" t="s">
        <v>16</v>
      </c>
      <c r="H3093" t="s">
        <v>10</v>
      </c>
      <c r="J3093" t="str">
        <f>"03/12/2021 00:39"</f>
        <v>03/12/2021 00:39</v>
      </c>
    </row>
    <row r="3094" spans="1:10" x14ac:dyDescent="0.3">
      <c r="A3094" t="s">
        <v>6</v>
      </c>
      <c r="B3094" t="str">
        <f>"03/12/2021 00:00"</f>
        <v>03/12/2021 00:00</v>
      </c>
      <c r="C3094">
        <v>139</v>
      </c>
      <c r="D3094" t="s">
        <v>7</v>
      </c>
      <c r="E3094" s="2" t="s">
        <v>12</v>
      </c>
      <c r="F3094">
        <f t="shared" si="48"/>
        <v>275.637</v>
      </c>
      <c r="G3094" t="s">
        <v>16</v>
      </c>
      <c r="H3094" t="s">
        <v>10</v>
      </c>
      <c r="J3094" t="str">
        <f>"03/13/2021 00:39"</f>
        <v>03/13/2021 00:39</v>
      </c>
    </row>
    <row r="3095" spans="1:10" x14ac:dyDescent="0.3">
      <c r="A3095" t="s">
        <v>6</v>
      </c>
      <c r="B3095" t="str">
        <f>"03/13/2021 00:00"</f>
        <v>03/13/2021 00:00</v>
      </c>
      <c r="C3095">
        <v>139</v>
      </c>
      <c r="D3095" t="s">
        <v>7</v>
      </c>
      <c r="E3095" s="2" t="s">
        <v>12</v>
      </c>
      <c r="F3095">
        <f t="shared" si="48"/>
        <v>275.637</v>
      </c>
      <c r="G3095" t="s">
        <v>16</v>
      </c>
      <c r="H3095" t="s">
        <v>10</v>
      </c>
      <c r="J3095" t="str">
        <f>"03/14/2021 00:39"</f>
        <v>03/14/2021 00:39</v>
      </c>
    </row>
    <row r="3096" spans="1:10" x14ac:dyDescent="0.3">
      <c r="A3096" t="s">
        <v>6</v>
      </c>
      <c r="B3096" t="str">
        <f>"03/14/2021 00:00"</f>
        <v>03/14/2021 00:00</v>
      </c>
      <c r="C3096">
        <v>139</v>
      </c>
      <c r="D3096" t="s">
        <v>7</v>
      </c>
      <c r="E3096" s="2" t="s">
        <v>12</v>
      </c>
      <c r="F3096">
        <f t="shared" si="48"/>
        <v>275.637</v>
      </c>
      <c r="G3096" t="s">
        <v>16</v>
      </c>
      <c r="H3096" t="s">
        <v>10</v>
      </c>
      <c r="J3096" t="str">
        <f>"03/15/2021 00:39"</f>
        <v>03/15/2021 00:39</v>
      </c>
    </row>
    <row r="3097" spans="1:10" x14ac:dyDescent="0.3">
      <c r="A3097" t="s">
        <v>6</v>
      </c>
      <c r="B3097" t="str">
        <f>"03/15/2021 00:00"</f>
        <v>03/15/2021 00:00</v>
      </c>
      <c r="C3097">
        <v>139</v>
      </c>
      <c r="D3097" t="s">
        <v>7</v>
      </c>
      <c r="E3097" s="2" t="s">
        <v>12</v>
      </c>
      <c r="F3097">
        <f t="shared" si="48"/>
        <v>275.637</v>
      </c>
      <c r="G3097" t="s">
        <v>16</v>
      </c>
      <c r="H3097" t="s">
        <v>10</v>
      </c>
      <c r="J3097" t="str">
        <f>"03/16/2021 00:39"</f>
        <v>03/16/2021 00:39</v>
      </c>
    </row>
    <row r="3098" spans="1:10" x14ac:dyDescent="0.3">
      <c r="A3098" t="s">
        <v>6</v>
      </c>
      <c r="B3098" t="str">
        <f>"03/16/2021 00:00"</f>
        <v>03/16/2021 00:00</v>
      </c>
      <c r="C3098">
        <v>139</v>
      </c>
      <c r="D3098" t="s">
        <v>7</v>
      </c>
      <c r="E3098" s="2" t="s">
        <v>12</v>
      </c>
      <c r="F3098">
        <f t="shared" si="48"/>
        <v>275.637</v>
      </c>
      <c r="G3098" t="s">
        <v>16</v>
      </c>
      <c r="H3098" t="s">
        <v>10</v>
      </c>
      <c r="J3098" t="str">
        <f>"03/17/2021 00:39"</f>
        <v>03/17/2021 00:39</v>
      </c>
    </row>
    <row r="3099" spans="1:10" x14ac:dyDescent="0.3">
      <c r="A3099" t="s">
        <v>6</v>
      </c>
      <c r="B3099" t="str">
        <f>"03/17/2021 00:00"</f>
        <v>03/17/2021 00:00</v>
      </c>
      <c r="C3099">
        <v>125</v>
      </c>
      <c r="D3099" t="s">
        <v>7</v>
      </c>
      <c r="E3099" s="2" t="s">
        <v>12</v>
      </c>
      <c r="F3099">
        <f t="shared" si="48"/>
        <v>247.875</v>
      </c>
      <c r="G3099" t="s">
        <v>16</v>
      </c>
      <c r="H3099" t="s">
        <v>10</v>
      </c>
      <c r="J3099" t="str">
        <f>"03/18/2021 00:39"</f>
        <v>03/18/2021 00:39</v>
      </c>
    </row>
    <row r="3100" spans="1:10" x14ac:dyDescent="0.3">
      <c r="A3100" t="s">
        <v>6</v>
      </c>
      <c r="B3100" t="str">
        <f>"03/18/2021 00:00"</f>
        <v>03/18/2021 00:00</v>
      </c>
      <c r="C3100">
        <v>110</v>
      </c>
      <c r="D3100" t="s">
        <v>7</v>
      </c>
      <c r="E3100" s="2" t="s">
        <v>12</v>
      </c>
      <c r="F3100">
        <f t="shared" si="48"/>
        <v>218.13000000000002</v>
      </c>
      <c r="G3100" t="s">
        <v>16</v>
      </c>
      <c r="H3100" t="s">
        <v>10</v>
      </c>
      <c r="J3100" t="str">
        <f>"03/19/2021 00:39"</f>
        <v>03/19/2021 00:39</v>
      </c>
    </row>
    <row r="3101" spans="1:10" x14ac:dyDescent="0.3">
      <c r="A3101" t="s">
        <v>6</v>
      </c>
      <c r="B3101" t="str">
        <f>"03/19/2021 00:00"</f>
        <v>03/19/2021 00:00</v>
      </c>
      <c r="C3101">
        <v>110</v>
      </c>
      <c r="D3101" t="s">
        <v>7</v>
      </c>
      <c r="E3101" s="2" t="s">
        <v>12</v>
      </c>
      <c r="F3101">
        <f t="shared" si="48"/>
        <v>218.13000000000002</v>
      </c>
      <c r="G3101" t="s">
        <v>16</v>
      </c>
      <c r="H3101" t="s">
        <v>10</v>
      </c>
      <c r="J3101" t="str">
        <f>"03/20/2021 00:39"</f>
        <v>03/20/2021 00:39</v>
      </c>
    </row>
    <row r="3102" spans="1:10" x14ac:dyDescent="0.3">
      <c r="A3102" t="s">
        <v>6</v>
      </c>
      <c r="B3102" t="str">
        <f>"03/20/2021 00:00"</f>
        <v>03/20/2021 00:00</v>
      </c>
      <c r="C3102">
        <v>110</v>
      </c>
      <c r="D3102" t="s">
        <v>7</v>
      </c>
      <c r="E3102" s="2" t="s">
        <v>12</v>
      </c>
      <c r="F3102">
        <f t="shared" si="48"/>
        <v>218.13000000000002</v>
      </c>
      <c r="G3102" t="s">
        <v>16</v>
      </c>
      <c r="H3102" t="s">
        <v>10</v>
      </c>
      <c r="J3102" t="str">
        <f>"03/21/2021 00:39"</f>
        <v>03/21/2021 00:39</v>
      </c>
    </row>
    <row r="3103" spans="1:10" x14ac:dyDescent="0.3">
      <c r="A3103" t="s">
        <v>6</v>
      </c>
      <c r="B3103" t="str">
        <f>"03/21/2021 00:00"</f>
        <v>03/21/2021 00:00</v>
      </c>
      <c r="C3103">
        <v>110</v>
      </c>
      <c r="D3103" t="s">
        <v>7</v>
      </c>
      <c r="E3103" s="2" t="s">
        <v>12</v>
      </c>
      <c r="F3103">
        <f t="shared" si="48"/>
        <v>218.13000000000002</v>
      </c>
      <c r="G3103" t="s">
        <v>16</v>
      </c>
      <c r="H3103" t="s">
        <v>10</v>
      </c>
      <c r="J3103" t="str">
        <f>"03/22/2021 00:39"</f>
        <v>03/22/2021 00:39</v>
      </c>
    </row>
    <row r="3104" spans="1:10" x14ac:dyDescent="0.3">
      <c r="A3104" t="s">
        <v>6</v>
      </c>
      <c r="B3104" t="str">
        <f>"03/22/2021 00:00"</f>
        <v>03/22/2021 00:00</v>
      </c>
      <c r="C3104">
        <v>87</v>
      </c>
      <c r="D3104" t="s">
        <v>7</v>
      </c>
      <c r="E3104" s="2" t="s">
        <v>12</v>
      </c>
      <c r="F3104">
        <f t="shared" si="48"/>
        <v>172.52100000000002</v>
      </c>
      <c r="G3104" t="s">
        <v>16</v>
      </c>
      <c r="H3104" t="s">
        <v>10</v>
      </c>
      <c r="J3104" t="str">
        <f>"03/23/2021 00:39"</f>
        <v>03/23/2021 00:39</v>
      </c>
    </row>
    <row r="3105" spans="1:10" x14ac:dyDescent="0.3">
      <c r="A3105" t="s">
        <v>6</v>
      </c>
      <c r="B3105" t="str">
        <f>"03/23/2021 00:00"</f>
        <v>03/23/2021 00:00</v>
      </c>
      <c r="C3105">
        <v>62.7</v>
      </c>
      <c r="D3105" t="s">
        <v>7</v>
      </c>
      <c r="E3105" s="2" t="s">
        <v>12</v>
      </c>
      <c r="F3105">
        <f t="shared" si="48"/>
        <v>124.33410000000001</v>
      </c>
      <c r="G3105" t="s">
        <v>16</v>
      </c>
      <c r="H3105" t="s">
        <v>10</v>
      </c>
      <c r="J3105" t="str">
        <f>"03/24/2021 00:39"</f>
        <v>03/24/2021 00:39</v>
      </c>
    </row>
    <row r="3106" spans="1:10" x14ac:dyDescent="0.3">
      <c r="A3106" t="s">
        <v>6</v>
      </c>
      <c r="B3106" t="str">
        <f>"03/24/2021 00:00"</f>
        <v>03/24/2021 00:00</v>
      </c>
      <c r="C3106">
        <v>63.2</v>
      </c>
      <c r="D3106" t="s">
        <v>7</v>
      </c>
      <c r="E3106" s="2" t="s">
        <v>12</v>
      </c>
      <c r="F3106">
        <f t="shared" si="48"/>
        <v>125.32560000000001</v>
      </c>
      <c r="G3106" t="s">
        <v>16</v>
      </c>
      <c r="H3106" t="s">
        <v>10</v>
      </c>
      <c r="J3106" t="str">
        <f>"03/25/2021 00:39"</f>
        <v>03/25/2021 00:39</v>
      </c>
    </row>
    <row r="3107" spans="1:10" x14ac:dyDescent="0.3">
      <c r="A3107" t="s">
        <v>6</v>
      </c>
      <c r="B3107" t="str">
        <f>"03/25/2021 00:00"</f>
        <v>03/25/2021 00:00</v>
      </c>
      <c r="C3107">
        <v>63.2</v>
      </c>
      <c r="D3107" t="s">
        <v>7</v>
      </c>
      <c r="E3107" s="2" t="s">
        <v>12</v>
      </c>
      <c r="F3107">
        <f t="shared" si="48"/>
        <v>125.32560000000001</v>
      </c>
      <c r="G3107" t="s">
        <v>16</v>
      </c>
      <c r="H3107" t="s">
        <v>10</v>
      </c>
      <c r="J3107" t="str">
        <f>"03/26/2021 00:39"</f>
        <v>03/26/2021 00:39</v>
      </c>
    </row>
    <row r="3108" spans="1:10" x14ac:dyDescent="0.3">
      <c r="A3108" t="s">
        <v>6</v>
      </c>
      <c r="B3108" t="str">
        <f>"03/26/2021 00:00"</f>
        <v>03/26/2021 00:00</v>
      </c>
      <c r="C3108">
        <v>63.2</v>
      </c>
      <c r="D3108" t="s">
        <v>7</v>
      </c>
      <c r="E3108" s="2" t="s">
        <v>12</v>
      </c>
      <c r="F3108">
        <f t="shared" si="48"/>
        <v>125.32560000000001</v>
      </c>
      <c r="G3108" t="s">
        <v>16</v>
      </c>
      <c r="H3108" t="s">
        <v>10</v>
      </c>
      <c r="J3108" t="str">
        <f>"03/27/2021 00:39"</f>
        <v>03/27/2021 00:39</v>
      </c>
    </row>
    <row r="3109" spans="1:10" x14ac:dyDescent="0.3">
      <c r="A3109" t="s">
        <v>6</v>
      </c>
      <c r="B3109" t="str">
        <f>"03/27/2021 00:00"</f>
        <v>03/27/2021 00:00</v>
      </c>
      <c r="C3109">
        <v>63.3</v>
      </c>
      <c r="D3109" t="s">
        <v>7</v>
      </c>
      <c r="E3109" s="2" t="s">
        <v>12</v>
      </c>
      <c r="F3109">
        <f t="shared" si="48"/>
        <v>125.5239</v>
      </c>
      <c r="G3109" t="s">
        <v>16</v>
      </c>
      <c r="H3109" t="s">
        <v>10</v>
      </c>
      <c r="J3109" t="str">
        <f>"03/28/2021 00:39"</f>
        <v>03/28/2021 00:39</v>
      </c>
    </row>
    <row r="3110" spans="1:10" x14ac:dyDescent="0.3">
      <c r="A3110" t="s">
        <v>6</v>
      </c>
      <c r="B3110" t="str">
        <f>"03/28/2021 00:00"</f>
        <v>03/28/2021 00:00</v>
      </c>
      <c r="C3110">
        <v>63.4</v>
      </c>
      <c r="D3110" t="s">
        <v>7</v>
      </c>
      <c r="E3110" s="2" t="s">
        <v>12</v>
      </c>
      <c r="F3110">
        <f t="shared" si="48"/>
        <v>125.7222</v>
      </c>
      <c r="G3110" t="s">
        <v>16</v>
      </c>
      <c r="H3110" t="s">
        <v>10</v>
      </c>
      <c r="J3110" t="str">
        <f>"03/29/2021 00:39"</f>
        <v>03/29/2021 00:39</v>
      </c>
    </row>
    <row r="3111" spans="1:10" x14ac:dyDescent="0.3">
      <c r="A3111" t="s">
        <v>6</v>
      </c>
      <c r="B3111" t="str">
        <f>"03/29/2021 00:00"</f>
        <v>03/29/2021 00:00</v>
      </c>
      <c r="C3111">
        <v>63.3</v>
      </c>
      <c r="D3111" t="s">
        <v>7</v>
      </c>
      <c r="E3111" s="2" t="s">
        <v>12</v>
      </c>
      <c r="F3111">
        <f t="shared" si="48"/>
        <v>125.5239</v>
      </c>
      <c r="G3111" t="s">
        <v>16</v>
      </c>
      <c r="H3111" t="s">
        <v>10</v>
      </c>
      <c r="J3111" t="str">
        <f>"03/30/2021 00:39"</f>
        <v>03/30/2021 00:39</v>
      </c>
    </row>
    <row r="3112" spans="1:10" x14ac:dyDescent="0.3">
      <c r="A3112" t="s">
        <v>6</v>
      </c>
      <c r="B3112" t="str">
        <f>"03/30/2021 00:00"</f>
        <v>03/30/2021 00:00</v>
      </c>
      <c r="C3112">
        <v>63.5</v>
      </c>
      <c r="D3112" t="s">
        <v>7</v>
      </c>
      <c r="E3112" s="2" t="s">
        <v>12</v>
      </c>
      <c r="F3112">
        <f t="shared" si="48"/>
        <v>125.9205</v>
      </c>
      <c r="G3112" t="s">
        <v>16</v>
      </c>
      <c r="H3112" t="s">
        <v>10</v>
      </c>
      <c r="J3112" t="str">
        <f>"03/31/2021 00:39"</f>
        <v>03/31/2021 00:39</v>
      </c>
    </row>
    <row r="3113" spans="1:10" x14ac:dyDescent="0.3">
      <c r="A3113" t="s">
        <v>6</v>
      </c>
      <c r="B3113" t="str">
        <f>"03/31/2021 00:00"</f>
        <v>03/31/2021 00:00</v>
      </c>
      <c r="C3113">
        <v>63.9</v>
      </c>
      <c r="D3113" t="s">
        <v>7</v>
      </c>
      <c r="E3113" s="2" t="s">
        <v>12</v>
      </c>
      <c r="F3113">
        <f t="shared" si="48"/>
        <v>126.7137</v>
      </c>
      <c r="G3113" t="s">
        <v>16</v>
      </c>
      <c r="H3113" t="s">
        <v>10</v>
      </c>
      <c r="J3113" t="str">
        <f>"04/01/2021 00:39"</f>
        <v>04/01/2021 00:39</v>
      </c>
    </row>
    <row r="3114" spans="1:10" x14ac:dyDescent="0.3">
      <c r="A3114" t="s">
        <v>6</v>
      </c>
      <c r="B3114" t="str">
        <f>"04/01/2021 00:00"</f>
        <v>04/01/2021 00:00</v>
      </c>
      <c r="C3114">
        <v>63.7</v>
      </c>
      <c r="D3114" t="s">
        <v>7</v>
      </c>
      <c r="E3114" s="2" t="s">
        <v>12</v>
      </c>
      <c r="F3114">
        <f t="shared" si="48"/>
        <v>126.31710000000001</v>
      </c>
      <c r="G3114" t="s">
        <v>16</v>
      </c>
      <c r="H3114" t="s">
        <v>10</v>
      </c>
      <c r="J3114" t="str">
        <f>"04/02/2021 00:39"</f>
        <v>04/02/2021 00:39</v>
      </c>
    </row>
    <row r="3115" spans="1:10" x14ac:dyDescent="0.3">
      <c r="A3115" t="s">
        <v>6</v>
      </c>
      <c r="B3115" t="str">
        <f>"04/02/2021 00:00"</f>
        <v>04/02/2021 00:00</v>
      </c>
      <c r="C3115">
        <v>63.2</v>
      </c>
      <c r="D3115" t="s">
        <v>7</v>
      </c>
      <c r="E3115" s="2" t="s">
        <v>12</v>
      </c>
      <c r="F3115">
        <f t="shared" si="48"/>
        <v>125.32560000000001</v>
      </c>
      <c r="G3115" t="s">
        <v>16</v>
      </c>
      <c r="H3115" t="s">
        <v>10</v>
      </c>
      <c r="J3115" t="str">
        <f>"04/03/2021 00:39"</f>
        <v>04/03/2021 00:39</v>
      </c>
    </row>
    <row r="3116" spans="1:10" x14ac:dyDescent="0.3">
      <c r="A3116" t="s">
        <v>6</v>
      </c>
      <c r="B3116" t="str">
        <f>"04/03/2021 00:00"</f>
        <v>04/03/2021 00:00</v>
      </c>
      <c r="C3116">
        <v>63.2</v>
      </c>
      <c r="D3116" t="s">
        <v>7</v>
      </c>
      <c r="E3116" s="2" t="s">
        <v>12</v>
      </c>
      <c r="F3116">
        <f t="shared" si="48"/>
        <v>125.32560000000001</v>
      </c>
      <c r="G3116" t="s">
        <v>16</v>
      </c>
      <c r="H3116" t="s">
        <v>10</v>
      </c>
      <c r="J3116" t="str">
        <f>"04/04/2021 00:39"</f>
        <v>04/04/2021 00:39</v>
      </c>
    </row>
    <row r="3117" spans="1:10" x14ac:dyDescent="0.3">
      <c r="A3117" t="s">
        <v>6</v>
      </c>
      <c r="B3117" t="str">
        <f>"04/04/2021 00:00"</f>
        <v>04/04/2021 00:00</v>
      </c>
      <c r="C3117">
        <v>63.2</v>
      </c>
      <c r="D3117" t="s">
        <v>7</v>
      </c>
      <c r="E3117" s="2" t="s">
        <v>12</v>
      </c>
      <c r="F3117">
        <f t="shared" si="48"/>
        <v>125.32560000000001</v>
      </c>
      <c r="G3117" t="s">
        <v>16</v>
      </c>
      <c r="H3117" t="s">
        <v>10</v>
      </c>
      <c r="J3117" t="str">
        <f>"04/05/2021 00:39"</f>
        <v>04/05/2021 00:39</v>
      </c>
    </row>
    <row r="3118" spans="1:10" x14ac:dyDescent="0.3">
      <c r="A3118" t="s">
        <v>6</v>
      </c>
      <c r="B3118" t="str">
        <f>"04/05/2021 00:00"</f>
        <v>04/05/2021 00:00</v>
      </c>
      <c r="C3118">
        <v>63.3</v>
      </c>
      <c r="D3118" t="s">
        <v>7</v>
      </c>
      <c r="E3118" s="2" t="s">
        <v>12</v>
      </c>
      <c r="F3118">
        <f t="shared" si="48"/>
        <v>125.5239</v>
      </c>
      <c r="G3118" t="s">
        <v>16</v>
      </c>
      <c r="H3118" t="s">
        <v>10</v>
      </c>
      <c r="J3118" t="str">
        <f>"04/06/2021 00:39"</f>
        <v>04/06/2021 00:39</v>
      </c>
    </row>
    <row r="3119" spans="1:10" x14ac:dyDescent="0.3">
      <c r="A3119" t="s">
        <v>6</v>
      </c>
      <c r="B3119" t="str">
        <f>"04/06/2021 00:00"</f>
        <v>04/06/2021 00:00</v>
      </c>
      <c r="C3119">
        <v>63.2</v>
      </c>
      <c r="D3119" t="s">
        <v>7</v>
      </c>
      <c r="E3119" s="2" t="s">
        <v>12</v>
      </c>
      <c r="F3119">
        <f t="shared" si="48"/>
        <v>125.32560000000001</v>
      </c>
      <c r="G3119" t="s">
        <v>16</v>
      </c>
      <c r="H3119" t="s">
        <v>10</v>
      </c>
      <c r="J3119" t="str">
        <f>"04/07/2021 00:39"</f>
        <v>04/07/2021 00:39</v>
      </c>
    </row>
    <row r="3120" spans="1:10" x14ac:dyDescent="0.3">
      <c r="A3120" t="s">
        <v>6</v>
      </c>
      <c r="B3120" t="str">
        <f>"04/07/2021 00:00"</f>
        <v>04/07/2021 00:00</v>
      </c>
      <c r="C3120">
        <v>32.4</v>
      </c>
      <c r="D3120" t="s">
        <v>7</v>
      </c>
      <c r="E3120" s="2" t="s">
        <v>12</v>
      </c>
      <c r="F3120">
        <f t="shared" si="48"/>
        <v>64.249200000000002</v>
      </c>
      <c r="G3120" t="s">
        <v>16</v>
      </c>
      <c r="H3120" t="s">
        <v>10</v>
      </c>
      <c r="J3120" t="str">
        <f>"04/08/2021 00:39"</f>
        <v>04/08/2021 00:39</v>
      </c>
    </row>
    <row r="3121" spans="1:10" x14ac:dyDescent="0.3">
      <c r="A3121" t="s">
        <v>6</v>
      </c>
      <c r="B3121" t="str">
        <f>"04/08/2021 00:00"</f>
        <v>04/08/2021 00:00</v>
      </c>
      <c r="C3121">
        <v>0.24</v>
      </c>
      <c r="D3121" t="s">
        <v>7</v>
      </c>
      <c r="E3121" s="2" t="s">
        <v>12</v>
      </c>
      <c r="F3121">
        <f t="shared" si="48"/>
        <v>0.47592000000000001</v>
      </c>
      <c r="G3121" t="s">
        <v>16</v>
      </c>
      <c r="H3121" t="s">
        <v>10</v>
      </c>
      <c r="J3121" t="str">
        <f>"04/09/2021 00:39"</f>
        <v>04/09/2021 00:39</v>
      </c>
    </row>
    <row r="3122" spans="1:10" x14ac:dyDescent="0.3">
      <c r="A3122" t="s">
        <v>6</v>
      </c>
      <c r="B3122" t="str">
        <f>"04/09/2021 00:00"</f>
        <v>04/09/2021 00:00</v>
      </c>
      <c r="C3122">
        <v>0.19700000000000001</v>
      </c>
      <c r="D3122" t="s">
        <v>7</v>
      </c>
      <c r="E3122" s="2" t="s">
        <v>12</v>
      </c>
      <c r="F3122">
        <f t="shared" si="48"/>
        <v>0.39065100000000003</v>
      </c>
      <c r="G3122" t="s">
        <v>16</v>
      </c>
      <c r="H3122" t="s">
        <v>10</v>
      </c>
      <c r="J3122" t="str">
        <f>"04/10/2021 00:39"</f>
        <v>04/10/2021 00:39</v>
      </c>
    </row>
    <row r="3123" spans="1:10" x14ac:dyDescent="0.3">
      <c r="A3123" t="s">
        <v>6</v>
      </c>
      <c r="B3123" t="str">
        <f>"04/10/2021 00:00"</f>
        <v>04/10/2021 00:00</v>
      </c>
      <c r="C3123">
        <v>0.16</v>
      </c>
      <c r="D3123" t="s">
        <v>7</v>
      </c>
      <c r="E3123" s="2" t="s">
        <v>12</v>
      </c>
      <c r="F3123">
        <f t="shared" si="48"/>
        <v>0.31728000000000001</v>
      </c>
      <c r="G3123" t="s">
        <v>16</v>
      </c>
      <c r="H3123" t="s">
        <v>10</v>
      </c>
      <c r="J3123" t="str">
        <f>"04/11/2021 00:39"</f>
        <v>04/11/2021 00:39</v>
      </c>
    </row>
    <row r="3124" spans="1:10" x14ac:dyDescent="0.3">
      <c r="A3124" t="s">
        <v>6</v>
      </c>
      <c r="B3124" t="str">
        <f>"04/11/2021 00:00"</f>
        <v>04/11/2021 00:00</v>
      </c>
      <c r="C3124">
        <v>0.1</v>
      </c>
      <c r="D3124" t="s">
        <v>7</v>
      </c>
      <c r="E3124" s="2" t="s">
        <v>12</v>
      </c>
      <c r="F3124">
        <f t="shared" si="48"/>
        <v>0.19830000000000003</v>
      </c>
      <c r="G3124" t="s">
        <v>16</v>
      </c>
      <c r="H3124" t="s">
        <v>10</v>
      </c>
      <c r="J3124" t="str">
        <f>"04/12/2021 00:39"</f>
        <v>04/12/2021 00:39</v>
      </c>
    </row>
    <row r="3125" spans="1:10" x14ac:dyDescent="0.3">
      <c r="A3125" t="s">
        <v>6</v>
      </c>
      <c r="B3125" t="str">
        <f>"04/12/2021 00:00"</f>
        <v>04/12/2021 00:00</v>
      </c>
      <c r="C3125">
        <v>0.1</v>
      </c>
      <c r="D3125" t="s">
        <v>7</v>
      </c>
      <c r="E3125" s="2" t="s">
        <v>12</v>
      </c>
      <c r="F3125">
        <f t="shared" si="48"/>
        <v>0.19830000000000003</v>
      </c>
      <c r="G3125" t="s">
        <v>16</v>
      </c>
      <c r="H3125" t="s">
        <v>10</v>
      </c>
      <c r="J3125" t="str">
        <f>"04/13/2021 00:39"</f>
        <v>04/13/2021 00:39</v>
      </c>
    </row>
    <row r="3126" spans="1:10" x14ac:dyDescent="0.3">
      <c r="A3126" t="s">
        <v>6</v>
      </c>
      <c r="B3126" t="str">
        <f>"04/13/2021 00:00"</f>
        <v>04/13/2021 00:00</v>
      </c>
      <c r="C3126">
        <v>0.1</v>
      </c>
      <c r="D3126" t="s">
        <v>7</v>
      </c>
      <c r="E3126" s="2" t="s">
        <v>12</v>
      </c>
      <c r="F3126">
        <f t="shared" si="48"/>
        <v>0.19830000000000003</v>
      </c>
      <c r="G3126" t="s">
        <v>16</v>
      </c>
      <c r="H3126" t="s">
        <v>10</v>
      </c>
      <c r="J3126" t="str">
        <f>"04/14/2021 00:39"</f>
        <v>04/14/2021 00:39</v>
      </c>
    </row>
    <row r="3127" spans="1:10" x14ac:dyDescent="0.3">
      <c r="A3127" t="s">
        <v>6</v>
      </c>
      <c r="B3127" t="str">
        <f>"04/14/2021 00:00"</f>
        <v>04/14/2021 00:00</v>
      </c>
      <c r="C3127">
        <v>0.1</v>
      </c>
      <c r="D3127" t="s">
        <v>7</v>
      </c>
      <c r="E3127" s="2" t="s">
        <v>12</v>
      </c>
      <c r="F3127">
        <f t="shared" si="48"/>
        <v>0.19830000000000003</v>
      </c>
      <c r="G3127" t="s">
        <v>16</v>
      </c>
      <c r="H3127" t="s">
        <v>10</v>
      </c>
      <c r="J3127" t="str">
        <f>"04/15/2021 00:39"</f>
        <v>04/15/2021 00:39</v>
      </c>
    </row>
    <row r="3128" spans="1:10" x14ac:dyDescent="0.3">
      <c r="A3128" t="s">
        <v>6</v>
      </c>
      <c r="B3128" t="str">
        <f>"04/15/2021 00:00"</f>
        <v>04/15/2021 00:00</v>
      </c>
      <c r="C3128">
        <v>0.1</v>
      </c>
      <c r="D3128" t="s">
        <v>7</v>
      </c>
      <c r="E3128" s="2" t="s">
        <v>12</v>
      </c>
      <c r="F3128">
        <f t="shared" si="48"/>
        <v>0.19830000000000003</v>
      </c>
      <c r="G3128" t="s">
        <v>16</v>
      </c>
      <c r="H3128" t="s">
        <v>10</v>
      </c>
      <c r="J3128" t="str">
        <f>"04/16/2021 00:39"</f>
        <v>04/16/2021 00:39</v>
      </c>
    </row>
    <row r="3129" spans="1:10" x14ac:dyDescent="0.3">
      <c r="A3129" t="s">
        <v>6</v>
      </c>
      <c r="B3129" t="str">
        <f>"04/16/2021 00:00"</f>
        <v>04/16/2021 00:00</v>
      </c>
      <c r="C3129">
        <v>0.16700000000000001</v>
      </c>
      <c r="D3129" t="s">
        <v>7</v>
      </c>
      <c r="E3129" s="2" t="s">
        <v>12</v>
      </c>
      <c r="F3129">
        <f t="shared" si="48"/>
        <v>0.33116100000000004</v>
      </c>
      <c r="G3129" t="s">
        <v>16</v>
      </c>
      <c r="H3129" t="s">
        <v>10</v>
      </c>
      <c r="J3129" t="str">
        <f>"04/17/2021 00:39"</f>
        <v>04/17/2021 00:39</v>
      </c>
    </row>
    <row r="3130" spans="1:10" x14ac:dyDescent="0.3">
      <c r="A3130" t="s">
        <v>6</v>
      </c>
      <c r="B3130" t="str">
        <f>"04/17/2021 00:00"</f>
        <v>04/17/2021 00:00</v>
      </c>
      <c r="C3130">
        <v>0.19700000000000001</v>
      </c>
      <c r="D3130" t="s">
        <v>7</v>
      </c>
      <c r="E3130" s="2" t="s">
        <v>12</v>
      </c>
      <c r="F3130">
        <f t="shared" si="48"/>
        <v>0.39065100000000003</v>
      </c>
      <c r="G3130" t="s">
        <v>16</v>
      </c>
      <c r="H3130" t="s">
        <v>10</v>
      </c>
      <c r="J3130" t="str">
        <f>"04/18/2021 00:39"</f>
        <v>04/18/2021 00:39</v>
      </c>
    </row>
    <row r="3131" spans="1:10" x14ac:dyDescent="0.3">
      <c r="A3131" t="s">
        <v>6</v>
      </c>
      <c r="B3131" t="str">
        <f>"04/18/2021 00:00"</f>
        <v>04/18/2021 00:00</v>
      </c>
      <c r="C3131">
        <v>0.13300000000000001</v>
      </c>
      <c r="D3131" t="s">
        <v>7</v>
      </c>
      <c r="E3131" s="2" t="s">
        <v>12</v>
      </c>
      <c r="F3131">
        <f t="shared" si="48"/>
        <v>0.263739</v>
      </c>
      <c r="G3131" t="s">
        <v>16</v>
      </c>
      <c r="H3131" t="s">
        <v>10</v>
      </c>
      <c r="J3131" t="str">
        <f>"04/19/2021 00:39"</f>
        <v>04/19/2021 00:39</v>
      </c>
    </row>
    <row r="3132" spans="1:10" x14ac:dyDescent="0.3">
      <c r="A3132" t="s">
        <v>6</v>
      </c>
      <c r="B3132" t="str">
        <f>"04/19/2021 00:00"</f>
        <v>04/19/2021 00:00</v>
      </c>
      <c r="C3132">
        <v>0.1</v>
      </c>
      <c r="D3132" t="s">
        <v>7</v>
      </c>
      <c r="E3132" s="2" t="s">
        <v>12</v>
      </c>
      <c r="F3132">
        <f t="shared" si="48"/>
        <v>0.19830000000000003</v>
      </c>
      <c r="G3132" t="s">
        <v>16</v>
      </c>
      <c r="H3132" t="s">
        <v>10</v>
      </c>
      <c r="J3132" t="str">
        <f>"04/20/2021 00:39"</f>
        <v>04/20/2021 00:39</v>
      </c>
    </row>
    <row r="3133" spans="1:10" x14ac:dyDescent="0.3">
      <c r="A3133" t="s">
        <v>6</v>
      </c>
      <c r="B3133" t="str">
        <f>"04/20/2021 00:00"</f>
        <v>04/20/2021 00:00</v>
      </c>
      <c r="C3133">
        <v>0.183</v>
      </c>
      <c r="D3133" t="s">
        <v>7</v>
      </c>
      <c r="E3133" s="2" t="s">
        <v>12</v>
      </c>
      <c r="F3133">
        <f t="shared" si="48"/>
        <v>0.36288900000000002</v>
      </c>
      <c r="G3133" t="s">
        <v>16</v>
      </c>
      <c r="H3133" t="s">
        <v>10</v>
      </c>
      <c r="J3133" t="str">
        <f>"04/21/2021 00:39"</f>
        <v>04/21/2021 00:39</v>
      </c>
    </row>
    <row r="3134" spans="1:10" x14ac:dyDescent="0.3">
      <c r="A3134" t="s">
        <v>6</v>
      </c>
      <c r="B3134" t="str">
        <f>"04/21/2021 00:00"</f>
        <v>04/21/2021 00:00</v>
      </c>
      <c r="C3134">
        <v>0.19700000000000001</v>
      </c>
      <c r="D3134" t="s">
        <v>7</v>
      </c>
      <c r="E3134" s="2" t="s">
        <v>12</v>
      </c>
      <c r="F3134">
        <f t="shared" si="48"/>
        <v>0.39065100000000003</v>
      </c>
      <c r="G3134" t="s">
        <v>16</v>
      </c>
      <c r="H3134" t="s">
        <v>10</v>
      </c>
      <c r="J3134" t="str">
        <f>"04/22/2021 00:39"</f>
        <v>04/22/2021 00:39</v>
      </c>
    </row>
    <row r="3135" spans="1:10" x14ac:dyDescent="0.3">
      <c r="A3135" t="s">
        <v>6</v>
      </c>
      <c r="B3135" t="str">
        <f>"04/22/2021 00:00"</f>
        <v>04/22/2021 00:00</v>
      </c>
      <c r="C3135">
        <v>0.127</v>
      </c>
      <c r="D3135" t="s">
        <v>7</v>
      </c>
      <c r="E3135" s="2" t="s">
        <v>12</v>
      </c>
      <c r="F3135">
        <f t="shared" si="48"/>
        <v>0.25184100000000004</v>
      </c>
      <c r="G3135" t="s">
        <v>16</v>
      </c>
      <c r="H3135" t="s">
        <v>10</v>
      </c>
      <c r="J3135" t="str">
        <f>"04/23/2021 00:39"</f>
        <v>04/23/2021 00:39</v>
      </c>
    </row>
    <row r="3136" spans="1:10" x14ac:dyDescent="0.3">
      <c r="A3136" t="s">
        <v>6</v>
      </c>
      <c r="B3136" t="str">
        <f>"04/23/2021 00:00"</f>
        <v>04/23/2021 00:00</v>
      </c>
      <c r="C3136">
        <v>0.1</v>
      </c>
      <c r="D3136" t="s">
        <v>7</v>
      </c>
      <c r="E3136" s="2" t="s">
        <v>12</v>
      </c>
      <c r="F3136">
        <f t="shared" si="48"/>
        <v>0.19830000000000003</v>
      </c>
      <c r="G3136" t="s">
        <v>16</v>
      </c>
      <c r="H3136" t="s">
        <v>10</v>
      </c>
      <c r="J3136" t="str">
        <f>"04/24/2021 00:39"</f>
        <v>04/24/2021 00:39</v>
      </c>
    </row>
    <row r="3137" spans="1:10" x14ac:dyDescent="0.3">
      <c r="A3137" t="s">
        <v>6</v>
      </c>
      <c r="B3137" t="str">
        <f>"04/24/2021 00:00"</f>
        <v>04/24/2021 00:00</v>
      </c>
      <c r="C3137">
        <v>0.1</v>
      </c>
      <c r="D3137" t="s">
        <v>7</v>
      </c>
      <c r="E3137" s="2" t="s">
        <v>12</v>
      </c>
      <c r="F3137">
        <f t="shared" si="48"/>
        <v>0.19830000000000003</v>
      </c>
      <c r="G3137" t="s">
        <v>16</v>
      </c>
      <c r="H3137" t="s">
        <v>10</v>
      </c>
      <c r="J3137" t="str">
        <f>"04/25/2021 00:39"</f>
        <v>04/25/2021 00:39</v>
      </c>
    </row>
    <row r="3138" spans="1:10" x14ac:dyDescent="0.3">
      <c r="A3138" t="s">
        <v>6</v>
      </c>
      <c r="B3138" t="str">
        <f>"04/25/2021 00:00"</f>
        <v>04/25/2021 00:00</v>
      </c>
      <c r="C3138">
        <v>0.1</v>
      </c>
      <c r="D3138" t="s">
        <v>7</v>
      </c>
      <c r="E3138" s="2" t="s">
        <v>12</v>
      </c>
      <c r="F3138">
        <f t="shared" si="48"/>
        <v>0.19830000000000003</v>
      </c>
      <c r="G3138" t="s">
        <v>16</v>
      </c>
      <c r="H3138" t="s">
        <v>10</v>
      </c>
      <c r="J3138" t="str">
        <f>"04/26/2021 00:39"</f>
        <v>04/26/2021 00:39</v>
      </c>
    </row>
    <row r="3139" spans="1:10" x14ac:dyDescent="0.3">
      <c r="A3139" t="s">
        <v>6</v>
      </c>
      <c r="B3139" t="str">
        <f>"04/26/2021 00:00"</f>
        <v>04/26/2021 00:00</v>
      </c>
      <c r="C3139">
        <v>0.1</v>
      </c>
      <c r="D3139" t="s">
        <v>7</v>
      </c>
      <c r="E3139" s="2" t="s">
        <v>12</v>
      </c>
      <c r="F3139">
        <f t="shared" si="48"/>
        <v>0.19830000000000003</v>
      </c>
      <c r="G3139" t="s">
        <v>16</v>
      </c>
      <c r="H3139" t="s">
        <v>10</v>
      </c>
      <c r="J3139" t="str">
        <f>"04/27/2021 00:39"</f>
        <v>04/27/2021 00:39</v>
      </c>
    </row>
    <row r="3140" spans="1:10" x14ac:dyDescent="0.3">
      <c r="A3140" t="s">
        <v>6</v>
      </c>
      <c r="B3140" t="str">
        <f>"04/27/2021 00:00"</f>
        <v>04/27/2021 00:00</v>
      </c>
      <c r="C3140">
        <v>8.1299999999999997E-2</v>
      </c>
      <c r="D3140" t="s">
        <v>7</v>
      </c>
      <c r="E3140" s="2" t="s">
        <v>12</v>
      </c>
      <c r="F3140">
        <f t="shared" si="48"/>
        <v>0.1612179</v>
      </c>
      <c r="G3140" t="s">
        <v>16</v>
      </c>
      <c r="H3140" t="s">
        <v>10</v>
      </c>
      <c r="J3140" t="str">
        <f>"04/28/2021 00:39"</f>
        <v>04/28/2021 00:39</v>
      </c>
    </row>
    <row r="3141" spans="1:10" x14ac:dyDescent="0.3">
      <c r="A3141" t="s">
        <v>6</v>
      </c>
      <c r="B3141" t="str">
        <f>"04/28/2021 00:00"</f>
        <v>04/28/2021 00:00</v>
      </c>
      <c r="C3141">
        <v>5.3600000000000002E-2</v>
      </c>
      <c r="D3141" t="s">
        <v>7</v>
      </c>
      <c r="E3141" s="2" t="s">
        <v>12</v>
      </c>
      <c r="F3141">
        <f t="shared" si="48"/>
        <v>0.1062888</v>
      </c>
      <c r="G3141" t="s">
        <v>16</v>
      </c>
      <c r="H3141" t="s">
        <v>10</v>
      </c>
      <c r="J3141" t="str">
        <f>"04/29/2021 00:39"</f>
        <v>04/29/2021 00:39</v>
      </c>
    </row>
    <row r="3142" spans="1:10" x14ac:dyDescent="0.3">
      <c r="A3142" t="s">
        <v>6</v>
      </c>
      <c r="B3142" t="str">
        <f>"04/29/2021 00:00"</f>
        <v>04/29/2021 00:00</v>
      </c>
      <c r="C3142">
        <v>0.05</v>
      </c>
      <c r="D3142" t="s">
        <v>7</v>
      </c>
      <c r="E3142" s="2" t="s">
        <v>12</v>
      </c>
      <c r="F3142">
        <f t="shared" si="48"/>
        <v>9.9150000000000016E-2</v>
      </c>
      <c r="G3142" t="s">
        <v>16</v>
      </c>
      <c r="H3142" t="s">
        <v>10</v>
      </c>
      <c r="J3142" t="str">
        <f>"04/30/2021 00:39"</f>
        <v>04/30/2021 00:39</v>
      </c>
    </row>
    <row r="3143" spans="1:10" x14ac:dyDescent="0.3">
      <c r="A3143" t="s">
        <v>6</v>
      </c>
      <c r="B3143" t="str">
        <f>"04/30/2021 00:00"</f>
        <v>04/30/2021 00:00</v>
      </c>
      <c r="C3143">
        <v>0.05</v>
      </c>
      <c r="D3143" t="s">
        <v>7</v>
      </c>
      <c r="E3143" s="2" t="s">
        <v>12</v>
      </c>
      <c r="F3143">
        <f t="shared" si="48"/>
        <v>9.9150000000000016E-2</v>
      </c>
      <c r="G3143" t="s">
        <v>16</v>
      </c>
      <c r="H3143" t="s">
        <v>10</v>
      </c>
      <c r="J3143" t="str">
        <f>"05/01/2021 00:40"</f>
        <v>05/01/2021 00:40</v>
      </c>
    </row>
    <row r="3144" spans="1:10" x14ac:dyDescent="0.3">
      <c r="A3144" t="s">
        <v>6</v>
      </c>
      <c r="B3144" t="str">
        <f>"05/01/2021 00:00"</f>
        <v>05/01/2021 00:00</v>
      </c>
      <c r="C3144">
        <v>0.05</v>
      </c>
      <c r="D3144" t="s">
        <v>7</v>
      </c>
      <c r="E3144" s="2" t="s">
        <v>12</v>
      </c>
      <c r="F3144">
        <f t="shared" si="48"/>
        <v>9.9150000000000016E-2</v>
      </c>
      <c r="G3144" t="s">
        <v>16</v>
      </c>
      <c r="H3144" t="s">
        <v>10</v>
      </c>
      <c r="J3144" t="str">
        <f>"05/02/2021 00:39"</f>
        <v>05/02/2021 00:39</v>
      </c>
    </row>
    <row r="3145" spans="1:10" x14ac:dyDescent="0.3">
      <c r="A3145" t="s">
        <v>6</v>
      </c>
      <c r="B3145" t="str">
        <f>"05/02/2021 00:00"</f>
        <v>05/02/2021 00:00</v>
      </c>
      <c r="C3145">
        <v>0.05</v>
      </c>
      <c r="D3145" t="s">
        <v>7</v>
      </c>
      <c r="E3145" s="2" t="s">
        <v>12</v>
      </c>
      <c r="F3145">
        <f t="shared" si="48"/>
        <v>9.9150000000000016E-2</v>
      </c>
      <c r="G3145" t="s">
        <v>16</v>
      </c>
      <c r="H3145" t="s">
        <v>10</v>
      </c>
      <c r="J3145" t="str">
        <f>"05/03/2021 00:39"</f>
        <v>05/03/2021 00:39</v>
      </c>
    </row>
    <row r="3146" spans="1:10" x14ac:dyDescent="0.3">
      <c r="A3146" t="s">
        <v>6</v>
      </c>
      <c r="B3146" t="str">
        <f>"05/03/2021 00:00"</f>
        <v>05/03/2021 00:00</v>
      </c>
      <c r="C3146">
        <v>0.05</v>
      </c>
      <c r="D3146" t="s">
        <v>7</v>
      </c>
      <c r="E3146" s="2" t="s">
        <v>12</v>
      </c>
      <c r="F3146">
        <f t="shared" si="48"/>
        <v>9.9150000000000016E-2</v>
      </c>
      <c r="G3146" t="s">
        <v>16</v>
      </c>
      <c r="H3146" t="s">
        <v>10</v>
      </c>
      <c r="J3146" t="str">
        <f>"05/04/2021 00:39"</f>
        <v>05/04/2021 00:39</v>
      </c>
    </row>
    <row r="3147" spans="1:10" x14ac:dyDescent="0.3">
      <c r="A3147" t="s">
        <v>6</v>
      </c>
      <c r="B3147" t="str">
        <f>"05/04/2021 00:00"</f>
        <v>05/04/2021 00:00</v>
      </c>
      <c r="C3147">
        <v>0.05</v>
      </c>
      <c r="D3147" t="s">
        <v>7</v>
      </c>
      <c r="E3147" s="2" t="s">
        <v>12</v>
      </c>
      <c r="F3147">
        <f t="shared" ref="F3147:F3210" si="49">C3147*1.983</f>
        <v>9.9150000000000016E-2</v>
      </c>
      <c r="G3147" t="s">
        <v>16</v>
      </c>
      <c r="H3147" t="s">
        <v>10</v>
      </c>
      <c r="J3147" t="str">
        <f>"05/05/2021 00:39"</f>
        <v>05/05/2021 00:39</v>
      </c>
    </row>
    <row r="3148" spans="1:10" x14ac:dyDescent="0.3">
      <c r="A3148" t="s">
        <v>6</v>
      </c>
      <c r="B3148" t="str">
        <f>"05/05/2021 00:00"</f>
        <v>05/05/2021 00:00</v>
      </c>
      <c r="C3148">
        <v>0.05</v>
      </c>
      <c r="D3148" t="s">
        <v>7</v>
      </c>
      <c r="E3148" s="2" t="s">
        <v>12</v>
      </c>
      <c r="F3148">
        <f t="shared" si="49"/>
        <v>9.9150000000000016E-2</v>
      </c>
      <c r="G3148" t="s">
        <v>16</v>
      </c>
      <c r="H3148" t="s">
        <v>10</v>
      </c>
      <c r="J3148" t="str">
        <f>"05/06/2021 00:39"</f>
        <v>05/06/2021 00:39</v>
      </c>
    </row>
    <row r="3149" spans="1:10" x14ac:dyDescent="0.3">
      <c r="A3149" t="s">
        <v>6</v>
      </c>
      <c r="B3149" t="str">
        <f>"05/06/2021 00:00"</f>
        <v>05/06/2021 00:00</v>
      </c>
      <c r="C3149">
        <v>0.05</v>
      </c>
      <c r="D3149" t="s">
        <v>7</v>
      </c>
      <c r="E3149" s="2" t="s">
        <v>12</v>
      </c>
      <c r="F3149">
        <f t="shared" si="49"/>
        <v>9.9150000000000016E-2</v>
      </c>
      <c r="G3149" t="s">
        <v>16</v>
      </c>
      <c r="H3149" t="s">
        <v>10</v>
      </c>
      <c r="J3149" t="str">
        <f>"05/07/2021 00:39"</f>
        <v>05/07/2021 00:39</v>
      </c>
    </row>
    <row r="3150" spans="1:10" x14ac:dyDescent="0.3">
      <c r="A3150" t="s">
        <v>6</v>
      </c>
      <c r="B3150" t="str">
        <f>"05/07/2021 00:00"</f>
        <v>05/07/2021 00:00</v>
      </c>
      <c r="C3150">
        <v>0.05</v>
      </c>
      <c r="D3150" t="s">
        <v>7</v>
      </c>
      <c r="E3150" s="2" t="s">
        <v>12</v>
      </c>
      <c r="F3150">
        <f t="shared" si="49"/>
        <v>9.9150000000000016E-2</v>
      </c>
      <c r="G3150" t="s">
        <v>16</v>
      </c>
      <c r="H3150" t="s">
        <v>10</v>
      </c>
      <c r="J3150" t="str">
        <f>"05/08/2021 00:39"</f>
        <v>05/08/2021 00:39</v>
      </c>
    </row>
    <row r="3151" spans="1:10" x14ac:dyDescent="0.3">
      <c r="A3151" t="s">
        <v>6</v>
      </c>
      <c r="B3151" t="str">
        <f>"05/08/2021 00:00"</f>
        <v>05/08/2021 00:00</v>
      </c>
      <c r="C3151">
        <v>4.3799999999999999E-2</v>
      </c>
      <c r="D3151" t="s">
        <v>7</v>
      </c>
      <c r="E3151" s="2" t="s">
        <v>12</v>
      </c>
      <c r="F3151">
        <f t="shared" si="49"/>
        <v>8.6855399999999999E-2</v>
      </c>
      <c r="G3151" t="s">
        <v>16</v>
      </c>
      <c r="H3151" t="s">
        <v>10</v>
      </c>
      <c r="J3151" t="str">
        <f>"05/09/2021 00:39"</f>
        <v>05/09/2021 00:39</v>
      </c>
    </row>
    <row r="3152" spans="1:10" x14ac:dyDescent="0.3">
      <c r="A3152" t="s">
        <v>6</v>
      </c>
      <c r="B3152" t="str">
        <f>"05/09/2021 00:00"</f>
        <v>05/09/2021 00:00</v>
      </c>
      <c r="C3152">
        <v>1.0399999999999999E-3</v>
      </c>
      <c r="D3152" t="s">
        <v>7</v>
      </c>
      <c r="E3152" s="2" t="s">
        <v>12</v>
      </c>
      <c r="F3152">
        <f t="shared" si="49"/>
        <v>2.0623199999999999E-3</v>
      </c>
      <c r="G3152" t="s">
        <v>16</v>
      </c>
      <c r="H3152" t="s">
        <v>10</v>
      </c>
      <c r="J3152" t="str">
        <f>"05/10/2021 00:39"</f>
        <v>05/10/2021 00:39</v>
      </c>
    </row>
    <row r="3153" spans="1:10" x14ac:dyDescent="0.3">
      <c r="A3153" t="s">
        <v>6</v>
      </c>
      <c r="B3153" t="str">
        <f>"05/10/2021 00:00"</f>
        <v>05/10/2021 00:00</v>
      </c>
      <c r="C3153">
        <v>0</v>
      </c>
      <c r="D3153" t="s">
        <v>7</v>
      </c>
      <c r="E3153" s="2" t="s">
        <v>12</v>
      </c>
      <c r="F3153">
        <f t="shared" si="49"/>
        <v>0</v>
      </c>
      <c r="G3153" t="s">
        <v>16</v>
      </c>
      <c r="H3153" t="s">
        <v>10</v>
      </c>
      <c r="J3153" t="str">
        <f>"05/11/2021 00:39"</f>
        <v>05/11/2021 00:39</v>
      </c>
    </row>
    <row r="3154" spans="1:10" x14ac:dyDescent="0.3">
      <c r="A3154" t="s">
        <v>6</v>
      </c>
      <c r="B3154" t="str">
        <f>"05/11/2021 00:00"</f>
        <v>05/11/2021 00:00</v>
      </c>
      <c r="C3154">
        <v>0</v>
      </c>
      <c r="D3154" t="s">
        <v>7</v>
      </c>
      <c r="E3154" s="2" t="s">
        <v>12</v>
      </c>
      <c r="F3154">
        <f t="shared" si="49"/>
        <v>0</v>
      </c>
      <c r="G3154" t="s">
        <v>16</v>
      </c>
      <c r="H3154" t="s">
        <v>10</v>
      </c>
      <c r="J3154" t="str">
        <f>"05/12/2021 00:39"</f>
        <v>05/12/2021 00:39</v>
      </c>
    </row>
    <row r="3155" spans="1:10" x14ac:dyDescent="0.3">
      <c r="A3155" t="s">
        <v>6</v>
      </c>
      <c r="B3155" t="str">
        <f>"05/12/2021 00:00"</f>
        <v>05/12/2021 00:00</v>
      </c>
      <c r="C3155">
        <v>0</v>
      </c>
      <c r="D3155" t="s">
        <v>7</v>
      </c>
      <c r="E3155" s="2" t="s">
        <v>12</v>
      </c>
      <c r="F3155">
        <f t="shared" si="49"/>
        <v>0</v>
      </c>
      <c r="G3155" t="s">
        <v>16</v>
      </c>
      <c r="H3155" t="s">
        <v>10</v>
      </c>
      <c r="J3155" t="str">
        <f>"05/13/2021 00:39"</f>
        <v>05/13/2021 00:39</v>
      </c>
    </row>
    <row r="3156" spans="1:10" x14ac:dyDescent="0.3">
      <c r="A3156" t="s">
        <v>6</v>
      </c>
      <c r="B3156" t="str">
        <f>"05/13/2021 00:00"</f>
        <v>05/13/2021 00:00</v>
      </c>
      <c r="C3156">
        <v>0</v>
      </c>
      <c r="D3156" t="s">
        <v>7</v>
      </c>
      <c r="E3156" s="2" t="s">
        <v>12</v>
      </c>
      <c r="F3156">
        <f t="shared" si="49"/>
        <v>0</v>
      </c>
      <c r="G3156" t="s">
        <v>16</v>
      </c>
      <c r="H3156" t="s">
        <v>10</v>
      </c>
      <c r="J3156" t="str">
        <f>"05/14/2021 00:39"</f>
        <v>05/14/2021 00:39</v>
      </c>
    </row>
    <row r="3157" spans="1:10" x14ac:dyDescent="0.3">
      <c r="A3157" t="s">
        <v>6</v>
      </c>
      <c r="B3157" t="str">
        <f>"05/14/2021 00:00"</f>
        <v>05/14/2021 00:00</v>
      </c>
      <c r="C3157">
        <v>0</v>
      </c>
      <c r="D3157" t="s">
        <v>7</v>
      </c>
      <c r="E3157" s="2" t="s">
        <v>12</v>
      </c>
      <c r="F3157">
        <f t="shared" si="49"/>
        <v>0</v>
      </c>
      <c r="G3157" t="s">
        <v>16</v>
      </c>
      <c r="H3157" t="s">
        <v>10</v>
      </c>
      <c r="J3157" t="str">
        <f>"05/15/2021 00:39"</f>
        <v>05/15/2021 00:39</v>
      </c>
    </row>
    <row r="3158" spans="1:10" x14ac:dyDescent="0.3">
      <c r="A3158" t="s">
        <v>6</v>
      </c>
      <c r="B3158" t="str">
        <f>"05/15/2021 00:00"</f>
        <v>05/15/2021 00:00</v>
      </c>
      <c r="C3158">
        <v>0</v>
      </c>
      <c r="D3158" t="s">
        <v>7</v>
      </c>
      <c r="E3158" s="2" t="s">
        <v>12</v>
      </c>
      <c r="F3158">
        <f t="shared" si="49"/>
        <v>0</v>
      </c>
      <c r="G3158" t="s">
        <v>16</v>
      </c>
      <c r="H3158" t="s">
        <v>10</v>
      </c>
      <c r="J3158" t="str">
        <f>"05/16/2021 00:39"</f>
        <v>05/16/2021 00:39</v>
      </c>
    </row>
    <row r="3159" spans="1:10" x14ac:dyDescent="0.3">
      <c r="A3159" t="s">
        <v>6</v>
      </c>
      <c r="B3159" t="str">
        <f>"05/16/2021 00:00"</f>
        <v>05/16/2021 00:00</v>
      </c>
      <c r="C3159">
        <v>0</v>
      </c>
      <c r="D3159" t="s">
        <v>7</v>
      </c>
      <c r="E3159" s="2" t="s">
        <v>12</v>
      </c>
      <c r="F3159">
        <f t="shared" si="49"/>
        <v>0</v>
      </c>
      <c r="G3159" t="s">
        <v>16</v>
      </c>
      <c r="H3159" t="s">
        <v>10</v>
      </c>
      <c r="J3159" t="str">
        <f>"05/17/2021 00:39"</f>
        <v>05/17/2021 00:39</v>
      </c>
    </row>
    <row r="3160" spans="1:10" x14ac:dyDescent="0.3">
      <c r="A3160" t="s">
        <v>6</v>
      </c>
      <c r="B3160" t="str">
        <f>"05/17/2021 00:00"</f>
        <v>05/17/2021 00:00</v>
      </c>
      <c r="C3160">
        <v>0</v>
      </c>
      <c r="D3160" t="s">
        <v>7</v>
      </c>
      <c r="E3160" s="2" t="s">
        <v>12</v>
      </c>
      <c r="F3160">
        <f t="shared" si="49"/>
        <v>0</v>
      </c>
      <c r="G3160" t="s">
        <v>16</v>
      </c>
      <c r="H3160" t="s">
        <v>10</v>
      </c>
      <c r="J3160" t="str">
        <f>"05/18/2021 00:39"</f>
        <v>05/18/2021 00:39</v>
      </c>
    </row>
    <row r="3161" spans="1:10" x14ac:dyDescent="0.3">
      <c r="A3161" t="s">
        <v>6</v>
      </c>
      <c r="B3161" t="str">
        <f>"05/18/2021 00:00"</f>
        <v>05/18/2021 00:00</v>
      </c>
      <c r="C3161">
        <v>0</v>
      </c>
      <c r="D3161" t="s">
        <v>7</v>
      </c>
      <c r="E3161" s="2" t="s">
        <v>12</v>
      </c>
      <c r="F3161">
        <f t="shared" si="49"/>
        <v>0</v>
      </c>
      <c r="G3161" t="s">
        <v>16</v>
      </c>
      <c r="H3161" t="s">
        <v>10</v>
      </c>
      <c r="J3161" t="str">
        <f>"05/19/2021 00:39"</f>
        <v>05/19/2021 00:39</v>
      </c>
    </row>
    <row r="3162" spans="1:10" x14ac:dyDescent="0.3">
      <c r="A3162" t="s">
        <v>6</v>
      </c>
      <c r="B3162" t="str">
        <f>"05/19/2021 00:00"</f>
        <v>05/19/2021 00:00</v>
      </c>
      <c r="C3162">
        <v>0</v>
      </c>
      <c r="D3162" t="s">
        <v>7</v>
      </c>
      <c r="E3162" s="2" t="s">
        <v>12</v>
      </c>
      <c r="F3162">
        <f t="shared" si="49"/>
        <v>0</v>
      </c>
      <c r="G3162" t="s">
        <v>16</v>
      </c>
      <c r="H3162" t="s">
        <v>10</v>
      </c>
      <c r="J3162" t="str">
        <f>"05/20/2021 00:39"</f>
        <v>05/20/2021 00:39</v>
      </c>
    </row>
    <row r="3163" spans="1:10" x14ac:dyDescent="0.3">
      <c r="A3163" t="s">
        <v>6</v>
      </c>
      <c r="B3163" t="str">
        <f>"05/20/2021 00:00"</f>
        <v>05/20/2021 00:00</v>
      </c>
      <c r="C3163">
        <v>0</v>
      </c>
      <c r="D3163" t="s">
        <v>7</v>
      </c>
      <c r="E3163" s="2" t="s">
        <v>12</v>
      </c>
      <c r="F3163">
        <f t="shared" si="49"/>
        <v>0</v>
      </c>
      <c r="G3163" t="s">
        <v>16</v>
      </c>
      <c r="H3163" t="s">
        <v>10</v>
      </c>
      <c r="J3163" t="str">
        <f>"05/21/2021 00:39"</f>
        <v>05/21/2021 00:39</v>
      </c>
    </row>
    <row r="3164" spans="1:10" x14ac:dyDescent="0.3">
      <c r="A3164" t="s">
        <v>6</v>
      </c>
      <c r="B3164" t="str">
        <f>"05/21/2021 00:00"</f>
        <v>05/21/2021 00:00</v>
      </c>
      <c r="C3164">
        <v>0</v>
      </c>
      <c r="D3164" t="s">
        <v>7</v>
      </c>
      <c r="E3164" s="2" t="s">
        <v>12</v>
      </c>
      <c r="F3164">
        <f t="shared" si="49"/>
        <v>0</v>
      </c>
      <c r="G3164" t="s">
        <v>16</v>
      </c>
      <c r="H3164" t="s">
        <v>10</v>
      </c>
      <c r="J3164" t="str">
        <f>"05/22/2021 00:39"</f>
        <v>05/22/2021 00:39</v>
      </c>
    </row>
    <row r="3165" spans="1:10" x14ac:dyDescent="0.3">
      <c r="A3165" t="s">
        <v>6</v>
      </c>
      <c r="B3165" t="str">
        <f>"05/22/2021 00:00"</f>
        <v>05/22/2021 00:00</v>
      </c>
      <c r="C3165">
        <v>0</v>
      </c>
      <c r="D3165" t="s">
        <v>7</v>
      </c>
      <c r="E3165" s="2" t="s">
        <v>12</v>
      </c>
      <c r="F3165">
        <f t="shared" si="49"/>
        <v>0</v>
      </c>
      <c r="G3165" t="s">
        <v>16</v>
      </c>
      <c r="H3165" t="s">
        <v>10</v>
      </c>
      <c r="J3165" t="str">
        <f>"05/23/2021 00:39"</f>
        <v>05/23/2021 00:39</v>
      </c>
    </row>
    <row r="3166" spans="1:10" x14ac:dyDescent="0.3">
      <c r="A3166" t="s">
        <v>6</v>
      </c>
      <c r="B3166" t="str">
        <f>"05/23/2021 00:00"</f>
        <v>05/23/2021 00:00</v>
      </c>
      <c r="C3166">
        <v>2.29E-2</v>
      </c>
      <c r="D3166" t="s">
        <v>7</v>
      </c>
      <c r="E3166" s="2" t="s">
        <v>12</v>
      </c>
      <c r="F3166">
        <f t="shared" si="49"/>
        <v>4.5410700000000005E-2</v>
      </c>
      <c r="G3166" t="s">
        <v>16</v>
      </c>
      <c r="H3166" t="s">
        <v>10</v>
      </c>
      <c r="J3166" t="str">
        <f>"05/24/2021 00:39"</f>
        <v>05/24/2021 00:39</v>
      </c>
    </row>
    <row r="3167" spans="1:10" x14ac:dyDescent="0.3">
      <c r="A3167" t="s">
        <v>6</v>
      </c>
      <c r="B3167" t="str">
        <f>"05/24/2021 00:00"</f>
        <v>05/24/2021 00:00</v>
      </c>
      <c r="C3167">
        <v>1.56E-3</v>
      </c>
      <c r="D3167" t="s">
        <v>7</v>
      </c>
      <c r="E3167" s="2" t="s">
        <v>12</v>
      </c>
      <c r="F3167">
        <f t="shared" si="49"/>
        <v>3.09348E-3</v>
      </c>
      <c r="G3167" t="s">
        <v>16</v>
      </c>
      <c r="H3167" t="s">
        <v>10</v>
      </c>
      <c r="J3167" t="str">
        <f>"05/25/2021 00:39"</f>
        <v>05/25/2021 00:39</v>
      </c>
    </row>
    <row r="3168" spans="1:10" x14ac:dyDescent="0.3">
      <c r="A3168" t="s">
        <v>6</v>
      </c>
      <c r="B3168" t="str">
        <f>"05/25/2021 00:00"</f>
        <v>05/25/2021 00:00</v>
      </c>
      <c r="C3168">
        <v>0</v>
      </c>
      <c r="D3168" t="s">
        <v>7</v>
      </c>
      <c r="E3168" s="2" t="s">
        <v>12</v>
      </c>
      <c r="F3168">
        <f t="shared" si="49"/>
        <v>0</v>
      </c>
      <c r="G3168" t="s">
        <v>16</v>
      </c>
      <c r="H3168" t="s">
        <v>10</v>
      </c>
      <c r="J3168" t="str">
        <f>"05/26/2021 00:39"</f>
        <v>05/26/2021 00:39</v>
      </c>
    </row>
    <row r="3169" spans="1:10" x14ac:dyDescent="0.3">
      <c r="A3169" t="s">
        <v>6</v>
      </c>
      <c r="B3169" t="str">
        <f>"05/26/2021 00:00"</f>
        <v>05/26/2021 00:00</v>
      </c>
      <c r="C3169">
        <v>0</v>
      </c>
      <c r="D3169" t="s">
        <v>7</v>
      </c>
      <c r="E3169" s="2" t="s">
        <v>12</v>
      </c>
      <c r="F3169">
        <f t="shared" si="49"/>
        <v>0</v>
      </c>
      <c r="G3169" t="s">
        <v>16</v>
      </c>
      <c r="H3169" t="s">
        <v>10</v>
      </c>
      <c r="J3169" t="str">
        <f>"05/27/2021 00:39"</f>
        <v>05/27/2021 00:39</v>
      </c>
    </row>
    <row r="3170" spans="1:10" x14ac:dyDescent="0.3">
      <c r="A3170" t="s">
        <v>6</v>
      </c>
      <c r="B3170" t="str">
        <f>"05/27/2021 00:00"</f>
        <v>05/27/2021 00:00</v>
      </c>
      <c r="C3170">
        <v>0</v>
      </c>
      <c r="D3170" t="s">
        <v>7</v>
      </c>
      <c r="E3170" s="2" t="s">
        <v>12</v>
      </c>
      <c r="F3170">
        <f t="shared" si="49"/>
        <v>0</v>
      </c>
      <c r="G3170" t="s">
        <v>16</v>
      </c>
      <c r="H3170" t="s">
        <v>10</v>
      </c>
      <c r="J3170" t="str">
        <f>"05/28/2021 00:39"</f>
        <v>05/28/2021 00:39</v>
      </c>
    </row>
    <row r="3171" spans="1:10" x14ac:dyDescent="0.3">
      <c r="A3171" t="s">
        <v>6</v>
      </c>
      <c r="B3171" t="str">
        <f>"05/28/2021 00:00"</f>
        <v>05/28/2021 00:00</v>
      </c>
      <c r="C3171">
        <v>0</v>
      </c>
      <c r="D3171" t="s">
        <v>7</v>
      </c>
      <c r="E3171" s="2" t="s">
        <v>12</v>
      </c>
      <c r="F3171">
        <f t="shared" si="49"/>
        <v>0</v>
      </c>
      <c r="G3171" t="s">
        <v>16</v>
      </c>
      <c r="H3171" t="s">
        <v>10</v>
      </c>
      <c r="J3171" t="str">
        <f>"05/29/2021 00:39"</f>
        <v>05/29/2021 00:39</v>
      </c>
    </row>
    <row r="3172" spans="1:10" x14ac:dyDescent="0.3">
      <c r="A3172" t="s">
        <v>6</v>
      </c>
      <c r="B3172" t="str">
        <f>"05/29/2021 00:00"</f>
        <v>05/29/2021 00:00</v>
      </c>
      <c r="C3172">
        <v>0</v>
      </c>
      <c r="D3172" t="s">
        <v>7</v>
      </c>
      <c r="E3172" s="2" t="s">
        <v>12</v>
      </c>
      <c r="F3172">
        <f t="shared" si="49"/>
        <v>0</v>
      </c>
      <c r="G3172" t="s">
        <v>16</v>
      </c>
      <c r="H3172" t="s">
        <v>10</v>
      </c>
      <c r="J3172" t="str">
        <f>"05/30/2021 00:39"</f>
        <v>05/30/2021 00:39</v>
      </c>
    </row>
    <row r="3173" spans="1:10" x14ac:dyDescent="0.3">
      <c r="A3173" t="s">
        <v>6</v>
      </c>
      <c r="B3173" t="str">
        <f>"05/30/2021 00:00"</f>
        <v>05/30/2021 00:00</v>
      </c>
      <c r="C3173">
        <v>0</v>
      </c>
      <c r="D3173" t="s">
        <v>7</v>
      </c>
      <c r="E3173" s="2" t="s">
        <v>12</v>
      </c>
      <c r="F3173">
        <f t="shared" si="49"/>
        <v>0</v>
      </c>
      <c r="G3173" t="s">
        <v>16</v>
      </c>
      <c r="H3173" t="s">
        <v>10</v>
      </c>
      <c r="J3173" t="str">
        <f>"05/31/2021 00:39"</f>
        <v>05/31/2021 00:39</v>
      </c>
    </row>
    <row r="3174" spans="1:10" x14ac:dyDescent="0.3">
      <c r="A3174" t="s">
        <v>6</v>
      </c>
      <c r="B3174" t="str">
        <f>"05/31/2021 00:00"</f>
        <v>05/31/2021 00:00</v>
      </c>
      <c r="C3174">
        <v>0</v>
      </c>
      <c r="D3174" t="s">
        <v>7</v>
      </c>
      <c r="E3174" s="2" t="s">
        <v>12</v>
      </c>
      <c r="F3174">
        <f t="shared" si="49"/>
        <v>0</v>
      </c>
      <c r="G3174" t="s">
        <v>16</v>
      </c>
      <c r="H3174" t="s">
        <v>10</v>
      </c>
      <c r="J3174" t="str">
        <f>"06/01/2021 00:39"</f>
        <v>06/01/2021 00:39</v>
      </c>
    </row>
    <row r="3175" spans="1:10" x14ac:dyDescent="0.3">
      <c r="A3175" t="s">
        <v>6</v>
      </c>
      <c r="B3175" t="str">
        <f>"06/01/2021 00:00"</f>
        <v>06/01/2021 00:00</v>
      </c>
      <c r="C3175">
        <v>0</v>
      </c>
      <c r="D3175" t="s">
        <v>7</v>
      </c>
      <c r="E3175" s="2" t="s">
        <v>12</v>
      </c>
      <c r="F3175">
        <f t="shared" si="49"/>
        <v>0</v>
      </c>
      <c r="G3175" t="s">
        <v>16</v>
      </c>
      <c r="H3175" t="s">
        <v>10</v>
      </c>
      <c r="J3175" t="str">
        <f>"06/02/2021 00:39"</f>
        <v>06/02/2021 00:39</v>
      </c>
    </row>
    <row r="3176" spans="1:10" x14ac:dyDescent="0.3">
      <c r="A3176" t="s">
        <v>6</v>
      </c>
      <c r="B3176" t="str">
        <f>"06/02/2021 00:00"</f>
        <v>06/02/2021 00:00</v>
      </c>
      <c r="C3176">
        <v>0</v>
      </c>
      <c r="D3176" t="s">
        <v>7</v>
      </c>
      <c r="E3176" s="2" t="s">
        <v>12</v>
      </c>
      <c r="F3176">
        <f t="shared" si="49"/>
        <v>0</v>
      </c>
      <c r="G3176" t="s">
        <v>16</v>
      </c>
      <c r="H3176" t="s">
        <v>10</v>
      </c>
      <c r="J3176" t="str">
        <f>"06/03/2021 00:39"</f>
        <v>06/03/2021 00:39</v>
      </c>
    </row>
    <row r="3177" spans="1:10" x14ac:dyDescent="0.3">
      <c r="A3177" t="s">
        <v>6</v>
      </c>
      <c r="B3177" t="str">
        <f>"06/03/2021 00:00"</f>
        <v>06/03/2021 00:00</v>
      </c>
      <c r="C3177">
        <v>0</v>
      </c>
      <c r="D3177" t="s">
        <v>7</v>
      </c>
      <c r="E3177" s="2" t="s">
        <v>12</v>
      </c>
      <c r="F3177">
        <f t="shared" si="49"/>
        <v>0</v>
      </c>
      <c r="G3177" t="s">
        <v>16</v>
      </c>
      <c r="H3177" t="s">
        <v>10</v>
      </c>
      <c r="J3177" t="str">
        <f>"06/04/2021 00:39"</f>
        <v>06/04/2021 00:39</v>
      </c>
    </row>
    <row r="3178" spans="1:10" x14ac:dyDescent="0.3">
      <c r="A3178" t="s">
        <v>6</v>
      </c>
      <c r="B3178" t="str">
        <f>"06/04/2021 00:00"</f>
        <v>06/04/2021 00:00</v>
      </c>
      <c r="C3178">
        <v>0</v>
      </c>
      <c r="D3178" t="s">
        <v>7</v>
      </c>
      <c r="E3178" s="2" t="s">
        <v>12</v>
      </c>
      <c r="F3178">
        <f t="shared" si="49"/>
        <v>0</v>
      </c>
      <c r="G3178" t="s">
        <v>16</v>
      </c>
      <c r="H3178" t="s">
        <v>10</v>
      </c>
      <c r="J3178" t="str">
        <f>"06/05/2021 00:39"</f>
        <v>06/05/2021 00:39</v>
      </c>
    </row>
    <row r="3179" spans="1:10" x14ac:dyDescent="0.3">
      <c r="A3179" t="s">
        <v>6</v>
      </c>
      <c r="B3179" t="str">
        <f>"06/05/2021 00:00"</f>
        <v>06/05/2021 00:00</v>
      </c>
      <c r="C3179">
        <v>0</v>
      </c>
      <c r="D3179" t="s">
        <v>7</v>
      </c>
      <c r="E3179" s="2" t="s">
        <v>12</v>
      </c>
      <c r="F3179">
        <f t="shared" si="49"/>
        <v>0</v>
      </c>
      <c r="G3179" t="s">
        <v>16</v>
      </c>
      <c r="H3179" t="s">
        <v>10</v>
      </c>
      <c r="J3179" t="str">
        <f>"06/06/2021 00:39"</f>
        <v>06/06/2021 00:39</v>
      </c>
    </row>
    <row r="3180" spans="1:10" x14ac:dyDescent="0.3">
      <c r="A3180" t="s">
        <v>6</v>
      </c>
      <c r="B3180" t="str">
        <f>"06/06/2021 00:00"</f>
        <v>06/06/2021 00:00</v>
      </c>
      <c r="C3180">
        <v>0</v>
      </c>
      <c r="D3180" t="s">
        <v>7</v>
      </c>
      <c r="E3180" s="2" t="s">
        <v>12</v>
      </c>
      <c r="F3180">
        <f t="shared" si="49"/>
        <v>0</v>
      </c>
      <c r="G3180" t="s">
        <v>16</v>
      </c>
      <c r="H3180" t="s">
        <v>10</v>
      </c>
      <c r="J3180" t="str">
        <f>"06/07/2021 00:39"</f>
        <v>06/07/2021 00:39</v>
      </c>
    </row>
    <row r="3181" spans="1:10" x14ac:dyDescent="0.3">
      <c r="A3181" t="s">
        <v>6</v>
      </c>
      <c r="B3181" t="str">
        <f>"06/07/2021 00:00"</f>
        <v>06/07/2021 00:00</v>
      </c>
      <c r="C3181">
        <v>0</v>
      </c>
      <c r="D3181" t="s">
        <v>7</v>
      </c>
      <c r="E3181" s="2" t="s">
        <v>12</v>
      </c>
      <c r="F3181">
        <f t="shared" si="49"/>
        <v>0</v>
      </c>
      <c r="G3181" t="s">
        <v>16</v>
      </c>
      <c r="H3181" t="s">
        <v>10</v>
      </c>
      <c r="J3181" t="str">
        <f>"06/08/2021 00:39"</f>
        <v>06/08/2021 00:39</v>
      </c>
    </row>
    <row r="3182" spans="1:10" x14ac:dyDescent="0.3">
      <c r="A3182" t="s">
        <v>6</v>
      </c>
      <c r="B3182" t="str">
        <f>"06/08/2021 00:00"</f>
        <v>06/08/2021 00:00</v>
      </c>
      <c r="C3182">
        <v>0</v>
      </c>
      <c r="D3182" t="s">
        <v>7</v>
      </c>
      <c r="E3182" s="2" t="s">
        <v>12</v>
      </c>
      <c r="F3182">
        <f t="shared" si="49"/>
        <v>0</v>
      </c>
      <c r="G3182" t="s">
        <v>16</v>
      </c>
      <c r="H3182" t="s">
        <v>10</v>
      </c>
      <c r="J3182" t="str">
        <f>"06/09/2021 00:40"</f>
        <v>06/09/2021 00:40</v>
      </c>
    </row>
    <row r="3183" spans="1:10" x14ac:dyDescent="0.3">
      <c r="A3183" t="s">
        <v>6</v>
      </c>
      <c r="B3183" t="str">
        <f>"06/09/2021 00:00"</f>
        <v>06/09/2021 00:00</v>
      </c>
      <c r="C3183">
        <v>0</v>
      </c>
      <c r="D3183" t="s">
        <v>7</v>
      </c>
      <c r="E3183" s="2" t="s">
        <v>12</v>
      </c>
      <c r="F3183">
        <f t="shared" si="49"/>
        <v>0</v>
      </c>
      <c r="G3183" t="s">
        <v>16</v>
      </c>
      <c r="H3183" t="s">
        <v>10</v>
      </c>
      <c r="J3183" t="str">
        <f>"06/10/2021 00:39"</f>
        <v>06/10/2021 00:39</v>
      </c>
    </row>
    <row r="3184" spans="1:10" x14ac:dyDescent="0.3">
      <c r="A3184" t="s">
        <v>6</v>
      </c>
      <c r="B3184" t="str">
        <f>"06/10/2021 00:00"</f>
        <v>06/10/2021 00:00</v>
      </c>
      <c r="C3184">
        <v>0</v>
      </c>
      <c r="D3184" t="s">
        <v>7</v>
      </c>
      <c r="E3184" s="2" t="s">
        <v>12</v>
      </c>
      <c r="F3184">
        <f t="shared" si="49"/>
        <v>0</v>
      </c>
      <c r="G3184" t="s">
        <v>16</v>
      </c>
      <c r="H3184" t="s">
        <v>10</v>
      </c>
      <c r="J3184" t="str">
        <f>"06/11/2021 00:39"</f>
        <v>06/11/2021 00:39</v>
      </c>
    </row>
    <row r="3185" spans="1:10" x14ac:dyDescent="0.3">
      <c r="A3185" t="s">
        <v>6</v>
      </c>
      <c r="B3185" t="str">
        <f>"06/11/2021 00:00"</f>
        <v>06/11/2021 00:00</v>
      </c>
      <c r="C3185">
        <v>0</v>
      </c>
      <c r="D3185" t="s">
        <v>7</v>
      </c>
      <c r="E3185" s="2" t="s">
        <v>12</v>
      </c>
      <c r="F3185">
        <f t="shared" si="49"/>
        <v>0</v>
      </c>
      <c r="G3185" t="s">
        <v>16</v>
      </c>
      <c r="H3185" t="s">
        <v>10</v>
      </c>
      <c r="J3185" t="str">
        <f>"06/12/2021 00:39"</f>
        <v>06/12/2021 00:39</v>
      </c>
    </row>
    <row r="3186" spans="1:10" x14ac:dyDescent="0.3">
      <c r="A3186" t="s">
        <v>6</v>
      </c>
      <c r="B3186" t="str">
        <f>"06/12/2021 00:00"</f>
        <v>06/12/2021 00:00</v>
      </c>
      <c r="C3186">
        <v>0</v>
      </c>
      <c r="D3186" t="s">
        <v>7</v>
      </c>
      <c r="E3186" s="2" t="s">
        <v>12</v>
      </c>
      <c r="F3186">
        <f t="shared" si="49"/>
        <v>0</v>
      </c>
      <c r="G3186" t="s">
        <v>16</v>
      </c>
      <c r="H3186" t="s">
        <v>10</v>
      </c>
      <c r="J3186" t="str">
        <f>"06/13/2021 00:39"</f>
        <v>06/13/2021 00:39</v>
      </c>
    </row>
    <row r="3187" spans="1:10" x14ac:dyDescent="0.3">
      <c r="A3187" t="s">
        <v>6</v>
      </c>
      <c r="B3187" t="str">
        <f>"06/13/2021 00:00"</f>
        <v>06/13/2021 00:00</v>
      </c>
      <c r="C3187">
        <v>0</v>
      </c>
      <c r="D3187" t="s">
        <v>7</v>
      </c>
      <c r="E3187" s="2" t="s">
        <v>12</v>
      </c>
      <c r="F3187">
        <f t="shared" si="49"/>
        <v>0</v>
      </c>
      <c r="G3187" t="s">
        <v>16</v>
      </c>
      <c r="H3187" t="s">
        <v>10</v>
      </c>
      <c r="J3187" t="str">
        <f>"06/14/2021 00:39"</f>
        <v>06/14/2021 00:39</v>
      </c>
    </row>
    <row r="3188" spans="1:10" x14ac:dyDescent="0.3">
      <c r="A3188" t="s">
        <v>6</v>
      </c>
      <c r="B3188" t="str">
        <f>"06/14/2021 00:00"</f>
        <v>06/14/2021 00:00</v>
      </c>
      <c r="C3188">
        <v>0</v>
      </c>
      <c r="D3188" t="s">
        <v>7</v>
      </c>
      <c r="E3188" s="2" t="s">
        <v>12</v>
      </c>
      <c r="F3188">
        <f t="shared" si="49"/>
        <v>0</v>
      </c>
      <c r="G3188" t="s">
        <v>16</v>
      </c>
      <c r="H3188" t="s">
        <v>10</v>
      </c>
      <c r="J3188" t="str">
        <f>"06/15/2021 00:39"</f>
        <v>06/15/2021 00:39</v>
      </c>
    </row>
    <row r="3189" spans="1:10" x14ac:dyDescent="0.3">
      <c r="A3189" t="s">
        <v>6</v>
      </c>
      <c r="B3189" t="str">
        <f>"06/15/2021 00:00"</f>
        <v>06/15/2021 00:00</v>
      </c>
      <c r="C3189">
        <v>0</v>
      </c>
      <c r="D3189" t="s">
        <v>7</v>
      </c>
      <c r="E3189" s="2" t="s">
        <v>12</v>
      </c>
      <c r="F3189">
        <f t="shared" si="49"/>
        <v>0</v>
      </c>
      <c r="G3189" t="s">
        <v>16</v>
      </c>
      <c r="H3189" t="s">
        <v>10</v>
      </c>
      <c r="J3189" t="str">
        <f>"06/16/2021 00:39"</f>
        <v>06/16/2021 00:39</v>
      </c>
    </row>
    <row r="3190" spans="1:10" x14ac:dyDescent="0.3">
      <c r="A3190" t="s">
        <v>6</v>
      </c>
      <c r="B3190" t="str">
        <f>"06/16/2021 00:00"</f>
        <v>06/16/2021 00:00</v>
      </c>
      <c r="C3190">
        <v>0</v>
      </c>
      <c r="D3190" t="s">
        <v>7</v>
      </c>
      <c r="E3190" s="2" t="s">
        <v>12</v>
      </c>
      <c r="F3190">
        <f t="shared" si="49"/>
        <v>0</v>
      </c>
      <c r="G3190" t="s">
        <v>16</v>
      </c>
      <c r="H3190" t="s">
        <v>10</v>
      </c>
      <c r="J3190" t="str">
        <f>"06/17/2021 00:39"</f>
        <v>06/17/2021 00:39</v>
      </c>
    </row>
    <row r="3191" spans="1:10" x14ac:dyDescent="0.3">
      <c r="A3191" t="s">
        <v>6</v>
      </c>
      <c r="B3191" t="str">
        <f>"06/17/2021 00:00"</f>
        <v>06/17/2021 00:00</v>
      </c>
      <c r="C3191">
        <v>0</v>
      </c>
      <c r="D3191" t="s">
        <v>7</v>
      </c>
      <c r="E3191" s="2" t="s">
        <v>12</v>
      </c>
      <c r="F3191">
        <f t="shared" si="49"/>
        <v>0</v>
      </c>
      <c r="G3191" t="s">
        <v>16</v>
      </c>
      <c r="H3191" t="s">
        <v>10</v>
      </c>
      <c r="J3191" t="str">
        <f>"06/18/2021 00:39"</f>
        <v>06/18/2021 00:39</v>
      </c>
    </row>
    <row r="3192" spans="1:10" x14ac:dyDescent="0.3">
      <c r="A3192" t="s">
        <v>6</v>
      </c>
      <c r="B3192" t="str">
        <f>"06/18/2021 00:00"</f>
        <v>06/18/2021 00:00</v>
      </c>
      <c r="C3192">
        <v>0</v>
      </c>
      <c r="D3192" t="s">
        <v>7</v>
      </c>
      <c r="E3192" s="2" t="s">
        <v>12</v>
      </c>
      <c r="F3192">
        <f t="shared" si="49"/>
        <v>0</v>
      </c>
      <c r="G3192" t="s">
        <v>16</v>
      </c>
      <c r="H3192" t="s">
        <v>10</v>
      </c>
      <c r="J3192" t="str">
        <f>"06/19/2021 00:39"</f>
        <v>06/19/2021 00:39</v>
      </c>
    </row>
    <row r="3193" spans="1:10" x14ac:dyDescent="0.3">
      <c r="A3193" t="s">
        <v>6</v>
      </c>
      <c r="B3193" t="str">
        <f>"06/19/2021 00:00"</f>
        <v>06/19/2021 00:00</v>
      </c>
      <c r="C3193">
        <v>0</v>
      </c>
      <c r="D3193" t="s">
        <v>7</v>
      </c>
      <c r="E3193" s="2" t="s">
        <v>12</v>
      </c>
      <c r="F3193">
        <f t="shared" si="49"/>
        <v>0</v>
      </c>
      <c r="G3193" t="s">
        <v>16</v>
      </c>
      <c r="H3193" t="s">
        <v>10</v>
      </c>
      <c r="J3193" t="str">
        <f>"06/20/2021 00:39"</f>
        <v>06/20/2021 00:39</v>
      </c>
    </row>
    <row r="3194" spans="1:10" x14ac:dyDescent="0.3">
      <c r="A3194" t="s">
        <v>6</v>
      </c>
      <c r="B3194" t="str">
        <f>"06/20/2021 00:00"</f>
        <v>06/20/2021 00:00</v>
      </c>
      <c r="C3194">
        <v>90.1</v>
      </c>
      <c r="D3194" t="s">
        <v>7</v>
      </c>
      <c r="E3194" s="2" t="s">
        <v>12</v>
      </c>
      <c r="F3194">
        <f t="shared" si="49"/>
        <v>178.66829999999999</v>
      </c>
      <c r="G3194" t="s">
        <v>16</v>
      </c>
      <c r="H3194" t="s">
        <v>10</v>
      </c>
      <c r="J3194" t="str">
        <f>"06/21/2021 00:39"</f>
        <v>06/21/2021 00:39</v>
      </c>
    </row>
    <row r="3195" spans="1:10" x14ac:dyDescent="0.3">
      <c r="A3195" t="s">
        <v>6</v>
      </c>
      <c r="B3195" t="str">
        <f>"06/21/2021 00:00"</f>
        <v>06/21/2021 00:00</v>
      </c>
      <c r="C3195">
        <v>151</v>
      </c>
      <c r="D3195" t="s">
        <v>7</v>
      </c>
      <c r="E3195" s="2" t="s">
        <v>12</v>
      </c>
      <c r="F3195">
        <f t="shared" si="49"/>
        <v>299.43299999999999</v>
      </c>
      <c r="G3195" t="s">
        <v>16</v>
      </c>
      <c r="H3195" t="s">
        <v>10</v>
      </c>
      <c r="J3195" t="str">
        <f>"06/22/2021 00:39"</f>
        <v>06/22/2021 00:39</v>
      </c>
    </row>
    <row r="3196" spans="1:10" x14ac:dyDescent="0.3">
      <c r="A3196" t="s">
        <v>6</v>
      </c>
      <c r="B3196" t="str">
        <f>"06/22/2021 00:00"</f>
        <v>06/22/2021 00:00</v>
      </c>
      <c r="C3196">
        <v>140</v>
      </c>
      <c r="D3196" t="s">
        <v>7</v>
      </c>
      <c r="E3196" s="2" t="s">
        <v>12</v>
      </c>
      <c r="F3196">
        <f t="shared" si="49"/>
        <v>277.62</v>
      </c>
      <c r="G3196" t="s">
        <v>16</v>
      </c>
      <c r="H3196" t="s">
        <v>10</v>
      </c>
      <c r="J3196" t="str">
        <f>"06/23/2021 00:39"</f>
        <v>06/23/2021 00:39</v>
      </c>
    </row>
    <row r="3197" spans="1:10" x14ac:dyDescent="0.3">
      <c r="A3197" t="s">
        <v>6</v>
      </c>
      <c r="B3197" t="str">
        <f>"06/23/2021 00:00"</f>
        <v>06/23/2021 00:00</v>
      </c>
      <c r="C3197">
        <v>130</v>
      </c>
      <c r="D3197" t="s">
        <v>7</v>
      </c>
      <c r="E3197" s="2" t="s">
        <v>12</v>
      </c>
      <c r="F3197">
        <f t="shared" si="49"/>
        <v>257.79000000000002</v>
      </c>
      <c r="G3197" t="s">
        <v>16</v>
      </c>
      <c r="H3197" t="s">
        <v>10</v>
      </c>
      <c r="J3197" t="str">
        <f>"06/24/2021 00:39"</f>
        <v>06/24/2021 00:39</v>
      </c>
    </row>
    <row r="3198" spans="1:10" x14ac:dyDescent="0.3">
      <c r="A3198" t="s">
        <v>6</v>
      </c>
      <c r="B3198" t="str">
        <f>"06/24/2021 00:00"</f>
        <v>06/24/2021 00:00</v>
      </c>
      <c r="C3198">
        <v>130</v>
      </c>
      <c r="D3198" t="s">
        <v>7</v>
      </c>
      <c r="E3198" s="2" t="s">
        <v>12</v>
      </c>
      <c r="F3198">
        <f t="shared" si="49"/>
        <v>257.79000000000002</v>
      </c>
      <c r="G3198" t="s">
        <v>16</v>
      </c>
      <c r="H3198" t="s">
        <v>10</v>
      </c>
      <c r="J3198" t="str">
        <f>"06/25/2021 00:40"</f>
        <v>06/25/2021 00:40</v>
      </c>
    </row>
    <row r="3199" spans="1:10" x14ac:dyDescent="0.3">
      <c r="A3199" t="s">
        <v>6</v>
      </c>
      <c r="B3199" t="str">
        <f>"06/25/2021 00:00"</f>
        <v>06/25/2021 00:00</v>
      </c>
      <c r="C3199">
        <v>131</v>
      </c>
      <c r="D3199" t="s">
        <v>7</v>
      </c>
      <c r="E3199" s="2" t="s">
        <v>12</v>
      </c>
      <c r="F3199">
        <f t="shared" si="49"/>
        <v>259.77300000000002</v>
      </c>
      <c r="G3199" t="s">
        <v>16</v>
      </c>
      <c r="H3199" t="s">
        <v>10</v>
      </c>
      <c r="J3199" t="str">
        <f>"06/26/2021 00:39"</f>
        <v>06/26/2021 00:39</v>
      </c>
    </row>
    <row r="3200" spans="1:10" x14ac:dyDescent="0.3">
      <c r="A3200" t="s">
        <v>6</v>
      </c>
      <c r="B3200" t="str">
        <f>"06/26/2021 00:00"</f>
        <v>06/26/2021 00:00</v>
      </c>
      <c r="C3200">
        <v>82.5</v>
      </c>
      <c r="D3200" t="s">
        <v>7</v>
      </c>
      <c r="E3200" s="2" t="s">
        <v>12</v>
      </c>
      <c r="F3200">
        <f t="shared" si="49"/>
        <v>163.5975</v>
      </c>
      <c r="G3200" t="s">
        <v>16</v>
      </c>
      <c r="H3200" t="s">
        <v>10</v>
      </c>
      <c r="J3200" t="str">
        <f>"06/27/2021 00:39"</f>
        <v>06/27/2021 00:39</v>
      </c>
    </row>
    <row r="3201" spans="1:10" x14ac:dyDescent="0.3">
      <c r="A3201" t="s">
        <v>6</v>
      </c>
      <c r="B3201" t="str">
        <f>"06/27/2021 00:00"</f>
        <v>06/27/2021 00:00</v>
      </c>
      <c r="C3201">
        <v>17.100000000000001</v>
      </c>
      <c r="D3201" t="s">
        <v>7</v>
      </c>
      <c r="E3201" s="2" t="s">
        <v>12</v>
      </c>
      <c r="F3201">
        <f t="shared" si="49"/>
        <v>33.909300000000002</v>
      </c>
      <c r="G3201" t="s">
        <v>16</v>
      </c>
      <c r="H3201" t="s">
        <v>10</v>
      </c>
      <c r="J3201" t="str">
        <f>"06/28/2021 00:39"</f>
        <v>06/28/2021 00:39</v>
      </c>
    </row>
    <row r="3202" spans="1:10" x14ac:dyDescent="0.3">
      <c r="A3202" t="s">
        <v>6</v>
      </c>
      <c r="B3202" t="str">
        <f>"06/28/2021 00:00"</f>
        <v>06/28/2021 00:00</v>
      </c>
      <c r="C3202">
        <v>0.1</v>
      </c>
      <c r="D3202" t="s">
        <v>7</v>
      </c>
      <c r="E3202" s="2" t="s">
        <v>12</v>
      </c>
      <c r="F3202">
        <f t="shared" si="49"/>
        <v>0.19830000000000003</v>
      </c>
      <c r="G3202" t="s">
        <v>16</v>
      </c>
      <c r="H3202" t="s">
        <v>10</v>
      </c>
      <c r="J3202" t="str">
        <f>"06/29/2021 00:39"</f>
        <v>06/29/2021 00:39</v>
      </c>
    </row>
    <row r="3203" spans="1:10" x14ac:dyDescent="0.3">
      <c r="A3203" t="s">
        <v>6</v>
      </c>
      <c r="B3203" t="str">
        <f>"06/29/2021 00:00"</f>
        <v>06/29/2021 00:00</v>
      </c>
      <c r="C3203">
        <v>0.1</v>
      </c>
      <c r="D3203" t="s">
        <v>7</v>
      </c>
      <c r="E3203" s="2" t="s">
        <v>12</v>
      </c>
      <c r="F3203">
        <f t="shared" si="49"/>
        <v>0.19830000000000003</v>
      </c>
      <c r="G3203" t="s">
        <v>16</v>
      </c>
      <c r="H3203" t="s">
        <v>10</v>
      </c>
      <c r="J3203" t="str">
        <f>"06/30/2021 00:40"</f>
        <v>06/30/2021 00:40</v>
      </c>
    </row>
    <row r="3204" spans="1:10" x14ac:dyDescent="0.3">
      <c r="A3204" t="s">
        <v>6</v>
      </c>
      <c r="B3204" t="str">
        <f>"06/30/2021 00:00"</f>
        <v>06/30/2021 00:00</v>
      </c>
      <c r="C3204">
        <v>30.6</v>
      </c>
      <c r="D3204" t="s">
        <v>7</v>
      </c>
      <c r="E3204" s="2" t="s">
        <v>12</v>
      </c>
      <c r="F3204">
        <f t="shared" si="49"/>
        <v>60.679800000000007</v>
      </c>
      <c r="G3204" t="s">
        <v>16</v>
      </c>
      <c r="H3204" t="s">
        <v>10</v>
      </c>
      <c r="J3204" t="str">
        <f>"07/01/2021 00:39"</f>
        <v>07/01/2021 00:39</v>
      </c>
    </row>
    <row r="3205" spans="1:10" x14ac:dyDescent="0.3">
      <c r="A3205" t="s">
        <v>6</v>
      </c>
      <c r="B3205" t="str">
        <f>"07/01/2021 00:00"</f>
        <v>07/01/2021 00:00</v>
      </c>
      <c r="C3205">
        <v>111</v>
      </c>
      <c r="D3205" t="s">
        <v>7</v>
      </c>
      <c r="E3205" s="2" t="s">
        <v>12</v>
      </c>
      <c r="F3205">
        <f t="shared" si="49"/>
        <v>220.113</v>
      </c>
      <c r="G3205" t="s">
        <v>16</v>
      </c>
      <c r="H3205" t="s">
        <v>10</v>
      </c>
      <c r="J3205" t="str">
        <f>"07/02/2021 00:39"</f>
        <v>07/02/2021 00:39</v>
      </c>
    </row>
    <row r="3206" spans="1:10" x14ac:dyDescent="0.3">
      <c r="A3206" t="s">
        <v>6</v>
      </c>
      <c r="B3206" t="str">
        <f>"07/02/2021 00:00"</f>
        <v>07/02/2021 00:00</v>
      </c>
      <c r="C3206">
        <v>150</v>
      </c>
      <c r="D3206" t="s">
        <v>7</v>
      </c>
      <c r="E3206" s="2" t="s">
        <v>12</v>
      </c>
      <c r="F3206">
        <f t="shared" si="49"/>
        <v>297.45</v>
      </c>
      <c r="G3206" t="s">
        <v>16</v>
      </c>
      <c r="H3206" t="s">
        <v>10</v>
      </c>
      <c r="J3206" t="str">
        <f>"07/03/2021 00:39"</f>
        <v>07/03/2021 00:39</v>
      </c>
    </row>
    <row r="3207" spans="1:10" x14ac:dyDescent="0.3">
      <c r="A3207" t="s">
        <v>6</v>
      </c>
      <c r="B3207" t="str">
        <f>"07/03/2021 00:00"</f>
        <v>07/03/2021 00:00</v>
      </c>
      <c r="C3207">
        <v>118</v>
      </c>
      <c r="D3207" t="s">
        <v>7</v>
      </c>
      <c r="E3207" s="2" t="s">
        <v>12</v>
      </c>
      <c r="F3207">
        <f t="shared" si="49"/>
        <v>233.994</v>
      </c>
      <c r="G3207" t="s">
        <v>16</v>
      </c>
      <c r="H3207" t="s">
        <v>10</v>
      </c>
      <c r="J3207" t="str">
        <f>"07/04/2021 00:39"</f>
        <v>07/04/2021 00:39</v>
      </c>
    </row>
    <row r="3208" spans="1:10" x14ac:dyDescent="0.3">
      <c r="A3208" t="s">
        <v>6</v>
      </c>
      <c r="B3208" t="str">
        <f>"07/04/2021 00:00"</f>
        <v>07/04/2021 00:00</v>
      </c>
      <c r="C3208">
        <v>100</v>
      </c>
      <c r="D3208" t="s">
        <v>7</v>
      </c>
      <c r="E3208" s="2" t="s">
        <v>12</v>
      </c>
      <c r="F3208">
        <f t="shared" si="49"/>
        <v>198.3</v>
      </c>
      <c r="G3208" t="s">
        <v>16</v>
      </c>
      <c r="H3208" t="s">
        <v>10</v>
      </c>
      <c r="J3208" t="str">
        <f>"07/05/2021 00:39"</f>
        <v>07/05/2021 00:39</v>
      </c>
    </row>
    <row r="3209" spans="1:10" x14ac:dyDescent="0.3">
      <c r="A3209" t="s">
        <v>6</v>
      </c>
      <c r="B3209" t="str">
        <f>"07/05/2021 00:00"</f>
        <v>07/05/2021 00:00</v>
      </c>
      <c r="C3209">
        <v>100</v>
      </c>
      <c r="D3209" t="s">
        <v>7</v>
      </c>
      <c r="E3209" s="2" t="s">
        <v>12</v>
      </c>
      <c r="F3209">
        <f t="shared" si="49"/>
        <v>198.3</v>
      </c>
      <c r="G3209" t="s">
        <v>16</v>
      </c>
      <c r="H3209" t="s">
        <v>10</v>
      </c>
      <c r="J3209" t="str">
        <f>"07/06/2021 00:39"</f>
        <v>07/06/2021 00:39</v>
      </c>
    </row>
    <row r="3210" spans="1:10" x14ac:dyDescent="0.3">
      <c r="A3210" t="s">
        <v>6</v>
      </c>
      <c r="B3210" t="str">
        <f>"07/06/2021 00:00"</f>
        <v>07/06/2021 00:00</v>
      </c>
      <c r="C3210">
        <v>100</v>
      </c>
      <c r="D3210" t="s">
        <v>7</v>
      </c>
      <c r="E3210" s="2" t="s">
        <v>12</v>
      </c>
      <c r="F3210">
        <f t="shared" si="49"/>
        <v>198.3</v>
      </c>
      <c r="G3210" t="s">
        <v>16</v>
      </c>
      <c r="H3210" t="s">
        <v>10</v>
      </c>
      <c r="J3210" t="str">
        <f>"07/07/2021 00:39"</f>
        <v>07/07/2021 00:39</v>
      </c>
    </row>
    <row r="3211" spans="1:10" x14ac:dyDescent="0.3">
      <c r="A3211" t="s">
        <v>6</v>
      </c>
      <c r="B3211" t="str">
        <f>"07/07/2021 00:00"</f>
        <v>07/07/2021 00:00</v>
      </c>
      <c r="C3211">
        <v>100</v>
      </c>
      <c r="D3211" t="s">
        <v>7</v>
      </c>
      <c r="E3211" s="2" t="s">
        <v>12</v>
      </c>
      <c r="F3211">
        <f t="shared" ref="F3211:F3274" si="50">C3211*1.983</f>
        <v>198.3</v>
      </c>
      <c r="G3211" t="s">
        <v>16</v>
      </c>
      <c r="H3211" t="s">
        <v>10</v>
      </c>
      <c r="J3211" t="str">
        <f>"07/08/2021 00:39"</f>
        <v>07/08/2021 00:39</v>
      </c>
    </row>
    <row r="3212" spans="1:10" x14ac:dyDescent="0.3">
      <c r="A3212" t="s">
        <v>6</v>
      </c>
      <c r="B3212" t="str">
        <f>"07/08/2021 00:00"</f>
        <v>07/08/2021 00:00</v>
      </c>
      <c r="C3212">
        <v>100</v>
      </c>
      <c r="D3212" t="s">
        <v>7</v>
      </c>
      <c r="E3212" s="2" t="s">
        <v>12</v>
      </c>
      <c r="F3212">
        <f t="shared" si="50"/>
        <v>198.3</v>
      </c>
      <c r="G3212" t="s">
        <v>16</v>
      </c>
      <c r="H3212" t="s">
        <v>10</v>
      </c>
      <c r="J3212" t="str">
        <f>"07/09/2021 00:40"</f>
        <v>07/09/2021 00:40</v>
      </c>
    </row>
    <row r="3213" spans="1:10" x14ac:dyDescent="0.3">
      <c r="A3213" t="s">
        <v>6</v>
      </c>
      <c r="B3213" t="str">
        <f>"07/09/2021 00:00"</f>
        <v>07/09/2021 00:00</v>
      </c>
      <c r="C3213">
        <v>100</v>
      </c>
      <c r="D3213" t="s">
        <v>7</v>
      </c>
      <c r="E3213" s="2" t="s">
        <v>12</v>
      </c>
      <c r="F3213">
        <f t="shared" si="50"/>
        <v>198.3</v>
      </c>
      <c r="G3213" t="s">
        <v>16</v>
      </c>
      <c r="H3213" t="s">
        <v>10</v>
      </c>
      <c r="J3213" t="str">
        <f>"07/10/2021 00:39"</f>
        <v>07/10/2021 00:39</v>
      </c>
    </row>
    <row r="3214" spans="1:10" x14ac:dyDescent="0.3">
      <c r="A3214" t="s">
        <v>6</v>
      </c>
      <c r="B3214" t="str">
        <f>"07/10/2021 00:00"</f>
        <v>07/10/2021 00:00</v>
      </c>
      <c r="C3214">
        <v>100</v>
      </c>
      <c r="D3214" t="s">
        <v>7</v>
      </c>
      <c r="E3214" s="2" t="s">
        <v>12</v>
      </c>
      <c r="F3214">
        <f t="shared" si="50"/>
        <v>198.3</v>
      </c>
      <c r="G3214" t="s">
        <v>16</v>
      </c>
      <c r="H3214" t="s">
        <v>10</v>
      </c>
      <c r="J3214" t="str">
        <f>"07/11/2021 00:39"</f>
        <v>07/11/2021 00:39</v>
      </c>
    </row>
    <row r="3215" spans="1:10" x14ac:dyDescent="0.3">
      <c r="A3215" t="s">
        <v>6</v>
      </c>
      <c r="B3215" t="str">
        <f>"07/11/2021 00:00"</f>
        <v>07/11/2021 00:00</v>
      </c>
      <c r="C3215">
        <v>111</v>
      </c>
      <c r="D3215" t="s">
        <v>7</v>
      </c>
      <c r="E3215" s="2" t="s">
        <v>12</v>
      </c>
      <c r="F3215">
        <f t="shared" si="50"/>
        <v>220.113</v>
      </c>
      <c r="G3215" t="s">
        <v>16</v>
      </c>
      <c r="H3215" t="s">
        <v>10</v>
      </c>
      <c r="J3215" t="str">
        <f>"07/12/2021 00:39"</f>
        <v>07/12/2021 00:39</v>
      </c>
    </row>
    <row r="3216" spans="1:10" x14ac:dyDescent="0.3">
      <c r="A3216" t="s">
        <v>6</v>
      </c>
      <c r="B3216" t="str">
        <f>"07/12/2021 00:00"</f>
        <v>07/12/2021 00:00</v>
      </c>
      <c r="C3216">
        <v>152</v>
      </c>
      <c r="D3216" t="s">
        <v>7</v>
      </c>
      <c r="E3216" s="2" t="s">
        <v>12</v>
      </c>
      <c r="F3216">
        <f t="shared" si="50"/>
        <v>301.416</v>
      </c>
      <c r="G3216" t="s">
        <v>16</v>
      </c>
      <c r="H3216" t="s">
        <v>10</v>
      </c>
      <c r="J3216" t="str">
        <f>"07/13/2021 00:39"</f>
        <v>07/13/2021 00:39</v>
      </c>
    </row>
    <row r="3217" spans="1:10" x14ac:dyDescent="0.3">
      <c r="A3217" t="s">
        <v>6</v>
      </c>
      <c r="B3217" t="str">
        <f>"07/13/2021 00:00"</f>
        <v>07/13/2021 00:00</v>
      </c>
      <c r="C3217">
        <v>201</v>
      </c>
      <c r="D3217" t="s">
        <v>7</v>
      </c>
      <c r="E3217" s="2" t="s">
        <v>12</v>
      </c>
      <c r="F3217">
        <f t="shared" si="50"/>
        <v>398.58300000000003</v>
      </c>
      <c r="G3217" t="s">
        <v>16</v>
      </c>
      <c r="H3217" t="s">
        <v>10</v>
      </c>
      <c r="J3217" t="str">
        <f>"07/14/2021 00:39"</f>
        <v>07/14/2021 00:39</v>
      </c>
    </row>
    <row r="3218" spans="1:10" x14ac:dyDescent="0.3">
      <c r="A3218" t="s">
        <v>6</v>
      </c>
      <c r="B3218" t="str">
        <f>"07/14/2021 00:00"</f>
        <v>07/14/2021 00:00</v>
      </c>
      <c r="C3218">
        <v>224</v>
      </c>
      <c r="D3218" t="s">
        <v>7</v>
      </c>
      <c r="E3218" s="2" t="s">
        <v>12</v>
      </c>
      <c r="F3218">
        <f t="shared" si="50"/>
        <v>444.19200000000001</v>
      </c>
      <c r="G3218" t="s">
        <v>16</v>
      </c>
      <c r="H3218" t="s">
        <v>10</v>
      </c>
      <c r="J3218" t="str">
        <f>"07/15/2021 00:39"</f>
        <v>07/15/2021 00:39</v>
      </c>
    </row>
    <row r="3219" spans="1:10" x14ac:dyDescent="0.3">
      <c r="A3219" t="s">
        <v>6</v>
      </c>
      <c r="B3219" t="str">
        <f>"07/15/2021 00:00"</f>
        <v>07/15/2021 00:00</v>
      </c>
      <c r="C3219">
        <v>196</v>
      </c>
      <c r="D3219" t="s">
        <v>7</v>
      </c>
      <c r="E3219" s="2" t="s">
        <v>12</v>
      </c>
      <c r="F3219">
        <f t="shared" si="50"/>
        <v>388.66800000000001</v>
      </c>
      <c r="G3219" t="s">
        <v>16</v>
      </c>
      <c r="H3219" t="s">
        <v>10</v>
      </c>
      <c r="J3219" t="str">
        <f>"07/16/2021 00:39"</f>
        <v>07/16/2021 00:39</v>
      </c>
    </row>
    <row r="3220" spans="1:10" x14ac:dyDescent="0.3">
      <c r="A3220" t="s">
        <v>6</v>
      </c>
      <c r="B3220" t="str">
        <f>"07/16/2021 00:00"</f>
        <v>07/16/2021 00:00</v>
      </c>
      <c r="C3220">
        <v>150</v>
      </c>
      <c r="D3220" t="s">
        <v>7</v>
      </c>
      <c r="E3220" s="2" t="s">
        <v>12</v>
      </c>
      <c r="F3220">
        <f t="shared" si="50"/>
        <v>297.45</v>
      </c>
      <c r="G3220" t="s">
        <v>16</v>
      </c>
      <c r="H3220" t="s">
        <v>10</v>
      </c>
      <c r="J3220" t="str">
        <f>"07/17/2021 00:39"</f>
        <v>07/17/2021 00:39</v>
      </c>
    </row>
    <row r="3221" spans="1:10" x14ac:dyDescent="0.3">
      <c r="A3221" t="s">
        <v>6</v>
      </c>
      <c r="B3221" t="str">
        <f>"07/17/2021 00:00"</f>
        <v>07/17/2021 00:00</v>
      </c>
      <c r="C3221">
        <v>150</v>
      </c>
      <c r="D3221" t="s">
        <v>7</v>
      </c>
      <c r="E3221" s="2" t="s">
        <v>12</v>
      </c>
      <c r="F3221">
        <f t="shared" si="50"/>
        <v>297.45</v>
      </c>
      <c r="G3221" t="s">
        <v>16</v>
      </c>
      <c r="H3221" t="s">
        <v>10</v>
      </c>
      <c r="J3221" t="str">
        <f>"07/18/2021 00:39"</f>
        <v>07/18/2021 00:39</v>
      </c>
    </row>
    <row r="3222" spans="1:10" x14ac:dyDescent="0.3">
      <c r="A3222" t="s">
        <v>6</v>
      </c>
      <c r="B3222" t="str">
        <f>"07/18/2021 00:00"</f>
        <v>07/18/2021 00:00</v>
      </c>
      <c r="C3222">
        <v>150</v>
      </c>
      <c r="D3222" t="s">
        <v>7</v>
      </c>
      <c r="E3222" s="2" t="s">
        <v>12</v>
      </c>
      <c r="F3222">
        <f t="shared" si="50"/>
        <v>297.45</v>
      </c>
      <c r="G3222" t="s">
        <v>16</v>
      </c>
      <c r="H3222" t="s">
        <v>10</v>
      </c>
      <c r="J3222" t="str">
        <f>"07/19/2021 00:39"</f>
        <v>07/19/2021 00:39</v>
      </c>
    </row>
    <row r="3223" spans="1:10" x14ac:dyDescent="0.3">
      <c r="A3223" t="s">
        <v>6</v>
      </c>
      <c r="B3223" t="str">
        <f>"07/19/2021 00:00"</f>
        <v>07/19/2021 00:00</v>
      </c>
      <c r="C3223">
        <v>150</v>
      </c>
      <c r="D3223" t="s">
        <v>7</v>
      </c>
      <c r="E3223" s="2" t="s">
        <v>12</v>
      </c>
      <c r="F3223">
        <f t="shared" si="50"/>
        <v>297.45</v>
      </c>
      <c r="G3223" t="s">
        <v>16</v>
      </c>
      <c r="H3223" t="s">
        <v>10</v>
      </c>
      <c r="J3223" t="str">
        <f>"07/20/2021 00:39"</f>
        <v>07/20/2021 00:39</v>
      </c>
    </row>
    <row r="3224" spans="1:10" x14ac:dyDescent="0.3">
      <c r="A3224" t="s">
        <v>6</v>
      </c>
      <c r="B3224" t="str">
        <f>"07/20/2021 00:00"</f>
        <v>07/20/2021 00:00</v>
      </c>
      <c r="C3224">
        <v>177</v>
      </c>
      <c r="D3224" t="s">
        <v>7</v>
      </c>
      <c r="E3224" s="2" t="s">
        <v>12</v>
      </c>
      <c r="F3224">
        <f t="shared" si="50"/>
        <v>350.99100000000004</v>
      </c>
      <c r="G3224" t="s">
        <v>16</v>
      </c>
      <c r="H3224" t="s">
        <v>10</v>
      </c>
      <c r="J3224" t="str">
        <f>"07/21/2021 00:39"</f>
        <v>07/21/2021 00:39</v>
      </c>
    </row>
    <row r="3225" spans="1:10" x14ac:dyDescent="0.3">
      <c r="A3225" t="s">
        <v>6</v>
      </c>
      <c r="B3225" t="str">
        <f>"07/21/2021 00:00"</f>
        <v>07/21/2021 00:00</v>
      </c>
      <c r="C3225">
        <v>233</v>
      </c>
      <c r="D3225" t="s">
        <v>7</v>
      </c>
      <c r="E3225" s="2" t="s">
        <v>12</v>
      </c>
      <c r="F3225">
        <f t="shared" si="50"/>
        <v>462.03900000000004</v>
      </c>
      <c r="G3225" t="s">
        <v>16</v>
      </c>
      <c r="H3225" t="s">
        <v>10</v>
      </c>
      <c r="J3225" t="str">
        <f>"07/21/2021 23:39"</f>
        <v>07/21/2021 23:39</v>
      </c>
    </row>
    <row r="3226" spans="1:10" x14ac:dyDescent="0.3">
      <c r="A3226" t="s">
        <v>6</v>
      </c>
      <c r="B3226" t="str">
        <f>"07/22/2021 00:00"</f>
        <v>07/22/2021 00:00</v>
      </c>
      <c r="C3226">
        <v>249</v>
      </c>
      <c r="D3226" t="s">
        <v>7</v>
      </c>
      <c r="E3226" s="2" t="s">
        <v>12</v>
      </c>
      <c r="F3226">
        <f t="shared" si="50"/>
        <v>493.767</v>
      </c>
      <c r="G3226" t="s">
        <v>16</v>
      </c>
      <c r="H3226" t="s">
        <v>10</v>
      </c>
      <c r="J3226" t="str">
        <f>"07/23/2021 08:15"</f>
        <v>07/23/2021 08:15</v>
      </c>
    </row>
    <row r="3227" spans="1:10" x14ac:dyDescent="0.3">
      <c r="A3227" t="s">
        <v>6</v>
      </c>
      <c r="B3227" t="str">
        <f>"07/23/2021 00:00"</f>
        <v>07/23/2021 00:00</v>
      </c>
      <c r="C3227">
        <v>220</v>
      </c>
      <c r="D3227" t="s">
        <v>7</v>
      </c>
      <c r="E3227" s="2" t="s">
        <v>12</v>
      </c>
      <c r="F3227">
        <f t="shared" si="50"/>
        <v>436.26000000000005</v>
      </c>
      <c r="G3227" t="s">
        <v>16</v>
      </c>
      <c r="H3227" t="s">
        <v>10</v>
      </c>
      <c r="J3227" t="str">
        <f>"07/24/2021 00:40"</f>
        <v>07/24/2021 00:40</v>
      </c>
    </row>
    <row r="3228" spans="1:10" x14ac:dyDescent="0.3">
      <c r="A3228" t="s">
        <v>6</v>
      </c>
      <c r="B3228" t="str">
        <f>"07/24/2021 00:00"</f>
        <v>07/24/2021 00:00</v>
      </c>
      <c r="C3228">
        <v>91.2</v>
      </c>
      <c r="D3228" t="s">
        <v>7</v>
      </c>
      <c r="E3228" s="2" t="s">
        <v>12</v>
      </c>
      <c r="F3228">
        <f t="shared" si="50"/>
        <v>180.84960000000001</v>
      </c>
      <c r="G3228" t="s">
        <v>16</v>
      </c>
      <c r="H3228" t="s">
        <v>10</v>
      </c>
      <c r="J3228" t="str">
        <f>"07/25/2021 00:39"</f>
        <v>07/25/2021 00:39</v>
      </c>
    </row>
    <row r="3229" spans="1:10" x14ac:dyDescent="0.3">
      <c r="A3229" t="s">
        <v>6</v>
      </c>
      <c r="B3229" t="str">
        <f>"07/25/2021 00:00"</f>
        <v>07/25/2021 00:00</v>
      </c>
      <c r="C3229">
        <v>0.05</v>
      </c>
      <c r="D3229" t="s">
        <v>7</v>
      </c>
      <c r="E3229" s="2" t="s">
        <v>12</v>
      </c>
      <c r="F3229">
        <f t="shared" si="50"/>
        <v>9.9150000000000016E-2</v>
      </c>
      <c r="G3229" t="s">
        <v>16</v>
      </c>
      <c r="H3229" t="s">
        <v>10</v>
      </c>
      <c r="J3229" t="str">
        <f>"07/26/2021 00:39"</f>
        <v>07/26/2021 00:39</v>
      </c>
    </row>
    <row r="3230" spans="1:10" x14ac:dyDescent="0.3">
      <c r="A3230" t="s">
        <v>6</v>
      </c>
      <c r="B3230" t="str">
        <f>"07/26/2021 00:00"</f>
        <v>07/26/2021 00:00</v>
      </c>
      <c r="C3230">
        <v>59.3</v>
      </c>
      <c r="D3230" t="s">
        <v>7</v>
      </c>
      <c r="E3230" s="2" t="s">
        <v>12</v>
      </c>
      <c r="F3230">
        <f t="shared" si="50"/>
        <v>117.5919</v>
      </c>
      <c r="G3230" t="s">
        <v>16</v>
      </c>
      <c r="H3230" t="s">
        <v>10</v>
      </c>
      <c r="J3230" t="str">
        <f>"07/27/2021 00:39"</f>
        <v>07/27/2021 00:39</v>
      </c>
    </row>
    <row r="3231" spans="1:10" x14ac:dyDescent="0.3">
      <c r="A3231" t="s">
        <v>6</v>
      </c>
      <c r="B3231" t="str">
        <f>"07/27/2021 00:00"</f>
        <v>07/27/2021 00:00</v>
      </c>
      <c r="C3231">
        <v>99.3</v>
      </c>
      <c r="D3231" t="s">
        <v>7</v>
      </c>
      <c r="E3231" s="2" t="s">
        <v>12</v>
      </c>
      <c r="F3231">
        <f t="shared" si="50"/>
        <v>196.9119</v>
      </c>
      <c r="G3231" t="s">
        <v>16</v>
      </c>
      <c r="H3231" t="s">
        <v>10</v>
      </c>
      <c r="J3231" t="str">
        <f>"07/28/2021 00:39"</f>
        <v>07/28/2021 00:39</v>
      </c>
    </row>
    <row r="3232" spans="1:10" x14ac:dyDescent="0.3">
      <c r="A3232" t="s">
        <v>6</v>
      </c>
      <c r="B3232" t="str">
        <f>"07/28/2021 00:00"</f>
        <v>07/28/2021 00:00</v>
      </c>
      <c r="C3232">
        <v>99.4</v>
      </c>
      <c r="D3232" t="s">
        <v>7</v>
      </c>
      <c r="E3232" s="2" t="s">
        <v>12</v>
      </c>
      <c r="F3232">
        <f t="shared" si="50"/>
        <v>197.11020000000002</v>
      </c>
      <c r="G3232" t="s">
        <v>16</v>
      </c>
      <c r="H3232" t="s">
        <v>10</v>
      </c>
      <c r="J3232" t="str">
        <f>"07/29/2021 00:39"</f>
        <v>07/29/2021 00:39</v>
      </c>
    </row>
    <row r="3233" spans="1:10" x14ac:dyDescent="0.3">
      <c r="A3233" t="s">
        <v>6</v>
      </c>
      <c r="B3233" t="str">
        <f>"07/29/2021 00:00"</f>
        <v>07/29/2021 00:00</v>
      </c>
      <c r="C3233">
        <v>71.599999999999994</v>
      </c>
      <c r="D3233" t="s">
        <v>7</v>
      </c>
      <c r="E3233" s="2" t="s">
        <v>12</v>
      </c>
      <c r="F3233">
        <f t="shared" si="50"/>
        <v>141.9828</v>
      </c>
      <c r="G3233" t="s">
        <v>16</v>
      </c>
      <c r="H3233" t="s">
        <v>10</v>
      </c>
      <c r="J3233" t="str">
        <f>"07/30/2021 00:39"</f>
        <v>07/30/2021 00:39</v>
      </c>
    </row>
    <row r="3234" spans="1:10" x14ac:dyDescent="0.3">
      <c r="A3234" t="s">
        <v>6</v>
      </c>
      <c r="B3234" t="str">
        <f>"07/30/2021 00:00"</f>
        <v>07/30/2021 00:00</v>
      </c>
      <c r="C3234">
        <v>22.1</v>
      </c>
      <c r="D3234" t="s">
        <v>7</v>
      </c>
      <c r="E3234" s="2" t="s">
        <v>12</v>
      </c>
      <c r="F3234">
        <f t="shared" si="50"/>
        <v>43.824300000000008</v>
      </c>
      <c r="G3234" t="s">
        <v>16</v>
      </c>
      <c r="H3234" t="s">
        <v>10</v>
      </c>
      <c r="J3234" t="str">
        <f>"07/31/2021 00:39"</f>
        <v>07/31/2021 00:39</v>
      </c>
    </row>
    <row r="3235" spans="1:10" x14ac:dyDescent="0.3">
      <c r="A3235" t="s">
        <v>6</v>
      </c>
      <c r="B3235" t="str">
        <f>"07/31/2021 00:00"</f>
        <v>07/31/2021 00:00</v>
      </c>
      <c r="C3235">
        <v>0.05</v>
      </c>
      <c r="D3235" t="s">
        <v>7</v>
      </c>
      <c r="E3235" s="2" t="s">
        <v>12</v>
      </c>
      <c r="F3235">
        <f t="shared" si="50"/>
        <v>9.9150000000000016E-2</v>
      </c>
      <c r="G3235" t="s">
        <v>16</v>
      </c>
      <c r="H3235" t="s">
        <v>10</v>
      </c>
      <c r="J3235" t="str">
        <f>"08/01/2021 00:39"</f>
        <v>08/01/2021 00:39</v>
      </c>
    </row>
    <row r="3236" spans="1:10" x14ac:dyDescent="0.3">
      <c r="A3236" t="s">
        <v>6</v>
      </c>
      <c r="B3236" t="str">
        <f>"08/01/2021 00:00"</f>
        <v>08/01/2021 00:00</v>
      </c>
      <c r="C3236">
        <v>2.6599999999999999E-2</v>
      </c>
      <c r="D3236" t="s">
        <v>7</v>
      </c>
      <c r="E3236" s="2" t="s">
        <v>12</v>
      </c>
      <c r="F3236">
        <f t="shared" si="50"/>
        <v>5.2747799999999997E-2</v>
      </c>
      <c r="G3236" t="s">
        <v>16</v>
      </c>
      <c r="H3236" t="s">
        <v>10</v>
      </c>
      <c r="J3236" t="str">
        <f>"08/02/2021 00:39"</f>
        <v>08/02/2021 00:39</v>
      </c>
    </row>
    <row r="3237" spans="1:10" x14ac:dyDescent="0.3">
      <c r="A3237" t="s">
        <v>6</v>
      </c>
      <c r="B3237" t="str">
        <f>"08/02/2021 00:00"</f>
        <v>08/02/2021 00:00</v>
      </c>
      <c r="C3237">
        <v>1.61E-2</v>
      </c>
      <c r="D3237" t="s">
        <v>7</v>
      </c>
      <c r="E3237" s="2" t="s">
        <v>12</v>
      </c>
      <c r="F3237">
        <f t="shared" si="50"/>
        <v>3.1926299999999998E-2</v>
      </c>
      <c r="G3237" t="s">
        <v>16</v>
      </c>
      <c r="H3237" t="s">
        <v>10</v>
      </c>
      <c r="J3237" t="str">
        <f>"08/03/2021 00:39"</f>
        <v>08/03/2021 00:39</v>
      </c>
    </row>
    <row r="3238" spans="1:10" x14ac:dyDescent="0.3">
      <c r="A3238" t="s">
        <v>6</v>
      </c>
      <c r="B3238" t="str">
        <f>"08/03/2021 00:00"</f>
        <v>08/03/2021 00:00</v>
      </c>
      <c r="C3238">
        <v>3.1800000000000002E-2</v>
      </c>
      <c r="D3238" t="s">
        <v>7</v>
      </c>
      <c r="E3238" s="2" t="s">
        <v>12</v>
      </c>
      <c r="F3238">
        <f t="shared" si="50"/>
        <v>6.3059400000000002E-2</v>
      </c>
      <c r="G3238" t="s">
        <v>16</v>
      </c>
      <c r="H3238" t="s">
        <v>10</v>
      </c>
      <c r="J3238" t="str">
        <f>"08/04/2021 00:39"</f>
        <v>08/04/2021 00:39</v>
      </c>
    </row>
    <row r="3239" spans="1:10" x14ac:dyDescent="0.3">
      <c r="A3239" t="s">
        <v>6</v>
      </c>
      <c r="B3239" t="str">
        <f>"08/04/2021 00:00"</f>
        <v>08/04/2021 00:00</v>
      </c>
      <c r="C3239">
        <v>0</v>
      </c>
      <c r="D3239" t="s">
        <v>7</v>
      </c>
      <c r="E3239" s="2" t="s">
        <v>12</v>
      </c>
      <c r="F3239">
        <f t="shared" si="50"/>
        <v>0</v>
      </c>
      <c r="G3239" t="s">
        <v>16</v>
      </c>
      <c r="H3239" t="s">
        <v>10</v>
      </c>
      <c r="J3239" t="str">
        <f>"08/05/2021 00:39"</f>
        <v>08/05/2021 00:39</v>
      </c>
    </row>
    <row r="3240" spans="1:10" x14ac:dyDescent="0.3">
      <c r="A3240" t="s">
        <v>6</v>
      </c>
      <c r="B3240" t="str">
        <f>"08/05/2021 00:00"</f>
        <v>08/05/2021 00:00</v>
      </c>
      <c r="C3240">
        <v>0</v>
      </c>
      <c r="D3240" t="s">
        <v>7</v>
      </c>
      <c r="E3240" s="2" t="s">
        <v>12</v>
      </c>
      <c r="F3240">
        <f t="shared" si="50"/>
        <v>0</v>
      </c>
      <c r="G3240" t="s">
        <v>16</v>
      </c>
      <c r="H3240" t="s">
        <v>10</v>
      </c>
      <c r="J3240" t="str">
        <f>"08/06/2021 00:39"</f>
        <v>08/06/2021 00:39</v>
      </c>
    </row>
    <row r="3241" spans="1:10" x14ac:dyDescent="0.3">
      <c r="A3241" t="s">
        <v>6</v>
      </c>
      <c r="B3241" t="str">
        <f>"08/06/2021 00:00"</f>
        <v>08/06/2021 00:00</v>
      </c>
      <c r="C3241">
        <v>33.200000000000003</v>
      </c>
      <c r="D3241" t="s">
        <v>7</v>
      </c>
      <c r="E3241" s="2" t="s">
        <v>12</v>
      </c>
      <c r="F3241">
        <f t="shared" si="50"/>
        <v>65.835600000000014</v>
      </c>
      <c r="G3241" t="s">
        <v>16</v>
      </c>
      <c r="H3241" t="s">
        <v>10</v>
      </c>
      <c r="J3241" t="str">
        <f>"08/07/2021 00:39"</f>
        <v>08/07/2021 00:39</v>
      </c>
    </row>
    <row r="3242" spans="1:10" x14ac:dyDescent="0.3">
      <c r="A3242" t="s">
        <v>6</v>
      </c>
      <c r="B3242" t="str">
        <f>"08/07/2021 00:00"</f>
        <v>08/07/2021 00:00</v>
      </c>
      <c r="C3242">
        <v>79.2</v>
      </c>
      <c r="D3242" t="s">
        <v>7</v>
      </c>
      <c r="E3242" s="2" t="s">
        <v>12</v>
      </c>
      <c r="F3242">
        <f t="shared" si="50"/>
        <v>157.05360000000002</v>
      </c>
      <c r="G3242" t="s">
        <v>16</v>
      </c>
      <c r="H3242" t="s">
        <v>10</v>
      </c>
      <c r="J3242" t="str">
        <f>"08/08/2021 00:39"</f>
        <v>08/08/2021 00:39</v>
      </c>
    </row>
    <row r="3243" spans="1:10" x14ac:dyDescent="0.3">
      <c r="A3243" t="s">
        <v>6</v>
      </c>
      <c r="B3243" t="str">
        <f>"08/08/2021 00:00"</f>
        <v>08/08/2021 00:00</v>
      </c>
      <c r="C3243">
        <v>100</v>
      </c>
      <c r="D3243" t="s">
        <v>7</v>
      </c>
      <c r="E3243" s="2" t="s">
        <v>12</v>
      </c>
      <c r="F3243">
        <f t="shared" si="50"/>
        <v>198.3</v>
      </c>
      <c r="G3243" t="s">
        <v>16</v>
      </c>
      <c r="H3243" t="s">
        <v>10</v>
      </c>
      <c r="J3243" t="str">
        <f>"08/09/2021 00:39"</f>
        <v>08/09/2021 00:39</v>
      </c>
    </row>
    <row r="3244" spans="1:10" x14ac:dyDescent="0.3">
      <c r="A3244" t="s">
        <v>6</v>
      </c>
      <c r="B3244" t="str">
        <f>"08/09/2021 00:00"</f>
        <v>08/09/2021 00:00</v>
      </c>
      <c r="C3244">
        <v>140</v>
      </c>
      <c r="D3244" t="s">
        <v>7</v>
      </c>
      <c r="E3244" s="2" t="s">
        <v>12</v>
      </c>
      <c r="F3244">
        <f t="shared" si="50"/>
        <v>277.62</v>
      </c>
      <c r="G3244" t="s">
        <v>16</v>
      </c>
      <c r="H3244" t="s">
        <v>10</v>
      </c>
      <c r="J3244" t="str">
        <f>"08/10/2021 00:39"</f>
        <v>08/10/2021 00:39</v>
      </c>
    </row>
    <row r="3245" spans="1:10" x14ac:dyDescent="0.3">
      <c r="A3245" t="s">
        <v>6</v>
      </c>
      <c r="B3245" t="str">
        <f>"08/10/2021 00:00"</f>
        <v>08/10/2021 00:00</v>
      </c>
      <c r="C3245">
        <v>204</v>
      </c>
      <c r="D3245" t="s">
        <v>7</v>
      </c>
      <c r="E3245" s="2" t="s">
        <v>12</v>
      </c>
      <c r="F3245">
        <f t="shared" si="50"/>
        <v>404.53200000000004</v>
      </c>
      <c r="G3245" t="s">
        <v>16</v>
      </c>
      <c r="H3245" t="s">
        <v>10</v>
      </c>
      <c r="J3245" t="str">
        <f>"08/11/2021 00:39"</f>
        <v>08/11/2021 00:39</v>
      </c>
    </row>
    <row r="3246" spans="1:10" x14ac:dyDescent="0.3">
      <c r="A3246" t="s">
        <v>6</v>
      </c>
      <c r="B3246" t="str">
        <f>"08/11/2021 00:00"</f>
        <v>08/11/2021 00:00</v>
      </c>
      <c r="C3246">
        <v>253</v>
      </c>
      <c r="D3246" t="s">
        <v>7</v>
      </c>
      <c r="E3246" s="2" t="s">
        <v>12</v>
      </c>
      <c r="F3246">
        <f t="shared" si="50"/>
        <v>501.69900000000001</v>
      </c>
      <c r="G3246" t="s">
        <v>16</v>
      </c>
      <c r="H3246" t="s">
        <v>10</v>
      </c>
      <c r="J3246" t="str">
        <f>"08/12/2021 00:39"</f>
        <v>08/12/2021 00:39</v>
      </c>
    </row>
    <row r="3247" spans="1:10" x14ac:dyDescent="0.3">
      <c r="A3247" t="s">
        <v>6</v>
      </c>
      <c r="B3247" t="str">
        <f>"08/12/2021 00:00"</f>
        <v>08/12/2021 00:00</v>
      </c>
      <c r="C3247">
        <v>274</v>
      </c>
      <c r="D3247" t="s">
        <v>7</v>
      </c>
      <c r="E3247" s="2" t="s">
        <v>12</v>
      </c>
      <c r="F3247">
        <f t="shared" si="50"/>
        <v>543.34199999999998</v>
      </c>
      <c r="G3247" t="s">
        <v>16</v>
      </c>
      <c r="H3247" t="s">
        <v>10</v>
      </c>
      <c r="J3247" t="str">
        <f>"08/13/2021 00:39"</f>
        <v>08/13/2021 00:39</v>
      </c>
    </row>
    <row r="3248" spans="1:10" x14ac:dyDescent="0.3">
      <c r="A3248" t="s">
        <v>6</v>
      </c>
      <c r="B3248" t="str">
        <f>"08/13/2021 00:00"</f>
        <v>08/13/2021 00:00</v>
      </c>
      <c r="C3248">
        <v>274</v>
      </c>
      <c r="D3248" t="s">
        <v>7</v>
      </c>
      <c r="E3248" s="2" t="s">
        <v>12</v>
      </c>
      <c r="F3248">
        <f t="shared" si="50"/>
        <v>543.34199999999998</v>
      </c>
      <c r="G3248" t="s">
        <v>16</v>
      </c>
      <c r="H3248" t="s">
        <v>10</v>
      </c>
      <c r="J3248" t="str">
        <f>"08/14/2021 00:39"</f>
        <v>08/14/2021 00:39</v>
      </c>
    </row>
    <row r="3249" spans="1:10" x14ac:dyDescent="0.3">
      <c r="A3249" t="s">
        <v>6</v>
      </c>
      <c r="B3249" t="str">
        <f>"08/14/2021 00:00"</f>
        <v>08/14/2021 00:00</v>
      </c>
      <c r="C3249">
        <v>274</v>
      </c>
      <c r="D3249" t="s">
        <v>7</v>
      </c>
      <c r="E3249" s="2" t="s">
        <v>12</v>
      </c>
      <c r="F3249">
        <f t="shared" si="50"/>
        <v>543.34199999999998</v>
      </c>
      <c r="G3249" t="s">
        <v>16</v>
      </c>
      <c r="H3249" t="s">
        <v>10</v>
      </c>
      <c r="J3249" t="str">
        <f>"08/15/2021 00:39"</f>
        <v>08/15/2021 00:39</v>
      </c>
    </row>
    <row r="3250" spans="1:10" x14ac:dyDescent="0.3">
      <c r="A3250" t="s">
        <v>6</v>
      </c>
      <c r="B3250" t="str">
        <f>"08/15/2021 00:00"</f>
        <v>08/15/2021 00:00</v>
      </c>
      <c r="C3250">
        <v>325</v>
      </c>
      <c r="D3250" t="s">
        <v>7</v>
      </c>
      <c r="E3250" s="2" t="s">
        <v>12</v>
      </c>
      <c r="F3250">
        <f t="shared" si="50"/>
        <v>644.47500000000002</v>
      </c>
      <c r="G3250" t="s">
        <v>16</v>
      </c>
      <c r="H3250" t="s">
        <v>10</v>
      </c>
      <c r="J3250" t="str">
        <f>"08/16/2021 00:39"</f>
        <v>08/16/2021 00:39</v>
      </c>
    </row>
    <row r="3251" spans="1:10" x14ac:dyDescent="0.3">
      <c r="A3251" t="s">
        <v>6</v>
      </c>
      <c r="B3251" t="str">
        <f>"08/16/2021 00:00"</f>
        <v>08/16/2021 00:00</v>
      </c>
      <c r="C3251">
        <v>356</v>
      </c>
      <c r="D3251" t="s">
        <v>7</v>
      </c>
      <c r="E3251" s="2" t="s">
        <v>12</v>
      </c>
      <c r="F3251">
        <f t="shared" si="50"/>
        <v>705.94799999999998</v>
      </c>
      <c r="G3251" t="s">
        <v>16</v>
      </c>
      <c r="H3251" t="s">
        <v>10</v>
      </c>
      <c r="J3251" t="str">
        <f>"08/17/2021 00:39"</f>
        <v>08/17/2021 00:39</v>
      </c>
    </row>
    <row r="3252" spans="1:10" x14ac:dyDescent="0.3">
      <c r="A3252" t="s">
        <v>6</v>
      </c>
      <c r="B3252" t="str">
        <f>"08/17/2021 00:00"</f>
        <v>08/17/2021 00:00</v>
      </c>
      <c r="C3252">
        <v>355</v>
      </c>
      <c r="D3252" t="s">
        <v>7</v>
      </c>
      <c r="E3252" s="2" t="s">
        <v>12</v>
      </c>
      <c r="F3252">
        <f t="shared" si="50"/>
        <v>703.96500000000003</v>
      </c>
      <c r="G3252" t="s">
        <v>16</v>
      </c>
      <c r="H3252" t="s">
        <v>10</v>
      </c>
      <c r="J3252" t="str">
        <f>"08/18/2021 00:39"</f>
        <v>08/18/2021 00:39</v>
      </c>
    </row>
    <row r="3253" spans="1:10" x14ac:dyDescent="0.3">
      <c r="A3253" t="s">
        <v>6</v>
      </c>
      <c r="B3253" t="str">
        <f>"08/18/2021 00:00"</f>
        <v>08/18/2021 00:00</v>
      </c>
      <c r="C3253">
        <v>356</v>
      </c>
      <c r="D3253" t="s">
        <v>7</v>
      </c>
      <c r="E3253" s="2" t="s">
        <v>12</v>
      </c>
      <c r="F3253">
        <f t="shared" si="50"/>
        <v>705.94799999999998</v>
      </c>
      <c r="G3253" t="s">
        <v>16</v>
      </c>
      <c r="H3253" t="s">
        <v>10</v>
      </c>
      <c r="J3253" t="str">
        <f>"08/19/2021 00:39"</f>
        <v>08/19/2021 00:39</v>
      </c>
    </row>
    <row r="3254" spans="1:10" x14ac:dyDescent="0.3">
      <c r="A3254" t="s">
        <v>6</v>
      </c>
      <c r="B3254" t="str">
        <f>"08/19/2021 00:00"</f>
        <v>08/19/2021 00:00</v>
      </c>
      <c r="C3254">
        <v>415</v>
      </c>
      <c r="D3254" t="s">
        <v>7</v>
      </c>
      <c r="E3254" s="2" t="s">
        <v>12</v>
      </c>
      <c r="F3254">
        <f t="shared" si="50"/>
        <v>822.94500000000005</v>
      </c>
      <c r="G3254" t="s">
        <v>16</v>
      </c>
      <c r="H3254" t="s">
        <v>10</v>
      </c>
      <c r="J3254" t="str">
        <f>"08/20/2021 00:39"</f>
        <v>08/20/2021 00:39</v>
      </c>
    </row>
    <row r="3255" spans="1:10" x14ac:dyDescent="0.3">
      <c r="A3255" t="s">
        <v>6</v>
      </c>
      <c r="B3255" t="str">
        <f>"08/20/2021 00:00"</f>
        <v>08/20/2021 00:00</v>
      </c>
      <c r="C3255">
        <v>450</v>
      </c>
      <c r="D3255" t="s">
        <v>7</v>
      </c>
      <c r="E3255" s="2" t="s">
        <v>12</v>
      </c>
      <c r="F3255">
        <f t="shared" si="50"/>
        <v>892.35</v>
      </c>
      <c r="G3255" t="s">
        <v>16</v>
      </c>
      <c r="H3255" t="s">
        <v>10</v>
      </c>
      <c r="J3255" t="str">
        <f>"08/21/2021 00:39"</f>
        <v>08/21/2021 00:39</v>
      </c>
    </row>
    <row r="3256" spans="1:10" x14ac:dyDescent="0.3">
      <c r="A3256" t="s">
        <v>6</v>
      </c>
      <c r="B3256" t="str">
        <f>"08/21/2021 00:00"</f>
        <v>08/21/2021 00:00</v>
      </c>
      <c r="C3256">
        <v>420</v>
      </c>
      <c r="D3256" t="s">
        <v>7</v>
      </c>
      <c r="E3256" s="2" t="s">
        <v>12</v>
      </c>
      <c r="F3256">
        <f t="shared" si="50"/>
        <v>832.86</v>
      </c>
      <c r="G3256" t="s">
        <v>16</v>
      </c>
      <c r="H3256" t="s">
        <v>10</v>
      </c>
      <c r="J3256" t="str">
        <f>"08/22/2021 00:39"</f>
        <v>08/22/2021 00:39</v>
      </c>
    </row>
    <row r="3257" spans="1:10" x14ac:dyDescent="0.3">
      <c r="A3257" t="s">
        <v>6</v>
      </c>
      <c r="B3257" t="str">
        <f>"08/22/2021 00:00"</f>
        <v>08/22/2021 00:00</v>
      </c>
      <c r="C3257">
        <v>399</v>
      </c>
      <c r="D3257" t="s">
        <v>7</v>
      </c>
      <c r="E3257" s="2" t="s">
        <v>12</v>
      </c>
      <c r="F3257">
        <f t="shared" si="50"/>
        <v>791.21699999999998</v>
      </c>
      <c r="G3257" t="s">
        <v>16</v>
      </c>
      <c r="H3257" t="s">
        <v>10</v>
      </c>
      <c r="J3257" t="str">
        <f>"08/23/2021 00:39"</f>
        <v>08/23/2021 00:39</v>
      </c>
    </row>
    <row r="3258" spans="1:10" x14ac:dyDescent="0.3">
      <c r="A3258" t="s">
        <v>6</v>
      </c>
      <c r="B3258" t="str">
        <f>"08/23/2021 00:00"</f>
        <v>08/23/2021 00:00</v>
      </c>
      <c r="C3258">
        <v>398</v>
      </c>
      <c r="D3258" t="s">
        <v>7</v>
      </c>
      <c r="E3258" s="2" t="s">
        <v>12</v>
      </c>
      <c r="F3258">
        <f t="shared" si="50"/>
        <v>789.23400000000004</v>
      </c>
      <c r="G3258" t="s">
        <v>16</v>
      </c>
      <c r="H3258" t="s">
        <v>10</v>
      </c>
      <c r="J3258" t="str">
        <f>"08/24/2021 00:40"</f>
        <v>08/24/2021 00:40</v>
      </c>
    </row>
    <row r="3259" spans="1:10" x14ac:dyDescent="0.3">
      <c r="A3259" t="s">
        <v>6</v>
      </c>
      <c r="B3259" t="str">
        <f>"08/24/2021 00:00"</f>
        <v>08/24/2021 00:00</v>
      </c>
      <c r="C3259">
        <v>430</v>
      </c>
      <c r="D3259" t="s">
        <v>7</v>
      </c>
      <c r="E3259" s="2" t="s">
        <v>12</v>
      </c>
      <c r="F3259">
        <f t="shared" si="50"/>
        <v>852.69</v>
      </c>
      <c r="G3259" t="s">
        <v>16</v>
      </c>
      <c r="H3259" t="s">
        <v>10</v>
      </c>
      <c r="J3259" t="str">
        <f>"08/25/2021 00:39"</f>
        <v>08/25/2021 00:39</v>
      </c>
    </row>
    <row r="3260" spans="1:10" x14ac:dyDescent="0.3">
      <c r="A3260" t="s">
        <v>6</v>
      </c>
      <c r="B3260" t="str">
        <f>"08/25/2021 00:00"</f>
        <v>08/25/2021 00:00</v>
      </c>
      <c r="C3260">
        <v>451</v>
      </c>
      <c r="D3260" t="s">
        <v>7</v>
      </c>
      <c r="E3260" s="2" t="s">
        <v>12</v>
      </c>
      <c r="F3260">
        <f t="shared" si="50"/>
        <v>894.33300000000008</v>
      </c>
      <c r="G3260" t="s">
        <v>16</v>
      </c>
      <c r="H3260" t="s">
        <v>10</v>
      </c>
      <c r="J3260" t="str">
        <f>"08/26/2021 00:39"</f>
        <v>08/26/2021 00:39</v>
      </c>
    </row>
    <row r="3261" spans="1:10" x14ac:dyDescent="0.3">
      <c r="A3261" t="s">
        <v>6</v>
      </c>
      <c r="B3261" t="str">
        <f>"08/26/2021 00:00"</f>
        <v>08/26/2021 00:00</v>
      </c>
      <c r="C3261">
        <v>451</v>
      </c>
      <c r="D3261" t="s">
        <v>7</v>
      </c>
      <c r="E3261" s="2" t="s">
        <v>12</v>
      </c>
      <c r="F3261">
        <f t="shared" si="50"/>
        <v>894.33300000000008</v>
      </c>
      <c r="G3261" t="s">
        <v>16</v>
      </c>
      <c r="H3261" t="s">
        <v>10</v>
      </c>
      <c r="J3261" t="str">
        <f>"08/27/2021 00:39"</f>
        <v>08/27/2021 00:39</v>
      </c>
    </row>
    <row r="3262" spans="1:10" x14ac:dyDescent="0.3">
      <c r="A3262" t="s">
        <v>6</v>
      </c>
      <c r="B3262" t="str">
        <f>"08/27/2021 00:00"</f>
        <v>08/27/2021 00:00</v>
      </c>
      <c r="C3262">
        <v>451</v>
      </c>
      <c r="D3262" t="s">
        <v>7</v>
      </c>
      <c r="E3262" s="2" t="s">
        <v>12</v>
      </c>
      <c r="F3262">
        <f t="shared" si="50"/>
        <v>894.33300000000008</v>
      </c>
      <c r="G3262" t="s">
        <v>16</v>
      </c>
      <c r="H3262" t="s">
        <v>10</v>
      </c>
      <c r="J3262" t="str">
        <f>"08/28/2021 00:39"</f>
        <v>08/28/2021 00:39</v>
      </c>
    </row>
    <row r="3263" spans="1:10" x14ac:dyDescent="0.3">
      <c r="A3263" t="s">
        <v>6</v>
      </c>
      <c r="B3263" t="str">
        <f>"08/28/2021 00:00"</f>
        <v>08/28/2021 00:00</v>
      </c>
      <c r="C3263">
        <v>451</v>
      </c>
      <c r="D3263" t="s">
        <v>7</v>
      </c>
      <c r="E3263" s="2" t="s">
        <v>12</v>
      </c>
      <c r="F3263">
        <f t="shared" si="50"/>
        <v>894.33300000000008</v>
      </c>
      <c r="G3263" t="s">
        <v>16</v>
      </c>
      <c r="H3263" t="s">
        <v>10</v>
      </c>
      <c r="J3263" t="str">
        <f>"08/29/2021 00:39"</f>
        <v>08/29/2021 00:39</v>
      </c>
    </row>
    <row r="3264" spans="1:10" x14ac:dyDescent="0.3">
      <c r="A3264" t="s">
        <v>6</v>
      </c>
      <c r="B3264" t="str">
        <f>"08/29/2021 00:00"</f>
        <v>08/29/2021 00:00</v>
      </c>
      <c r="C3264">
        <v>451</v>
      </c>
      <c r="D3264" t="s">
        <v>7</v>
      </c>
      <c r="E3264" s="2" t="s">
        <v>12</v>
      </c>
      <c r="F3264">
        <f t="shared" si="50"/>
        <v>894.33300000000008</v>
      </c>
      <c r="G3264" t="s">
        <v>16</v>
      </c>
      <c r="H3264" t="s">
        <v>10</v>
      </c>
      <c r="J3264" t="str">
        <f>"08/30/2021 00:39"</f>
        <v>08/30/2021 00:39</v>
      </c>
    </row>
    <row r="3265" spans="1:10" x14ac:dyDescent="0.3">
      <c r="A3265" t="s">
        <v>6</v>
      </c>
      <c r="B3265" t="str">
        <f>"08/30/2021 00:00"</f>
        <v>08/30/2021 00:00</v>
      </c>
      <c r="C3265">
        <v>451</v>
      </c>
      <c r="D3265" t="s">
        <v>7</v>
      </c>
      <c r="E3265" s="2" t="s">
        <v>12</v>
      </c>
      <c r="F3265">
        <f t="shared" si="50"/>
        <v>894.33300000000008</v>
      </c>
      <c r="G3265" t="s">
        <v>16</v>
      </c>
      <c r="H3265" t="s">
        <v>10</v>
      </c>
      <c r="J3265" t="str">
        <f>"08/31/2021 00:39"</f>
        <v>08/31/2021 00:39</v>
      </c>
    </row>
    <row r="3266" spans="1:10" x14ac:dyDescent="0.3">
      <c r="A3266" t="s">
        <v>6</v>
      </c>
      <c r="B3266" t="str">
        <f>"08/31/2021 00:00"</f>
        <v>08/31/2021 00:00</v>
      </c>
      <c r="C3266">
        <v>451</v>
      </c>
      <c r="D3266" t="s">
        <v>7</v>
      </c>
      <c r="E3266" s="2" t="s">
        <v>12</v>
      </c>
      <c r="F3266">
        <f t="shared" si="50"/>
        <v>894.33300000000008</v>
      </c>
      <c r="G3266" t="s">
        <v>16</v>
      </c>
      <c r="H3266" t="s">
        <v>10</v>
      </c>
      <c r="J3266" t="str">
        <f>"09/01/2021 00:39"</f>
        <v>09/01/2021 00:39</v>
      </c>
    </row>
    <row r="3267" spans="1:10" x14ac:dyDescent="0.3">
      <c r="A3267" t="s">
        <v>6</v>
      </c>
      <c r="B3267" t="str">
        <f>"09/01/2021 00:00"</f>
        <v>09/01/2021 00:00</v>
      </c>
      <c r="C3267">
        <v>450</v>
      </c>
      <c r="D3267" t="s">
        <v>7</v>
      </c>
      <c r="E3267" s="2" t="s">
        <v>12</v>
      </c>
      <c r="F3267">
        <f t="shared" si="50"/>
        <v>892.35</v>
      </c>
      <c r="G3267" t="s">
        <v>16</v>
      </c>
      <c r="H3267" t="s">
        <v>10</v>
      </c>
      <c r="J3267" t="str">
        <f>"09/02/2021 00:39"</f>
        <v>09/02/2021 00:39</v>
      </c>
    </row>
    <row r="3268" spans="1:10" x14ac:dyDescent="0.3">
      <c r="A3268" t="s">
        <v>6</v>
      </c>
      <c r="B3268" t="str">
        <f>"09/02/2021 00:00"</f>
        <v>09/02/2021 00:00</v>
      </c>
      <c r="C3268">
        <v>417</v>
      </c>
      <c r="D3268" t="s">
        <v>7</v>
      </c>
      <c r="E3268" s="2" t="s">
        <v>12</v>
      </c>
      <c r="F3268">
        <f t="shared" si="50"/>
        <v>826.91100000000006</v>
      </c>
      <c r="G3268" t="s">
        <v>16</v>
      </c>
      <c r="H3268" t="s">
        <v>10</v>
      </c>
      <c r="J3268" t="str">
        <f>"09/03/2021 00:39"</f>
        <v>09/03/2021 00:39</v>
      </c>
    </row>
    <row r="3269" spans="1:10" x14ac:dyDescent="0.3">
      <c r="A3269" t="s">
        <v>6</v>
      </c>
      <c r="B3269" t="str">
        <f>"09/03/2021 00:00"</f>
        <v>09/03/2021 00:00</v>
      </c>
      <c r="C3269">
        <v>400</v>
      </c>
      <c r="D3269" t="s">
        <v>7</v>
      </c>
      <c r="E3269" s="2" t="s">
        <v>12</v>
      </c>
      <c r="F3269">
        <f t="shared" si="50"/>
        <v>793.2</v>
      </c>
      <c r="G3269" t="s">
        <v>16</v>
      </c>
      <c r="H3269" t="s">
        <v>10</v>
      </c>
      <c r="J3269" t="str">
        <f>"09/04/2021 00:39"</f>
        <v>09/04/2021 00:39</v>
      </c>
    </row>
    <row r="3270" spans="1:10" x14ac:dyDescent="0.3">
      <c r="A3270" t="s">
        <v>6</v>
      </c>
      <c r="B3270" t="str">
        <f>"09/04/2021 00:00"</f>
        <v>09/04/2021 00:00</v>
      </c>
      <c r="C3270">
        <v>368</v>
      </c>
      <c r="D3270" t="s">
        <v>7</v>
      </c>
      <c r="E3270" s="2" t="s">
        <v>12</v>
      </c>
      <c r="F3270">
        <f t="shared" si="50"/>
        <v>729.74400000000003</v>
      </c>
      <c r="G3270" t="s">
        <v>16</v>
      </c>
      <c r="H3270" t="s">
        <v>10</v>
      </c>
      <c r="J3270" t="str">
        <f>"09/05/2021 00:39"</f>
        <v>09/05/2021 00:39</v>
      </c>
    </row>
    <row r="3271" spans="1:10" x14ac:dyDescent="0.3">
      <c r="A3271" t="s">
        <v>6</v>
      </c>
      <c r="B3271" t="str">
        <f>"09/05/2021 00:00"</f>
        <v>09/05/2021 00:00</v>
      </c>
      <c r="C3271">
        <v>352</v>
      </c>
      <c r="D3271" t="s">
        <v>7</v>
      </c>
      <c r="E3271" s="2" t="s">
        <v>12</v>
      </c>
      <c r="F3271">
        <f t="shared" si="50"/>
        <v>698.01600000000008</v>
      </c>
      <c r="G3271" t="s">
        <v>16</v>
      </c>
      <c r="H3271" t="s">
        <v>10</v>
      </c>
      <c r="J3271" t="str">
        <f>"09/06/2021 00:39"</f>
        <v>09/06/2021 00:39</v>
      </c>
    </row>
    <row r="3272" spans="1:10" x14ac:dyDescent="0.3">
      <c r="A3272" t="s">
        <v>6</v>
      </c>
      <c r="B3272" t="str">
        <f>"09/06/2021 00:00"</f>
        <v>09/06/2021 00:00</v>
      </c>
      <c r="C3272">
        <v>352</v>
      </c>
      <c r="D3272" t="s">
        <v>7</v>
      </c>
      <c r="E3272" s="2" t="s">
        <v>12</v>
      </c>
      <c r="F3272">
        <f t="shared" si="50"/>
        <v>698.01600000000008</v>
      </c>
      <c r="G3272" t="s">
        <v>16</v>
      </c>
      <c r="H3272" t="s">
        <v>10</v>
      </c>
      <c r="J3272" t="str">
        <f>"09/07/2021 00:39"</f>
        <v>09/07/2021 00:39</v>
      </c>
    </row>
    <row r="3273" spans="1:10" x14ac:dyDescent="0.3">
      <c r="A3273" t="s">
        <v>6</v>
      </c>
      <c r="B3273" t="str">
        <f>"09/07/2021 00:00"</f>
        <v>09/07/2021 00:00</v>
      </c>
      <c r="C3273">
        <v>382</v>
      </c>
      <c r="D3273" t="s">
        <v>7</v>
      </c>
      <c r="E3273" s="2" t="s">
        <v>12</v>
      </c>
      <c r="F3273">
        <f t="shared" si="50"/>
        <v>757.50600000000009</v>
      </c>
      <c r="G3273" t="s">
        <v>16</v>
      </c>
      <c r="H3273" t="s">
        <v>10</v>
      </c>
      <c r="J3273" t="str">
        <f>"09/08/2021 00:39"</f>
        <v>09/08/2021 00:39</v>
      </c>
    </row>
    <row r="3274" spans="1:10" x14ac:dyDescent="0.3">
      <c r="A3274" t="s">
        <v>6</v>
      </c>
      <c r="B3274" t="str">
        <f>"09/08/2021 00:00"</f>
        <v>09/08/2021 00:00</v>
      </c>
      <c r="C3274">
        <v>422</v>
      </c>
      <c r="D3274" t="s">
        <v>7</v>
      </c>
      <c r="E3274" s="2" t="s">
        <v>12</v>
      </c>
      <c r="F3274">
        <f t="shared" si="50"/>
        <v>836.82600000000002</v>
      </c>
      <c r="G3274" t="s">
        <v>16</v>
      </c>
      <c r="H3274" t="s">
        <v>10</v>
      </c>
      <c r="J3274" t="str">
        <f>"09/09/2021 00:39"</f>
        <v>09/09/2021 00:39</v>
      </c>
    </row>
    <row r="3275" spans="1:10" x14ac:dyDescent="0.3">
      <c r="A3275" t="s">
        <v>6</v>
      </c>
      <c r="B3275" t="str">
        <f>"09/09/2021 00:00"</f>
        <v>09/09/2021 00:00</v>
      </c>
      <c r="C3275">
        <v>451</v>
      </c>
      <c r="D3275" t="s">
        <v>7</v>
      </c>
      <c r="E3275" s="2" t="s">
        <v>12</v>
      </c>
      <c r="F3275">
        <f t="shared" ref="F3275:F3339" si="51">C3275*1.983</f>
        <v>894.33300000000008</v>
      </c>
      <c r="G3275" t="s">
        <v>16</v>
      </c>
      <c r="H3275" t="s">
        <v>10</v>
      </c>
      <c r="J3275" t="str">
        <f>"09/10/2021 00:39"</f>
        <v>09/10/2021 00:39</v>
      </c>
    </row>
    <row r="3276" spans="1:10" x14ac:dyDescent="0.3">
      <c r="A3276" t="s">
        <v>6</v>
      </c>
      <c r="B3276" t="str">
        <f>"09/10/2021 00:00"</f>
        <v>09/10/2021 00:00</v>
      </c>
      <c r="C3276">
        <v>451</v>
      </c>
      <c r="D3276" t="s">
        <v>7</v>
      </c>
      <c r="E3276" s="2" t="s">
        <v>12</v>
      </c>
      <c r="F3276">
        <f t="shared" si="51"/>
        <v>894.33300000000008</v>
      </c>
      <c r="G3276" t="s">
        <v>16</v>
      </c>
      <c r="H3276" t="s">
        <v>10</v>
      </c>
      <c r="J3276" t="str">
        <f>"09/11/2021 00:39"</f>
        <v>09/11/2021 00:39</v>
      </c>
    </row>
    <row r="3277" spans="1:10" x14ac:dyDescent="0.3">
      <c r="A3277" t="s">
        <v>6</v>
      </c>
      <c r="B3277" t="str">
        <f>"09/11/2021 00:00"</f>
        <v>09/11/2021 00:00</v>
      </c>
      <c r="C3277">
        <v>451</v>
      </c>
      <c r="D3277" t="s">
        <v>7</v>
      </c>
      <c r="E3277" s="2" t="s">
        <v>12</v>
      </c>
      <c r="F3277">
        <f t="shared" si="51"/>
        <v>894.33300000000008</v>
      </c>
      <c r="G3277" t="s">
        <v>16</v>
      </c>
      <c r="H3277" t="s">
        <v>10</v>
      </c>
      <c r="J3277" t="str">
        <f>"09/12/2021 00:39"</f>
        <v>09/12/2021 00:39</v>
      </c>
    </row>
    <row r="3278" spans="1:10" x14ac:dyDescent="0.3">
      <c r="A3278" t="s">
        <v>6</v>
      </c>
      <c r="B3278" t="str">
        <f>"09/12/2021 00:00"</f>
        <v>09/12/2021 00:00</v>
      </c>
      <c r="C3278">
        <v>450</v>
      </c>
      <c r="D3278" t="s">
        <v>7</v>
      </c>
      <c r="E3278" s="2" t="s">
        <v>12</v>
      </c>
      <c r="F3278">
        <f t="shared" si="51"/>
        <v>892.35</v>
      </c>
      <c r="G3278" t="s">
        <v>16</v>
      </c>
      <c r="H3278" t="s">
        <v>10</v>
      </c>
      <c r="J3278" t="str">
        <f>"09/13/2021 00:39"</f>
        <v>09/13/2021 00:39</v>
      </c>
    </row>
    <row r="3279" spans="1:10" x14ac:dyDescent="0.3">
      <c r="A3279" t="s">
        <v>6</v>
      </c>
      <c r="B3279" t="str">
        <f>"09/13/2021 00:00"</f>
        <v>09/13/2021 00:00</v>
      </c>
      <c r="C3279">
        <v>450</v>
      </c>
      <c r="D3279" t="s">
        <v>7</v>
      </c>
      <c r="E3279" s="2" t="s">
        <v>12</v>
      </c>
      <c r="F3279">
        <f t="shared" si="51"/>
        <v>892.35</v>
      </c>
      <c r="G3279" t="s">
        <v>16</v>
      </c>
      <c r="H3279" t="s">
        <v>10</v>
      </c>
      <c r="J3279" t="str">
        <f>"09/14/2021 00:39"</f>
        <v>09/14/2021 00:39</v>
      </c>
    </row>
    <row r="3280" spans="1:10" x14ac:dyDescent="0.3">
      <c r="A3280" t="s">
        <v>6</v>
      </c>
      <c r="B3280" t="str">
        <f>"09/14/2021 00:00"</f>
        <v>09/14/2021 00:00</v>
      </c>
      <c r="C3280">
        <v>450</v>
      </c>
      <c r="D3280" t="s">
        <v>7</v>
      </c>
      <c r="E3280" s="2" t="s">
        <v>12</v>
      </c>
      <c r="F3280">
        <f t="shared" si="51"/>
        <v>892.35</v>
      </c>
      <c r="G3280" t="s">
        <v>16</v>
      </c>
      <c r="H3280" t="s">
        <v>10</v>
      </c>
      <c r="J3280" t="str">
        <f>"09/15/2021 00:39"</f>
        <v>09/15/2021 00:39</v>
      </c>
    </row>
    <row r="3281" spans="1:10" x14ac:dyDescent="0.3">
      <c r="A3281" t="s">
        <v>6</v>
      </c>
      <c r="B3281" t="str">
        <f>"09/15/2021 00:00"</f>
        <v>09/15/2021 00:00</v>
      </c>
      <c r="C3281">
        <v>417</v>
      </c>
      <c r="D3281" t="s">
        <v>7</v>
      </c>
      <c r="E3281" s="2" t="s">
        <v>12</v>
      </c>
      <c r="F3281">
        <f t="shared" si="51"/>
        <v>826.91100000000006</v>
      </c>
      <c r="G3281" t="s">
        <v>16</v>
      </c>
      <c r="H3281" t="s">
        <v>10</v>
      </c>
      <c r="J3281" t="str">
        <f>"09/16/2021 00:39"</f>
        <v>09/16/2021 00:39</v>
      </c>
    </row>
    <row r="3282" spans="1:10" x14ac:dyDescent="0.3">
      <c r="A3282" t="s">
        <v>6</v>
      </c>
      <c r="B3282" t="str">
        <f>"09/16/2021 00:00"</f>
        <v>09/16/2021 00:00</v>
      </c>
      <c r="C3282">
        <v>384</v>
      </c>
      <c r="D3282" t="s">
        <v>7</v>
      </c>
      <c r="E3282" s="2" t="s">
        <v>12</v>
      </c>
      <c r="F3282">
        <f t="shared" si="51"/>
        <v>761.47199999999998</v>
      </c>
      <c r="G3282" t="s">
        <v>16</v>
      </c>
      <c r="H3282" t="s">
        <v>10</v>
      </c>
      <c r="J3282" t="str">
        <f>"09/17/2021 00:39"</f>
        <v>09/17/2021 00:39</v>
      </c>
    </row>
    <row r="3283" spans="1:10" x14ac:dyDescent="0.3">
      <c r="A3283" t="s">
        <v>6</v>
      </c>
      <c r="B3283" t="str">
        <f>"09/17/2021 00:00"</f>
        <v>09/17/2021 00:00</v>
      </c>
      <c r="C3283">
        <v>370</v>
      </c>
      <c r="D3283" t="s">
        <v>7</v>
      </c>
      <c r="E3283" s="2" t="s">
        <v>12</v>
      </c>
      <c r="F3283">
        <f t="shared" si="51"/>
        <v>733.71</v>
      </c>
      <c r="G3283" t="s">
        <v>16</v>
      </c>
      <c r="H3283" t="s">
        <v>10</v>
      </c>
      <c r="J3283" t="str">
        <f>"09/18/2021 00:39"</f>
        <v>09/18/2021 00:39</v>
      </c>
    </row>
    <row r="3284" spans="1:10" x14ac:dyDescent="0.3">
      <c r="A3284" t="s">
        <v>6</v>
      </c>
      <c r="B3284" t="str">
        <f>"09/18/2021 00:00"</f>
        <v>09/18/2021 00:00</v>
      </c>
      <c r="C3284">
        <v>370</v>
      </c>
      <c r="D3284" t="s">
        <v>7</v>
      </c>
      <c r="E3284" s="2" t="s">
        <v>12</v>
      </c>
      <c r="F3284">
        <f t="shared" si="51"/>
        <v>733.71</v>
      </c>
      <c r="G3284" t="s">
        <v>16</v>
      </c>
      <c r="H3284" t="s">
        <v>10</v>
      </c>
      <c r="J3284" t="str">
        <f>"09/19/2021 00:39"</f>
        <v>09/19/2021 00:39</v>
      </c>
    </row>
    <row r="3285" spans="1:10" x14ac:dyDescent="0.3">
      <c r="A3285" t="s">
        <v>6</v>
      </c>
      <c r="B3285" t="str">
        <f>"09/19/2021 00:00"</f>
        <v>09/19/2021 00:00</v>
      </c>
      <c r="C3285">
        <v>370</v>
      </c>
      <c r="D3285" t="s">
        <v>7</v>
      </c>
      <c r="E3285" s="2" t="s">
        <v>12</v>
      </c>
      <c r="F3285">
        <f t="shared" si="51"/>
        <v>733.71</v>
      </c>
      <c r="G3285" t="s">
        <v>16</v>
      </c>
      <c r="H3285" t="s">
        <v>10</v>
      </c>
      <c r="J3285" t="str">
        <f>"09/20/2021 00:39"</f>
        <v>09/20/2021 00:39</v>
      </c>
    </row>
    <row r="3286" spans="1:10" x14ac:dyDescent="0.3">
      <c r="A3286" t="s">
        <v>6</v>
      </c>
      <c r="B3286" t="str">
        <f>"09/20/2021 00:00"</f>
        <v>09/20/2021 00:00</v>
      </c>
      <c r="C3286">
        <v>370</v>
      </c>
      <c r="D3286" t="s">
        <v>7</v>
      </c>
      <c r="E3286" s="2" t="s">
        <v>12</v>
      </c>
      <c r="F3286">
        <f t="shared" si="51"/>
        <v>733.71</v>
      </c>
      <c r="G3286" t="s">
        <v>16</v>
      </c>
      <c r="H3286" t="s">
        <v>10</v>
      </c>
      <c r="J3286" t="str">
        <f>"09/21/2021 00:39"</f>
        <v>09/21/2021 00:39</v>
      </c>
    </row>
    <row r="3287" spans="1:10" x14ac:dyDescent="0.3">
      <c r="A3287" t="s">
        <v>6</v>
      </c>
      <c r="B3287" t="str">
        <f>"09/21/2021 00:00"</f>
        <v>09/21/2021 00:00</v>
      </c>
      <c r="C3287">
        <v>370</v>
      </c>
      <c r="D3287" t="s">
        <v>7</v>
      </c>
      <c r="E3287" s="2" t="s">
        <v>12</v>
      </c>
      <c r="F3287">
        <f t="shared" si="51"/>
        <v>733.71</v>
      </c>
      <c r="G3287" t="s">
        <v>16</v>
      </c>
      <c r="H3287" t="s">
        <v>10</v>
      </c>
      <c r="J3287" t="str">
        <f>"09/22/2021 00:39"</f>
        <v>09/22/2021 00:39</v>
      </c>
    </row>
    <row r="3288" spans="1:10" x14ac:dyDescent="0.3">
      <c r="A3288" t="s">
        <v>6</v>
      </c>
      <c r="B3288" t="str">
        <f>"09/22/2021 00:00"</f>
        <v>09/22/2021 00:00</v>
      </c>
      <c r="C3288">
        <v>369</v>
      </c>
      <c r="D3288" t="s">
        <v>7</v>
      </c>
      <c r="E3288" s="2" t="s">
        <v>12</v>
      </c>
      <c r="F3288">
        <f t="shared" si="51"/>
        <v>731.72700000000009</v>
      </c>
      <c r="G3288" t="s">
        <v>16</v>
      </c>
      <c r="H3288" t="s">
        <v>10</v>
      </c>
      <c r="J3288" t="str">
        <f>"09/23/2021 00:40"</f>
        <v>09/23/2021 00:40</v>
      </c>
    </row>
    <row r="3289" spans="1:10" x14ac:dyDescent="0.3">
      <c r="A3289" t="s">
        <v>6</v>
      </c>
      <c r="B3289" t="str">
        <f>"09/23/2021 00:00"</f>
        <v>09/23/2021 00:00</v>
      </c>
      <c r="C3289">
        <v>370</v>
      </c>
      <c r="D3289" t="s">
        <v>7</v>
      </c>
      <c r="E3289" s="2" t="s">
        <v>12</v>
      </c>
      <c r="F3289">
        <f t="shared" si="51"/>
        <v>733.71</v>
      </c>
      <c r="G3289" t="s">
        <v>16</v>
      </c>
      <c r="H3289" t="s">
        <v>10</v>
      </c>
      <c r="J3289" t="str">
        <f>"09/24/2021 00:39"</f>
        <v>09/24/2021 00:39</v>
      </c>
    </row>
    <row r="3290" spans="1:10" x14ac:dyDescent="0.3">
      <c r="A3290" t="s">
        <v>6</v>
      </c>
      <c r="B3290" t="str">
        <f>"09/24/2021 00:00"</f>
        <v>09/24/2021 00:00</v>
      </c>
      <c r="C3290">
        <v>369</v>
      </c>
      <c r="D3290" t="s">
        <v>7</v>
      </c>
      <c r="E3290" s="2" t="s">
        <v>12</v>
      </c>
      <c r="F3290">
        <f t="shared" si="51"/>
        <v>731.72700000000009</v>
      </c>
      <c r="G3290" t="s">
        <v>16</v>
      </c>
      <c r="H3290" t="s">
        <v>10</v>
      </c>
      <c r="J3290" t="str">
        <f>"09/25/2021 00:39"</f>
        <v>09/25/2021 00:39</v>
      </c>
    </row>
    <row r="3291" spans="1:10" x14ac:dyDescent="0.3">
      <c r="A3291" t="s">
        <v>6</v>
      </c>
      <c r="B3291" t="str">
        <f>"09/25/2021 00:00"</f>
        <v>09/25/2021 00:00</v>
      </c>
      <c r="C3291">
        <v>200</v>
      </c>
      <c r="D3291" t="s">
        <v>7</v>
      </c>
      <c r="E3291" s="2" t="s">
        <v>12</v>
      </c>
      <c r="F3291">
        <f t="shared" si="51"/>
        <v>396.6</v>
      </c>
      <c r="G3291" t="s">
        <v>16</v>
      </c>
      <c r="H3291" t="s">
        <v>10</v>
      </c>
      <c r="J3291" t="str">
        <f>"09/26/2021 00:39"</f>
        <v>09/26/2021 00:39</v>
      </c>
    </row>
    <row r="3292" spans="1:10" x14ac:dyDescent="0.3">
      <c r="A3292" t="s">
        <v>6</v>
      </c>
      <c r="B3292" t="str">
        <f>"09/26/2021 00:00"</f>
        <v>09/26/2021 00:00</v>
      </c>
      <c r="C3292">
        <v>368</v>
      </c>
      <c r="D3292" t="s">
        <v>7</v>
      </c>
      <c r="E3292" s="2" t="s">
        <v>12</v>
      </c>
      <c r="F3292">
        <f t="shared" si="51"/>
        <v>729.74400000000003</v>
      </c>
      <c r="G3292" t="s">
        <v>16</v>
      </c>
      <c r="H3292" t="s">
        <v>10</v>
      </c>
      <c r="J3292" t="str">
        <f>"09/27/2021 00:39"</f>
        <v>09/27/2021 00:39</v>
      </c>
    </row>
    <row r="3293" spans="1:10" x14ac:dyDescent="0.3">
      <c r="A3293" t="s">
        <v>6</v>
      </c>
      <c r="B3293" t="str">
        <f>"09/27/2021 00:00"</f>
        <v>09/27/2021 00:00</v>
      </c>
      <c r="C3293">
        <v>367</v>
      </c>
      <c r="D3293" t="s">
        <v>7</v>
      </c>
      <c r="E3293" s="2" t="s">
        <v>12</v>
      </c>
      <c r="F3293">
        <f t="shared" si="51"/>
        <v>727.76100000000008</v>
      </c>
      <c r="G3293" t="s">
        <v>16</v>
      </c>
      <c r="H3293" t="s">
        <v>10</v>
      </c>
      <c r="J3293" t="str">
        <f>"09/28/2021 00:39"</f>
        <v>09/28/2021 00:39</v>
      </c>
    </row>
    <row r="3294" spans="1:10" x14ac:dyDescent="0.3">
      <c r="A3294" t="s">
        <v>6</v>
      </c>
      <c r="B3294" t="str">
        <f>"09/28/2021 00:00"</f>
        <v>09/28/2021 00:00</v>
      </c>
      <c r="C3294">
        <v>366</v>
      </c>
      <c r="D3294" t="s">
        <v>7</v>
      </c>
      <c r="E3294" s="2" t="s">
        <v>12</v>
      </c>
      <c r="F3294">
        <f t="shared" si="51"/>
        <v>725.77800000000002</v>
      </c>
      <c r="G3294" t="s">
        <v>16</v>
      </c>
      <c r="H3294" t="s">
        <v>10</v>
      </c>
      <c r="J3294" t="str">
        <f>"09/29/2021 00:40"</f>
        <v>09/29/2021 00:40</v>
      </c>
    </row>
    <row r="3295" spans="1:10" x14ac:dyDescent="0.3">
      <c r="A3295" t="s">
        <v>6</v>
      </c>
      <c r="B3295" t="str">
        <f>"09/29/2021 00:00"</f>
        <v>09/29/2021 00:00</v>
      </c>
      <c r="C3295">
        <v>369</v>
      </c>
      <c r="D3295" t="s">
        <v>7</v>
      </c>
      <c r="E3295" s="2" t="s">
        <v>12</v>
      </c>
      <c r="F3295">
        <f t="shared" si="51"/>
        <v>731.72700000000009</v>
      </c>
      <c r="G3295" t="s">
        <v>16</v>
      </c>
      <c r="H3295" t="s">
        <v>10</v>
      </c>
      <c r="J3295" t="str">
        <f>"09/30/2021 00:39"</f>
        <v>09/30/2021 00:39</v>
      </c>
    </row>
    <row r="3296" spans="1:10" x14ac:dyDescent="0.3">
      <c r="A3296" t="s">
        <v>6</v>
      </c>
      <c r="B3296" t="str">
        <f>"09/30/2021 00:00"</f>
        <v>09/30/2021 00:00</v>
      </c>
      <c r="C3296">
        <v>333</v>
      </c>
      <c r="D3296" t="s">
        <v>7</v>
      </c>
      <c r="E3296" s="2" t="s">
        <v>12</v>
      </c>
      <c r="F3296">
        <f t="shared" si="51"/>
        <v>660.33900000000006</v>
      </c>
      <c r="G3296" t="s">
        <v>16</v>
      </c>
      <c r="H3296" t="s">
        <v>10</v>
      </c>
      <c r="J3296" t="str">
        <f>"10/01/2021 00:39"</f>
        <v>10/01/2021 00:39</v>
      </c>
    </row>
    <row r="3297" spans="1:10" s="4" customFormat="1" x14ac:dyDescent="0.3">
      <c r="B3297" s="4" t="s">
        <v>18</v>
      </c>
      <c r="E3297" s="2" t="s">
        <v>12</v>
      </c>
      <c r="F3297" s="5">
        <f>SUM(F2932:F3296)</f>
        <v>101116.58016510007</v>
      </c>
      <c r="G3297" s="4" t="s">
        <v>19</v>
      </c>
    </row>
    <row r="3298" spans="1:10" x14ac:dyDescent="0.3">
      <c r="A3298" t="s">
        <v>6</v>
      </c>
      <c r="B3298" t="str">
        <f>"10/01/2021 00:00"</f>
        <v>10/01/2021 00:00</v>
      </c>
      <c r="C3298">
        <v>287</v>
      </c>
      <c r="D3298" t="s">
        <v>7</v>
      </c>
      <c r="E3298" s="2" t="s">
        <v>12</v>
      </c>
      <c r="F3298">
        <f t="shared" si="51"/>
        <v>569.12099999999998</v>
      </c>
      <c r="G3298" t="s">
        <v>16</v>
      </c>
      <c r="H3298" t="s">
        <v>10</v>
      </c>
      <c r="J3298" t="str">
        <f>"10/02/2021 00:39"</f>
        <v>10/02/2021 00:39</v>
      </c>
    </row>
    <row r="3299" spans="1:10" x14ac:dyDescent="0.3">
      <c r="A3299" t="s">
        <v>6</v>
      </c>
      <c r="B3299" t="str">
        <f>"10/02/2021 00:00"</f>
        <v>10/02/2021 00:00</v>
      </c>
      <c r="C3299">
        <v>269</v>
      </c>
      <c r="D3299" t="s">
        <v>7</v>
      </c>
      <c r="E3299" s="2" t="s">
        <v>12</v>
      </c>
      <c r="F3299">
        <f t="shared" si="51"/>
        <v>533.42700000000002</v>
      </c>
      <c r="G3299" t="s">
        <v>16</v>
      </c>
      <c r="H3299" t="s">
        <v>10</v>
      </c>
      <c r="J3299" t="str">
        <f>"10/03/2021 00:39"</f>
        <v>10/03/2021 00:39</v>
      </c>
    </row>
    <row r="3300" spans="1:10" x14ac:dyDescent="0.3">
      <c r="A3300" t="s">
        <v>6</v>
      </c>
      <c r="B3300" t="str">
        <f>"10/03/2021 00:00"</f>
        <v>10/03/2021 00:00</v>
      </c>
      <c r="C3300">
        <v>269</v>
      </c>
      <c r="D3300" t="s">
        <v>7</v>
      </c>
      <c r="E3300" s="2" t="s">
        <v>12</v>
      </c>
      <c r="F3300">
        <f t="shared" si="51"/>
        <v>533.42700000000002</v>
      </c>
      <c r="G3300" t="s">
        <v>16</v>
      </c>
      <c r="H3300" t="s">
        <v>10</v>
      </c>
      <c r="J3300" t="str">
        <f>"10/04/2021 00:39"</f>
        <v>10/04/2021 00:39</v>
      </c>
    </row>
    <row r="3301" spans="1:10" x14ac:dyDescent="0.3">
      <c r="A3301" t="s">
        <v>6</v>
      </c>
      <c r="B3301" t="str">
        <f>"10/04/2021 00:00"</f>
        <v>10/04/2021 00:00</v>
      </c>
      <c r="C3301">
        <v>269</v>
      </c>
      <c r="D3301" t="s">
        <v>7</v>
      </c>
      <c r="E3301" s="2" t="s">
        <v>12</v>
      </c>
      <c r="F3301">
        <f t="shared" si="51"/>
        <v>533.42700000000002</v>
      </c>
      <c r="G3301" t="s">
        <v>16</v>
      </c>
      <c r="H3301" t="s">
        <v>10</v>
      </c>
      <c r="J3301" t="str">
        <f>"01/03/2022 15:25"</f>
        <v>01/03/2022 15:25</v>
      </c>
    </row>
    <row r="3302" spans="1:10" x14ac:dyDescent="0.3">
      <c r="A3302" t="s">
        <v>6</v>
      </c>
      <c r="B3302" t="str">
        <f>"10/05/2021 00:00"</f>
        <v>10/05/2021 00:00</v>
      </c>
      <c r="C3302">
        <v>294</v>
      </c>
      <c r="D3302" t="s">
        <v>7</v>
      </c>
      <c r="E3302" s="2" t="s">
        <v>12</v>
      </c>
      <c r="F3302">
        <f t="shared" si="51"/>
        <v>583.00200000000007</v>
      </c>
      <c r="G3302" t="s">
        <v>16</v>
      </c>
      <c r="H3302" t="s">
        <v>10</v>
      </c>
      <c r="J3302" t="str">
        <f>"10/06/2021 00:39"</f>
        <v>10/06/2021 00:39</v>
      </c>
    </row>
    <row r="3303" spans="1:10" x14ac:dyDescent="0.3">
      <c r="A3303" t="s">
        <v>6</v>
      </c>
      <c r="B3303" t="str">
        <f>"10/06/2021 00:00"</f>
        <v>10/06/2021 00:00</v>
      </c>
      <c r="C3303">
        <v>320</v>
      </c>
      <c r="D3303" t="s">
        <v>7</v>
      </c>
      <c r="E3303" s="2" t="s">
        <v>12</v>
      </c>
      <c r="F3303">
        <f t="shared" si="51"/>
        <v>634.56000000000006</v>
      </c>
      <c r="G3303" t="s">
        <v>16</v>
      </c>
      <c r="H3303" t="s">
        <v>10</v>
      </c>
      <c r="J3303" t="str">
        <f>"10/07/2021 00:39"</f>
        <v>10/07/2021 00:39</v>
      </c>
    </row>
    <row r="3304" spans="1:10" x14ac:dyDescent="0.3">
      <c r="A3304" t="s">
        <v>6</v>
      </c>
      <c r="B3304" t="str">
        <f>"10/07/2021 00:00"</f>
        <v>10/07/2021 00:00</v>
      </c>
      <c r="C3304">
        <v>320</v>
      </c>
      <c r="D3304" t="s">
        <v>7</v>
      </c>
      <c r="E3304" s="2" t="s">
        <v>12</v>
      </c>
      <c r="F3304">
        <f t="shared" si="51"/>
        <v>634.56000000000006</v>
      </c>
      <c r="G3304" t="s">
        <v>16</v>
      </c>
      <c r="H3304" t="s">
        <v>10</v>
      </c>
      <c r="J3304" t="str">
        <f>"10/08/2021 00:39"</f>
        <v>10/08/2021 00:39</v>
      </c>
    </row>
    <row r="3305" spans="1:10" x14ac:dyDescent="0.3">
      <c r="A3305" t="s">
        <v>6</v>
      </c>
      <c r="B3305" t="str">
        <f>"10/08/2021 00:00"</f>
        <v>10/08/2021 00:00</v>
      </c>
      <c r="C3305">
        <v>320</v>
      </c>
      <c r="D3305" t="s">
        <v>7</v>
      </c>
      <c r="E3305" s="2" t="s">
        <v>12</v>
      </c>
      <c r="F3305">
        <f t="shared" si="51"/>
        <v>634.56000000000006</v>
      </c>
      <c r="G3305" t="s">
        <v>16</v>
      </c>
      <c r="H3305" t="s">
        <v>10</v>
      </c>
      <c r="J3305" t="str">
        <f>"01/03/2022 15:25"</f>
        <v>01/03/2022 15:25</v>
      </c>
    </row>
    <row r="3306" spans="1:10" x14ac:dyDescent="0.3">
      <c r="A3306" t="s">
        <v>6</v>
      </c>
      <c r="B3306" t="str">
        <f>"10/09/2021 00:00"</f>
        <v>10/09/2021 00:00</v>
      </c>
      <c r="C3306">
        <v>319</v>
      </c>
      <c r="D3306" t="s">
        <v>7</v>
      </c>
      <c r="E3306" s="2" t="s">
        <v>12</v>
      </c>
      <c r="F3306">
        <f t="shared" si="51"/>
        <v>632.577</v>
      </c>
      <c r="G3306" t="s">
        <v>16</v>
      </c>
      <c r="H3306" t="s">
        <v>10</v>
      </c>
      <c r="J3306" t="str">
        <f>"10/10/2021 00:39"</f>
        <v>10/10/2021 00:39</v>
      </c>
    </row>
    <row r="3307" spans="1:10" x14ac:dyDescent="0.3">
      <c r="A3307" t="s">
        <v>6</v>
      </c>
      <c r="B3307" t="str">
        <f>"10/10/2021 00:00"</f>
        <v>10/10/2021 00:00</v>
      </c>
      <c r="C3307">
        <v>275</v>
      </c>
      <c r="D3307" t="s">
        <v>7</v>
      </c>
      <c r="E3307" s="2" t="s">
        <v>12</v>
      </c>
      <c r="F3307">
        <f t="shared" si="51"/>
        <v>545.32500000000005</v>
      </c>
      <c r="G3307" t="s">
        <v>16</v>
      </c>
      <c r="H3307" t="s">
        <v>10</v>
      </c>
      <c r="J3307" t="str">
        <f>"10/11/2021 00:39"</f>
        <v>10/11/2021 00:39</v>
      </c>
    </row>
    <row r="3308" spans="1:10" x14ac:dyDescent="0.3">
      <c r="A3308" t="s">
        <v>6</v>
      </c>
      <c r="B3308" t="str">
        <f>"10/11/2021 00:00"</f>
        <v>10/11/2021 00:00</v>
      </c>
      <c r="C3308">
        <v>148</v>
      </c>
      <c r="D3308" t="s">
        <v>7</v>
      </c>
      <c r="E3308" s="2" t="s">
        <v>12</v>
      </c>
      <c r="F3308">
        <f t="shared" si="51"/>
        <v>293.48400000000004</v>
      </c>
      <c r="G3308" t="s">
        <v>16</v>
      </c>
      <c r="H3308" t="s">
        <v>10</v>
      </c>
      <c r="J3308" t="str">
        <f>"10/12/2021 00:39"</f>
        <v>10/12/2021 00:39</v>
      </c>
    </row>
    <row r="3309" spans="1:10" x14ac:dyDescent="0.3">
      <c r="A3309" t="s">
        <v>6</v>
      </c>
      <c r="B3309" t="str">
        <f>"10/12/2021 00:00"</f>
        <v>10/12/2021 00:00</v>
      </c>
      <c r="C3309">
        <v>150</v>
      </c>
      <c r="D3309" t="s">
        <v>7</v>
      </c>
      <c r="E3309" s="2" t="s">
        <v>12</v>
      </c>
      <c r="F3309">
        <f t="shared" si="51"/>
        <v>297.45</v>
      </c>
      <c r="G3309" t="s">
        <v>16</v>
      </c>
      <c r="H3309" t="s">
        <v>10</v>
      </c>
      <c r="J3309" t="str">
        <f>"10/13/2021 00:39"</f>
        <v>10/13/2021 00:39</v>
      </c>
    </row>
    <row r="3310" spans="1:10" x14ac:dyDescent="0.3">
      <c r="A3310" t="s">
        <v>6</v>
      </c>
      <c r="B3310" t="str">
        <f>"10/13/2021 00:00"</f>
        <v>10/13/2021 00:00</v>
      </c>
      <c r="C3310">
        <v>151</v>
      </c>
      <c r="D3310" t="s">
        <v>7</v>
      </c>
      <c r="E3310" s="2" t="s">
        <v>12</v>
      </c>
      <c r="F3310">
        <f t="shared" si="51"/>
        <v>299.43299999999999</v>
      </c>
      <c r="G3310" t="s">
        <v>16</v>
      </c>
      <c r="H3310" t="s">
        <v>10</v>
      </c>
      <c r="J3310" t="str">
        <f>"01/03/2022 15:25"</f>
        <v>01/03/2022 15:25</v>
      </c>
    </row>
    <row r="3311" spans="1:10" x14ac:dyDescent="0.3">
      <c r="A3311" t="s">
        <v>6</v>
      </c>
      <c r="B3311" t="str">
        <f>"10/14/2021 00:00"</f>
        <v>10/14/2021 00:00</v>
      </c>
      <c r="C3311">
        <v>150</v>
      </c>
      <c r="D3311" t="s">
        <v>7</v>
      </c>
      <c r="E3311" s="2" t="s">
        <v>12</v>
      </c>
      <c r="F3311">
        <f t="shared" si="51"/>
        <v>297.45</v>
      </c>
      <c r="G3311" t="s">
        <v>16</v>
      </c>
      <c r="H3311" t="s">
        <v>10</v>
      </c>
      <c r="J3311" t="str">
        <f>"10/15/2021 00:39"</f>
        <v>10/15/2021 00:39</v>
      </c>
    </row>
    <row r="3312" spans="1:10" x14ac:dyDescent="0.3">
      <c r="A3312" t="s">
        <v>6</v>
      </c>
      <c r="B3312" t="str">
        <f>"10/15/2021 00:00"</f>
        <v>10/15/2021 00:00</v>
      </c>
      <c r="C3312">
        <v>139</v>
      </c>
      <c r="D3312" t="s">
        <v>7</v>
      </c>
      <c r="E3312" s="2" t="s">
        <v>12</v>
      </c>
      <c r="F3312">
        <f t="shared" si="51"/>
        <v>275.637</v>
      </c>
      <c r="G3312" t="s">
        <v>16</v>
      </c>
      <c r="H3312" t="s">
        <v>10</v>
      </c>
      <c r="J3312" t="str">
        <f>"10/16/2021 00:39"</f>
        <v>10/16/2021 00:39</v>
      </c>
    </row>
    <row r="3313" spans="1:10" x14ac:dyDescent="0.3">
      <c r="A3313" t="s">
        <v>6</v>
      </c>
      <c r="B3313" t="str">
        <f>"10/16/2021 00:00"</f>
        <v>10/16/2021 00:00</v>
      </c>
      <c r="C3313">
        <v>125</v>
      </c>
      <c r="D3313" t="s">
        <v>7</v>
      </c>
      <c r="E3313" s="2" t="s">
        <v>12</v>
      </c>
      <c r="F3313">
        <f t="shared" si="51"/>
        <v>247.875</v>
      </c>
      <c r="G3313" t="s">
        <v>16</v>
      </c>
      <c r="H3313" t="s">
        <v>10</v>
      </c>
      <c r="J3313" t="str">
        <f>"10/17/2021 00:39"</f>
        <v>10/17/2021 00:39</v>
      </c>
    </row>
    <row r="3314" spans="1:10" x14ac:dyDescent="0.3">
      <c r="A3314" t="s">
        <v>6</v>
      </c>
      <c r="B3314" t="str">
        <f>"10/17/2021 00:00"</f>
        <v>10/17/2021 00:00</v>
      </c>
      <c r="C3314">
        <v>125</v>
      </c>
      <c r="D3314" t="s">
        <v>7</v>
      </c>
      <c r="E3314" s="2" t="s">
        <v>12</v>
      </c>
      <c r="F3314">
        <f t="shared" si="51"/>
        <v>247.875</v>
      </c>
      <c r="G3314" t="s">
        <v>16</v>
      </c>
      <c r="H3314" t="s">
        <v>10</v>
      </c>
      <c r="J3314" t="str">
        <f>"10/18/2021 00:43"</f>
        <v>10/18/2021 00:43</v>
      </c>
    </row>
    <row r="3315" spans="1:10" x14ac:dyDescent="0.3">
      <c r="A3315" t="s">
        <v>6</v>
      </c>
      <c r="B3315" t="str">
        <f>"10/18/2021 00:00"</f>
        <v>10/18/2021 00:00</v>
      </c>
      <c r="C3315">
        <v>174</v>
      </c>
      <c r="D3315" t="s">
        <v>7</v>
      </c>
      <c r="E3315" s="2" t="s">
        <v>12</v>
      </c>
      <c r="F3315">
        <f t="shared" si="51"/>
        <v>345.04200000000003</v>
      </c>
      <c r="G3315" t="s">
        <v>16</v>
      </c>
      <c r="H3315" t="s">
        <v>10</v>
      </c>
      <c r="J3315" t="str">
        <f>"10/19/2021 00:39"</f>
        <v>10/19/2021 00:39</v>
      </c>
    </row>
    <row r="3316" spans="1:10" x14ac:dyDescent="0.3">
      <c r="A3316" t="s">
        <v>6</v>
      </c>
      <c r="B3316" t="str">
        <f>"10/19/2021 00:00"</f>
        <v>10/19/2021 00:00</v>
      </c>
      <c r="C3316">
        <v>202</v>
      </c>
      <c r="D3316" t="s">
        <v>7</v>
      </c>
      <c r="E3316" s="2" t="s">
        <v>12</v>
      </c>
      <c r="F3316">
        <f t="shared" si="51"/>
        <v>400.56600000000003</v>
      </c>
      <c r="G3316" t="s">
        <v>16</v>
      </c>
      <c r="H3316" t="s">
        <v>10</v>
      </c>
      <c r="J3316" t="str">
        <f>"10/20/2021 00:39"</f>
        <v>10/20/2021 00:39</v>
      </c>
    </row>
    <row r="3317" spans="1:10" x14ac:dyDescent="0.3">
      <c r="A3317" t="s">
        <v>6</v>
      </c>
      <c r="B3317" t="str">
        <f>"10/20/2021 00:00"</f>
        <v>10/20/2021 00:00</v>
      </c>
      <c r="C3317">
        <v>123</v>
      </c>
      <c r="D3317" t="s">
        <v>7</v>
      </c>
      <c r="E3317" s="2" t="s">
        <v>12</v>
      </c>
      <c r="F3317">
        <f t="shared" si="51"/>
        <v>243.90900000000002</v>
      </c>
      <c r="G3317" t="s">
        <v>16</v>
      </c>
      <c r="H3317" t="s">
        <v>10</v>
      </c>
      <c r="J3317" t="str">
        <f>"10/21/2021 00:38"</f>
        <v>10/21/2021 00:38</v>
      </c>
    </row>
    <row r="3318" spans="1:10" x14ac:dyDescent="0.3">
      <c r="A3318" t="s">
        <v>6</v>
      </c>
      <c r="B3318" t="str">
        <f>"10/21/2021 00:00"</f>
        <v>10/21/2021 00:00</v>
      </c>
      <c r="C3318">
        <v>8.4400000000000003E-2</v>
      </c>
      <c r="D3318" t="s">
        <v>7</v>
      </c>
      <c r="E3318" s="2" t="s">
        <v>12</v>
      </c>
      <c r="F3318">
        <f t="shared" si="51"/>
        <v>0.16736520000000002</v>
      </c>
      <c r="G3318" t="s">
        <v>16</v>
      </c>
      <c r="H3318" t="s">
        <v>10</v>
      </c>
      <c r="J3318" t="str">
        <f>"10/22/2021 00:39"</f>
        <v>10/22/2021 00:39</v>
      </c>
    </row>
    <row r="3319" spans="1:10" x14ac:dyDescent="0.3">
      <c r="A3319" t="s">
        <v>6</v>
      </c>
      <c r="B3319" t="str">
        <f>"10/22/2021 00:00"</f>
        <v>10/22/2021 00:00</v>
      </c>
      <c r="C3319">
        <v>0.05</v>
      </c>
      <c r="D3319" t="s">
        <v>7</v>
      </c>
      <c r="E3319" s="2" t="s">
        <v>12</v>
      </c>
      <c r="F3319">
        <f t="shared" si="51"/>
        <v>9.9150000000000016E-2</v>
      </c>
      <c r="G3319" t="s">
        <v>16</v>
      </c>
      <c r="H3319" t="s">
        <v>10</v>
      </c>
      <c r="J3319" t="str">
        <f>"10/23/2021 00:39"</f>
        <v>10/23/2021 00:39</v>
      </c>
    </row>
    <row r="3320" spans="1:10" x14ac:dyDescent="0.3">
      <c r="A3320" t="s">
        <v>6</v>
      </c>
      <c r="B3320" t="str">
        <f>"10/23/2021 00:00"</f>
        <v>10/23/2021 00:00</v>
      </c>
      <c r="C3320">
        <v>0.05</v>
      </c>
      <c r="D3320" t="s">
        <v>7</v>
      </c>
      <c r="E3320" s="2" t="s">
        <v>12</v>
      </c>
      <c r="F3320">
        <f t="shared" si="51"/>
        <v>9.9150000000000016E-2</v>
      </c>
      <c r="G3320" t="s">
        <v>16</v>
      </c>
      <c r="H3320" t="s">
        <v>10</v>
      </c>
      <c r="J3320" t="str">
        <f>"10/24/2021 00:39"</f>
        <v>10/24/2021 00:39</v>
      </c>
    </row>
    <row r="3321" spans="1:10" x14ac:dyDescent="0.3">
      <c r="A3321" t="s">
        <v>6</v>
      </c>
      <c r="B3321" t="str">
        <f>"10/24/2021 00:00"</f>
        <v>10/24/2021 00:00</v>
      </c>
      <c r="C3321">
        <v>0.05</v>
      </c>
      <c r="D3321" t="s">
        <v>7</v>
      </c>
      <c r="E3321" s="2" t="s">
        <v>12</v>
      </c>
      <c r="F3321">
        <f t="shared" si="51"/>
        <v>9.9150000000000016E-2</v>
      </c>
      <c r="G3321" t="s">
        <v>16</v>
      </c>
      <c r="H3321" t="s">
        <v>10</v>
      </c>
      <c r="J3321" t="str">
        <f>"10/25/2021 00:39"</f>
        <v>10/25/2021 00:39</v>
      </c>
    </row>
    <row r="3322" spans="1:10" x14ac:dyDescent="0.3">
      <c r="A3322" t="s">
        <v>6</v>
      </c>
      <c r="B3322" t="str">
        <f>"10/25/2021 00:00"</f>
        <v>10/25/2021 00:00</v>
      </c>
      <c r="C3322">
        <v>66.900000000000006</v>
      </c>
      <c r="D3322" t="s">
        <v>7</v>
      </c>
      <c r="E3322" s="2" t="s">
        <v>12</v>
      </c>
      <c r="F3322">
        <f t="shared" si="51"/>
        <v>132.66270000000003</v>
      </c>
      <c r="G3322" t="s">
        <v>16</v>
      </c>
      <c r="H3322" t="s">
        <v>10</v>
      </c>
      <c r="J3322" t="str">
        <f>"10/26/2021 00:39"</f>
        <v>10/26/2021 00:39</v>
      </c>
    </row>
    <row r="3323" spans="1:10" x14ac:dyDescent="0.3">
      <c r="A3323" t="s">
        <v>6</v>
      </c>
      <c r="B3323" t="str">
        <f>"10/26/2021 00:00"</f>
        <v>10/26/2021 00:00</v>
      </c>
      <c r="C3323">
        <v>198</v>
      </c>
      <c r="D3323" t="s">
        <v>7</v>
      </c>
      <c r="E3323" s="2" t="s">
        <v>12</v>
      </c>
      <c r="F3323">
        <f t="shared" si="51"/>
        <v>392.63400000000001</v>
      </c>
      <c r="G3323" t="s">
        <v>16</v>
      </c>
      <c r="H3323" t="s">
        <v>10</v>
      </c>
      <c r="J3323" t="str">
        <f>"10/27/2021 00:39"</f>
        <v>10/27/2021 00:39</v>
      </c>
    </row>
    <row r="3324" spans="1:10" x14ac:dyDescent="0.3">
      <c r="A3324" t="s">
        <v>6</v>
      </c>
      <c r="B3324" t="str">
        <f>"10/27/2021 00:00"</f>
        <v>10/27/2021 00:00</v>
      </c>
      <c r="C3324">
        <v>198</v>
      </c>
      <c r="D3324" t="s">
        <v>7</v>
      </c>
      <c r="E3324" s="2" t="s">
        <v>12</v>
      </c>
      <c r="F3324">
        <f t="shared" si="51"/>
        <v>392.63400000000001</v>
      </c>
      <c r="G3324" t="s">
        <v>16</v>
      </c>
      <c r="H3324" t="s">
        <v>10</v>
      </c>
      <c r="J3324" t="str">
        <f>"10/28/2021 00:39"</f>
        <v>10/28/2021 00:39</v>
      </c>
    </row>
    <row r="3325" spans="1:10" x14ac:dyDescent="0.3">
      <c r="A3325" t="s">
        <v>6</v>
      </c>
      <c r="B3325" t="str">
        <f>"10/28/2021 00:00"</f>
        <v>10/28/2021 00:00</v>
      </c>
      <c r="C3325">
        <v>198</v>
      </c>
      <c r="D3325" t="s">
        <v>7</v>
      </c>
      <c r="E3325" s="2" t="s">
        <v>12</v>
      </c>
      <c r="F3325">
        <f t="shared" si="51"/>
        <v>392.63400000000001</v>
      </c>
      <c r="G3325" t="s">
        <v>16</v>
      </c>
      <c r="H3325" t="s">
        <v>10</v>
      </c>
      <c r="J3325" t="str">
        <f>"10/29/2021 00:39"</f>
        <v>10/29/2021 00:39</v>
      </c>
    </row>
    <row r="3326" spans="1:10" x14ac:dyDescent="0.3">
      <c r="A3326" t="s">
        <v>6</v>
      </c>
      <c r="B3326" t="str">
        <f>"10/29/2021 00:00"</f>
        <v>10/29/2021 00:00</v>
      </c>
      <c r="C3326">
        <v>198</v>
      </c>
      <c r="D3326" t="s">
        <v>7</v>
      </c>
      <c r="E3326" s="2" t="s">
        <v>12</v>
      </c>
      <c r="F3326">
        <f t="shared" si="51"/>
        <v>392.63400000000001</v>
      </c>
      <c r="G3326" t="s">
        <v>16</v>
      </c>
      <c r="H3326" t="s">
        <v>10</v>
      </c>
      <c r="J3326" t="str">
        <f>"10/30/2021 00:39"</f>
        <v>10/30/2021 00:39</v>
      </c>
    </row>
    <row r="3327" spans="1:10" x14ac:dyDescent="0.3">
      <c r="A3327" t="s">
        <v>6</v>
      </c>
      <c r="B3327" t="str">
        <f>"10/30/2021 00:00"</f>
        <v>10/30/2021 00:00</v>
      </c>
      <c r="C3327">
        <v>198</v>
      </c>
      <c r="D3327" t="s">
        <v>7</v>
      </c>
      <c r="E3327" s="2" t="s">
        <v>12</v>
      </c>
      <c r="F3327">
        <f t="shared" si="51"/>
        <v>392.63400000000001</v>
      </c>
      <c r="G3327" t="s">
        <v>16</v>
      </c>
      <c r="H3327" t="s">
        <v>10</v>
      </c>
      <c r="J3327" t="str">
        <f>"10/31/2021 00:40"</f>
        <v>10/31/2021 00:40</v>
      </c>
    </row>
    <row r="3328" spans="1:10" x14ac:dyDescent="0.3">
      <c r="A3328" t="s">
        <v>6</v>
      </c>
      <c r="B3328" t="str">
        <f>"10/31/2021 00:00"</f>
        <v>10/31/2021 00:00</v>
      </c>
      <c r="C3328">
        <v>198</v>
      </c>
      <c r="D3328" t="s">
        <v>7</v>
      </c>
      <c r="E3328" s="2" t="s">
        <v>12</v>
      </c>
      <c r="F3328">
        <f t="shared" si="51"/>
        <v>392.63400000000001</v>
      </c>
      <c r="G3328" t="s">
        <v>16</v>
      </c>
      <c r="H3328" t="s">
        <v>10</v>
      </c>
      <c r="J3328" t="str">
        <f>"11/01/2021 00:39"</f>
        <v>11/01/2021 00:39</v>
      </c>
    </row>
    <row r="3329" spans="1:10" x14ac:dyDescent="0.3">
      <c r="A3329" t="s">
        <v>6</v>
      </c>
      <c r="B3329" t="str">
        <f>"11/01/2021 00:00"</f>
        <v>11/01/2021 00:00</v>
      </c>
      <c r="C3329">
        <v>198</v>
      </c>
      <c r="D3329" t="s">
        <v>7</v>
      </c>
      <c r="E3329" s="2" t="s">
        <v>12</v>
      </c>
      <c r="F3329">
        <f t="shared" si="51"/>
        <v>392.63400000000001</v>
      </c>
      <c r="G3329" t="s">
        <v>16</v>
      </c>
      <c r="H3329" t="s">
        <v>10</v>
      </c>
      <c r="J3329" t="str">
        <f>"11/02/2021 00:39"</f>
        <v>11/02/2021 00:39</v>
      </c>
    </row>
    <row r="3330" spans="1:10" x14ac:dyDescent="0.3">
      <c r="A3330" t="s">
        <v>6</v>
      </c>
      <c r="B3330" t="str">
        <f>"11/02/2021 00:00"</f>
        <v>11/02/2021 00:00</v>
      </c>
      <c r="C3330">
        <v>179</v>
      </c>
      <c r="D3330" t="s">
        <v>7</v>
      </c>
      <c r="E3330" s="2" t="s">
        <v>12</v>
      </c>
      <c r="F3330">
        <f t="shared" si="51"/>
        <v>354.95699999999999</v>
      </c>
      <c r="G3330" t="s">
        <v>16</v>
      </c>
      <c r="H3330" t="s">
        <v>10</v>
      </c>
      <c r="J3330" t="str">
        <f>"11/03/2021 00:39"</f>
        <v>11/03/2021 00:39</v>
      </c>
    </row>
    <row r="3331" spans="1:10" x14ac:dyDescent="0.3">
      <c r="A3331" t="s">
        <v>6</v>
      </c>
      <c r="B3331" t="str">
        <f>"11/03/2021 00:00"</f>
        <v>11/03/2021 00:00</v>
      </c>
      <c r="C3331">
        <v>144</v>
      </c>
      <c r="D3331" t="s">
        <v>7</v>
      </c>
      <c r="E3331" s="2" t="s">
        <v>12</v>
      </c>
      <c r="F3331">
        <f t="shared" si="51"/>
        <v>285.55200000000002</v>
      </c>
      <c r="G3331" t="s">
        <v>16</v>
      </c>
      <c r="H3331" t="s">
        <v>10</v>
      </c>
      <c r="J3331" t="str">
        <f>"11/04/2021 00:39"</f>
        <v>11/04/2021 00:39</v>
      </c>
    </row>
    <row r="3332" spans="1:10" x14ac:dyDescent="0.3">
      <c r="A3332" t="s">
        <v>6</v>
      </c>
      <c r="B3332" t="str">
        <f>"11/04/2021 00:00"</f>
        <v>11/04/2021 00:00</v>
      </c>
      <c r="C3332">
        <v>130</v>
      </c>
      <c r="D3332" t="s">
        <v>7</v>
      </c>
      <c r="E3332" s="2" t="s">
        <v>12</v>
      </c>
      <c r="F3332">
        <f t="shared" si="51"/>
        <v>257.79000000000002</v>
      </c>
      <c r="G3332" t="s">
        <v>16</v>
      </c>
      <c r="H3332" t="s">
        <v>10</v>
      </c>
      <c r="J3332" t="str">
        <f>"11/05/2021 00:39"</f>
        <v>11/05/2021 00:39</v>
      </c>
    </row>
    <row r="3333" spans="1:10" x14ac:dyDescent="0.3">
      <c r="A3333" t="s">
        <v>6</v>
      </c>
      <c r="B3333" t="str">
        <f>"11/05/2021 00:00"</f>
        <v>11/05/2021 00:00</v>
      </c>
      <c r="C3333">
        <v>143</v>
      </c>
      <c r="D3333" t="s">
        <v>7</v>
      </c>
      <c r="E3333" s="2" t="s">
        <v>12</v>
      </c>
      <c r="F3333">
        <f t="shared" si="51"/>
        <v>283.56900000000002</v>
      </c>
      <c r="G3333" t="s">
        <v>16</v>
      </c>
      <c r="H3333" t="s">
        <v>10</v>
      </c>
      <c r="J3333" t="str">
        <f>"11/06/2021 00:39"</f>
        <v>11/06/2021 00:39</v>
      </c>
    </row>
    <row r="3334" spans="1:10" x14ac:dyDescent="0.3">
      <c r="A3334" t="s">
        <v>6</v>
      </c>
      <c r="B3334" t="str">
        <f>"11/06/2021 00:00"</f>
        <v>11/06/2021 00:00</v>
      </c>
      <c r="C3334">
        <v>160</v>
      </c>
      <c r="D3334" t="s">
        <v>7</v>
      </c>
      <c r="E3334" s="2" t="s">
        <v>12</v>
      </c>
      <c r="F3334">
        <f t="shared" si="51"/>
        <v>317.28000000000003</v>
      </c>
      <c r="G3334" t="s">
        <v>16</v>
      </c>
      <c r="H3334" t="s">
        <v>10</v>
      </c>
      <c r="J3334" t="str">
        <f>"11/07/2021 00:39"</f>
        <v>11/07/2021 00:39</v>
      </c>
    </row>
    <row r="3335" spans="1:10" x14ac:dyDescent="0.3">
      <c r="A3335" t="s">
        <v>6</v>
      </c>
      <c r="B3335" t="str">
        <f>"11/07/2021 00:00"</f>
        <v>11/07/2021 00:00</v>
      </c>
      <c r="C3335">
        <v>160</v>
      </c>
      <c r="D3335" t="s">
        <v>7</v>
      </c>
      <c r="E3335" s="2" t="s">
        <v>12</v>
      </c>
      <c r="F3335">
        <f t="shared" si="51"/>
        <v>317.28000000000003</v>
      </c>
      <c r="G3335" t="s">
        <v>16</v>
      </c>
      <c r="H3335" t="s">
        <v>10</v>
      </c>
      <c r="J3335" t="str">
        <f>"11/08/2021 00:39"</f>
        <v>11/08/2021 00:39</v>
      </c>
    </row>
    <row r="3336" spans="1:10" x14ac:dyDescent="0.3">
      <c r="A3336" t="s">
        <v>6</v>
      </c>
      <c r="B3336" t="str">
        <f>"11/08/2021 00:00"</f>
        <v>11/08/2021 00:00</v>
      </c>
      <c r="C3336">
        <v>192</v>
      </c>
      <c r="D3336" t="s">
        <v>7</v>
      </c>
      <c r="E3336" s="2" t="s">
        <v>12</v>
      </c>
      <c r="F3336">
        <f t="shared" si="51"/>
        <v>380.73599999999999</v>
      </c>
      <c r="G3336" t="s">
        <v>16</v>
      </c>
      <c r="H3336" t="s">
        <v>10</v>
      </c>
      <c r="J3336" t="str">
        <f>"11/09/2021 01:09"</f>
        <v>11/09/2021 01:09</v>
      </c>
    </row>
    <row r="3337" spans="1:10" x14ac:dyDescent="0.3">
      <c r="A3337" t="s">
        <v>6</v>
      </c>
      <c r="B3337" t="str">
        <f>"11/09/2021 00:00"</f>
        <v>11/09/2021 00:00</v>
      </c>
      <c r="C3337">
        <v>209</v>
      </c>
      <c r="D3337" t="s">
        <v>7</v>
      </c>
      <c r="E3337" s="2" t="s">
        <v>12</v>
      </c>
      <c r="F3337">
        <f t="shared" si="51"/>
        <v>414.447</v>
      </c>
      <c r="G3337" t="s">
        <v>16</v>
      </c>
      <c r="H3337" t="s">
        <v>10</v>
      </c>
      <c r="J3337" t="str">
        <f>"11/10/2021 00:39"</f>
        <v>11/10/2021 00:39</v>
      </c>
    </row>
    <row r="3338" spans="1:10" x14ac:dyDescent="0.3">
      <c r="A3338" t="s">
        <v>6</v>
      </c>
      <c r="B3338" t="str">
        <f>"11/10/2021 00:00"</f>
        <v>11/10/2021 00:00</v>
      </c>
      <c r="C3338">
        <v>208</v>
      </c>
      <c r="D3338" t="s">
        <v>7</v>
      </c>
      <c r="E3338" s="2" t="s">
        <v>12</v>
      </c>
      <c r="F3338">
        <f t="shared" si="51"/>
        <v>412.464</v>
      </c>
      <c r="G3338" t="s">
        <v>16</v>
      </c>
      <c r="H3338" t="s">
        <v>10</v>
      </c>
      <c r="J3338" t="str">
        <f>"11/11/2021 00:54"</f>
        <v>11/11/2021 00:54</v>
      </c>
    </row>
    <row r="3339" spans="1:10" x14ac:dyDescent="0.3">
      <c r="A3339" t="s">
        <v>6</v>
      </c>
      <c r="B3339" t="str">
        <f>"11/11/2021 00:00"</f>
        <v>11/11/2021 00:00</v>
      </c>
      <c r="C3339">
        <v>208</v>
      </c>
      <c r="D3339" t="s">
        <v>7</v>
      </c>
      <c r="E3339" s="2" t="s">
        <v>12</v>
      </c>
      <c r="F3339">
        <f t="shared" si="51"/>
        <v>412.464</v>
      </c>
      <c r="G3339" t="s">
        <v>16</v>
      </c>
      <c r="H3339" t="s">
        <v>10</v>
      </c>
      <c r="J3339" t="str">
        <f>"11/12/2021 00:40"</f>
        <v>11/12/2021 00:40</v>
      </c>
    </row>
    <row r="3340" spans="1:10" x14ac:dyDescent="0.3">
      <c r="A3340" t="s">
        <v>6</v>
      </c>
      <c r="B3340" t="str">
        <f>"11/12/2021 00:00"</f>
        <v>11/12/2021 00:00</v>
      </c>
      <c r="C3340">
        <v>196</v>
      </c>
      <c r="D3340" t="s">
        <v>7</v>
      </c>
      <c r="E3340" s="2" t="s">
        <v>12</v>
      </c>
      <c r="F3340">
        <f t="shared" ref="F3340:F3403" si="52">C3340*1.983</f>
        <v>388.66800000000001</v>
      </c>
      <c r="G3340" t="s">
        <v>16</v>
      </c>
      <c r="H3340" t="s">
        <v>10</v>
      </c>
      <c r="J3340" t="str">
        <f>"11/13/2021 00:39"</f>
        <v>11/13/2021 00:39</v>
      </c>
    </row>
    <row r="3341" spans="1:10" x14ac:dyDescent="0.3">
      <c r="A3341" t="s">
        <v>6</v>
      </c>
      <c r="B3341" t="str">
        <f>"11/13/2021 00:00"</f>
        <v>11/13/2021 00:00</v>
      </c>
      <c r="C3341">
        <v>189</v>
      </c>
      <c r="D3341" t="s">
        <v>7</v>
      </c>
      <c r="E3341" s="2" t="s">
        <v>12</v>
      </c>
      <c r="F3341">
        <f t="shared" si="52"/>
        <v>374.78700000000003</v>
      </c>
      <c r="G3341" t="s">
        <v>16</v>
      </c>
      <c r="H3341" t="s">
        <v>10</v>
      </c>
      <c r="J3341" t="str">
        <f>"11/14/2021 00:39"</f>
        <v>11/14/2021 00:39</v>
      </c>
    </row>
    <row r="3342" spans="1:10" x14ac:dyDescent="0.3">
      <c r="A3342" t="s">
        <v>6</v>
      </c>
      <c r="B3342" t="str">
        <f>"11/14/2021 00:00"</f>
        <v>11/14/2021 00:00</v>
      </c>
      <c r="C3342">
        <v>189</v>
      </c>
      <c r="D3342" t="s">
        <v>7</v>
      </c>
      <c r="E3342" s="2" t="s">
        <v>12</v>
      </c>
      <c r="F3342">
        <f t="shared" si="52"/>
        <v>374.78700000000003</v>
      </c>
      <c r="G3342" t="s">
        <v>16</v>
      </c>
      <c r="H3342" t="s">
        <v>10</v>
      </c>
      <c r="J3342" t="str">
        <f>"11/15/2021 00:39"</f>
        <v>11/15/2021 00:39</v>
      </c>
    </row>
    <row r="3343" spans="1:10" x14ac:dyDescent="0.3">
      <c r="A3343" t="s">
        <v>6</v>
      </c>
      <c r="B3343" t="str">
        <f>"11/15/2021 00:00"</f>
        <v>11/15/2021 00:00</v>
      </c>
      <c r="C3343">
        <v>168</v>
      </c>
      <c r="D3343" t="s">
        <v>7</v>
      </c>
      <c r="E3343" s="2" t="s">
        <v>12</v>
      </c>
      <c r="F3343">
        <f t="shared" si="52"/>
        <v>333.14400000000001</v>
      </c>
      <c r="G3343" t="s">
        <v>16</v>
      </c>
      <c r="H3343" t="s">
        <v>10</v>
      </c>
      <c r="J3343" t="str">
        <f>"11/16/2021 00:39"</f>
        <v>11/16/2021 00:39</v>
      </c>
    </row>
    <row r="3344" spans="1:10" x14ac:dyDescent="0.3">
      <c r="A3344" t="s">
        <v>6</v>
      </c>
      <c r="B3344" t="str">
        <f>"11/16/2021 00:00"</f>
        <v>11/16/2021 00:00</v>
      </c>
      <c r="C3344">
        <v>149</v>
      </c>
      <c r="D3344" t="s">
        <v>7</v>
      </c>
      <c r="E3344" s="2" t="s">
        <v>12</v>
      </c>
      <c r="F3344">
        <f t="shared" si="52"/>
        <v>295.46700000000004</v>
      </c>
      <c r="G3344" t="s">
        <v>16</v>
      </c>
      <c r="H3344" t="s">
        <v>10</v>
      </c>
      <c r="J3344" t="str">
        <f>"11/17/2021 00:39"</f>
        <v>11/17/2021 00:39</v>
      </c>
    </row>
    <row r="3345" spans="1:10" x14ac:dyDescent="0.3">
      <c r="A3345" t="s">
        <v>6</v>
      </c>
      <c r="B3345" t="str">
        <f>"11/17/2021 00:00"</f>
        <v>11/17/2021 00:00</v>
      </c>
      <c r="C3345">
        <v>149</v>
      </c>
      <c r="D3345" t="s">
        <v>7</v>
      </c>
      <c r="E3345" s="2" t="s">
        <v>12</v>
      </c>
      <c r="F3345">
        <f t="shared" si="52"/>
        <v>295.46700000000004</v>
      </c>
      <c r="G3345" t="s">
        <v>16</v>
      </c>
      <c r="H3345" t="s">
        <v>10</v>
      </c>
      <c r="J3345" t="str">
        <f>"11/18/2021 00:39"</f>
        <v>11/18/2021 00:39</v>
      </c>
    </row>
    <row r="3346" spans="1:10" x14ac:dyDescent="0.3">
      <c r="A3346" t="s">
        <v>6</v>
      </c>
      <c r="B3346" t="str">
        <f>"11/18/2021 00:00"</f>
        <v>11/18/2021 00:00</v>
      </c>
      <c r="C3346">
        <v>149</v>
      </c>
      <c r="D3346" t="s">
        <v>7</v>
      </c>
      <c r="E3346" s="2" t="s">
        <v>12</v>
      </c>
      <c r="F3346">
        <f t="shared" si="52"/>
        <v>295.46700000000004</v>
      </c>
      <c r="G3346" t="s">
        <v>16</v>
      </c>
      <c r="H3346" t="s">
        <v>10</v>
      </c>
      <c r="J3346" t="str">
        <f>"01/03/2022 15:26"</f>
        <v>01/03/2022 15:26</v>
      </c>
    </row>
    <row r="3347" spans="1:10" x14ac:dyDescent="0.3">
      <c r="A3347" t="s">
        <v>6</v>
      </c>
      <c r="B3347" t="str">
        <f>"11/19/2021 00:00"</f>
        <v>11/19/2021 00:00</v>
      </c>
      <c r="C3347">
        <v>149</v>
      </c>
      <c r="D3347" t="s">
        <v>7</v>
      </c>
      <c r="E3347" s="2" t="s">
        <v>12</v>
      </c>
      <c r="F3347">
        <f t="shared" si="52"/>
        <v>295.46700000000004</v>
      </c>
      <c r="G3347" t="s">
        <v>16</v>
      </c>
      <c r="H3347" t="s">
        <v>10</v>
      </c>
      <c r="J3347" t="str">
        <f>"11/20/2021 00:39"</f>
        <v>11/20/2021 00:39</v>
      </c>
    </row>
    <row r="3348" spans="1:10" x14ac:dyDescent="0.3">
      <c r="A3348" t="s">
        <v>6</v>
      </c>
      <c r="B3348" t="str">
        <f>"11/20/2021 00:00"</f>
        <v>11/20/2021 00:00</v>
      </c>
      <c r="C3348">
        <v>149</v>
      </c>
      <c r="D3348" t="s">
        <v>7</v>
      </c>
      <c r="E3348" s="2" t="s">
        <v>12</v>
      </c>
      <c r="F3348">
        <f t="shared" si="52"/>
        <v>295.46700000000004</v>
      </c>
      <c r="G3348" t="s">
        <v>16</v>
      </c>
      <c r="H3348" t="s">
        <v>10</v>
      </c>
      <c r="J3348" t="str">
        <f>"11/21/2021 00:39"</f>
        <v>11/21/2021 00:39</v>
      </c>
    </row>
    <row r="3349" spans="1:10" x14ac:dyDescent="0.3">
      <c r="A3349" t="s">
        <v>6</v>
      </c>
      <c r="B3349" t="str">
        <f>"11/21/2021 00:00"</f>
        <v>11/21/2021 00:00</v>
      </c>
      <c r="C3349">
        <v>149</v>
      </c>
      <c r="D3349" t="s">
        <v>7</v>
      </c>
      <c r="E3349" s="2" t="s">
        <v>12</v>
      </c>
      <c r="F3349">
        <f t="shared" si="52"/>
        <v>295.46700000000004</v>
      </c>
      <c r="G3349" t="s">
        <v>16</v>
      </c>
      <c r="H3349" t="s">
        <v>10</v>
      </c>
      <c r="J3349" t="str">
        <f>"11/22/2021 00:39"</f>
        <v>11/22/2021 00:39</v>
      </c>
    </row>
    <row r="3350" spans="1:10" x14ac:dyDescent="0.3">
      <c r="A3350" t="s">
        <v>6</v>
      </c>
      <c r="B3350" t="str">
        <f>"11/22/2021 00:00"</f>
        <v>11/22/2021 00:00</v>
      </c>
      <c r="C3350">
        <v>141</v>
      </c>
      <c r="D3350" t="s">
        <v>7</v>
      </c>
      <c r="E3350" s="2" t="s">
        <v>12</v>
      </c>
      <c r="F3350">
        <f t="shared" si="52"/>
        <v>279.60300000000001</v>
      </c>
      <c r="G3350" t="s">
        <v>16</v>
      </c>
      <c r="H3350" t="s">
        <v>10</v>
      </c>
      <c r="J3350" t="str">
        <f>"11/23/2021 00:39"</f>
        <v>11/23/2021 00:39</v>
      </c>
    </row>
    <row r="3351" spans="1:10" x14ac:dyDescent="0.3">
      <c r="A3351" t="s">
        <v>6</v>
      </c>
      <c r="B3351" t="str">
        <f>"11/23/2021 00:00"</f>
        <v>11/23/2021 00:00</v>
      </c>
      <c r="C3351">
        <v>127</v>
      </c>
      <c r="D3351" t="s">
        <v>7</v>
      </c>
      <c r="E3351" s="2" t="s">
        <v>12</v>
      </c>
      <c r="F3351">
        <f t="shared" si="52"/>
        <v>251.84100000000001</v>
      </c>
      <c r="G3351" t="s">
        <v>16</v>
      </c>
      <c r="H3351" t="s">
        <v>10</v>
      </c>
      <c r="J3351" t="str">
        <f>"01/03/2022 15:26"</f>
        <v>01/03/2022 15:26</v>
      </c>
    </row>
    <row r="3352" spans="1:10" x14ac:dyDescent="0.3">
      <c r="A3352" t="s">
        <v>6</v>
      </c>
      <c r="B3352" t="str">
        <f>"11/24/2021 00:00"</f>
        <v>11/24/2021 00:00</v>
      </c>
      <c r="C3352">
        <v>127</v>
      </c>
      <c r="D3352" t="s">
        <v>7</v>
      </c>
      <c r="E3352" s="2" t="s">
        <v>12</v>
      </c>
      <c r="F3352">
        <f t="shared" si="52"/>
        <v>251.84100000000001</v>
      </c>
      <c r="G3352" t="s">
        <v>16</v>
      </c>
      <c r="H3352" t="s">
        <v>10</v>
      </c>
      <c r="J3352" t="str">
        <f>"11/25/2021 00:39"</f>
        <v>11/25/2021 00:39</v>
      </c>
    </row>
    <row r="3353" spans="1:10" x14ac:dyDescent="0.3">
      <c r="A3353" t="s">
        <v>6</v>
      </c>
      <c r="B3353" t="str">
        <f>"11/25/2021 00:00"</f>
        <v>11/25/2021 00:00</v>
      </c>
      <c r="C3353">
        <v>109</v>
      </c>
      <c r="D3353" t="s">
        <v>7</v>
      </c>
      <c r="E3353" s="2" t="s">
        <v>12</v>
      </c>
      <c r="F3353">
        <f t="shared" si="52"/>
        <v>216.14700000000002</v>
      </c>
      <c r="G3353" t="s">
        <v>16</v>
      </c>
      <c r="H3353" t="s">
        <v>10</v>
      </c>
      <c r="J3353" t="str">
        <f>"11/26/2021 00:39"</f>
        <v>11/26/2021 00:39</v>
      </c>
    </row>
    <row r="3354" spans="1:10" x14ac:dyDescent="0.3">
      <c r="A3354" t="s">
        <v>6</v>
      </c>
      <c r="B3354" t="str">
        <f>"11/26/2021 00:00"</f>
        <v>11/26/2021 00:00</v>
      </c>
      <c r="C3354">
        <v>100</v>
      </c>
      <c r="D3354" t="s">
        <v>7</v>
      </c>
      <c r="E3354" s="2" t="s">
        <v>12</v>
      </c>
      <c r="F3354">
        <f t="shared" si="52"/>
        <v>198.3</v>
      </c>
      <c r="G3354" t="s">
        <v>16</v>
      </c>
      <c r="H3354" t="s">
        <v>10</v>
      </c>
      <c r="J3354" t="str">
        <f>"11/27/2021 00:39"</f>
        <v>11/27/2021 00:39</v>
      </c>
    </row>
    <row r="3355" spans="1:10" x14ac:dyDescent="0.3">
      <c r="A3355" t="s">
        <v>6</v>
      </c>
      <c r="B3355" t="str">
        <f>"11/27/2021 00:00"</f>
        <v>11/27/2021 00:00</v>
      </c>
      <c r="C3355">
        <v>84.5</v>
      </c>
      <c r="D3355" t="s">
        <v>7</v>
      </c>
      <c r="E3355" s="2" t="s">
        <v>12</v>
      </c>
      <c r="F3355">
        <f t="shared" si="52"/>
        <v>167.5635</v>
      </c>
      <c r="G3355" t="s">
        <v>16</v>
      </c>
      <c r="H3355" t="s">
        <v>10</v>
      </c>
      <c r="J3355" t="str">
        <f>"11/28/2021 00:39"</f>
        <v>11/28/2021 00:39</v>
      </c>
    </row>
    <row r="3356" spans="1:10" x14ac:dyDescent="0.3">
      <c r="A3356" t="s">
        <v>6</v>
      </c>
      <c r="B3356" t="str">
        <f>"11/28/2021 00:00"</f>
        <v>11/28/2021 00:00</v>
      </c>
      <c r="C3356">
        <v>77.2</v>
      </c>
      <c r="D3356" t="s">
        <v>7</v>
      </c>
      <c r="E3356" s="2" t="s">
        <v>12</v>
      </c>
      <c r="F3356">
        <f t="shared" si="52"/>
        <v>153.08760000000001</v>
      </c>
      <c r="G3356" t="s">
        <v>16</v>
      </c>
      <c r="H3356" t="s">
        <v>10</v>
      </c>
      <c r="J3356" t="str">
        <f>"11/29/2021 00:39"</f>
        <v>11/29/2021 00:39</v>
      </c>
    </row>
    <row r="3357" spans="1:10" x14ac:dyDescent="0.3">
      <c r="A3357" t="s">
        <v>6</v>
      </c>
      <c r="B3357" t="str">
        <f>"11/29/2021 00:00"</f>
        <v>11/29/2021 00:00</v>
      </c>
      <c r="C3357">
        <v>58.8</v>
      </c>
      <c r="D3357" t="s">
        <v>7</v>
      </c>
      <c r="E3357" s="2" t="s">
        <v>12</v>
      </c>
      <c r="F3357">
        <f t="shared" si="52"/>
        <v>116.60039999999999</v>
      </c>
      <c r="G3357" t="s">
        <v>16</v>
      </c>
      <c r="H3357" t="s">
        <v>10</v>
      </c>
      <c r="J3357" t="str">
        <f>"11/30/2021 00:39"</f>
        <v>11/30/2021 00:39</v>
      </c>
    </row>
    <row r="3358" spans="1:10" x14ac:dyDescent="0.3">
      <c r="A3358" t="s">
        <v>6</v>
      </c>
      <c r="B3358" t="str">
        <f>"11/30/2021 00:00"</f>
        <v>11/30/2021 00:00</v>
      </c>
      <c r="C3358">
        <v>51.1</v>
      </c>
      <c r="D3358" t="s">
        <v>7</v>
      </c>
      <c r="E3358" s="2" t="s">
        <v>12</v>
      </c>
      <c r="F3358">
        <f t="shared" si="52"/>
        <v>101.33130000000001</v>
      </c>
      <c r="G3358" t="s">
        <v>16</v>
      </c>
      <c r="H3358" t="s">
        <v>10</v>
      </c>
      <c r="J3358" t="str">
        <f>"12/01/2021 00:39"</f>
        <v>12/01/2021 00:39</v>
      </c>
    </row>
    <row r="3359" spans="1:10" x14ac:dyDescent="0.3">
      <c r="A3359" t="s">
        <v>6</v>
      </c>
      <c r="B3359" t="str">
        <f>"12/01/2021 00:00"</f>
        <v>12/01/2021 00:00</v>
      </c>
      <c r="C3359">
        <v>32.200000000000003</v>
      </c>
      <c r="D3359" t="s">
        <v>7</v>
      </c>
      <c r="E3359" s="2" t="s">
        <v>12</v>
      </c>
      <c r="F3359">
        <f t="shared" si="52"/>
        <v>63.85260000000001</v>
      </c>
      <c r="G3359" t="s">
        <v>16</v>
      </c>
      <c r="H3359" t="s">
        <v>10</v>
      </c>
      <c r="J3359" t="str">
        <f>"12/02/2021 00:39"</f>
        <v>12/02/2021 00:39</v>
      </c>
    </row>
    <row r="3360" spans="1:10" x14ac:dyDescent="0.3">
      <c r="A3360" t="s">
        <v>6</v>
      </c>
      <c r="B3360" t="str">
        <f>"12/02/2021 00:00"</f>
        <v>12/02/2021 00:00</v>
      </c>
      <c r="C3360">
        <v>24.6</v>
      </c>
      <c r="D3360" t="s">
        <v>7</v>
      </c>
      <c r="E3360" s="2" t="s">
        <v>12</v>
      </c>
      <c r="F3360">
        <f t="shared" si="52"/>
        <v>48.781800000000004</v>
      </c>
      <c r="G3360" t="s">
        <v>16</v>
      </c>
      <c r="H3360" t="s">
        <v>10</v>
      </c>
      <c r="J3360" t="str">
        <f>"12/03/2021 00:39"</f>
        <v>12/03/2021 00:39</v>
      </c>
    </row>
    <row r="3361" spans="1:10" x14ac:dyDescent="0.3">
      <c r="A3361" t="s">
        <v>6</v>
      </c>
      <c r="B3361" t="str">
        <f>"12/03/2021 00:00"</f>
        <v>12/03/2021 00:00</v>
      </c>
      <c r="C3361">
        <v>7.54</v>
      </c>
      <c r="D3361" t="s">
        <v>7</v>
      </c>
      <c r="E3361" s="2" t="s">
        <v>12</v>
      </c>
      <c r="F3361">
        <f t="shared" si="52"/>
        <v>14.951820000000001</v>
      </c>
      <c r="G3361" t="s">
        <v>16</v>
      </c>
      <c r="H3361" t="s">
        <v>10</v>
      </c>
      <c r="J3361" t="str">
        <f>"12/04/2021 00:39"</f>
        <v>12/04/2021 00:39</v>
      </c>
    </row>
    <row r="3362" spans="1:10" x14ac:dyDescent="0.3">
      <c r="A3362" t="s">
        <v>6</v>
      </c>
      <c r="B3362" t="str">
        <f>"12/04/2021 00:00"</f>
        <v>12/04/2021 00:00</v>
      </c>
      <c r="C3362">
        <v>0.1</v>
      </c>
      <c r="D3362" t="s">
        <v>7</v>
      </c>
      <c r="E3362" s="2" t="s">
        <v>12</v>
      </c>
      <c r="F3362">
        <f t="shared" si="52"/>
        <v>0.19830000000000003</v>
      </c>
      <c r="G3362" t="s">
        <v>16</v>
      </c>
      <c r="H3362" t="s">
        <v>10</v>
      </c>
      <c r="J3362" t="str">
        <f>"12/05/2021 00:39"</f>
        <v>12/05/2021 00:39</v>
      </c>
    </row>
    <row r="3363" spans="1:10" x14ac:dyDescent="0.3">
      <c r="A3363" t="s">
        <v>6</v>
      </c>
      <c r="B3363" t="str">
        <f>"12/05/2021 00:00"</f>
        <v>12/05/2021 00:00</v>
      </c>
      <c r="C3363">
        <v>8.0199999999999994E-2</v>
      </c>
      <c r="D3363" t="s">
        <v>7</v>
      </c>
      <c r="E3363" s="2" t="s">
        <v>12</v>
      </c>
      <c r="F3363">
        <f t="shared" si="52"/>
        <v>0.1590366</v>
      </c>
      <c r="G3363" t="s">
        <v>16</v>
      </c>
      <c r="H3363" t="s">
        <v>10</v>
      </c>
      <c r="J3363" t="str">
        <f>"12/06/2021 00:39"</f>
        <v>12/06/2021 00:39</v>
      </c>
    </row>
    <row r="3364" spans="1:10" x14ac:dyDescent="0.3">
      <c r="A3364" t="s">
        <v>6</v>
      </c>
      <c r="B3364" t="str">
        <f>"12/06/2021 00:00"</f>
        <v>12/06/2021 00:00</v>
      </c>
      <c r="C3364">
        <v>0.05</v>
      </c>
      <c r="D3364" t="s">
        <v>7</v>
      </c>
      <c r="E3364" s="2" t="s">
        <v>12</v>
      </c>
      <c r="F3364">
        <f t="shared" si="52"/>
        <v>9.9150000000000016E-2</v>
      </c>
      <c r="G3364" t="s">
        <v>16</v>
      </c>
      <c r="H3364" t="s">
        <v>10</v>
      </c>
      <c r="J3364" t="str">
        <f>"12/07/2021 00:39"</f>
        <v>12/07/2021 00:39</v>
      </c>
    </row>
    <row r="3365" spans="1:10" x14ac:dyDescent="0.3">
      <c r="A3365" t="s">
        <v>6</v>
      </c>
      <c r="B3365" t="str">
        <f>"12/07/2021 00:00"</f>
        <v>12/07/2021 00:00</v>
      </c>
      <c r="C3365">
        <v>0.05</v>
      </c>
      <c r="D3365" t="s">
        <v>7</v>
      </c>
      <c r="E3365" s="2" t="s">
        <v>12</v>
      </c>
      <c r="F3365">
        <f t="shared" si="52"/>
        <v>9.9150000000000016E-2</v>
      </c>
      <c r="G3365" t="s">
        <v>16</v>
      </c>
      <c r="H3365" t="s">
        <v>10</v>
      </c>
      <c r="J3365" t="str">
        <f>"12/08/2021 00:39"</f>
        <v>12/08/2021 00:39</v>
      </c>
    </row>
    <row r="3366" spans="1:10" x14ac:dyDescent="0.3">
      <c r="A3366" t="s">
        <v>6</v>
      </c>
      <c r="B3366" t="str">
        <f>"12/08/2021 00:00"</f>
        <v>12/08/2021 00:00</v>
      </c>
      <c r="C3366">
        <v>0.05</v>
      </c>
      <c r="D3366" t="s">
        <v>7</v>
      </c>
      <c r="E3366" s="2" t="s">
        <v>12</v>
      </c>
      <c r="F3366">
        <f t="shared" si="52"/>
        <v>9.9150000000000016E-2</v>
      </c>
      <c r="G3366" t="s">
        <v>16</v>
      </c>
      <c r="H3366" t="s">
        <v>10</v>
      </c>
      <c r="J3366" t="str">
        <f>"12/09/2021 00:39"</f>
        <v>12/09/2021 00:39</v>
      </c>
    </row>
    <row r="3367" spans="1:10" x14ac:dyDescent="0.3">
      <c r="A3367" t="s">
        <v>6</v>
      </c>
      <c r="B3367" t="str">
        <f>"12/09/2021 00:00"</f>
        <v>12/09/2021 00:00</v>
      </c>
      <c r="C3367">
        <v>3.3300000000000003E-2</v>
      </c>
      <c r="D3367" t="s">
        <v>7</v>
      </c>
      <c r="E3367" s="2" t="s">
        <v>12</v>
      </c>
      <c r="F3367">
        <f t="shared" si="52"/>
        <v>6.6033900000000006E-2</v>
      </c>
      <c r="G3367" t="s">
        <v>16</v>
      </c>
      <c r="H3367" t="s">
        <v>10</v>
      </c>
      <c r="J3367" t="str">
        <f>"12/10/2021 00:39"</f>
        <v>12/10/2021 00:39</v>
      </c>
    </row>
    <row r="3368" spans="1:10" x14ac:dyDescent="0.3">
      <c r="A3368" t="s">
        <v>6</v>
      </c>
      <c r="B3368" t="str">
        <f>"12/10/2021 00:00"</f>
        <v>12/10/2021 00:00</v>
      </c>
      <c r="C3368">
        <v>0</v>
      </c>
      <c r="D3368" t="s">
        <v>7</v>
      </c>
      <c r="E3368" s="2" t="s">
        <v>12</v>
      </c>
      <c r="F3368">
        <f t="shared" si="52"/>
        <v>0</v>
      </c>
      <c r="G3368" t="s">
        <v>16</v>
      </c>
      <c r="H3368" t="s">
        <v>10</v>
      </c>
      <c r="J3368" t="str">
        <f t="shared" ref="J3368:J3390" si="53">"01/03/2022 15:27"</f>
        <v>01/03/2022 15:27</v>
      </c>
    </row>
    <row r="3369" spans="1:10" x14ac:dyDescent="0.3">
      <c r="A3369" t="s">
        <v>6</v>
      </c>
      <c r="B3369" t="str">
        <f>"12/11/2021 00:00"</f>
        <v>12/11/2021 00:00</v>
      </c>
      <c r="C3369">
        <v>0</v>
      </c>
      <c r="D3369" t="s">
        <v>7</v>
      </c>
      <c r="E3369" s="2" t="s">
        <v>12</v>
      </c>
      <c r="F3369">
        <f t="shared" si="52"/>
        <v>0</v>
      </c>
      <c r="G3369" t="s">
        <v>16</v>
      </c>
      <c r="H3369" t="s">
        <v>10</v>
      </c>
      <c r="J3369" t="str">
        <f t="shared" si="53"/>
        <v>01/03/2022 15:27</v>
      </c>
    </row>
    <row r="3370" spans="1:10" x14ac:dyDescent="0.3">
      <c r="A3370" t="s">
        <v>6</v>
      </c>
      <c r="B3370" t="str">
        <f>"12/12/2021 00:00"</f>
        <v>12/12/2021 00:00</v>
      </c>
      <c r="C3370">
        <v>0</v>
      </c>
      <c r="D3370" t="s">
        <v>7</v>
      </c>
      <c r="E3370" s="2" t="s">
        <v>12</v>
      </c>
      <c r="F3370">
        <f t="shared" si="52"/>
        <v>0</v>
      </c>
      <c r="G3370" t="s">
        <v>16</v>
      </c>
      <c r="H3370" t="s">
        <v>10</v>
      </c>
      <c r="J3370" t="str">
        <f t="shared" si="53"/>
        <v>01/03/2022 15:27</v>
      </c>
    </row>
    <row r="3371" spans="1:10" x14ac:dyDescent="0.3">
      <c r="A3371" t="s">
        <v>6</v>
      </c>
      <c r="B3371" t="str">
        <f>"12/13/2021 00:00"</f>
        <v>12/13/2021 00:00</v>
      </c>
      <c r="C3371">
        <v>0</v>
      </c>
      <c r="D3371" t="s">
        <v>7</v>
      </c>
      <c r="E3371" s="2" t="s">
        <v>12</v>
      </c>
      <c r="F3371">
        <f t="shared" si="52"/>
        <v>0</v>
      </c>
      <c r="G3371" t="s">
        <v>16</v>
      </c>
      <c r="H3371" t="s">
        <v>10</v>
      </c>
      <c r="J3371" t="str">
        <f t="shared" si="53"/>
        <v>01/03/2022 15:27</v>
      </c>
    </row>
    <row r="3372" spans="1:10" x14ac:dyDescent="0.3">
      <c r="A3372" t="s">
        <v>6</v>
      </c>
      <c r="B3372" t="str">
        <f>"12/14/2021 00:00"</f>
        <v>12/14/2021 00:00</v>
      </c>
      <c r="C3372">
        <v>0</v>
      </c>
      <c r="D3372" t="s">
        <v>7</v>
      </c>
      <c r="E3372" s="2" t="s">
        <v>12</v>
      </c>
      <c r="F3372">
        <f t="shared" si="52"/>
        <v>0</v>
      </c>
      <c r="G3372" t="s">
        <v>16</v>
      </c>
      <c r="H3372" t="s">
        <v>10</v>
      </c>
      <c r="J3372" t="str">
        <f t="shared" si="53"/>
        <v>01/03/2022 15:27</v>
      </c>
    </row>
    <row r="3373" spans="1:10" x14ac:dyDescent="0.3">
      <c r="A3373" t="s">
        <v>6</v>
      </c>
      <c r="B3373" t="str">
        <f>"12/15/2021 00:00"</f>
        <v>12/15/2021 00:00</v>
      </c>
      <c r="C3373">
        <v>0</v>
      </c>
      <c r="D3373" t="s">
        <v>7</v>
      </c>
      <c r="E3373" s="2" t="s">
        <v>12</v>
      </c>
      <c r="F3373">
        <f t="shared" si="52"/>
        <v>0</v>
      </c>
      <c r="G3373" t="s">
        <v>16</v>
      </c>
      <c r="H3373" t="s">
        <v>10</v>
      </c>
      <c r="J3373" t="str">
        <f t="shared" si="53"/>
        <v>01/03/2022 15:27</v>
      </c>
    </row>
    <row r="3374" spans="1:10" x14ac:dyDescent="0.3">
      <c r="A3374" t="s">
        <v>6</v>
      </c>
      <c r="B3374" t="str">
        <f>"12/16/2021 00:00"</f>
        <v>12/16/2021 00:00</v>
      </c>
      <c r="C3374">
        <v>0</v>
      </c>
      <c r="D3374" t="s">
        <v>7</v>
      </c>
      <c r="E3374" s="2" t="s">
        <v>12</v>
      </c>
      <c r="F3374">
        <f t="shared" si="52"/>
        <v>0</v>
      </c>
      <c r="G3374" t="s">
        <v>16</v>
      </c>
      <c r="H3374" t="s">
        <v>10</v>
      </c>
      <c r="J3374" t="str">
        <f t="shared" si="53"/>
        <v>01/03/2022 15:27</v>
      </c>
    </row>
    <row r="3375" spans="1:10" x14ac:dyDescent="0.3">
      <c r="A3375" t="s">
        <v>6</v>
      </c>
      <c r="B3375" t="str">
        <f>"12/17/2021 00:00"</f>
        <v>12/17/2021 00:00</v>
      </c>
      <c r="C3375">
        <v>0</v>
      </c>
      <c r="D3375" t="s">
        <v>7</v>
      </c>
      <c r="E3375" s="2" t="s">
        <v>12</v>
      </c>
      <c r="F3375">
        <f t="shared" si="52"/>
        <v>0</v>
      </c>
      <c r="G3375" t="s">
        <v>16</v>
      </c>
      <c r="H3375" t="s">
        <v>10</v>
      </c>
      <c r="J3375" t="str">
        <f t="shared" si="53"/>
        <v>01/03/2022 15:27</v>
      </c>
    </row>
    <row r="3376" spans="1:10" x14ac:dyDescent="0.3">
      <c r="A3376" t="s">
        <v>6</v>
      </c>
      <c r="B3376" t="str">
        <f>"12/18/2021 00:00"</f>
        <v>12/18/2021 00:00</v>
      </c>
      <c r="C3376">
        <v>0</v>
      </c>
      <c r="D3376" t="s">
        <v>7</v>
      </c>
      <c r="E3376" s="2" t="s">
        <v>12</v>
      </c>
      <c r="F3376">
        <f t="shared" si="52"/>
        <v>0</v>
      </c>
      <c r="G3376" t="s">
        <v>16</v>
      </c>
      <c r="H3376" t="s">
        <v>10</v>
      </c>
      <c r="J3376" t="str">
        <f t="shared" si="53"/>
        <v>01/03/2022 15:27</v>
      </c>
    </row>
    <row r="3377" spans="1:10" x14ac:dyDescent="0.3">
      <c r="A3377" t="s">
        <v>6</v>
      </c>
      <c r="B3377" t="str">
        <f>"12/19/2021 00:00"</f>
        <v>12/19/2021 00:00</v>
      </c>
      <c r="C3377">
        <v>0</v>
      </c>
      <c r="D3377" t="s">
        <v>7</v>
      </c>
      <c r="E3377" s="2" t="s">
        <v>12</v>
      </c>
      <c r="F3377">
        <f t="shared" si="52"/>
        <v>0</v>
      </c>
      <c r="G3377" t="s">
        <v>16</v>
      </c>
      <c r="H3377" t="s">
        <v>10</v>
      </c>
      <c r="J3377" t="str">
        <f t="shared" si="53"/>
        <v>01/03/2022 15:27</v>
      </c>
    </row>
    <row r="3378" spans="1:10" x14ac:dyDescent="0.3">
      <c r="A3378" t="s">
        <v>6</v>
      </c>
      <c r="B3378" t="str">
        <f>"12/20/2021 00:00"</f>
        <v>12/20/2021 00:00</v>
      </c>
      <c r="C3378">
        <v>0</v>
      </c>
      <c r="D3378" t="s">
        <v>7</v>
      </c>
      <c r="E3378" s="2" t="s">
        <v>12</v>
      </c>
      <c r="F3378">
        <f t="shared" si="52"/>
        <v>0</v>
      </c>
      <c r="G3378" t="s">
        <v>16</v>
      </c>
      <c r="H3378" t="s">
        <v>10</v>
      </c>
      <c r="J3378" t="str">
        <f t="shared" si="53"/>
        <v>01/03/2022 15:27</v>
      </c>
    </row>
    <row r="3379" spans="1:10" x14ac:dyDescent="0.3">
      <c r="A3379" t="s">
        <v>6</v>
      </c>
      <c r="B3379" t="str">
        <f>"12/21/2021 00:00"</f>
        <v>12/21/2021 00:00</v>
      </c>
      <c r="C3379">
        <v>0</v>
      </c>
      <c r="D3379" t="s">
        <v>7</v>
      </c>
      <c r="E3379" s="2" t="s">
        <v>12</v>
      </c>
      <c r="F3379">
        <f t="shared" si="52"/>
        <v>0</v>
      </c>
      <c r="G3379" t="s">
        <v>16</v>
      </c>
      <c r="H3379" t="s">
        <v>10</v>
      </c>
      <c r="J3379" t="str">
        <f t="shared" si="53"/>
        <v>01/03/2022 15:27</v>
      </c>
    </row>
    <row r="3380" spans="1:10" x14ac:dyDescent="0.3">
      <c r="A3380" t="s">
        <v>6</v>
      </c>
      <c r="B3380" t="str">
        <f>"12/22/2021 00:00"</f>
        <v>12/22/2021 00:00</v>
      </c>
      <c r="C3380">
        <v>0</v>
      </c>
      <c r="D3380" t="s">
        <v>7</v>
      </c>
      <c r="E3380" s="2" t="s">
        <v>12</v>
      </c>
      <c r="F3380">
        <f t="shared" si="52"/>
        <v>0</v>
      </c>
      <c r="G3380" t="s">
        <v>16</v>
      </c>
      <c r="H3380" t="s">
        <v>10</v>
      </c>
      <c r="J3380" t="str">
        <f t="shared" si="53"/>
        <v>01/03/2022 15:27</v>
      </c>
    </row>
    <row r="3381" spans="1:10" x14ac:dyDescent="0.3">
      <c r="A3381" t="s">
        <v>6</v>
      </c>
      <c r="B3381" t="str">
        <f>"12/23/2021 00:00"</f>
        <v>12/23/2021 00:00</v>
      </c>
      <c r="C3381">
        <v>0</v>
      </c>
      <c r="D3381" t="s">
        <v>7</v>
      </c>
      <c r="E3381" s="2" t="s">
        <v>12</v>
      </c>
      <c r="F3381">
        <f t="shared" si="52"/>
        <v>0</v>
      </c>
      <c r="G3381" t="s">
        <v>16</v>
      </c>
      <c r="H3381" t="s">
        <v>10</v>
      </c>
      <c r="J3381" t="str">
        <f t="shared" si="53"/>
        <v>01/03/2022 15:27</v>
      </c>
    </row>
    <row r="3382" spans="1:10" x14ac:dyDescent="0.3">
      <c r="A3382" t="s">
        <v>6</v>
      </c>
      <c r="B3382" t="str">
        <f>"12/24/2021 00:00"</f>
        <v>12/24/2021 00:00</v>
      </c>
      <c r="C3382">
        <v>0</v>
      </c>
      <c r="D3382" t="s">
        <v>7</v>
      </c>
      <c r="E3382" s="2" t="s">
        <v>12</v>
      </c>
      <c r="F3382">
        <f t="shared" si="52"/>
        <v>0</v>
      </c>
      <c r="G3382" t="s">
        <v>16</v>
      </c>
      <c r="H3382" t="s">
        <v>10</v>
      </c>
      <c r="J3382" t="str">
        <f t="shared" si="53"/>
        <v>01/03/2022 15:27</v>
      </c>
    </row>
    <row r="3383" spans="1:10" x14ac:dyDescent="0.3">
      <c r="A3383" t="s">
        <v>6</v>
      </c>
      <c r="B3383" t="str">
        <f>"12/25/2021 00:00"</f>
        <v>12/25/2021 00:00</v>
      </c>
      <c r="C3383">
        <v>0</v>
      </c>
      <c r="D3383" t="s">
        <v>7</v>
      </c>
      <c r="E3383" s="2" t="s">
        <v>12</v>
      </c>
      <c r="F3383">
        <f t="shared" si="52"/>
        <v>0</v>
      </c>
      <c r="G3383" t="s">
        <v>16</v>
      </c>
      <c r="H3383" t="s">
        <v>10</v>
      </c>
      <c r="J3383" t="str">
        <f t="shared" si="53"/>
        <v>01/03/2022 15:27</v>
      </c>
    </row>
    <row r="3384" spans="1:10" x14ac:dyDescent="0.3">
      <c r="A3384" t="s">
        <v>6</v>
      </c>
      <c r="B3384" t="str">
        <f>"12/26/2021 00:00"</f>
        <v>12/26/2021 00:00</v>
      </c>
      <c r="C3384">
        <v>0</v>
      </c>
      <c r="D3384" t="s">
        <v>7</v>
      </c>
      <c r="E3384" s="2" t="s">
        <v>12</v>
      </c>
      <c r="F3384">
        <f t="shared" si="52"/>
        <v>0</v>
      </c>
      <c r="G3384" t="s">
        <v>16</v>
      </c>
      <c r="H3384" t="s">
        <v>10</v>
      </c>
      <c r="J3384" t="str">
        <f t="shared" si="53"/>
        <v>01/03/2022 15:27</v>
      </c>
    </row>
    <row r="3385" spans="1:10" x14ac:dyDescent="0.3">
      <c r="A3385" t="s">
        <v>6</v>
      </c>
      <c r="B3385" t="str">
        <f>"12/27/2021 00:00"</f>
        <v>12/27/2021 00:00</v>
      </c>
      <c r="C3385">
        <v>0</v>
      </c>
      <c r="D3385" t="s">
        <v>7</v>
      </c>
      <c r="E3385" s="2" t="s">
        <v>12</v>
      </c>
      <c r="F3385">
        <f t="shared" si="52"/>
        <v>0</v>
      </c>
      <c r="G3385" t="s">
        <v>16</v>
      </c>
      <c r="H3385" t="s">
        <v>10</v>
      </c>
      <c r="J3385" t="str">
        <f t="shared" si="53"/>
        <v>01/03/2022 15:27</v>
      </c>
    </row>
    <row r="3386" spans="1:10" x14ac:dyDescent="0.3">
      <c r="A3386" t="s">
        <v>6</v>
      </c>
      <c r="B3386" t="str">
        <f>"12/28/2021 00:00"</f>
        <v>12/28/2021 00:00</v>
      </c>
      <c r="C3386">
        <v>0</v>
      </c>
      <c r="D3386" t="s">
        <v>7</v>
      </c>
      <c r="E3386" s="2" t="s">
        <v>12</v>
      </c>
      <c r="F3386">
        <f t="shared" si="52"/>
        <v>0</v>
      </c>
      <c r="G3386" t="s">
        <v>16</v>
      </c>
      <c r="H3386" t="s">
        <v>10</v>
      </c>
      <c r="J3386" t="str">
        <f t="shared" si="53"/>
        <v>01/03/2022 15:27</v>
      </c>
    </row>
    <row r="3387" spans="1:10" x14ac:dyDescent="0.3">
      <c r="A3387" t="s">
        <v>6</v>
      </c>
      <c r="B3387" t="str">
        <f>"12/29/2021 00:00"</f>
        <v>12/29/2021 00:00</v>
      </c>
      <c r="C3387">
        <v>0</v>
      </c>
      <c r="D3387" t="s">
        <v>7</v>
      </c>
      <c r="E3387" s="2" t="s">
        <v>12</v>
      </c>
      <c r="F3387">
        <f t="shared" si="52"/>
        <v>0</v>
      </c>
      <c r="G3387" t="s">
        <v>16</v>
      </c>
      <c r="H3387" t="s">
        <v>10</v>
      </c>
      <c r="J3387" t="str">
        <f t="shared" si="53"/>
        <v>01/03/2022 15:27</v>
      </c>
    </row>
    <row r="3388" spans="1:10" x14ac:dyDescent="0.3">
      <c r="A3388" t="s">
        <v>6</v>
      </c>
      <c r="B3388" t="str">
        <f>"12/30/2021 00:00"</f>
        <v>12/30/2021 00:00</v>
      </c>
      <c r="C3388">
        <v>0</v>
      </c>
      <c r="D3388" t="s">
        <v>7</v>
      </c>
      <c r="E3388" s="2" t="s">
        <v>12</v>
      </c>
      <c r="F3388">
        <f t="shared" si="52"/>
        <v>0</v>
      </c>
      <c r="G3388" t="s">
        <v>16</v>
      </c>
      <c r="H3388" t="s">
        <v>10</v>
      </c>
      <c r="J3388" t="str">
        <f t="shared" si="53"/>
        <v>01/03/2022 15:27</v>
      </c>
    </row>
    <row r="3389" spans="1:10" x14ac:dyDescent="0.3">
      <c r="A3389" t="s">
        <v>6</v>
      </c>
      <c r="B3389" t="str">
        <f>"12/31/2021 00:00"</f>
        <v>12/31/2021 00:00</v>
      </c>
      <c r="C3389">
        <v>0</v>
      </c>
      <c r="D3389" t="s">
        <v>7</v>
      </c>
      <c r="E3389" s="2" t="s">
        <v>12</v>
      </c>
      <c r="F3389">
        <f t="shared" si="52"/>
        <v>0</v>
      </c>
      <c r="G3389" t="s">
        <v>16</v>
      </c>
      <c r="H3389" t="s">
        <v>10</v>
      </c>
      <c r="J3389" t="str">
        <f t="shared" si="53"/>
        <v>01/03/2022 15:27</v>
      </c>
    </row>
    <row r="3390" spans="1:10" x14ac:dyDescent="0.3">
      <c r="A3390" t="s">
        <v>6</v>
      </c>
      <c r="B3390" t="str">
        <f>"01/01/2022 00:00"</f>
        <v>01/01/2022 00:00</v>
      </c>
      <c r="C3390">
        <v>0</v>
      </c>
      <c r="D3390" t="s">
        <v>7</v>
      </c>
      <c r="E3390" s="2" t="s">
        <v>12</v>
      </c>
      <c r="F3390">
        <f t="shared" si="52"/>
        <v>0</v>
      </c>
      <c r="G3390" t="s">
        <v>16</v>
      </c>
      <c r="H3390" t="s">
        <v>10</v>
      </c>
      <c r="J3390" t="str">
        <f t="shared" si="53"/>
        <v>01/03/2022 15:27</v>
      </c>
    </row>
    <row r="3391" spans="1:10" x14ac:dyDescent="0.3">
      <c r="A3391" t="s">
        <v>6</v>
      </c>
      <c r="B3391" t="str">
        <f>"01/02/2022 00:00"</f>
        <v>01/02/2022 00:00</v>
      </c>
      <c r="C3391">
        <v>0</v>
      </c>
      <c r="D3391" t="s">
        <v>7</v>
      </c>
      <c r="E3391" s="2" t="s">
        <v>12</v>
      </c>
      <c r="F3391">
        <f t="shared" si="52"/>
        <v>0</v>
      </c>
      <c r="G3391" t="s">
        <v>16</v>
      </c>
      <c r="H3391" t="s">
        <v>10</v>
      </c>
      <c r="J3391" t="str">
        <f>"01/07/2022 16:05"</f>
        <v>01/07/2022 16:05</v>
      </c>
    </row>
    <row r="3392" spans="1:10" x14ac:dyDescent="0.3">
      <c r="A3392" t="s">
        <v>6</v>
      </c>
      <c r="B3392" t="str">
        <f>"01/03/2022 00:00"</f>
        <v>01/03/2022 00:00</v>
      </c>
      <c r="C3392">
        <v>0</v>
      </c>
      <c r="D3392" t="s">
        <v>7</v>
      </c>
      <c r="E3392" s="2" t="s">
        <v>12</v>
      </c>
      <c r="F3392">
        <f t="shared" si="52"/>
        <v>0</v>
      </c>
      <c r="G3392" t="s">
        <v>16</v>
      </c>
      <c r="H3392" t="s">
        <v>10</v>
      </c>
      <c r="J3392" t="str">
        <f>"01/07/2022 18:59"</f>
        <v>01/07/2022 18:59</v>
      </c>
    </row>
    <row r="3393" spans="1:10" x14ac:dyDescent="0.3">
      <c r="A3393" t="s">
        <v>6</v>
      </c>
      <c r="B3393" t="str">
        <f>"01/04/2022 00:00"</f>
        <v>01/04/2022 00:00</v>
      </c>
      <c r="C3393">
        <v>0</v>
      </c>
      <c r="D3393" t="s">
        <v>7</v>
      </c>
      <c r="E3393" s="2" t="s">
        <v>12</v>
      </c>
      <c r="F3393">
        <f t="shared" si="52"/>
        <v>0</v>
      </c>
      <c r="G3393" t="s">
        <v>16</v>
      </c>
      <c r="H3393" t="s">
        <v>10</v>
      </c>
      <c r="J3393" t="str">
        <f>"01/07/2022 18:45"</f>
        <v>01/07/2022 18:45</v>
      </c>
    </row>
    <row r="3394" spans="1:10" x14ac:dyDescent="0.3">
      <c r="A3394" t="s">
        <v>6</v>
      </c>
      <c r="B3394" t="str">
        <f>"01/05/2022 00:00"</f>
        <v>01/05/2022 00:00</v>
      </c>
      <c r="C3394">
        <v>0</v>
      </c>
      <c r="D3394" t="s">
        <v>7</v>
      </c>
      <c r="E3394" s="2" t="s">
        <v>12</v>
      </c>
      <c r="F3394">
        <f t="shared" si="52"/>
        <v>0</v>
      </c>
      <c r="G3394" t="s">
        <v>16</v>
      </c>
      <c r="H3394" t="s">
        <v>10</v>
      </c>
      <c r="J3394" t="str">
        <f>"01/06/2022 00:39"</f>
        <v>01/06/2022 00:39</v>
      </c>
    </row>
    <row r="3395" spans="1:10" x14ac:dyDescent="0.3">
      <c r="A3395" t="s">
        <v>6</v>
      </c>
      <c r="B3395" t="str">
        <f>"01/06/2022 00:00"</f>
        <v>01/06/2022 00:00</v>
      </c>
      <c r="C3395">
        <v>0</v>
      </c>
      <c r="D3395" t="s">
        <v>7</v>
      </c>
      <c r="E3395" s="2" t="s">
        <v>12</v>
      </c>
      <c r="F3395">
        <f t="shared" si="52"/>
        <v>0</v>
      </c>
      <c r="G3395" t="s">
        <v>16</v>
      </c>
      <c r="H3395" t="s">
        <v>10</v>
      </c>
      <c r="J3395" t="str">
        <f>"01/07/2022 00:39"</f>
        <v>01/07/2022 00:39</v>
      </c>
    </row>
    <row r="3396" spans="1:10" x14ac:dyDescent="0.3">
      <c r="A3396" t="s">
        <v>6</v>
      </c>
      <c r="B3396" t="str">
        <f>"01/07/2022 00:00"</f>
        <v>01/07/2022 00:00</v>
      </c>
      <c r="C3396">
        <v>0</v>
      </c>
      <c r="D3396" t="s">
        <v>7</v>
      </c>
      <c r="E3396" s="2" t="s">
        <v>12</v>
      </c>
      <c r="F3396">
        <f t="shared" si="52"/>
        <v>0</v>
      </c>
      <c r="G3396" t="s">
        <v>16</v>
      </c>
      <c r="H3396" t="s">
        <v>10</v>
      </c>
      <c r="J3396" t="str">
        <f>"01/08/2022 00:38"</f>
        <v>01/08/2022 00:38</v>
      </c>
    </row>
    <row r="3397" spans="1:10" x14ac:dyDescent="0.3">
      <c r="A3397" t="s">
        <v>6</v>
      </c>
      <c r="B3397" t="str">
        <f>"01/08/2022 00:00"</f>
        <v>01/08/2022 00:00</v>
      </c>
      <c r="C3397">
        <v>0</v>
      </c>
      <c r="D3397" t="s">
        <v>7</v>
      </c>
      <c r="E3397" s="2" t="s">
        <v>12</v>
      </c>
      <c r="F3397">
        <f t="shared" si="52"/>
        <v>0</v>
      </c>
      <c r="G3397" t="s">
        <v>16</v>
      </c>
      <c r="H3397" t="s">
        <v>10</v>
      </c>
      <c r="J3397" t="str">
        <f>"01/09/2022 00:39"</f>
        <v>01/09/2022 00:39</v>
      </c>
    </row>
    <row r="3398" spans="1:10" x14ac:dyDescent="0.3">
      <c r="A3398" t="s">
        <v>6</v>
      </c>
      <c r="B3398" t="str">
        <f>"01/09/2022 00:00"</f>
        <v>01/09/2022 00:00</v>
      </c>
      <c r="C3398">
        <v>0</v>
      </c>
      <c r="D3398" t="s">
        <v>7</v>
      </c>
      <c r="E3398" s="2" t="s">
        <v>12</v>
      </c>
      <c r="F3398">
        <f t="shared" si="52"/>
        <v>0</v>
      </c>
      <c r="G3398" t="s">
        <v>16</v>
      </c>
      <c r="H3398" t="s">
        <v>10</v>
      </c>
      <c r="J3398" t="str">
        <f>"01/10/2022 00:38"</f>
        <v>01/10/2022 00:38</v>
      </c>
    </row>
    <row r="3399" spans="1:10" x14ac:dyDescent="0.3">
      <c r="A3399" t="s">
        <v>6</v>
      </c>
      <c r="B3399" t="str">
        <f>"01/10/2022 00:00"</f>
        <v>01/10/2022 00:00</v>
      </c>
      <c r="C3399">
        <v>0</v>
      </c>
      <c r="D3399" t="s">
        <v>7</v>
      </c>
      <c r="E3399" s="2" t="s">
        <v>12</v>
      </c>
      <c r="F3399">
        <f t="shared" si="52"/>
        <v>0</v>
      </c>
      <c r="G3399" t="s">
        <v>16</v>
      </c>
      <c r="H3399" t="s">
        <v>10</v>
      </c>
      <c r="J3399" t="str">
        <f>"01/11/2022 00:38"</f>
        <v>01/11/2022 00:38</v>
      </c>
    </row>
    <row r="3400" spans="1:10" x14ac:dyDescent="0.3">
      <c r="A3400" t="s">
        <v>6</v>
      </c>
      <c r="B3400" t="str">
        <f>"01/11/2022 00:00"</f>
        <v>01/11/2022 00:00</v>
      </c>
      <c r="C3400">
        <v>0</v>
      </c>
      <c r="D3400" t="s">
        <v>7</v>
      </c>
      <c r="E3400" s="2" t="s">
        <v>12</v>
      </c>
      <c r="F3400">
        <f t="shared" si="52"/>
        <v>0</v>
      </c>
      <c r="G3400" t="s">
        <v>16</v>
      </c>
      <c r="H3400" t="s">
        <v>10</v>
      </c>
      <c r="J3400" t="str">
        <f>"01/12/2022 00:38"</f>
        <v>01/12/2022 00:38</v>
      </c>
    </row>
    <row r="3401" spans="1:10" x14ac:dyDescent="0.3">
      <c r="A3401" t="s">
        <v>6</v>
      </c>
      <c r="B3401" t="str">
        <f>"01/12/2022 00:00"</f>
        <v>01/12/2022 00:00</v>
      </c>
      <c r="C3401">
        <v>0</v>
      </c>
      <c r="D3401" t="s">
        <v>7</v>
      </c>
      <c r="E3401" s="2" t="s">
        <v>12</v>
      </c>
      <c r="F3401">
        <f t="shared" si="52"/>
        <v>0</v>
      </c>
      <c r="G3401" t="s">
        <v>16</v>
      </c>
      <c r="H3401" t="s">
        <v>10</v>
      </c>
      <c r="J3401" t="str">
        <f>"01/13/2022 00:38"</f>
        <v>01/13/2022 00:38</v>
      </c>
    </row>
    <row r="3402" spans="1:10" x14ac:dyDescent="0.3">
      <c r="A3402" t="s">
        <v>6</v>
      </c>
      <c r="B3402" t="str">
        <f>"01/13/2022 00:00"</f>
        <v>01/13/2022 00:00</v>
      </c>
      <c r="C3402">
        <v>0</v>
      </c>
      <c r="D3402" t="s">
        <v>7</v>
      </c>
      <c r="E3402" s="2" t="s">
        <v>12</v>
      </c>
      <c r="F3402">
        <f t="shared" si="52"/>
        <v>0</v>
      </c>
      <c r="G3402" t="s">
        <v>16</v>
      </c>
      <c r="H3402" t="s">
        <v>10</v>
      </c>
      <c r="J3402" t="str">
        <f>"01/14/2022 00:38"</f>
        <v>01/14/2022 00:38</v>
      </c>
    </row>
    <row r="3403" spans="1:10" x14ac:dyDescent="0.3">
      <c r="A3403" t="s">
        <v>6</v>
      </c>
      <c r="B3403" t="str">
        <f>"01/14/2022 00:00"</f>
        <v>01/14/2022 00:00</v>
      </c>
      <c r="C3403">
        <v>0</v>
      </c>
      <c r="D3403" t="s">
        <v>7</v>
      </c>
      <c r="E3403" s="2" t="s">
        <v>12</v>
      </c>
      <c r="F3403">
        <f t="shared" si="52"/>
        <v>0</v>
      </c>
      <c r="G3403" t="s">
        <v>16</v>
      </c>
      <c r="H3403" t="s">
        <v>10</v>
      </c>
      <c r="J3403" t="str">
        <f>"01/15/2022 00:38"</f>
        <v>01/15/2022 00:38</v>
      </c>
    </row>
    <row r="3404" spans="1:10" x14ac:dyDescent="0.3">
      <c r="A3404" t="s">
        <v>6</v>
      </c>
      <c r="B3404" t="str">
        <f>"01/15/2022 00:00"</f>
        <v>01/15/2022 00:00</v>
      </c>
      <c r="C3404">
        <v>0</v>
      </c>
      <c r="D3404" t="s">
        <v>7</v>
      </c>
      <c r="E3404" s="2" t="s">
        <v>12</v>
      </c>
      <c r="F3404">
        <f t="shared" ref="F3404:F3467" si="54">C3404*1.983</f>
        <v>0</v>
      </c>
      <c r="G3404" t="s">
        <v>16</v>
      </c>
      <c r="H3404" t="s">
        <v>10</v>
      </c>
      <c r="J3404" t="str">
        <f>"01/16/2022 00:38"</f>
        <v>01/16/2022 00:38</v>
      </c>
    </row>
    <row r="3405" spans="1:10" x14ac:dyDescent="0.3">
      <c r="A3405" t="s">
        <v>6</v>
      </c>
      <c r="B3405" t="str">
        <f>"01/16/2022 00:00"</f>
        <v>01/16/2022 00:00</v>
      </c>
      <c r="C3405">
        <v>0</v>
      </c>
      <c r="D3405" t="s">
        <v>7</v>
      </c>
      <c r="E3405" s="2" t="s">
        <v>12</v>
      </c>
      <c r="F3405">
        <f t="shared" si="54"/>
        <v>0</v>
      </c>
      <c r="G3405" t="s">
        <v>16</v>
      </c>
      <c r="H3405" t="s">
        <v>10</v>
      </c>
      <c r="J3405" t="str">
        <f>"01/17/2022 00:38"</f>
        <v>01/17/2022 00:38</v>
      </c>
    </row>
    <row r="3406" spans="1:10" x14ac:dyDescent="0.3">
      <c r="A3406" t="s">
        <v>6</v>
      </c>
      <c r="B3406" t="str">
        <f>"01/17/2022 00:00"</f>
        <v>01/17/2022 00:00</v>
      </c>
      <c r="C3406">
        <v>0</v>
      </c>
      <c r="D3406" t="s">
        <v>7</v>
      </c>
      <c r="E3406" s="2" t="s">
        <v>12</v>
      </c>
      <c r="F3406">
        <f t="shared" si="54"/>
        <v>0</v>
      </c>
      <c r="G3406" t="s">
        <v>16</v>
      </c>
      <c r="H3406" t="s">
        <v>10</v>
      </c>
      <c r="J3406" t="str">
        <f>"01/18/2022 00:38"</f>
        <v>01/18/2022 00:38</v>
      </c>
    </row>
    <row r="3407" spans="1:10" x14ac:dyDescent="0.3">
      <c r="A3407" t="s">
        <v>6</v>
      </c>
      <c r="B3407" t="str">
        <f>"01/18/2022 00:00"</f>
        <v>01/18/2022 00:00</v>
      </c>
      <c r="C3407">
        <v>0</v>
      </c>
      <c r="D3407" t="s">
        <v>7</v>
      </c>
      <c r="E3407" s="2" t="s">
        <v>12</v>
      </c>
      <c r="F3407">
        <f t="shared" si="54"/>
        <v>0</v>
      </c>
      <c r="G3407" t="s">
        <v>16</v>
      </c>
      <c r="H3407" t="s">
        <v>10</v>
      </c>
      <c r="J3407" t="str">
        <f>"01/19/2022 00:38"</f>
        <v>01/19/2022 00:38</v>
      </c>
    </row>
    <row r="3408" spans="1:10" x14ac:dyDescent="0.3">
      <c r="A3408" t="s">
        <v>6</v>
      </c>
      <c r="B3408" t="str">
        <f>"01/19/2022 00:00"</f>
        <v>01/19/2022 00:00</v>
      </c>
      <c r="C3408">
        <v>0</v>
      </c>
      <c r="D3408" t="s">
        <v>7</v>
      </c>
      <c r="E3408" s="2" t="s">
        <v>12</v>
      </c>
      <c r="F3408">
        <f t="shared" si="54"/>
        <v>0</v>
      </c>
      <c r="G3408" t="s">
        <v>16</v>
      </c>
      <c r="H3408" t="s">
        <v>10</v>
      </c>
      <c r="J3408" t="str">
        <f>"01/20/2022 00:38"</f>
        <v>01/20/2022 00:38</v>
      </c>
    </row>
    <row r="3409" spans="1:10" x14ac:dyDescent="0.3">
      <c r="A3409" t="s">
        <v>6</v>
      </c>
      <c r="B3409" t="str">
        <f>"01/20/2022 00:00"</f>
        <v>01/20/2022 00:00</v>
      </c>
      <c r="C3409">
        <v>0</v>
      </c>
      <c r="D3409" t="s">
        <v>7</v>
      </c>
      <c r="E3409" s="2" t="s">
        <v>12</v>
      </c>
      <c r="F3409">
        <f t="shared" si="54"/>
        <v>0</v>
      </c>
      <c r="G3409" t="s">
        <v>16</v>
      </c>
      <c r="H3409" t="s">
        <v>10</v>
      </c>
      <c r="J3409" t="str">
        <f>"01/21/2022 00:38"</f>
        <v>01/21/2022 00:38</v>
      </c>
    </row>
    <row r="3410" spans="1:10" x14ac:dyDescent="0.3">
      <c r="A3410" t="s">
        <v>6</v>
      </c>
      <c r="B3410" t="str">
        <f>"01/21/2022 00:00"</f>
        <v>01/21/2022 00:00</v>
      </c>
      <c r="C3410">
        <v>0</v>
      </c>
      <c r="D3410" t="s">
        <v>7</v>
      </c>
      <c r="E3410" s="2" t="s">
        <v>12</v>
      </c>
      <c r="F3410">
        <f t="shared" si="54"/>
        <v>0</v>
      </c>
      <c r="G3410" t="s">
        <v>16</v>
      </c>
      <c r="H3410" t="s">
        <v>10</v>
      </c>
      <c r="J3410" t="str">
        <f>"01/22/2022 00:38"</f>
        <v>01/22/2022 00:38</v>
      </c>
    </row>
    <row r="3411" spans="1:10" x14ac:dyDescent="0.3">
      <c r="A3411" t="s">
        <v>6</v>
      </c>
      <c r="B3411" t="str">
        <f>"01/22/2022 00:00"</f>
        <v>01/22/2022 00:00</v>
      </c>
      <c r="C3411">
        <v>0</v>
      </c>
      <c r="D3411" t="s">
        <v>7</v>
      </c>
      <c r="E3411" s="2" t="s">
        <v>12</v>
      </c>
      <c r="F3411">
        <f t="shared" si="54"/>
        <v>0</v>
      </c>
      <c r="G3411" t="s">
        <v>16</v>
      </c>
      <c r="H3411" t="s">
        <v>10</v>
      </c>
      <c r="J3411" t="str">
        <f>"01/23/2022 00:38"</f>
        <v>01/23/2022 00:38</v>
      </c>
    </row>
    <row r="3412" spans="1:10" x14ac:dyDescent="0.3">
      <c r="A3412" t="s">
        <v>6</v>
      </c>
      <c r="B3412" t="str">
        <f>"01/23/2022 00:00"</f>
        <v>01/23/2022 00:00</v>
      </c>
      <c r="C3412">
        <v>0</v>
      </c>
      <c r="D3412" t="s">
        <v>7</v>
      </c>
      <c r="E3412" s="2" t="s">
        <v>12</v>
      </c>
      <c r="F3412">
        <f t="shared" si="54"/>
        <v>0</v>
      </c>
      <c r="G3412" t="s">
        <v>16</v>
      </c>
      <c r="H3412" t="s">
        <v>10</v>
      </c>
      <c r="J3412" t="str">
        <f>"01/24/2022 00:38"</f>
        <v>01/24/2022 00:38</v>
      </c>
    </row>
    <row r="3413" spans="1:10" x14ac:dyDescent="0.3">
      <c r="A3413" t="s">
        <v>6</v>
      </c>
      <c r="B3413" t="str">
        <f>"01/24/2022 00:00"</f>
        <v>01/24/2022 00:00</v>
      </c>
      <c r="C3413">
        <v>0</v>
      </c>
      <c r="D3413" t="s">
        <v>7</v>
      </c>
      <c r="E3413" s="2" t="s">
        <v>12</v>
      </c>
      <c r="F3413">
        <f t="shared" si="54"/>
        <v>0</v>
      </c>
      <c r="G3413" t="s">
        <v>16</v>
      </c>
      <c r="H3413" t="s">
        <v>10</v>
      </c>
      <c r="J3413" t="str">
        <f>"01/25/2022 00:39"</f>
        <v>01/25/2022 00:39</v>
      </c>
    </row>
    <row r="3414" spans="1:10" x14ac:dyDescent="0.3">
      <c r="A3414" t="s">
        <v>6</v>
      </c>
      <c r="B3414" t="str">
        <f>"01/25/2022 00:00"</f>
        <v>01/25/2022 00:00</v>
      </c>
      <c r="C3414">
        <v>0</v>
      </c>
      <c r="D3414" t="s">
        <v>7</v>
      </c>
      <c r="E3414" s="2" t="s">
        <v>12</v>
      </c>
      <c r="F3414">
        <f t="shared" si="54"/>
        <v>0</v>
      </c>
      <c r="G3414" t="s">
        <v>16</v>
      </c>
      <c r="H3414" t="s">
        <v>10</v>
      </c>
      <c r="J3414" t="str">
        <f>"01/26/2022 00:38"</f>
        <v>01/26/2022 00:38</v>
      </c>
    </row>
    <row r="3415" spans="1:10" x14ac:dyDescent="0.3">
      <c r="A3415" t="s">
        <v>6</v>
      </c>
      <c r="B3415" t="str">
        <f>"01/26/2022 00:00"</f>
        <v>01/26/2022 00:00</v>
      </c>
      <c r="C3415">
        <v>0</v>
      </c>
      <c r="D3415" t="s">
        <v>7</v>
      </c>
      <c r="E3415" s="2" t="s">
        <v>12</v>
      </c>
      <c r="F3415">
        <f t="shared" si="54"/>
        <v>0</v>
      </c>
      <c r="G3415" t="s">
        <v>16</v>
      </c>
      <c r="H3415" t="s">
        <v>10</v>
      </c>
      <c r="J3415" t="str">
        <f>"01/27/2022 00:38"</f>
        <v>01/27/2022 00:38</v>
      </c>
    </row>
    <row r="3416" spans="1:10" x14ac:dyDescent="0.3">
      <c r="A3416" t="s">
        <v>6</v>
      </c>
      <c r="B3416" t="str">
        <f>"01/27/2022 00:00"</f>
        <v>01/27/2022 00:00</v>
      </c>
      <c r="C3416">
        <v>0</v>
      </c>
      <c r="D3416" t="s">
        <v>7</v>
      </c>
      <c r="E3416" s="2" t="s">
        <v>12</v>
      </c>
      <c r="F3416">
        <f t="shared" si="54"/>
        <v>0</v>
      </c>
      <c r="G3416" t="s">
        <v>16</v>
      </c>
      <c r="H3416" t="s">
        <v>10</v>
      </c>
      <c r="J3416" t="str">
        <f>"01/28/2022 00:38"</f>
        <v>01/28/2022 00:38</v>
      </c>
    </row>
    <row r="3417" spans="1:10" x14ac:dyDescent="0.3">
      <c r="A3417" t="s">
        <v>6</v>
      </c>
      <c r="B3417" t="str">
        <f>"01/28/2022 00:00"</f>
        <v>01/28/2022 00:00</v>
      </c>
      <c r="C3417">
        <v>0</v>
      </c>
      <c r="D3417" t="s">
        <v>7</v>
      </c>
      <c r="E3417" s="2" t="s">
        <v>12</v>
      </c>
      <c r="F3417">
        <f t="shared" si="54"/>
        <v>0</v>
      </c>
      <c r="G3417" t="s">
        <v>16</v>
      </c>
      <c r="H3417" t="s">
        <v>10</v>
      </c>
      <c r="J3417" t="str">
        <f>"01/29/2022 00:39"</f>
        <v>01/29/2022 00:39</v>
      </c>
    </row>
    <row r="3418" spans="1:10" x14ac:dyDescent="0.3">
      <c r="A3418" t="s">
        <v>6</v>
      </c>
      <c r="B3418" t="str">
        <f>"01/29/2022 00:00"</f>
        <v>01/29/2022 00:00</v>
      </c>
      <c r="C3418">
        <v>0</v>
      </c>
      <c r="D3418" t="s">
        <v>7</v>
      </c>
      <c r="E3418" s="2" t="s">
        <v>12</v>
      </c>
      <c r="F3418">
        <f t="shared" si="54"/>
        <v>0</v>
      </c>
      <c r="G3418" t="s">
        <v>16</v>
      </c>
      <c r="H3418" t="s">
        <v>10</v>
      </c>
      <c r="J3418" t="str">
        <f>"01/30/2022 00:39"</f>
        <v>01/30/2022 00:39</v>
      </c>
    </row>
    <row r="3419" spans="1:10" x14ac:dyDescent="0.3">
      <c r="A3419" t="s">
        <v>6</v>
      </c>
      <c r="B3419" t="str">
        <f>"01/30/2022 00:00"</f>
        <v>01/30/2022 00:00</v>
      </c>
      <c r="C3419">
        <v>0</v>
      </c>
      <c r="D3419" t="s">
        <v>7</v>
      </c>
      <c r="E3419" s="2" t="s">
        <v>12</v>
      </c>
      <c r="F3419">
        <f t="shared" si="54"/>
        <v>0</v>
      </c>
      <c r="G3419" t="s">
        <v>16</v>
      </c>
      <c r="H3419" t="s">
        <v>10</v>
      </c>
      <c r="J3419" t="str">
        <f>"01/31/2022 00:38"</f>
        <v>01/31/2022 00:38</v>
      </c>
    </row>
    <row r="3420" spans="1:10" x14ac:dyDescent="0.3">
      <c r="A3420" t="s">
        <v>6</v>
      </c>
      <c r="B3420" t="str">
        <f>"01/31/2022 00:00"</f>
        <v>01/31/2022 00:00</v>
      </c>
      <c r="C3420">
        <v>0</v>
      </c>
      <c r="D3420" t="s">
        <v>7</v>
      </c>
      <c r="E3420" s="2" t="s">
        <v>12</v>
      </c>
      <c r="F3420">
        <f t="shared" si="54"/>
        <v>0</v>
      </c>
      <c r="G3420" t="s">
        <v>16</v>
      </c>
      <c r="H3420" t="s">
        <v>10</v>
      </c>
      <c r="J3420" t="str">
        <f>"02/01/2022 00:38"</f>
        <v>02/01/2022 00:38</v>
      </c>
    </row>
    <row r="3421" spans="1:10" x14ac:dyDescent="0.3">
      <c r="A3421" t="s">
        <v>6</v>
      </c>
      <c r="B3421" t="str">
        <f>"02/01/2022 00:00"</f>
        <v>02/01/2022 00:00</v>
      </c>
      <c r="C3421">
        <v>0</v>
      </c>
      <c r="D3421" t="s">
        <v>7</v>
      </c>
      <c r="E3421" s="2" t="s">
        <v>12</v>
      </c>
      <c r="F3421">
        <f t="shared" si="54"/>
        <v>0</v>
      </c>
      <c r="G3421" t="s">
        <v>16</v>
      </c>
      <c r="H3421" t="s">
        <v>10</v>
      </c>
      <c r="J3421" t="str">
        <f>"02/02/2022 00:38"</f>
        <v>02/02/2022 00:38</v>
      </c>
    </row>
    <row r="3422" spans="1:10" x14ac:dyDescent="0.3">
      <c r="A3422" t="s">
        <v>6</v>
      </c>
      <c r="B3422" t="str">
        <f>"02/02/2022 00:00"</f>
        <v>02/02/2022 00:00</v>
      </c>
      <c r="C3422">
        <v>0</v>
      </c>
      <c r="D3422" t="s">
        <v>7</v>
      </c>
      <c r="E3422" s="2" t="s">
        <v>12</v>
      </c>
      <c r="F3422">
        <f t="shared" si="54"/>
        <v>0</v>
      </c>
      <c r="G3422" t="s">
        <v>16</v>
      </c>
      <c r="H3422" t="s">
        <v>10</v>
      </c>
      <c r="J3422" t="str">
        <f>"02/03/2022 00:39"</f>
        <v>02/03/2022 00:39</v>
      </c>
    </row>
    <row r="3423" spans="1:10" x14ac:dyDescent="0.3">
      <c r="A3423" t="s">
        <v>6</v>
      </c>
      <c r="B3423" t="str">
        <f>"02/03/2022 00:00"</f>
        <v>02/03/2022 00:00</v>
      </c>
      <c r="C3423">
        <v>0</v>
      </c>
      <c r="D3423" t="s">
        <v>7</v>
      </c>
      <c r="E3423" s="2" t="s">
        <v>12</v>
      </c>
      <c r="F3423">
        <f t="shared" si="54"/>
        <v>0</v>
      </c>
      <c r="G3423" t="s">
        <v>16</v>
      </c>
      <c r="H3423" t="s">
        <v>10</v>
      </c>
      <c r="J3423" t="str">
        <f>"02/04/2022 00:39"</f>
        <v>02/04/2022 00:39</v>
      </c>
    </row>
    <row r="3424" spans="1:10" x14ac:dyDescent="0.3">
      <c r="A3424" t="s">
        <v>6</v>
      </c>
      <c r="B3424" t="str">
        <f>"02/04/2022 00:00"</f>
        <v>02/04/2022 00:00</v>
      </c>
      <c r="C3424">
        <v>0</v>
      </c>
      <c r="D3424" t="s">
        <v>7</v>
      </c>
      <c r="E3424" s="2" t="s">
        <v>12</v>
      </c>
      <c r="F3424">
        <f t="shared" si="54"/>
        <v>0</v>
      </c>
      <c r="G3424" t="s">
        <v>16</v>
      </c>
      <c r="H3424" t="s">
        <v>10</v>
      </c>
      <c r="J3424" t="str">
        <f>"02/05/2022 00:38"</f>
        <v>02/05/2022 00:38</v>
      </c>
    </row>
    <row r="3425" spans="1:10" x14ac:dyDescent="0.3">
      <c r="A3425" t="s">
        <v>6</v>
      </c>
      <c r="B3425" t="str">
        <f>"02/05/2022 00:00"</f>
        <v>02/05/2022 00:00</v>
      </c>
      <c r="C3425">
        <v>0</v>
      </c>
      <c r="D3425" t="s">
        <v>7</v>
      </c>
      <c r="E3425" s="2" t="s">
        <v>12</v>
      </c>
      <c r="F3425">
        <f t="shared" si="54"/>
        <v>0</v>
      </c>
      <c r="G3425" t="s">
        <v>16</v>
      </c>
      <c r="H3425" t="s">
        <v>10</v>
      </c>
      <c r="J3425" t="str">
        <f>"02/06/2022 00:38"</f>
        <v>02/06/2022 00:38</v>
      </c>
    </row>
    <row r="3426" spans="1:10" x14ac:dyDescent="0.3">
      <c r="A3426" t="s">
        <v>6</v>
      </c>
      <c r="B3426" t="str">
        <f>"02/06/2022 00:00"</f>
        <v>02/06/2022 00:00</v>
      </c>
      <c r="C3426">
        <v>0</v>
      </c>
      <c r="D3426" t="s">
        <v>7</v>
      </c>
      <c r="E3426" s="2" t="s">
        <v>12</v>
      </c>
      <c r="F3426">
        <f t="shared" si="54"/>
        <v>0</v>
      </c>
      <c r="G3426" t="s">
        <v>16</v>
      </c>
      <c r="H3426" t="s">
        <v>10</v>
      </c>
      <c r="J3426" t="str">
        <f>"02/07/2022 00:39"</f>
        <v>02/07/2022 00:39</v>
      </c>
    </row>
    <row r="3427" spans="1:10" x14ac:dyDescent="0.3">
      <c r="A3427" t="s">
        <v>6</v>
      </c>
      <c r="B3427" t="str">
        <f>"02/07/2022 00:00"</f>
        <v>02/07/2022 00:00</v>
      </c>
      <c r="C3427">
        <v>0</v>
      </c>
      <c r="D3427" t="s">
        <v>7</v>
      </c>
      <c r="E3427" s="2" t="s">
        <v>12</v>
      </c>
      <c r="F3427">
        <f t="shared" si="54"/>
        <v>0</v>
      </c>
      <c r="G3427" t="s">
        <v>16</v>
      </c>
      <c r="H3427" t="s">
        <v>10</v>
      </c>
      <c r="J3427" t="str">
        <f>"02/08/2022 00:38"</f>
        <v>02/08/2022 00:38</v>
      </c>
    </row>
    <row r="3428" spans="1:10" x14ac:dyDescent="0.3">
      <c r="A3428" t="s">
        <v>6</v>
      </c>
      <c r="B3428" t="str">
        <f>"02/08/2022 00:00"</f>
        <v>02/08/2022 00:00</v>
      </c>
      <c r="C3428">
        <v>0</v>
      </c>
      <c r="D3428" t="s">
        <v>7</v>
      </c>
      <c r="E3428" s="2" t="s">
        <v>12</v>
      </c>
      <c r="F3428">
        <f t="shared" si="54"/>
        <v>0</v>
      </c>
      <c r="G3428" t="s">
        <v>16</v>
      </c>
      <c r="H3428" t="s">
        <v>10</v>
      </c>
      <c r="J3428" t="str">
        <f>"02/09/2022 00:38"</f>
        <v>02/09/2022 00:38</v>
      </c>
    </row>
    <row r="3429" spans="1:10" x14ac:dyDescent="0.3">
      <c r="A3429" t="s">
        <v>6</v>
      </c>
      <c r="B3429" t="str">
        <f>"02/09/2022 00:00"</f>
        <v>02/09/2022 00:00</v>
      </c>
      <c r="C3429">
        <v>0</v>
      </c>
      <c r="D3429" t="s">
        <v>7</v>
      </c>
      <c r="E3429" s="2" t="s">
        <v>12</v>
      </c>
      <c r="F3429">
        <f t="shared" si="54"/>
        <v>0</v>
      </c>
      <c r="G3429" t="s">
        <v>16</v>
      </c>
      <c r="H3429" t="s">
        <v>10</v>
      </c>
      <c r="J3429" t="str">
        <f>"02/10/2022 00:39"</f>
        <v>02/10/2022 00:39</v>
      </c>
    </row>
    <row r="3430" spans="1:10" x14ac:dyDescent="0.3">
      <c r="A3430" t="s">
        <v>6</v>
      </c>
      <c r="B3430" t="str">
        <f>"02/10/2022 00:00"</f>
        <v>02/10/2022 00:00</v>
      </c>
      <c r="C3430">
        <v>0</v>
      </c>
      <c r="D3430" t="s">
        <v>7</v>
      </c>
      <c r="E3430" s="2" t="s">
        <v>12</v>
      </c>
      <c r="F3430">
        <f t="shared" si="54"/>
        <v>0</v>
      </c>
      <c r="G3430" t="s">
        <v>16</v>
      </c>
      <c r="H3430" t="s">
        <v>10</v>
      </c>
      <c r="J3430" t="str">
        <f>"02/11/2022 00:38"</f>
        <v>02/11/2022 00:38</v>
      </c>
    </row>
    <row r="3431" spans="1:10" x14ac:dyDescent="0.3">
      <c r="A3431" t="s">
        <v>6</v>
      </c>
      <c r="B3431" t="str">
        <f>"02/11/2022 00:00"</f>
        <v>02/11/2022 00:00</v>
      </c>
      <c r="C3431">
        <v>0</v>
      </c>
      <c r="D3431" t="s">
        <v>7</v>
      </c>
      <c r="E3431" s="2" t="s">
        <v>12</v>
      </c>
      <c r="F3431">
        <f t="shared" si="54"/>
        <v>0</v>
      </c>
      <c r="G3431" t="s">
        <v>16</v>
      </c>
      <c r="H3431" t="s">
        <v>10</v>
      </c>
      <c r="J3431" t="str">
        <f>"02/12/2022 00:38"</f>
        <v>02/12/2022 00:38</v>
      </c>
    </row>
    <row r="3432" spans="1:10" x14ac:dyDescent="0.3">
      <c r="A3432" t="s">
        <v>6</v>
      </c>
      <c r="B3432" t="str">
        <f>"02/12/2022 00:00"</f>
        <v>02/12/2022 00:00</v>
      </c>
      <c r="C3432">
        <v>0</v>
      </c>
      <c r="D3432" t="s">
        <v>7</v>
      </c>
      <c r="E3432" s="2" t="s">
        <v>12</v>
      </c>
      <c r="F3432">
        <f t="shared" si="54"/>
        <v>0</v>
      </c>
      <c r="G3432" t="s">
        <v>16</v>
      </c>
      <c r="H3432" t="s">
        <v>10</v>
      </c>
      <c r="J3432" t="str">
        <f>"02/13/2022 00:39"</f>
        <v>02/13/2022 00:39</v>
      </c>
    </row>
    <row r="3433" spans="1:10" x14ac:dyDescent="0.3">
      <c r="A3433" t="s">
        <v>6</v>
      </c>
      <c r="B3433" t="str">
        <f>"02/13/2022 00:00"</f>
        <v>02/13/2022 00:00</v>
      </c>
      <c r="C3433">
        <v>0</v>
      </c>
      <c r="D3433" t="s">
        <v>7</v>
      </c>
      <c r="E3433" s="2" t="s">
        <v>12</v>
      </c>
      <c r="F3433">
        <f t="shared" si="54"/>
        <v>0</v>
      </c>
      <c r="G3433" t="s">
        <v>16</v>
      </c>
      <c r="H3433" t="s">
        <v>10</v>
      </c>
      <c r="J3433" t="str">
        <f>"02/14/2022 00:38"</f>
        <v>02/14/2022 00:38</v>
      </c>
    </row>
    <row r="3434" spans="1:10" x14ac:dyDescent="0.3">
      <c r="A3434" t="s">
        <v>6</v>
      </c>
      <c r="B3434" t="str">
        <f>"02/14/2022 00:00"</f>
        <v>02/14/2022 00:00</v>
      </c>
      <c r="C3434">
        <v>0</v>
      </c>
      <c r="D3434" t="s">
        <v>7</v>
      </c>
      <c r="E3434" s="2" t="s">
        <v>12</v>
      </c>
      <c r="F3434">
        <f t="shared" si="54"/>
        <v>0</v>
      </c>
      <c r="G3434" t="s">
        <v>16</v>
      </c>
      <c r="H3434" t="s">
        <v>10</v>
      </c>
      <c r="J3434" t="str">
        <f>"02/15/2022 00:39"</f>
        <v>02/15/2022 00:39</v>
      </c>
    </row>
    <row r="3435" spans="1:10" x14ac:dyDescent="0.3">
      <c r="A3435" t="s">
        <v>6</v>
      </c>
      <c r="B3435" t="str">
        <f>"02/15/2022 00:00"</f>
        <v>02/15/2022 00:00</v>
      </c>
      <c r="C3435">
        <v>0</v>
      </c>
      <c r="D3435" t="s">
        <v>7</v>
      </c>
      <c r="E3435" s="2" t="s">
        <v>12</v>
      </c>
      <c r="F3435">
        <f t="shared" si="54"/>
        <v>0</v>
      </c>
      <c r="G3435" t="s">
        <v>16</v>
      </c>
      <c r="H3435" t="s">
        <v>10</v>
      </c>
      <c r="J3435" t="str">
        <f>"02/16/2022 00:39"</f>
        <v>02/16/2022 00:39</v>
      </c>
    </row>
    <row r="3436" spans="1:10" x14ac:dyDescent="0.3">
      <c r="A3436" t="s">
        <v>6</v>
      </c>
      <c r="B3436" t="str">
        <f>"02/16/2022 00:00"</f>
        <v>02/16/2022 00:00</v>
      </c>
      <c r="C3436">
        <v>0</v>
      </c>
      <c r="D3436" t="s">
        <v>7</v>
      </c>
      <c r="E3436" s="2" t="s">
        <v>12</v>
      </c>
      <c r="F3436">
        <f t="shared" si="54"/>
        <v>0</v>
      </c>
      <c r="G3436" t="s">
        <v>16</v>
      </c>
      <c r="H3436" t="s">
        <v>10</v>
      </c>
      <c r="J3436" t="str">
        <f>"02/17/2022 00:38"</f>
        <v>02/17/2022 00:38</v>
      </c>
    </row>
    <row r="3437" spans="1:10" x14ac:dyDescent="0.3">
      <c r="A3437" t="s">
        <v>6</v>
      </c>
      <c r="B3437" t="str">
        <f>"02/17/2022 00:00"</f>
        <v>02/17/2022 00:00</v>
      </c>
      <c r="C3437">
        <v>0</v>
      </c>
      <c r="D3437" t="s">
        <v>7</v>
      </c>
      <c r="E3437" s="2" t="s">
        <v>12</v>
      </c>
      <c r="F3437">
        <f t="shared" si="54"/>
        <v>0</v>
      </c>
      <c r="G3437" t="s">
        <v>16</v>
      </c>
      <c r="H3437" t="s">
        <v>10</v>
      </c>
      <c r="J3437" t="str">
        <f>"02/18/2022 00:39"</f>
        <v>02/18/2022 00:39</v>
      </c>
    </row>
    <row r="3438" spans="1:10" x14ac:dyDescent="0.3">
      <c r="A3438" t="s">
        <v>6</v>
      </c>
      <c r="B3438" t="str">
        <f>"02/18/2022 00:00"</f>
        <v>02/18/2022 00:00</v>
      </c>
      <c r="C3438">
        <v>0</v>
      </c>
      <c r="D3438" t="s">
        <v>7</v>
      </c>
      <c r="E3438" s="2" t="s">
        <v>12</v>
      </c>
      <c r="F3438">
        <f t="shared" si="54"/>
        <v>0</v>
      </c>
      <c r="G3438" t="s">
        <v>16</v>
      </c>
      <c r="H3438" t="s">
        <v>10</v>
      </c>
      <c r="J3438" t="str">
        <f>"02/19/2022 00:38"</f>
        <v>02/19/2022 00:38</v>
      </c>
    </row>
    <row r="3439" spans="1:10" x14ac:dyDescent="0.3">
      <c r="A3439" t="s">
        <v>6</v>
      </c>
      <c r="B3439" t="str">
        <f>"02/19/2022 00:00"</f>
        <v>02/19/2022 00:00</v>
      </c>
      <c r="C3439">
        <v>0</v>
      </c>
      <c r="D3439" t="s">
        <v>7</v>
      </c>
      <c r="E3439" s="2" t="s">
        <v>12</v>
      </c>
      <c r="F3439">
        <f t="shared" si="54"/>
        <v>0</v>
      </c>
      <c r="G3439" t="s">
        <v>16</v>
      </c>
      <c r="H3439" t="s">
        <v>10</v>
      </c>
      <c r="J3439" t="str">
        <f>"02/20/2022 00:38"</f>
        <v>02/20/2022 00:38</v>
      </c>
    </row>
    <row r="3440" spans="1:10" x14ac:dyDescent="0.3">
      <c r="A3440" t="s">
        <v>6</v>
      </c>
      <c r="B3440" t="str">
        <f>"02/20/2022 00:00"</f>
        <v>02/20/2022 00:00</v>
      </c>
      <c r="C3440">
        <v>0</v>
      </c>
      <c r="D3440" t="s">
        <v>7</v>
      </c>
      <c r="E3440" s="2" t="s">
        <v>12</v>
      </c>
      <c r="F3440">
        <f t="shared" si="54"/>
        <v>0</v>
      </c>
      <c r="G3440" t="s">
        <v>16</v>
      </c>
      <c r="H3440" t="s">
        <v>10</v>
      </c>
      <c r="J3440" t="str">
        <f>"02/21/2022 00:39"</f>
        <v>02/21/2022 00:39</v>
      </c>
    </row>
    <row r="3441" spans="1:10" x14ac:dyDescent="0.3">
      <c r="A3441" t="s">
        <v>6</v>
      </c>
      <c r="B3441" t="str">
        <f>"02/21/2022 00:00"</f>
        <v>02/21/2022 00:00</v>
      </c>
      <c r="C3441">
        <v>0</v>
      </c>
      <c r="D3441" t="s">
        <v>7</v>
      </c>
      <c r="E3441" s="2" t="s">
        <v>12</v>
      </c>
      <c r="F3441">
        <f t="shared" si="54"/>
        <v>0</v>
      </c>
      <c r="G3441" t="s">
        <v>16</v>
      </c>
      <c r="H3441" t="s">
        <v>10</v>
      </c>
      <c r="J3441" t="str">
        <f>"02/22/2022 00:38"</f>
        <v>02/22/2022 00:38</v>
      </c>
    </row>
    <row r="3442" spans="1:10" x14ac:dyDescent="0.3">
      <c r="A3442" t="s">
        <v>6</v>
      </c>
      <c r="B3442" t="str">
        <f>"02/22/2022 00:00"</f>
        <v>02/22/2022 00:00</v>
      </c>
      <c r="C3442">
        <v>0</v>
      </c>
      <c r="D3442" t="s">
        <v>7</v>
      </c>
      <c r="E3442" s="2" t="s">
        <v>12</v>
      </c>
      <c r="F3442">
        <f t="shared" si="54"/>
        <v>0</v>
      </c>
      <c r="G3442" t="s">
        <v>16</v>
      </c>
      <c r="H3442" t="s">
        <v>10</v>
      </c>
      <c r="J3442" t="str">
        <f>"02/23/2022 00:38"</f>
        <v>02/23/2022 00:38</v>
      </c>
    </row>
    <row r="3443" spans="1:10" x14ac:dyDescent="0.3">
      <c r="A3443" t="s">
        <v>6</v>
      </c>
      <c r="B3443" t="str">
        <f>"02/23/2022 00:00"</f>
        <v>02/23/2022 00:00</v>
      </c>
      <c r="C3443">
        <v>0</v>
      </c>
      <c r="D3443" t="s">
        <v>7</v>
      </c>
      <c r="E3443" s="2" t="s">
        <v>12</v>
      </c>
      <c r="F3443">
        <f t="shared" si="54"/>
        <v>0</v>
      </c>
      <c r="G3443" t="s">
        <v>16</v>
      </c>
      <c r="H3443" t="s">
        <v>10</v>
      </c>
      <c r="J3443" t="str">
        <f>"02/24/2022 00:38"</f>
        <v>02/24/2022 00:38</v>
      </c>
    </row>
    <row r="3444" spans="1:10" x14ac:dyDescent="0.3">
      <c r="A3444" t="s">
        <v>6</v>
      </c>
      <c r="B3444" t="str">
        <f>"02/24/2022 00:00"</f>
        <v>02/24/2022 00:00</v>
      </c>
      <c r="C3444">
        <v>0</v>
      </c>
      <c r="D3444" t="s">
        <v>7</v>
      </c>
      <c r="E3444" s="2" t="s">
        <v>12</v>
      </c>
      <c r="F3444">
        <f t="shared" si="54"/>
        <v>0</v>
      </c>
      <c r="G3444" t="s">
        <v>16</v>
      </c>
      <c r="H3444" t="s">
        <v>10</v>
      </c>
      <c r="J3444" t="str">
        <f>"02/25/2022 00:38"</f>
        <v>02/25/2022 00:38</v>
      </c>
    </row>
    <row r="3445" spans="1:10" x14ac:dyDescent="0.3">
      <c r="A3445" t="s">
        <v>6</v>
      </c>
      <c r="B3445" t="str">
        <f>"02/25/2022 00:00"</f>
        <v>02/25/2022 00:00</v>
      </c>
      <c r="C3445">
        <v>0</v>
      </c>
      <c r="D3445" t="s">
        <v>7</v>
      </c>
      <c r="E3445" s="2" t="s">
        <v>12</v>
      </c>
      <c r="F3445">
        <f t="shared" si="54"/>
        <v>0</v>
      </c>
      <c r="G3445" t="s">
        <v>16</v>
      </c>
      <c r="H3445" t="s">
        <v>10</v>
      </c>
      <c r="J3445" t="str">
        <f>"02/26/2022 00:38"</f>
        <v>02/26/2022 00:38</v>
      </c>
    </row>
    <row r="3446" spans="1:10" x14ac:dyDescent="0.3">
      <c r="A3446" t="s">
        <v>6</v>
      </c>
      <c r="B3446" t="str">
        <f>"02/26/2022 00:00"</f>
        <v>02/26/2022 00:00</v>
      </c>
      <c r="C3446">
        <v>0</v>
      </c>
      <c r="D3446" t="s">
        <v>7</v>
      </c>
      <c r="E3446" s="2" t="s">
        <v>12</v>
      </c>
      <c r="F3446">
        <f t="shared" si="54"/>
        <v>0</v>
      </c>
      <c r="G3446" t="s">
        <v>16</v>
      </c>
      <c r="H3446" t="s">
        <v>10</v>
      </c>
      <c r="J3446" t="str">
        <f>"02/27/2022 00:38"</f>
        <v>02/27/2022 00:38</v>
      </c>
    </row>
    <row r="3447" spans="1:10" x14ac:dyDescent="0.3">
      <c r="A3447" t="s">
        <v>6</v>
      </c>
      <c r="B3447" t="str">
        <f>"02/27/2022 00:00"</f>
        <v>02/27/2022 00:00</v>
      </c>
      <c r="C3447">
        <v>0</v>
      </c>
      <c r="D3447" t="s">
        <v>7</v>
      </c>
      <c r="E3447" s="2" t="s">
        <v>12</v>
      </c>
      <c r="F3447">
        <f t="shared" si="54"/>
        <v>0</v>
      </c>
      <c r="G3447" t="s">
        <v>16</v>
      </c>
      <c r="H3447" t="s">
        <v>10</v>
      </c>
      <c r="J3447" t="str">
        <f>"02/28/2022 00:38"</f>
        <v>02/28/2022 00:38</v>
      </c>
    </row>
    <row r="3448" spans="1:10" x14ac:dyDescent="0.3">
      <c r="A3448" t="s">
        <v>6</v>
      </c>
      <c r="B3448" t="str">
        <f>"02/28/2022 00:00"</f>
        <v>02/28/2022 00:00</v>
      </c>
      <c r="C3448">
        <v>0</v>
      </c>
      <c r="D3448" t="s">
        <v>7</v>
      </c>
      <c r="E3448" s="2" t="s">
        <v>12</v>
      </c>
      <c r="F3448">
        <f t="shared" si="54"/>
        <v>0</v>
      </c>
      <c r="G3448" t="s">
        <v>16</v>
      </c>
      <c r="H3448" t="s">
        <v>10</v>
      </c>
      <c r="J3448" t="str">
        <f>"03/01/2022 00:38"</f>
        <v>03/01/2022 00:38</v>
      </c>
    </row>
    <row r="3449" spans="1:10" x14ac:dyDescent="0.3">
      <c r="A3449" t="s">
        <v>6</v>
      </c>
      <c r="B3449" t="str">
        <f>"03/01/2022 00:00"</f>
        <v>03/01/2022 00:00</v>
      </c>
      <c r="C3449">
        <v>0</v>
      </c>
      <c r="D3449" t="s">
        <v>7</v>
      </c>
      <c r="E3449" s="2" t="s">
        <v>12</v>
      </c>
      <c r="F3449">
        <f t="shared" si="54"/>
        <v>0</v>
      </c>
      <c r="G3449" t="s">
        <v>16</v>
      </c>
      <c r="H3449" t="s">
        <v>10</v>
      </c>
      <c r="J3449" t="str">
        <f>"03/02/2022 00:38"</f>
        <v>03/02/2022 00:38</v>
      </c>
    </row>
    <row r="3450" spans="1:10" x14ac:dyDescent="0.3">
      <c r="A3450" t="s">
        <v>6</v>
      </c>
      <c r="B3450" t="str">
        <f>"03/02/2022 00:00"</f>
        <v>03/02/2022 00:00</v>
      </c>
      <c r="C3450">
        <v>0</v>
      </c>
      <c r="D3450" t="s">
        <v>7</v>
      </c>
      <c r="E3450" s="2" t="s">
        <v>12</v>
      </c>
      <c r="F3450">
        <f t="shared" si="54"/>
        <v>0</v>
      </c>
      <c r="G3450" t="s">
        <v>16</v>
      </c>
      <c r="H3450" t="s">
        <v>10</v>
      </c>
      <c r="J3450" t="str">
        <f>"03/03/2022 00:38"</f>
        <v>03/03/2022 00:38</v>
      </c>
    </row>
    <row r="3451" spans="1:10" x14ac:dyDescent="0.3">
      <c r="A3451" t="s">
        <v>6</v>
      </c>
      <c r="B3451" t="str">
        <f>"03/03/2022 00:00"</f>
        <v>03/03/2022 00:00</v>
      </c>
      <c r="C3451">
        <v>0</v>
      </c>
      <c r="D3451" t="s">
        <v>7</v>
      </c>
      <c r="E3451" s="2" t="s">
        <v>12</v>
      </c>
      <c r="F3451">
        <f t="shared" si="54"/>
        <v>0</v>
      </c>
      <c r="G3451" t="s">
        <v>16</v>
      </c>
      <c r="H3451" t="s">
        <v>10</v>
      </c>
      <c r="J3451" t="str">
        <f>"03/04/2022 00:38"</f>
        <v>03/04/2022 00:38</v>
      </c>
    </row>
    <row r="3452" spans="1:10" x14ac:dyDescent="0.3">
      <c r="A3452" t="s">
        <v>6</v>
      </c>
      <c r="B3452" t="str">
        <f>"03/04/2022 00:00"</f>
        <v>03/04/2022 00:00</v>
      </c>
      <c r="C3452">
        <v>0</v>
      </c>
      <c r="D3452" t="s">
        <v>7</v>
      </c>
      <c r="E3452" s="2" t="s">
        <v>12</v>
      </c>
      <c r="F3452">
        <f t="shared" si="54"/>
        <v>0</v>
      </c>
      <c r="G3452" t="s">
        <v>16</v>
      </c>
      <c r="H3452" t="s">
        <v>10</v>
      </c>
      <c r="J3452" t="str">
        <f>"03/05/2022 00:38"</f>
        <v>03/05/2022 00:38</v>
      </c>
    </row>
    <row r="3453" spans="1:10" x14ac:dyDescent="0.3">
      <c r="A3453" t="s">
        <v>6</v>
      </c>
      <c r="B3453" t="str">
        <f>"03/05/2022 00:00"</f>
        <v>03/05/2022 00:00</v>
      </c>
      <c r="C3453">
        <v>0</v>
      </c>
      <c r="D3453" t="s">
        <v>7</v>
      </c>
      <c r="E3453" s="2" t="s">
        <v>12</v>
      </c>
      <c r="F3453">
        <f t="shared" si="54"/>
        <v>0</v>
      </c>
      <c r="G3453" t="s">
        <v>16</v>
      </c>
      <c r="H3453" t="s">
        <v>10</v>
      </c>
      <c r="J3453" t="str">
        <f>"03/06/2022 00:38"</f>
        <v>03/06/2022 00:38</v>
      </c>
    </row>
    <row r="3454" spans="1:10" x14ac:dyDescent="0.3">
      <c r="A3454" t="s">
        <v>6</v>
      </c>
      <c r="B3454" t="str">
        <f>"03/06/2022 00:00"</f>
        <v>03/06/2022 00:00</v>
      </c>
      <c r="C3454">
        <v>0</v>
      </c>
      <c r="D3454" t="s">
        <v>7</v>
      </c>
      <c r="E3454" s="2" t="s">
        <v>12</v>
      </c>
      <c r="F3454">
        <f t="shared" si="54"/>
        <v>0</v>
      </c>
      <c r="G3454" t="s">
        <v>16</v>
      </c>
      <c r="H3454" t="s">
        <v>10</v>
      </c>
      <c r="J3454" t="str">
        <f>"03/07/2022 00:38"</f>
        <v>03/07/2022 00:38</v>
      </c>
    </row>
    <row r="3455" spans="1:10" x14ac:dyDescent="0.3">
      <c r="A3455" t="s">
        <v>6</v>
      </c>
      <c r="B3455" t="str">
        <f>"03/07/2022 00:00"</f>
        <v>03/07/2022 00:00</v>
      </c>
      <c r="C3455">
        <v>0</v>
      </c>
      <c r="D3455" t="s">
        <v>7</v>
      </c>
      <c r="E3455" s="2" t="s">
        <v>12</v>
      </c>
      <c r="F3455">
        <f t="shared" si="54"/>
        <v>0</v>
      </c>
      <c r="G3455" t="s">
        <v>16</v>
      </c>
      <c r="H3455" t="s">
        <v>10</v>
      </c>
      <c r="J3455" t="str">
        <f>"03/08/2022 00:38"</f>
        <v>03/08/2022 00:38</v>
      </c>
    </row>
    <row r="3456" spans="1:10" x14ac:dyDescent="0.3">
      <c r="A3456" t="s">
        <v>6</v>
      </c>
      <c r="B3456" t="str">
        <f>"03/08/2022 00:00"</f>
        <v>03/08/2022 00:00</v>
      </c>
      <c r="C3456">
        <v>0</v>
      </c>
      <c r="D3456" t="s">
        <v>7</v>
      </c>
      <c r="E3456" s="2" t="s">
        <v>12</v>
      </c>
      <c r="F3456">
        <f t="shared" si="54"/>
        <v>0</v>
      </c>
      <c r="G3456" t="s">
        <v>16</v>
      </c>
      <c r="H3456" t="s">
        <v>10</v>
      </c>
      <c r="J3456" t="str">
        <f>"03/09/2022 00:39"</f>
        <v>03/09/2022 00:39</v>
      </c>
    </row>
    <row r="3457" spans="1:10" x14ac:dyDescent="0.3">
      <c r="A3457" t="s">
        <v>6</v>
      </c>
      <c r="B3457" t="str">
        <f>"03/09/2022 00:00"</f>
        <v>03/09/2022 00:00</v>
      </c>
      <c r="C3457">
        <v>0</v>
      </c>
      <c r="D3457" t="s">
        <v>7</v>
      </c>
      <c r="E3457" s="2" t="s">
        <v>12</v>
      </c>
      <c r="F3457">
        <f t="shared" si="54"/>
        <v>0</v>
      </c>
      <c r="G3457" t="s">
        <v>16</v>
      </c>
      <c r="H3457" t="s">
        <v>10</v>
      </c>
      <c r="J3457" t="str">
        <f>"03/10/2022 00:39"</f>
        <v>03/10/2022 00:39</v>
      </c>
    </row>
    <row r="3458" spans="1:10" x14ac:dyDescent="0.3">
      <c r="A3458" t="s">
        <v>6</v>
      </c>
      <c r="B3458" t="str">
        <f>"03/10/2022 00:00"</f>
        <v>03/10/2022 00:00</v>
      </c>
      <c r="C3458">
        <v>0</v>
      </c>
      <c r="D3458" t="s">
        <v>7</v>
      </c>
      <c r="E3458" s="2" t="s">
        <v>12</v>
      </c>
      <c r="F3458">
        <f t="shared" si="54"/>
        <v>0</v>
      </c>
      <c r="G3458" t="s">
        <v>16</v>
      </c>
      <c r="H3458" t="s">
        <v>10</v>
      </c>
      <c r="J3458" t="str">
        <f>"03/11/2022 00:38"</f>
        <v>03/11/2022 00:38</v>
      </c>
    </row>
    <row r="3459" spans="1:10" x14ac:dyDescent="0.3">
      <c r="A3459" t="s">
        <v>6</v>
      </c>
      <c r="B3459" t="str">
        <f>"03/11/2022 00:00"</f>
        <v>03/11/2022 00:00</v>
      </c>
      <c r="C3459">
        <v>0</v>
      </c>
      <c r="D3459" t="s">
        <v>7</v>
      </c>
      <c r="E3459" s="2" t="s">
        <v>12</v>
      </c>
      <c r="F3459">
        <f t="shared" si="54"/>
        <v>0</v>
      </c>
      <c r="G3459" t="s">
        <v>16</v>
      </c>
      <c r="H3459" t="s">
        <v>10</v>
      </c>
      <c r="J3459" t="str">
        <f>"03/12/2022 00:38"</f>
        <v>03/12/2022 00:38</v>
      </c>
    </row>
    <row r="3460" spans="1:10" x14ac:dyDescent="0.3">
      <c r="A3460" t="s">
        <v>6</v>
      </c>
      <c r="B3460" t="str">
        <f>"03/12/2022 00:00"</f>
        <v>03/12/2022 00:00</v>
      </c>
      <c r="C3460">
        <v>0</v>
      </c>
      <c r="D3460" t="s">
        <v>7</v>
      </c>
      <c r="E3460" s="2" t="s">
        <v>12</v>
      </c>
      <c r="F3460">
        <f t="shared" si="54"/>
        <v>0</v>
      </c>
      <c r="G3460" t="s">
        <v>16</v>
      </c>
      <c r="H3460" t="s">
        <v>10</v>
      </c>
      <c r="J3460" t="str">
        <f>"03/13/2022 00:38"</f>
        <v>03/13/2022 00:38</v>
      </c>
    </row>
    <row r="3461" spans="1:10" x14ac:dyDescent="0.3">
      <c r="A3461" t="s">
        <v>6</v>
      </c>
      <c r="B3461" t="str">
        <f>"03/13/2022 00:00"</f>
        <v>03/13/2022 00:00</v>
      </c>
      <c r="C3461">
        <v>0</v>
      </c>
      <c r="D3461" t="s">
        <v>7</v>
      </c>
      <c r="E3461" s="2" t="s">
        <v>12</v>
      </c>
      <c r="F3461">
        <f t="shared" si="54"/>
        <v>0</v>
      </c>
      <c r="G3461" t="s">
        <v>16</v>
      </c>
      <c r="H3461" t="s">
        <v>10</v>
      </c>
      <c r="J3461" t="str">
        <f>"03/14/2022 00:39"</f>
        <v>03/14/2022 00:39</v>
      </c>
    </row>
    <row r="3462" spans="1:10" x14ac:dyDescent="0.3">
      <c r="A3462" t="s">
        <v>6</v>
      </c>
      <c r="B3462" t="str">
        <f>"03/14/2022 00:00"</f>
        <v>03/14/2022 00:00</v>
      </c>
      <c r="C3462">
        <v>0</v>
      </c>
      <c r="D3462" t="s">
        <v>7</v>
      </c>
      <c r="E3462" s="2" t="s">
        <v>12</v>
      </c>
      <c r="F3462">
        <f t="shared" si="54"/>
        <v>0</v>
      </c>
      <c r="G3462" t="s">
        <v>16</v>
      </c>
      <c r="H3462" t="s">
        <v>10</v>
      </c>
      <c r="J3462" t="str">
        <f>"03/15/2022 00:38"</f>
        <v>03/15/2022 00:38</v>
      </c>
    </row>
    <row r="3463" spans="1:10" x14ac:dyDescent="0.3">
      <c r="A3463" t="s">
        <v>6</v>
      </c>
      <c r="B3463" t="str">
        <f>"03/15/2022 00:00"</f>
        <v>03/15/2022 00:00</v>
      </c>
      <c r="C3463">
        <v>0</v>
      </c>
      <c r="D3463" t="s">
        <v>7</v>
      </c>
      <c r="E3463" s="2" t="s">
        <v>12</v>
      </c>
      <c r="F3463">
        <f t="shared" si="54"/>
        <v>0</v>
      </c>
      <c r="G3463" t="s">
        <v>16</v>
      </c>
      <c r="H3463" t="s">
        <v>10</v>
      </c>
      <c r="J3463" t="str">
        <f>"03/16/2022 00:38"</f>
        <v>03/16/2022 00:38</v>
      </c>
    </row>
    <row r="3464" spans="1:10" x14ac:dyDescent="0.3">
      <c r="A3464" t="s">
        <v>6</v>
      </c>
      <c r="B3464" t="str">
        <f>"03/16/2022 00:00"</f>
        <v>03/16/2022 00:00</v>
      </c>
      <c r="C3464">
        <v>0</v>
      </c>
      <c r="D3464" t="s">
        <v>7</v>
      </c>
      <c r="E3464" s="2" t="s">
        <v>12</v>
      </c>
      <c r="F3464">
        <f t="shared" si="54"/>
        <v>0</v>
      </c>
      <c r="G3464" t="s">
        <v>16</v>
      </c>
      <c r="H3464" t="s">
        <v>10</v>
      </c>
      <c r="J3464" t="str">
        <f>"03/17/2022 00:39"</f>
        <v>03/17/2022 00:39</v>
      </c>
    </row>
    <row r="3465" spans="1:10" x14ac:dyDescent="0.3">
      <c r="A3465" t="s">
        <v>6</v>
      </c>
      <c r="B3465" t="str">
        <f>"03/17/2022 00:00"</f>
        <v>03/17/2022 00:00</v>
      </c>
      <c r="C3465">
        <v>0</v>
      </c>
      <c r="D3465" t="s">
        <v>7</v>
      </c>
      <c r="E3465" s="2" t="s">
        <v>12</v>
      </c>
      <c r="F3465">
        <f t="shared" si="54"/>
        <v>0</v>
      </c>
      <c r="G3465" t="s">
        <v>16</v>
      </c>
      <c r="H3465" t="s">
        <v>10</v>
      </c>
      <c r="J3465" t="str">
        <f>"03/18/2022 00:39"</f>
        <v>03/18/2022 00:39</v>
      </c>
    </row>
    <row r="3466" spans="1:10" x14ac:dyDescent="0.3">
      <c r="A3466" t="s">
        <v>6</v>
      </c>
      <c r="B3466" t="str">
        <f>"03/18/2022 00:00"</f>
        <v>03/18/2022 00:00</v>
      </c>
      <c r="C3466">
        <v>0</v>
      </c>
      <c r="D3466" t="s">
        <v>7</v>
      </c>
      <c r="E3466" s="2" t="s">
        <v>12</v>
      </c>
      <c r="F3466">
        <f t="shared" si="54"/>
        <v>0</v>
      </c>
      <c r="G3466" t="s">
        <v>16</v>
      </c>
      <c r="H3466" t="s">
        <v>10</v>
      </c>
      <c r="J3466" t="str">
        <f>"03/19/2022 00:39"</f>
        <v>03/19/2022 00:39</v>
      </c>
    </row>
    <row r="3467" spans="1:10" x14ac:dyDescent="0.3">
      <c r="A3467" t="s">
        <v>6</v>
      </c>
      <c r="B3467" t="str">
        <f>"03/19/2022 00:00"</f>
        <v>03/19/2022 00:00</v>
      </c>
      <c r="C3467">
        <v>0</v>
      </c>
      <c r="D3467" t="s">
        <v>7</v>
      </c>
      <c r="E3467" s="2" t="s">
        <v>12</v>
      </c>
      <c r="F3467">
        <f t="shared" si="54"/>
        <v>0</v>
      </c>
      <c r="G3467" t="s">
        <v>16</v>
      </c>
      <c r="H3467" t="s">
        <v>10</v>
      </c>
      <c r="J3467" t="str">
        <f>"03/20/2022 00:38"</f>
        <v>03/20/2022 00:38</v>
      </c>
    </row>
    <row r="3468" spans="1:10" x14ac:dyDescent="0.3">
      <c r="A3468" t="s">
        <v>6</v>
      </c>
      <c r="B3468" t="str">
        <f>"03/20/2022 00:00"</f>
        <v>03/20/2022 00:00</v>
      </c>
      <c r="C3468">
        <v>0</v>
      </c>
      <c r="D3468" t="s">
        <v>7</v>
      </c>
      <c r="E3468" s="2" t="s">
        <v>12</v>
      </c>
      <c r="F3468">
        <f t="shared" ref="F3468:F3531" si="55">C3468*1.983</f>
        <v>0</v>
      </c>
      <c r="G3468" t="s">
        <v>16</v>
      </c>
      <c r="H3468" t="s">
        <v>10</v>
      </c>
      <c r="J3468" t="str">
        <f>"03/21/2022 00:39"</f>
        <v>03/21/2022 00:39</v>
      </c>
    </row>
    <row r="3469" spans="1:10" x14ac:dyDescent="0.3">
      <c r="A3469" t="s">
        <v>6</v>
      </c>
      <c r="B3469" t="str">
        <f>"03/21/2022 00:00"</f>
        <v>03/21/2022 00:00</v>
      </c>
      <c r="C3469">
        <v>0</v>
      </c>
      <c r="D3469" t="s">
        <v>7</v>
      </c>
      <c r="E3469" s="2" t="s">
        <v>12</v>
      </c>
      <c r="F3469">
        <f t="shared" si="55"/>
        <v>0</v>
      </c>
      <c r="G3469" t="s">
        <v>16</v>
      </c>
      <c r="H3469" t="s">
        <v>10</v>
      </c>
      <c r="J3469" t="str">
        <f>"03/22/2022 00:38"</f>
        <v>03/22/2022 00:38</v>
      </c>
    </row>
    <row r="3470" spans="1:10" x14ac:dyDescent="0.3">
      <c r="A3470" t="s">
        <v>6</v>
      </c>
      <c r="B3470" t="str">
        <f>"03/22/2022 00:00"</f>
        <v>03/22/2022 00:00</v>
      </c>
      <c r="C3470">
        <v>0</v>
      </c>
      <c r="D3470" t="s">
        <v>7</v>
      </c>
      <c r="E3470" s="2" t="s">
        <v>12</v>
      </c>
      <c r="F3470">
        <f t="shared" si="55"/>
        <v>0</v>
      </c>
      <c r="G3470" t="s">
        <v>16</v>
      </c>
      <c r="H3470" t="s">
        <v>10</v>
      </c>
      <c r="J3470" t="str">
        <f>"03/23/2022 00:39"</f>
        <v>03/23/2022 00:39</v>
      </c>
    </row>
    <row r="3471" spans="1:10" x14ac:dyDescent="0.3">
      <c r="A3471" t="s">
        <v>6</v>
      </c>
      <c r="B3471" t="str">
        <f>"03/23/2022 00:00"</f>
        <v>03/23/2022 00:00</v>
      </c>
      <c r="C3471">
        <v>0</v>
      </c>
      <c r="D3471" t="s">
        <v>7</v>
      </c>
      <c r="E3471" s="2" t="s">
        <v>12</v>
      </c>
      <c r="F3471">
        <f t="shared" si="55"/>
        <v>0</v>
      </c>
      <c r="G3471" t="s">
        <v>16</v>
      </c>
      <c r="H3471" t="s">
        <v>10</v>
      </c>
      <c r="J3471" t="str">
        <f>"03/24/2022 00:39"</f>
        <v>03/24/2022 00:39</v>
      </c>
    </row>
    <row r="3472" spans="1:10" x14ac:dyDescent="0.3">
      <c r="A3472" t="s">
        <v>6</v>
      </c>
      <c r="B3472" t="str">
        <f>"03/24/2022 00:00"</f>
        <v>03/24/2022 00:00</v>
      </c>
      <c r="C3472">
        <v>0</v>
      </c>
      <c r="D3472" t="s">
        <v>7</v>
      </c>
      <c r="E3472" s="2" t="s">
        <v>12</v>
      </c>
      <c r="F3472">
        <f t="shared" si="55"/>
        <v>0</v>
      </c>
      <c r="G3472" t="s">
        <v>16</v>
      </c>
      <c r="H3472" t="s">
        <v>10</v>
      </c>
      <c r="J3472" t="str">
        <f>"03/25/2022 00:38"</f>
        <v>03/25/2022 00:38</v>
      </c>
    </row>
    <row r="3473" spans="1:10" x14ac:dyDescent="0.3">
      <c r="A3473" t="s">
        <v>6</v>
      </c>
      <c r="B3473" t="str">
        <f>"03/25/2022 00:00"</f>
        <v>03/25/2022 00:00</v>
      </c>
      <c r="C3473">
        <v>0</v>
      </c>
      <c r="D3473" t="s">
        <v>7</v>
      </c>
      <c r="E3473" s="2" t="s">
        <v>12</v>
      </c>
      <c r="F3473">
        <f t="shared" si="55"/>
        <v>0</v>
      </c>
      <c r="G3473" t="s">
        <v>16</v>
      </c>
      <c r="H3473" t="s">
        <v>10</v>
      </c>
      <c r="J3473" t="str">
        <f>"03/26/2022 00:38"</f>
        <v>03/26/2022 00:38</v>
      </c>
    </row>
    <row r="3474" spans="1:10" x14ac:dyDescent="0.3">
      <c r="A3474" t="s">
        <v>6</v>
      </c>
      <c r="B3474" t="str">
        <f>"03/26/2022 00:00"</f>
        <v>03/26/2022 00:00</v>
      </c>
      <c r="C3474">
        <v>0</v>
      </c>
      <c r="D3474" t="s">
        <v>7</v>
      </c>
      <c r="E3474" s="2" t="s">
        <v>12</v>
      </c>
      <c r="F3474">
        <f t="shared" si="55"/>
        <v>0</v>
      </c>
      <c r="G3474" t="s">
        <v>16</v>
      </c>
      <c r="H3474" t="s">
        <v>10</v>
      </c>
      <c r="J3474" t="str">
        <f>"03/27/2022 00:38"</f>
        <v>03/27/2022 00:38</v>
      </c>
    </row>
    <row r="3475" spans="1:10" x14ac:dyDescent="0.3">
      <c r="A3475" t="s">
        <v>6</v>
      </c>
      <c r="B3475" t="str">
        <f>"03/27/2022 00:00"</f>
        <v>03/27/2022 00:00</v>
      </c>
      <c r="C3475">
        <v>0</v>
      </c>
      <c r="D3475" t="s">
        <v>7</v>
      </c>
      <c r="E3475" s="2" t="s">
        <v>12</v>
      </c>
      <c r="F3475">
        <f t="shared" si="55"/>
        <v>0</v>
      </c>
      <c r="G3475" t="s">
        <v>16</v>
      </c>
      <c r="H3475" t="s">
        <v>10</v>
      </c>
      <c r="J3475" t="str">
        <f>"03/28/2022 00:39"</f>
        <v>03/28/2022 00:39</v>
      </c>
    </row>
    <row r="3476" spans="1:10" x14ac:dyDescent="0.3">
      <c r="A3476" t="s">
        <v>6</v>
      </c>
      <c r="B3476" t="str">
        <f>"03/28/2022 00:00"</f>
        <v>03/28/2022 00:00</v>
      </c>
      <c r="C3476">
        <v>0</v>
      </c>
      <c r="D3476" t="s">
        <v>7</v>
      </c>
      <c r="E3476" s="2" t="s">
        <v>12</v>
      </c>
      <c r="F3476">
        <f t="shared" si="55"/>
        <v>0</v>
      </c>
      <c r="G3476" t="s">
        <v>16</v>
      </c>
      <c r="H3476" t="s">
        <v>10</v>
      </c>
      <c r="J3476" t="str">
        <f>"03/29/2022 00:38"</f>
        <v>03/29/2022 00:38</v>
      </c>
    </row>
    <row r="3477" spans="1:10" x14ac:dyDescent="0.3">
      <c r="A3477" t="s">
        <v>6</v>
      </c>
      <c r="B3477" t="str">
        <f>"03/29/2022 00:00"</f>
        <v>03/29/2022 00:00</v>
      </c>
      <c r="C3477">
        <v>0</v>
      </c>
      <c r="D3477" t="s">
        <v>7</v>
      </c>
      <c r="E3477" s="2" t="s">
        <v>12</v>
      </c>
      <c r="F3477">
        <f t="shared" si="55"/>
        <v>0</v>
      </c>
      <c r="G3477" t="s">
        <v>16</v>
      </c>
      <c r="H3477" t="s">
        <v>10</v>
      </c>
      <c r="J3477" t="str">
        <f>"03/30/2022 00:38"</f>
        <v>03/30/2022 00:38</v>
      </c>
    </row>
    <row r="3478" spans="1:10" x14ac:dyDescent="0.3">
      <c r="A3478" t="s">
        <v>6</v>
      </c>
      <c r="B3478" t="str">
        <f>"03/30/2022 00:00"</f>
        <v>03/30/2022 00:00</v>
      </c>
      <c r="C3478">
        <v>0</v>
      </c>
      <c r="D3478" t="s">
        <v>7</v>
      </c>
      <c r="E3478" s="2" t="s">
        <v>12</v>
      </c>
      <c r="F3478">
        <f t="shared" si="55"/>
        <v>0</v>
      </c>
      <c r="G3478" t="s">
        <v>16</v>
      </c>
      <c r="H3478" t="s">
        <v>10</v>
      </c>
      <c r="J3478" t="str">
        <f>"03/31/2022 00:39"</f>
        <v>03/31/2022 00:39</v>
      </c>
    </row>
    <row r="3479" spans="1:10" x14ac:dyDescent="0.3">
      <c r="A3479" t="s">
        <v>6</v>
      </c>
      <c r="B3479" t="str">
        <f>"03/31/2022 00:00"</f>
        <v>03/31/2022 00:00</v>
      </c>
      <c r="C3479">
        <v>0</v>
      </c>
      <c r="D3479" t="s">
        <v>7</v>
      </c>
      <c r="E3479" s="2" t="s">
        <v>12</v>
      </c>
      <c r="F3479">
        <f t="shared" si="55"/>
        <v>0</v>
      </c>
      <c r="G3479" t="s">
        <v>16</v>
      </c>
      <c r="H3479" t="s">
        <v>10</v>
      </c>
      <c r="J3479" t="str">
        <f>"04/01/2022 00:38"</f>
        <v>04/01/2022 00:38</v>
      </c>
    </row>
    <row r="3480" spans="1:10" x14ac:dyDescent="0.3">
      <c r="A3480" t="s">
        <v>6</v>
      </c>
      <c r="B3480" t="str">
        <f>"04/01/2022 00:00"</f>
        <v>04/01/2022 00:00</v>
      </c>
      <c r="C3480">
        <v>0</v>
      </c>
      <c r="D3480" t="s">
        <v>7</v>
      </c>
      <c r="E3480" s="2" t="s">
        <v>12</v>
      </c>
      <c r="F3480">
        <f t="shared" si="55"/>
        <v>0</v>
      </c>
      <c r="G3480" t="s">
        <v>16</v>
      </c>
      <c r="H3480" t="s">
        <v>10</v>
      </c>
      <c r="J3480" t="str">
        <f>"04/02/2022 00:39"</f>
        <v>04/02/2022 00:39</v>
      </c>
    </row>
    <row r="3481" spans="1:10" x14ac:dyDescent="0.3">
      <c r="A3481" t="s">
        <v>6</v>
      </c>
      <c r="B3481" t="str">
        <f>"04/02/2022 00:00"</f>
        <v>04/02/2022 00:00</v>
      </c>
      <c r="C3481">
        <v>0</v>
      </c>
      <c r="D3481" t="s">
        <v>7</v>
      </c>
      <c r="E3481" s="2" t="s">
        <v>12</v>
      </c>
      <c r="F3481">
        <f t="shared" si="55"/>
        <v>0</v>
      </c>
      <c r="G3481" t="s">
        <v>16</v>
      </c>
      <c r="H3481" t="s">
        <v>10</v>
      </c>
      <c r="J3481" t="str">
        <f>"04/03/2022 00:38"</f>
        <v>04/03/2022 00:38</v>
      </c>
    </row>
    <row r="3482" spans="1:10" x14ac:dyDescent="0.3">
      <c r="A3482" t="s">
        <v>6</v>
      </c>
      <c r="B3482" t="str">
        <f>"04/03/2022 00:00"</f>
        <v>04/03/2022 00:00</v>
      </c>
      <c r="C3482">
        <v>0</v>
      </c>
      <c r="D3482" t="s">
        <v>7</v>
      </c>
      <c r="E3482" s="2" t="s">
        <v>12</v>
      </c>
      <c r="F3482">
        <f t="shared" si="55"/>
        <v>0</v>
      </c>
      <c r="G3482" t="s">
        <v>16</v>
      </c>
      <c r="H3482" t="s">
        <v>10</v>
      </c>
      <c r="J3482" t="str">
        <f>"04/04/2022 00:38"</f>
        <v>04/04/2022 00:38</v>
      </c>
    </row>
    <row r="3483" spans="1:10" x14ac:dyDescent="0.3">
      <c r="A3483" t="s">
        <v>6</v>
      </c>
      <c r="B3483" t="str">
        <f>"04/04/2022 00:00"</f>
        <v>04/04/2022 00:00</v>
      </c>
      <c r="C3483">
        <v>0</v>
      </c>
      <c r="D3483" t="s">
        <v>7</v>
      </c>
      <c r="E3483" s="2" t="s">
        <v>12</v>
      </c>
      <c r="F3483">
        <f t="shared" si="55"/>
        <v>0</v>
      </c>
      <c r="G3483" t="s">
        <v>16</v>
      </c>
      <c r="H3483" t="s">
        <v>10</v>
      </c>
      <c r="J3483" t="str">
        <f>"04/05/2022 00:39"</f>
        <v>04/05/2022 00:39</v>
      </c>
    </row>
    <row r="3484" spans="1:10" x14ac:dyDescent="0.3">
      <c r="A3484" t="s">
        <v>6</v>
      </c>
      <c r="B3484" t="str">
        <f>"04/05/2022 00:00"</f>
        <v>04/05/2022 00:00</v>
      </c>
      <c r="C3484">
        <v>0</v>
      </c>
      <c r="D3484" t="s">
        <v>7</v>
      </c>
      <c r="E3484" s="2" t="s">
        <v>12</v>
      </c>
      <c r="F3484">
        <f t="shared" si="55"/>
        <v>0</v>
      </c>
      <c r="G3484" t="s">
        <v>16</v>
      </c>
      <c r="H3484" t="s">
        <v>10</v>
      </c>
      <c r="J3484" t="str">
        <f>"04/06/2022 00:38"</f>
        <v>04/06/2022 00:38</v>
      </c>
    </row>
    <row r="3485" spans="1:10" x14ac:dyDescent="0.3">
      <c r="A3485" t="s">
        <v>6</v>
      </c>
      <c r="B3485" t="str">
        <f>"04/06/2022 00:00"</f>
        <v>04/06/2022 00:00</v>
      </c>
      <c r="C3485">
        <v>0</v>
      </c>
      <c r="D3485" t="s">
        <v>7</v>
      </c>
      <c r="E3485" s="2" t="s">
        <v>12</v>
      </c>
      <c r="F3485">
        <f t="shared" si="55"/>
        <v>0</v>
      </c>
      <c r="G3485" t="s">
        <v>16</v>
      </c>
      <c r="H3485" t="s">
        <v>10</v>
      </c>
      <c r="J3485" t="str">
        <f>"04/07/2022 00:40"</f>
        <v>04/07/2022 00:40</v>
      </c>
    </row>
    <row r="3486" spans="1:10" x14ac:dyDescent="0.3">
      <c r="A3486" t="s">
        <v>6</v>
      </c>
      <c r="B3486" t="str">
        <f>"04/07/2022 00:00"</f>
        <v>04/07/2022 00:00</v>
      </c>
      <c r="C3486">
        <v>0</v>
      </c>
      <c r="D3486" t="s">
        <v>7</v>
      </c>
      <c r="E3486" s="2" t="s">
        <v>12</v>
      </c>
      <c r="F3486">
        <f t="shared" si="55"/>
        <v>0</v>
      </c>
      <c r="G3486" t="s">
        <v>16</v>
      </c>
      <c r="H3486" t="s">
        <v>10</v>
      </c>
      <c r="J3486" t="str">
        <f>"04/08/2022 00:39"</f>
        <v>04/08/2022 00:39</v>
      </c>
    </row>
    <row r="3487" spans="1:10" x14ac:dyDescent="0.3">
      <c r="A3487" t="s">
        <v>6</v>
      </c>
      <c r="B3487" t="str">
        <f>"04/08/2022 00:00"</f>
        <v>04/08/2022 00:00</v>
      </c>
      <c r="C3487">
        <v>0</v>
      </c>
      <c r="D3487" t="s">
        <v>7</v>
      </c>
      <c r="E3487" s="2" t="s">
        <v>12</v>
      </c>
      <c r="F3487">
        <f t="shared" si="55"/>
        <v>0</v>
      </c>
      <c r="G3487" t="s">
        <v>16</v>
      </c>
      <c r="H3487" t="s">
        <v>10</v>
      </c>
      <c r="J3487" t="str">
        <f>"04/09/2022 00:39"</f>
        <v>04/09/2022 00:39</v>
      </c>
    </row>
    <row r="3488" spans="1:10" x14ac:dyDescent="0.3">
      <c r="A3488" t="s">
        <v>6</v>
      </c>
      <c r="B3488" t="str">
        <f>"04/09/2022 00:00"</f>
        <v>04/09/2022 00:00</v>
      </c>
      <c r="C3488">
        <v>0</v>
      </c>
      <c r="D3488" t="s">
        <v>7</v>
      </c>
      <c r="E3488" s="2" t="s">
        <v>12</v>
      </c>
      <c r="F3488">
        <f t="shared" si="55"/>
        <v>0</v>
      </c>
      <c r="G3488" t="s">
        <v>16</v>
      </c>
      <c r="H3488" t="s">
        <v>10</v>
      </c>
      <c r="J3488" t="str">
        <f>"04/10/2022 00:38"</f>
        <v>04/10/2022 00:38</v>
      </c>
    </row>
    <row r="3489" spans="1:10" x14ac:dyDescent="0.3">
      <c r="A3489" t="s">
        <v>6</v>
      </c>
      <c r="B3489" t="str">
        <f>"04/10/2022 00:00"</f>
        <v>04/10/2022 00:00</v>
      </c>
      <c r="C3489">
        <v>0</v>
      </c>
      <c r="D3489" t="s">
        <v>7</v>
      </c>
      <c r="E3489" s="2" t="s">
        <v>12</v>
      </c>
      <c r="F3489">
        <f t="shared" si="55"/>
        <v>0</v>
      </c>
      <c r="G3489" t="s">
        <v>16</v>
      </c>
      <c r="H3489" t="s">
        <v>10</v>
      </c>
      <c r="J3489" t="str">
        <f>"04/11/2022 00:38"</f>
        <v>04/11/2022 00:38</v>
      </c>
    </row>
    <row r="3490" spans="1:10" x14ac:dyDescent="0.3">
      <c r="A3490" t="s">
        <v>6</v>
      </c>
      <c r="B3490" t="str">
        <f>"04/11/2022 00:00"</f>
        <v>04/11/2022 00:00</v>
      </c>
      <c r="C3490">
        <v>0</v>
      </c>
      <c r="D3490" t="s">
        <v>7</v>
      </c>
      <c r="E3490" s="2" t="s">
        <v>12</v>
      </c>
      <c r="F3490">
        <f t="shared" si="55"/>
        <v>0</v>
      </c>
      <c r="G3490" t="s">
        <v>16</v>
      </c>
      <c r="H3490" t="s">
        <v>10</v>
      </c>
      <c r="J3490" t="str">
        <f>"04/12/2022 00:39"</f>
        <v>04/12/2022 00:39</v>
      </c>
    </row>
    <row r="3491" spans="1:10" x14ac:dyDescent="0.3">
      <c r="A3491" t="s">
        <v>6</v>
      </c>
      <c r="B3491" t="str">
        <f>"04/12/2022 00:00"</f>
        <v>04/12/2022 00:00</v>
      </c>
      <c r="C3491">
        <v>4.1399999999999996E-3</v>
      </c>
      <c r="D3491" t="s">
        <v>7</v>
      </c>
      <c r="E3491" s="2" t="s">
        <v>12</v>
      </c>
      <c r="F3491">
        <f t="shared" si="55"/>
        <v>8.2096199999999991E-3</v>
      </c>
      <c r="G3491" t="s">
        <v>16</v>
      </c>
      <c r="H3491" t="s">
        <v>10</v>
      </c>
      <c r="J3491" t="str">
        <f>"04/13/2022 00:39"</f>
        <v>04/13/2022 00:39</v>
      </c>
    </row>
    <row r="3492" spans="1:10" x14ac:dyDescent="0.3">
      <c r="A3492" t="s">
        <v>6</v>
      </c>
      <c r="B3492" t="str">
        <f>"04/13/2022 00:00"</f>
        <v>04/13/2022 00:00</v>
      </c>
      <c r="C3492">
        <v>0</v>
      </c>
      <c r="D3492" t="s">
        <v>7</v>
      </c>
      <c r="E3492" s="2" t="s">
        <v>12</v>
      </c>
      <c r="F3492">
        <f t="shared" si="55"/>
        <v>0</v>
      </c>
      <c r="G3492" t="s">
        <v>16</v>
      </c>
      <c r="H3492" t="s">
        <v>10</v>
      </c>
      <c r="J3492" t="str">
        <f>"04/14/2022 00:39"</f>
        <v>04/14/2022 00:39</v>
      </c>
    </row>
    <row r="3493" spans="1:10" x14ac:dyDescent="0.3">
      <c r="A3493" t="s">
        <v>6</v>
      </c>
      <c r="B3493" t="str">
        <f>"04/14/2022 00:00"</f>
        <v>04/14/2022 00:00</v>
      </c>
      <c r="C3493">
        <v>0</v>
      </c>
      <c r="D3493" t="s">
        <v>7</v>
      </c>
      <c r="E3493" s="2" t="s">
        <v>12</v>
      </c>
      <c r="F3493">
        <f t="shared" si="55"/>
        <v>0</v>
      </c>
      <c r="G3493" t="s">
        <v>16</v>
      </c>
      <c r="H3493" t="s">
        <v>10</v>
      </c>
      <c r="J3493" t="str">
        <f>"04/15/2022 00:39"</f>
        <v>04/15/2022 00:39</v>
      </c>
    </row>
    <row r="3494" spans="1:10" x14ac:dyDescent="0.3">
      <c r="A3494" t="s">
        <v>6</v>
      </c>
      <c r="B3494" t="str">
        <f>"04/15/2022 00:00"</f>
        <v>04/15/2022 00:00</v>
      </c>
      <c r="C3494">
        <v>0</v>
      </c>
      <c r="D3494" t="s">
        <v>7</v>
      </c>
      <c r="E3494" s="2" t="s">
        <v>12</v>
      </c>
      <c r="F3494">
        <f t="shared" si="55"/>
        <v>0</v>
      </c>
      <c r="G3494" t="s">
        <v>16</v>
      </c>
      <c r="H3494" t="s">
        <v>10</v>
      </c>
      <c r="J3494" t="str">
        <f>"04/16/2022 00:39"</f>
        <v>04/16/2022 00:39</v>
      </c>
    </row>
    <row r="3495" spans="1:10" x14ac:dyDescent="0.3">
      <c r="A3495" t="s">
        <v>6</v>
      </c>
      <c r="B3495" t="str">
        <f>"04/16/2022 00:00"</f>
        <v>04/16/2022 00:00</v>
      </c>
      <c r="C3495">
        <v>0</v>
      </c>
      <c r="D3495" t="s">
        <v>7</v>
      </c>
      <c r="E3495" s="2" t="s">
        <v>12</v>
      </c>
      <c r="F3495">
        <f t="shared" si="55"/>
        <v>0</v>
      </c>
      <c r="G3495" t="s">
        <v>16</v>
      </c>
      <c r="H3495" t="s">
        <v>10</v>
      </c>
      <c r="J3495" t="str">
        <f>"04/17/2022 00:39"</f>
        <v>04/17/2022 00:39</v>
      </c>
    </row>
    <row r="3496" spans="1:10" x14ac:dyDescent="0.3">
      <c r="A3496" t="s">
        <v>6</v>
      </c>
      <c r="B3496" t="str">
        <f>"04/17/2022 00:00"</f>
        <v>04/17/2022 00:00</v>
      </c>
      <c r="C3496">
        <v>0</v>
      </c>
      <c r="D3496" t="s">
        <v>7</v>
      </c>
      <c r="E3496" s="2" t="s">
        <v>12</v>
      </c>
      <c r="F3496">
        <f t="shared" si="55"/>
        <v>0</v>
      </c>
      <c r="G3496" t="s">
        <v>16</v>
      </c>
      <c r="H3496" t="s">
        <v>10</v>
      </c>
      <c r="J3496" t="str">
        <f>"04/18/2022 00:39"</f>
        <v>04/18/2022 00:39</v>
      </c>
    </row>
    <row r="3497" spans="1:10" x14ac:dyDescent="0.3">
      <c r="A3497" t="s">
        <v>6</v>
      </c>
      <c r="B3497" t="str">
        <f>"04/18/2022 00:00"</f>
        <v>04/18/2022 00:00</v>
      </c>
      <c r="C3497">
        <v>0</v>
      </c>
      <c r="D3497" t="s">
        <v>7</v>
      </c>
      <c r="E3497" s="2" t="s">
        <v>12</v>
      </c>
      <c r="F3497">
        <f t="shared" si="55"/>
        <v>0</v>
      </c>
      <c r="G3497" t="s">
        <v>16</v>
      </c>
      <c r="H3497" t="s">
        <v>10</v>
      </c>
      <c r="J3497" t="str">
        <f>"04/19/2022 00:39"</f>
        <v>04/19/2022 00:39</v>
      </c>
    </row>
    <row r="3498" spans="1:10" x14ac:dyDescent="0.3">
      <c r="A3498" t="s">
        <v>6</v>
      </c>
      <c r="B3498" t="str">
        <f>"04/19/2022 00:00"</f>
        <v>04/19/2022 00:00</v>
      </c>
      <c r="C3498">
        <v>0</v>
      </c>
      <c r="D3498" t="s">
        <v>7</v>
      </c>
      <c r="E3498" s="2" t="s">
        <v>12</v>
      </c>
      <c r="F3498">
        <f t="shared" si="55"/>
        <v>0</v>
      </c>
      <c r="G3498" t="s">
        <v>16</v>
      </c>
      <c r="H3498" t="s">
        <v>10</v>
      </c>
      <c r="J3498" t="str">
        <f>"04/20/2022 00:41"</f>
        <v>04/20/2022 00:41</v>
      </c>
    </row>
    <row r="3499" spans="1:10" x14ac:dyDescent="0.3">
      <c r="A3499" t="s">
        <v>6</v>
      </c>
      <c r="B3499" t="str">
        <f>"04/20/2022 00:00"</f>
        <v>04/20/2022 00:00</v>
      </c>
      <c r="C3499">
        <v>0</v>
      </c>
      <c r="D3499" t="s">
        <v>7</v>
      </c>
      <c r="E3499" s="2" t="s">
        <v>12</v>
      </c>
      <c r="F3499">
        <f t="shared" si="55"/>
        <v>0</v>
      </c>
      <c r="G3499" t="s">
        <v>16</v>
      </c>
      <c r="H3499" t="s">
        <v>10</v>
      </c>
      <c r="J3499" t="str">
        <f>"04/21/2022 00:38"</f>
        <v>04/21/2022 00:38</v>
      </c>
    </row>
    <row r="3500" spans="1:10" x14ac:dyDescent="0.3">
      <c r="A3500" t="s">
        <v>6</v>
      </c>
      <c r="B3500" t="str">
        <f>"04/21/2022 00:00"</f>
        <v>04/21/2022 00:00</v>
      </c>
      <c r="C3500">
        <v>0</v>
      </c>
      <c r="D3500" t="s">
        <v>7</v>
      </c>
      <c r="E3500" s="2" t="s">
        <v>12</v>
      </c>
      <c r="F3500">
        <f t="shared" si="55"/>
        <v>0</v>
      </c>
      <c r="G3500" t="s">
        <v>16</v>
      </c>
      <c r="H3500" t="s">
        <v>10</v>
      </c>
      <c r="J3500" t="str">
        <f>"04/22/2022 00:38"</f>
        <v>04/22/2022 00:38</v>
      </c>
    </row>
    <row r="3501" spans="1:10" x14ac:dyDescent="0.3">
      <c r="A3501" t="s">
        <v>6</v>
      </c>
      <c r="B3501" t="str">
        <f>"04/22/2022 00:00"</f>
        <v>04/22/2022 00:00</v>
      </c>
      <c r="C3501">
        <v>49.1</v>
      </c>
      <c r="D3501" t="s">
        <v>7</v>
      </c>
      <c r="E3501" s="2" t="s">
        <v>12</v>
      </c>
      <c r="F3501">
        <f t="shared" si="55"/>
        <v>97.365300000000005</v>
      </c>
      <c r="G3501" t="s">
        <v>16</v>
      </c>
      <c r="H3501" t="s">
        <v>10</v>
      </c>
      <c r="J3501" t="str">
        <f>"04/23/2022 00:38"</f>
        <v>04/23/2022 00:38</v>
      </c>
    </row>
    <row r="3502" spans="1:10" x14ac:dyDescent="0.3">
      <c r="A3502" t="s">
        <v>6</v>
      </c>
      <c r="B3502" t="str">
        <f>"04/23/2022 00:00"</f>
        <v>04/23/2022 00:00</v>
      </c>
      <c r="C3502">
        <v>98.7</v>
      </c>
      <c r="D3502" t="s">
        <v>7</v>
      </c>
      <c r="E3502" s="2" t="s">
        <v>12</v>
      </c>
      <c r="F3502">
        <f t="shared" si="55"/>
        <v>195.72210000000001</v>
      </c>
      <c r="G3502" t="s">
        <v>16</v>
      </c>
      <c r="H3502" t="s">
        <v>10</v>
      </c>
      <c r="J3502" t="str">
        <f>"04/24/2022 00:39"</f>
        <v>04/24/2022 00:39</v>
      </c>
    </row>
    <row r="3503" spans="1:10" x14ac:dyDescent="0.3">
      <c r="A3503" t="s">
        <v>6</v>
      </c>
      <c r="B3503" t="str">
        <f>"04/24/2022 00:00"</f>
        <v>04/24/2022 00:00</v>
      </c>
      <c r="C3503">
        <v>99.3</v>
      </c>
      <c r="D3503" t="s">
        <v>7</v>
      </c>
      <c r="E3503" s="2" t="s">
        <v>12</v>
      </c>
      <c r="F3503">
        <f t="shared" si="55"/>
        <v>196.9119</v>
      </c>
      <c r="G3503" t="s">
        <v>16</v>
      </c>
      <c r="H3503" t="s">
        <v>10</v>
      </c>
      <c r="J3503" t="str">
        <f>"04/25/2022 00:39"</f>
        <v>04/25/2022 00:39</v>
      </c>
    </row>
    <row r="3504" spans="1:10" x14ac:dyDescent="0.3">
      <c r="A3504" t="s">
        <v>6</v>
      </c>
      <c r="B3504" t="str">
        <f>"04/25/2022 00:00"</f>
        <v>04/25/2022 00:00</v>
      </c>
      <c r="C3504">
        <v>99.4</v>
      </c>
      <c r="D3504" t="s">
        <v>7</v>
      </c>
      <c r="E3504" s="2" t="s">
        <v>12</v>
      </c>
      <c r="F3504">
        <f t="shared" si="55"/>
        <v>197.11020000000002</v>
      </c>
      <c r="G3504" t="s">
        <v>16</v>
      </c>
      <c r="H3504" t="s">
        <v>10</v>
      </c>
      <c r="J3504" t="str">
        <f>"04/26/2022 00:38"</f>
        <v>04/26/2022 00:38</v>
      </c>
    </row>
    <row r="3505" spans="1:10" x14ac:dyDescent="0.3">
      <c r="A3505" t="s">
        <v>6</v>
      </c>
      <c r="B3505" t="str">
        <f>"04/26/2022 00:00"</f>
        <v>04/26/2022 00:00</v>
      </c>
      <c r="C3505">
        <v>99.4</v>
      </c>
      <c r="D3505" t="s">
        <v>7</v>
      </c>
      <c r="E3505" s="2" t="s">
        <v>12</v>
      </c>
      <c r="F3505">
        <f t="shared" si="55"/>
        <v>197.11020000000002</v>
      </c>
      <c r="G3505" t="s">
        <v>16</v>
      </c>
      <c r="H3505" t="s">
        <v>10</v>
      </c>
      <c r="J3505" t="str">
        <f>"04/27/2022 00:38"</f>
        <v>04/27/2022 00:38</v>
      </c>
    </row>
    <row r="3506" spans="1:10" x14ac:dyDescent="0.3">
      <c r="A3506" t="s">
        <v>6</v>
      </c>
      <c r="B3506" t="str">
        <f>"04/27/2022 00:00"</f>
        <v>04/27/2022 00:00</v>
      </c>
      <c r="C3506">
        <v>134</v>
      </c>
      <c r="D3506" t="s">
        <v>7</v>
      </c>
      <c r="E3506" s="2" t="s">
        <v>12</v>
      </c>
      <c r="F3506">
        <f t="shared" si="55"/>
        <v>265.72200000000004</v>
      </c>
      <c r="G3506" t="s">
        <v>16</v>
      </c>
      <c r="H3506" t="s">
        <v>10</v>
      </c>
      <c r="J3506" t="str">
        <f>"04/28/2022 00:38"</f>
        <v>04/28/2022 00:38</v>
      </c>
    </row>
    <row r="3507" spans="1:10" x14ac:dyDescent="0.3">
      <c r="A3507" t="s">
        <v>6</v>
      </c>
      <c r="B3507" t="str">
        <f>"04/28/2022 00:00"</f>
        <v>04/28/2022 00:00</v>
      </c>
      <c r="C3507">
        <v>164</v>
      </c>
      <c r="D3507" t="s">
        <v>7</v>
      </c>
      <c r="E3507" s="2" t="s">
        <v>12</v>
      </c>
      <c r="F3507">
        <f t="shared" si="55"/>
        <v>325.21199999999999</v>
      </c>
      <c r="G3507" t="s">
        <v>16</v>
      </c>
      <c r="H3507" t="s">
        <v>10</v>
      </c>
      <c r="J3507" t="str">
        <f>"04/29/2022 00:38"</f>
        <v>04/29/2022 00:38</v>
      </c>
    </row>
    <row r="3508" spans="1:10" x14ac:dyDescent="0.3">
      <c r="A3508" t="s">
        <v>6</v>
      </c>
      <c r="B3508" t="str">
        <f>"04/29/2022 00:00"</f>
        <v>04/29/2022 00:00</v>
      </c>
      <c r="C3508">
        <v>193</v>
      </c>
      <c r="D3508" t="s">
        <v>7</v>
      </c>
      <c r="E3508" s="2" t="s">
        <v>12</v>
      </c>
      <c r="F3508">
        <f t="shared" si="55"/>
        <v>382.71899999999999</v>
      </c>
      <c r="G3508" t="s">
        <v>16</v>
      </c>
      <c r="H3508" t="s">
        <v>10</v>
      </c>
      <c r="J3508" t="str">
        <f>"04/30/2022 00:38"</f>
        <v>04/30/2022 00:38</v>
      </c>
    </row>
    <row r="3509" spans="1:10" x14ac:dyDescent="0.3">
      <c r="A3509" t="s">
        <v>6</v>
      </c>
      <c r="B3509" t="str">
        <f>"04/30/2022 00:00"</f>
        <v>04/30/2022 00:00</v>
      </c>
      <c r="C3509">
        <v>214</v>
      </c>
      <c r="D3509" t="s">
        <v>7</v>
      </c>
      <c r="E3509" s="2" t="s">
        <v>12</v>
      </c>
      <c r="F3509">
        <f t="shared" si="55"/>
        <v>424.36200000000002</v>
      </c>
      <c r="G3509" t="s">
        <v>16</v>
      </c>
      <c r="H3509" t="s">
        <v>10</v>
      </c>
      <c r="J3509" t="str">
        <f>"05/01/2022 00:38"</f>
        <v>05/01/2022 00:38</v>
      </c>
    </row>
    <row r="3510" spans="1:10" x14ac:dyDescent="0.3">
      <c r="A3510" t="s">
        <v>6</v>
      </c>
      <c r="B3510" t="str">
        <f>"05/01/2022 00:00"</f>
        <v>05/01/2022 00:00</v>
      </c>
      <c r="C3510">
        <v>214</v>
      </c>
      <c r="D3510" t="s">
        <v>7</v>
      </c>
      <c r="E3510" s="2" t="s">
        <v>12</v>
      </c>
      <c r="F3510">
        <f t="shared" si="55"/>
        <v>424.36200000000002</v>
      </c>
      <c r="G3510" t="s">
        <v>16</v>
      </c>
      <c r="H3510" t="s">
        <v>10</v>
      </c>
      <c r="J3510" t="str">
        <f>"05/02/2022 00:38"</f>
        <v>05/02/2022 00:38</v>
      </c>
    </row>
    <row r="3511" spans="1:10" x14ac:dyDescent="0.3">
      <c r="A3511" t="s">
        <v>6</v>
      </c>
      <c r="B3511" t="str">
        <f>"05/02/2022 00:00"</f>
        <v>05/02/2022 00:00</v>
      </c>
      <c r="C3511">
        <v>215</v>
      </c>
      <c r="D3511" t="s">
        <v>7</v>
      </c>
      <c r="E3511" s="2" t="s">
        <v>12</v>
      </c>
      <c r="F3511">
        <f t="shared" si="55"/>
        <v>426.34500000000003</v>
      </c>
      <c r="G3511" t="s">
        <v>16</v>
      </c>
      <c r="H3511" t="s">
        <v>10</v>
      </c>
      <c r="J3511" t="str">
        <f>"05/03/2022 00:38"</f>
        <v>05/03/2022 00:38</v>
      </c>
    </row>
    <row r="3512" spans="1:10" x14ac:dyDescent="0.3">
      <c r="A3512" t="s">
        <v>6</v>
      </c>
      <c r="B3512" t="str">
        <f>"05/03/2022 00:00"</f>
        <v>05/03/2022 00:00</v>
      </c>
      <c r="C3512">
        <v>214</v>
      </c>
      <c r="D3512" t="s">
        <v>7</v>
      </c>
      <c r="E3512" s="2" t="s">
        <v>12</v>
      </c>
      <c r="F3512">
        <f t="shared" si="55"/>
        <v>424.36200000000002</v>
      </c>
      <c r="G3512" t="s">
        <v>16</v>
      </c>
      <c r="H3512" t="s">
        <v>10</v>
      </c>
      <c r="J3512" t="str">
        <f>"05/04/2022 00:38"</f>
        <v>05/04/2022 00:38</v>
      </c>
    </row>
    <row r="3513" spans="1:10" x14ac:dyDescent="0.3">
      <c r="A3513" t="s">
        <v>6</v>
      </c>
      <c r="B3513" t="str">
        <f>"05/04/2022 00:00"</f>
        <v>05/04/2022 00:00</v>
      </c>
      <c r="C3513">
        <v>214</v>
      </c>
      <c r="D3513" t="s">
        <v>7</v>
      </c>
      <c r="E3513" s="2" t="s">
        <v>12</v>
      </c>
      <c r="F3513">
        <f t="shared" si="55"/>
        <v>424.36200000000002</v>
      </c>
      <c r="G3513" t="s">
        <v>16</v>
      </c>
      <c r="H3513" t="s">
        <v>10</v>
      </c>
      <c r="J3513" t="str">
        <f>"05/05/2022 00:39"</f>
        <v>05/05/2022 00:39</v>
      </c>
    </row>
    <row r="3514" spans="1:10" x14ac:dyDescent="0.3">
      <c r="A3514" t="s">
        <v>6</v>
      </c>
      <c r="B3514" t="str">
        <f>"05/05/2022 00:00"</f>
        <v>05/05/2022 00:00</v>
      </c>
      <c r="C3514">
        <v>214</v>
      </c>
      <c r="D3514" t="s">
        <v>7</v>
      </c>
      <c r="E3514" s="2" t="s">
        <v>12</v>
      </c>
      <c r="F3514">
        <f t="shared" si="55"/>
        <v>424.36200000000002</v>
      </c>
      <c r="G3514" t="s">
        <v>16</v>
      </c>
      <c r="H3514" t="s">
        <v>10</v>
      </c>
      <c r="J3514" t="str">
        <f>"05/06/2022 00:38"</f>
        <v>05/06/2022 00:38</v>
      </c>
    </row>
    <row r="3515" spans="1:10" x14ac:dyDescent="0.3">
      <c r="A3515" t="s">
        <v>6</v>
      </c>
      <c r="B3515" t="str">
        <f>"05/06/2022 00:00"</f>
        <v>05/06/2022 00:00</v>
      </c>
      <c r="C3515">
        <v>214</v>
      </c>
      <c r="D3515" t="s">
        <v>7</v>
      </c>
      <c r="E3515" s="2" t="s">
        <v>12</v>
      </c>
      <c r="F3515">
        <f t="shared" si="55"/>
        <v>424.36200000000002</v>
      </c>
      <c r="G3515" t="s">
        <v>16</v>
      </c>
      <c r="H3515" t="s">
        <v>10</v>
      </c>
      <c r="J3515" t="str">
        <f>"05/07/2022 00:41"</f>
        <v>05/07/2022 00:41</v>
      </c>
    </row>
    <row r="3516" spans="1:10" x14ac:dyDescent="0.3">
      <c r="A3516" t="s">
        <v>6</v>
      </c>
      <c r="B3516" t="str">
        <f>"05/07/2022 00:00"</f>
        <v>05/07/2022 00:00</v>
      </c>
      <c r="C3516">
        <v>214</v>
      </c>
      <c r="D3516" t="s">
        <v>7</v>
      </c>
      <c r="E3516" s="2" t="s">
        <v>12</v>
      </c>
      <c r="F3516">
        <f t="shared" si="55"/>
        <v>424.36200000000002</v>
      </c>
      <c r="G3516" t="s">
        <v>16</v>
      </c>
      <c r="H3516" t="s">
        <v>10</v>
      </c>
      <c r="J3516" t="str">
        <f>"05/08/2022 00:38"</f>
        <v>05/08/2022 00:38</v>
      </c>
    </row>
    <row r="3517" spans="1:10" x14ac:dyDescent="0.3">
      <c r="A3517" t="s">
        <v>6</v>
      </c>
      <c r="B3517" t="str">
        <f>"05/08/2022 00:00"</f>
        <v>05/08/2022 00:00</v>
      </c>
      <c r="C3517">
        <v>214</v>
      </c>
      <c r="D3517" t="s">
        <v>7</v>
      </c>
      <c r="E3517" s="2" t="s">
        <v>12</v>
      </c>
      <c r="F3517">
        <f t="shared" si="55"/>
        <v>424.36200000000002</v>
      </c>
      <c r="G3517" t="s">
        <v>16</v>
      </c>
      <c r="H3517" t="s">
        <v>10</v>
      </c>
      <c r="J3517" t="str">
        <f>"05/09/2022 00:38"</f>
        <v>05/09/2022 00:38</v>
      </c>
    </row>
    <row r="3518" spans="1:10" x14ac:dyDescent="0.3">
      <c r="A3518" t="s">
        <v>6</v>
      </c>
      <c r="B3518" t="str">
        <f>"05/09/2022 00:00"</f>
        <v>05/09/2022 00:00</v>
      </c>
      <c r="C3518">
        <v>244</v>
      </c>
      <c r="D3518" t="s">
        <v>7</v>
      </c>
      <c r="E3518" s="2" t="s">
        <v>12</v>
      </c>
      <c r="F3518">
        <f t="shared" si="55"/>
        <v>483.85200000000003</v>
      </c>
      <c r="G3518" t="s">
        <v>16</v>
      </c>
      <c r="H3518" t="s">
        <v>10</v>
      </c>
      <c r="J3518" t="str">
        <f>"05/10/2022 00:41"</f>
        <v>05/10/2022 00:41</v>
      </c>
    </row>
    <row r="3519" spans="1:10" x14ac:dyDescent="0.3">
      <c r="A3519" t="s">
        <v>6</v>
      </c>
      <c r="B3519" t="str">
        <f>"05/10/2022 00:00"</f>
        <v>05/10/2022 00:00</v>
      </c>
      <c r="C3519">
        <v>264</v>
      </c>
      <c r="D3519" t="s">
        <v>7</v>
      </c>
      <c r="E3519" s="2" t="s">
        <v>12</v>
      </c>
      <c r="F3519">
        <f t="shared" si="55"/>
        <v>523.51200000000006</v>
      </c>
      <c r="G3519" t="s">
        <v>16</v>
      </c>
      <c r="H3519" t="s">
        <v>10</v>
      </c>
      <c r="J3519" t="str">
        <f>"05/11/2022 00:38"</f>
        <v>05/11/2022 00:38</v>
      </c>
    </row>
    <row r="3520" spans="1:10" x14ac:dyDescent="0.3">
      <c r="A3520" t="s">
        <v>6</v>
      </c>
      <c r="B3520" t="str">
        <f>"05/11/2022 00:00"</f>
        <v>05/11/2022 00:00</v>
      </c>
      <c r="C3520">
        <v>265</v>
      </c>
      <c r="D3520" t="s">
        <v>7</v>
      </c>
      <c r="E3520" s="2" t="s">
        <v>12</v>
      </c>
      <c r="F3520">
        <f t="shared" si="55"/>
        <v>525.495</v>
      </c>
      <c r="G3520" t="s">
        <v>16</v>
      </c>
      <c r="H3520" t="s">
        <v>10</v>
      </c>
      <c r="J3520" t="str">
        <f>"05/12/2022 00:38"</f>
        <v>05/12/2022 00:38</v>
      </c>
    </row>
    <row r="3521" spans="1:10" x14ac:dyDescent="0.3">
      <c r="A3521" t="s">
        <v>6</v>
      </c>
      <c r="B3521" t="str">
        <f>"05/12/2022 00:00"</f>
        <v>05/12/2022 00:00</v>
      </c>
      <c r="C3521">
        <v>266</v>
      </c>
      <c r="D3521" t="s">
        <v>7</v>
      </c>
      <c r="E3521" s="2" t="s">
        <v>12</v>
      </c>
      <c r="F3521">
        <f t="shared" si="55"/>
        <v>527.47800000000007</v>
      </c>
      <c r="G3521" t="s">
        <v>16</v>
      </c>
      <c r="H3521" t="s">
        <v>10</v>
      </c>
      <c r="J3521" t="str">
        <f>"05/13/2022 00:38"</f>
        <v>05/13/2022 00:38</v>
      </c>
    </row>
    <row r="3522" spans="1:10" x14ac:dyDescent="0.3">
      <c r="A3522" t="s">
        <v>6</v>
      </c>
      <c r="B3522" t="str">
        <f>"05/13/2022 00:00"</f>
        <v>05/13/2022 00:00</v>
      </c>
      <c r="C3522">
        <v>267</v>
      </c>
      <c r="D3522" t="s">
        <v>7</v>
      </c>
      <c r="E3522" s="2" t="s">
        <v>12</v>
      </c>
      <c r="F3522">
        <f t="shared" si="55"/>
        <v>529.46100000000001</v>
      </c>
      <c r="G3522" t="s">
        <v>16</v>
      </c>
      <c r="H3522" t="s">
        <v>10</v>
      </c>
      <c r="J3522" t="str">
        <f>"05/14/2022 00:38"</f>
        <v>05/14/2022 00:38</v>
      </c>
    </row>
    <row r="3523" spans="1:10" x14ac:dyDescent="0.3">
      <c r="A3523" t="s">
        <v>6</v>
      </c>
      <c r="B3523" t="str">
        <f>"05/14/2022 00:00"</f>
        <v>05/14/2022 00:00</v>
      </c>
      <c r="C3523">
        <v>267</v>
      </c>
      <c r="D3523" t="s">
        <v>7</v>
      </c>
      <c r="E3523" s="2" t="s">
        <v>12</v>
      </c>
      <c r="F3523">
        <f t="shared" si="55"/>
        <v>529.46100000000001</v>
      </c>
      <c r="G3523" t="s">
        <v>16</v>
      </c>
      <c r="H3523" t="s">
        <v>10</v>
      </c>
      <c r="J3523" t="str">
        <f>"05/15/2022 00:49"</f>
        <v>05/15/2022 00:49</v>
      </c>
    </row>
    <row r="3524" spans="1:10" x14ac:dyDescent="0.3">
      <c r="A3524" t="s">
        <v>6</v>
      </c>
      <c r="B3524" t="str">
        <f>"05/15/2022 00:00"</f>
        <v>05/15/2022 00:00</v>
      </c>
      <c r="C3524">
        <v>267</v>
      </c>
      <c r="D3524" t="s">
        <v>7</v>
      </c>
      <c r="E3524" s="2" t="s">
        <v>12</v>
      </c>
      <c r="F3524">
        <f t="shared" si="55"/>
        <v>529.46100000000001</v>
      </c>
      <c r="G3524" t="s">
        <v>16</v>
      </c>
      <c r="H3524" t="s">
        <v>10</v>
      </c>
      <c r="J3524" t="str">
        <f>"05/16/2022 00:39"</f>
        <v>05/16/2022 00:39</v>
      </c>
    </row>
    <row r="3525" spans="1:10" x14ac:dyDescent="0.3">
      <c r="A3525" t="s">
        <v>6</v>
      </c>
      <c r="B3525" t="str">
        <f>"05/16/2022 00:00"</f>
        <v>05/16/2022 00:00</v>
      </c>
      <c r="C3525">
        <v>227</v>
      </c>
      <c r="D3525" t="s">
        <v>7</v>
      </c>
      <c r="E3525" s="2" t="s">
        <v>12</v>
      </c>
      <c r="F3525">
        <f t="shared" si="55"/>
        <v>450.14100000000002</v>
      </c>
      <c r="G3525" t="s">
        <v>16</v>
      </c>
      <c r="H3525" t="s">
        <v>10</v>
      </c>
      <c r="J3525" t="str">
        <f>"05/17/2022 00:38"</f>
        <v>05/17/2022 00:38</v>
      </c>
    </row>
    <row r="3526" spans="1:10" x14ac:dyDescent="0.3">
      <c r="A3526" t="s">
        <v>6</v>
      </c>
      <c r="B3526" t="str">
        <f>"05/17/2022 00:00"</f>
        <v>05/17/2022 00:00</v>
      </c>
      <c r="C3526">
        <v>192</v>
      </c>
      <c r="D3526" t="s">
        <v>7</v>
      </c>
      <c r="E3526" s="2" t="s">
        <v>12</v>
      </c>
      <c r="F3526">
        <f t="shared" si="55"/>
        <v>380.73599999999999</v>
      </c>
      <c r="G3526" t="s">
        <v>16</v>
      </c>
      <c r="H3526" t="s">
        <v>10</v>
      </c>
      <c r="J3526" t="str">
        <f>"05/18/2022 00:38"</f>
        <v>05/18/2022 00:38</v>
      </c>
    </row>
    <row r="3527" spans="1:10" x14ac:dyDescent="0.3">
      <c r="A3527" t="s">
        <v>6</v>
      </c>
      <c r="B3527" t="str">
        <f>"05/18/2022 00:00"</f>
        <v>05/18/2022 00:00</v>
      </c>
      <c r="C3527">
        <v>192</v>
      </c>
      <c r="D3527" t="s">
        <v>7</v>
      </c>
      <c r="E3527" s="2" t="s">
        <v>12</v>
      </c>
      <c r="F3527">
        <f t="shared" si="55"/>
        <v>380.73599999999999</v>
      </c>
      <c r="G3527" t="s">
        <v>16</v>
      </c>
      <c r="H3527" t="s">
        <v>10</v>
      </c>
      <c r="J3527" t="str">
        <f>"05/19/2022 00:38"</f>
        <v>05/19/2022 00:38</v>
      </c>
    </row>
    <row r="3528" spans="1:10" x14ac:dyDescent="0.3">
      <c r="A3528" t="s">
        <v>6</v>
      </c>
      <c r="B3528" t="str">
        <f>"05/19/2022 00:00"</f>
        <v>05/19/2022 00:00</v>
      </c>
      <c r="C3528">
        <v>192</v>
      </c>
      <c r="D3528" t="s">
        <v>7</v>
      </c>
      <c r="E3528" s="2" t="s">
        <v>12</v>
      </c>
      <c r="F3528">
        <f t="shared" si="55"/>
        <v>380.73599999999999</v>
      </c>
      <c r="G3528" t="s">
        <v>16</v>
      </c>
      <c r="H3528" t="s">
        <v>10</v>
      </c>
      <c r="J3528" t="str">
        <f>"05/20/2022 00:38"</f>
        <v>05/20/2022 00:38</v>
      </c>
    </row>
    <row r="3529" spans="1:10" x14ac:dyDescent="0.3">
      <c r="A3529" t="s">
        <v>6</v>
      </c>
      <c r="B3529" t="str">
        <f>"05/20/2022 00:00"</f>
        <v>05/20/2022 00:00</v>
      </c>
      <c r="C3529">
        <v>168</v>
      </c>
      <c r="D3529" t="s">
        <v>7</v>
      </c>
      <c r="E3529" s="2" t="s">
        <v>12</v>
      </c>
      <c r="F3529">
        <f t="shared" si="55"/>
        <v>333.14400000000001</v>
      </c>
      <c r="G3529" t="s">
        <v>16</v>
      </c>
      <c r="H3529" t="s">
        <v>10</v>
      </c>
      <c r="J3529" t="str">
        <f>"05/21/2022 00:38"</f>
        <v>05/21/2022 00:38</v>
      </c>
    </row>
    <row r="3530" spans="1:10" x14ac:dyDescent="0.3">
      <c r="A3530" t="s">
        <v>6</v>
      </c>
      <c r="B3530" t="str">
        <f>"05/21/2022 00:00"</f>
        <v>05/21/2022 00:00</v>
      </c>
      <c r="C3530">
        <v>101</v>
      </c>
      <c r="D3530" t="s">
        <v>7</v>
      </c>
      <c r="E3530" s="2" t="s">
        <v>12</v>
      </c>
      <c r="F3530">
        <f t="shared" si="55"/>
        <v>200.28300000000002</v>
      </c>
      <c r="G3530" t="s">
        <v>16</v>
      </c>
      <c r="H3530" t="s">
        <v>10</v>
      </c>
      <c r="J3530" t="str">
        <f>"05/22/2022 00:38"</f>
        <v>05/22/2022 00:38</v>
      </c>
    </row>
    <row r="3531" spans="1:10" x14ac:dyDescent="0.3">
      <c r="A3531" t="s">
        <v>6</v>
      </c>
      <c r="B3531" t="str">
        <f>"05/22/2022 00:00"</f>
        <v>05/22/2022 00:00</v>
      </c>
      <c r="C3531">
        <v>119</v>
      </c>
      <c r="D3531" t="s">
        <v>7</v>
      </c>
      <c r="E3531" s="2" t="s">
        <v>12</v>
      </c>
      <c r="F3531">
        <f t="shared" si="55"/>
        <v>235.977</v>
      </c>
      <c r="G3531" t="s">
        <v>16</v>
      </c>
      <c r="H3531" t="s">
        <v>10</v>
      </c>
      <c r="J3531" t="str">
        <f>"05/23/2022 00:39"</f>
        <v>05/23/2022 00:39</v>
      </c>
    </row>
    <row r="3532" spans="1:10" x14ac:dyDescent="0.3">
      <c r="A3532" t="s">
        <v>6</v>
      </c>
      <c r="B3532" t="str">
        <f>"05/23/2022 00:00"</f>
        <v>05/23/2022 00:00</v>
      </c>
      <c r="C3532">
        <v>181</v>
      </c>
      <c r="D3532" t="s">
        <v>7</v>
      </c>
      <c r="E3532" s="2" t="s">
        <v>12</v>
      </c>
      <c r="F3532">
        <f t="shared" ref="F3532:F3595" si="56">C3532*1.983</f>
        <v>358.923</v>
      </c>
      <c r="G3532" t="s">
        <v>16</v>
      </c>
      <c r="H3532" t="s">
        <v>10</v>
      </c>
      <c r="J3532" t="str">
        <f>"05/24/2022 00:38"</f>
        <v>05/24/2022 00:38</v>
      </c>
    </row>
    <row r="3533" spans="1:10" x14ac:dyDescent="0.3">
      <c r="A3533" t="s">
        <v>6</v>
      </c>
      <c r="B3533" t="str">
        <f>"05/24/2022 00:00"</f>
        <v>05/24/2022 00:00</v>
      </c>
      <c r="C3533">
        <v>220</v>
      </c>
      <c r="D3533" t="s">
        <v>7</v>
      </c>
      <c r="E3533" s="2" t="s">
        <v>12</v>
      </c>
      <c r="F3533">
        <f t="shared" si="56"/>
        <v>436.26000000000005</v>
      </c>
      <c r="G3533" t="s">
        <v>16</v>
      </c>
      <c r="H3533" t="s">
        <v>10</v>
      </c>
      <c r="J3533" t="str">
        <f>"05/25/2022 00:38"</f>
        <v>05/25/2022 00:38</v>
      </c>
    </row>
    <row r="3534" spans="1:10" x14ac:dyDescent="0.3">
      <c r="A3534" t="s">
        <v>6</v>
      </c>
      <c r="B3534" t="str">
        <f>"05/25/2022 00:00"</f>
        <v>05/25/2022 00:00</v>
      </c>
      <c r="C3534">
        <v>147</v>
      </c>
      <c r="D3534" t="s">
        <v>7</v>
      </c>
      <c r="E3534" s="2" t="s">
        <v>12</v>
      </c>
      <c r="F3534">
        <f t="shared" si="56"/>
        <v>291.50100000000003</v>
      </c>
      <c r="G3534" t="s">
        <v>16</v>
      </c>
      <c r="H3534" t="s">
        <v>10</v>
      </c>
      <c r="J3534" t="str">
        <f>"05/26/2022 00:38"</f>
        <v>05/26/2022 00:38</v>
      </c>
    </row>
    <row r="3535" spans="1:10" x14ac:dyDescent="0.3">
      <c r="A3535" t="s">
        <v>6</v>
      </c>
      <c r="B3535" t="str">
        <f>"05/26/2022 00:00"</f>
        <v>05/26/2022 00:00</v>
      </c>
      <c r="C3535">
        <v>138</v>
      </c>
      <c r="D3535" t="s">
        <v>7</v>
      </c>
      <c r="E3535" s="2" t="s">
        <v>12</v>
      </c>
      <c r="F3535">
        <f t="shared" si="56"/>
        <v>273.654</v>
      </c>
      <c r="G3535" t="s">
        <v>16</v>
      </c>
      <c r="H3535" t="s">
        <v>10</v>
      </c>
      <c r="J3535" t="str">
        <f>"05/27/2022 00:39"</f>
        <v>05/27/2022 00:39</v>
      </c>
    </row>
    <row r="3536" spans="1:10" x14ac:dyDescent="0.3">
      <c r="A3536" t="s">
        <v>6</v>
      </c>
      <c r="B3536" t="str">
        <f>"05/27/2022 00:00"</f>
        <v>05/27/2022 00:00</v>
      </c>
      <c r="C3536">
        <v>181</v>
      </c>
      <c r="D3536" t="s">
        <v>7</v>
      </c>
      <c r="E3536" s="2" t="s">
        <v>12</v>
      </c>
      <c r="F3536">
        <f t="shared" si="56"/>
        <v>358.923</v>
      </c>
      <c r="G3536" t="s">
        <v>16</v>
      </c>
      <c r="H3536" t="s">
        <v>10</v>
      </c>
      <c r="J3536" t="str">
        <f>"05/28/2022 00:38"</f>
        <v>05/28/2022 00:38</v>
      </c>
    </row>
    <row r="3537" spans="1:10" x14ac:dyDescent="0.3">
      <c r="A3537" t="s">
        <v>6</v>
      </c>
      <c r="B3537" t="str">
        <f>"05/28/2022 00:00"</f>
        <v>05/28/2022 00:00</v>
      </c>
      <c r="C3537">
        <v>181</v>
      </c>
      <c r="D3537" t="s">
        <v>7</v>
      </c>
      <c r="E3537" s="2" t="s">
        <v>12</v>
      </c>
      <c r="F3537">
        <f t="shared" si="56"/>
        <v>358.923</v>
      </c>
      <c r="G3537" t="s">
        <v>16</v>
      </c>
      <c r="H3537" t="s">
        <v>10</v>
      </c>
      <c r="J3537" t="str">
        <f>"05/29/2022 00:38"</f>
        <v>05/29/2022 00:38</v>
      </c>
    </row>
    <row r="3538" spans="1:10" x14ac:dyDescent="0.3">
      <c r="A3538" t="s">
        <v>6</v>
      </c>
      <c r="B3538" t="str">
        <f>"05/29/2022 00:00"</f>
        <v>05/29/2022 00:00</v>
      </c>
      <c r="C3538">
        <v>113</v>
      </c>
      <c r="D3538" t="s">
        <v>7</v>
      </c>
      <c r="E3538" s="2" t="s">
        <v>12</v>
      </c>
      <c r="F3538">
        <f t="shared" si="56"/>
        <v>224.07900000000001</v>
      </c>
      <c r="G3538" t="s">
        <v>16</v>
      </c>
      <c r="H3538" t="s">
        <v>10</v>
      </c>
      <c r="J3538" t="str">
        <f>"05/30/2022 00:38"</f>
        <v>05/30/2022 00:38</v>
      </c>
    </row>
    <row r="3539" spans="1:10" x14ac:dyDescent="0.3">
      <c r="A3539" t="s">
        <v>6</v>
      </c>
      <c r="B3539" t="str">
        <f>"05/30/2022 00:00"</f>
        <v>05/30/2022 00:00</v>
      </c>
      <c r="C3539">
        <v>80.3</v>
      </c>
      <c r="D3539" t="s">
        <v>7</v>
      </c>
      <c r="E3539" s="2" t="s">
        <v>12</v>
      </c>
      <c r="F3539">
        <f t="shared" si="56"/>
        <v>159.23490000000001</v>
      </c>
      <c r="G3539" t="s">
        <v>16</v>
      </c>
      <c r="H3539" t="s">
        <v>10</v>
      </c>
      <c r="J3539" t="str">
        <f>"05/31/2022 00:38"</f>
        <v>05/31/2022 00:38</v>
      </c>
    </row>
    <row r="3540" spans="1:10" x14ac:dyDescent="0.3">
      <c r="A3540" t="s">
        <v>6</v>
      </c>
      <c r="B3540" t="str">
        <f>"05/31/2022 00:00"</f>
        <v>05/31/2022 00:00</v>
      </c>
      <c r="C3540">
        <v>80.400000000000006</v>
      </c>
      <c r="D3540" t="s">
        <v>7</v>
      </c>
      <c r="E3540" s="2" t="s">
        <v>12</v>
      </c>
      <c r="F3540">
        <f t="shared" si="56"/>
        <v>159.43320000000003</v>
      </c>
      <c r="G3540" t="s">
        <v>16</v>
      </c>
      <c r="H3540" t="s">
        <v>10</v>
      </c>
      <c r="J3540" t="str">
        <f>"06/01/2022 00:39"</f>
        <v>06/01/2022 00:39</v>
      </c>
    </row>
    <row r="3541" spans="1:10" x14ac:dyDescent="0.3">
      <c r="A3541" t="s">
        <v>6</v>
      </c>
      <c r="B3541" t="str">
        <f>"06/01/2022 00:00"</f>
        <v>06/01/2022 00:00</v>
      </c>
      <c r="C3541">
        <v>73.5</v>
      </c>
      <c r="D3541" t="s">
        <v>7</v>
      </c>
      <c r="E3541" s="2" t="s">
        <v>12</v>
      </c>
      <c r="F3541">
        <f t="shared" si="56"/>
        <v>145.75050000000002</v>
      </c>
      <c r="G3541" t="s">
        <v>16</v>
      </c>
      <c r="H3541" t="s">
        <v>10</v>
      </c>
      <c r="J3541" t="str">
        <f>"06/02/2022 00:39"</f>
        <v>06/02/2022 00:39</v>
      </c>
    </row>
    <row r="3542" spans="1:10" x14ac:dyDescent="0.3">
      <c r="A3542" t="s">
        <v>6</v>
      </c>
      <c r="B3542" t="str">
        <f>"06/02/2022 00:00"</f>
        <v>06/02/2022 00:00</v>
      </c>
      <c r="C3542">
        <v>80.7</v>
      </c>
      <c r="D3542" t="s">
        <v>7</v>
      </c>
      <c r="E3542" s="2" t="s">
        <v>12</v>
      </c>
      <c r="F3542">
        <f t="shared" si="56"/>
        <v>160.02810000000002</v>
      </c>
      <c r="G3542" t="s">
        <v>16</v>
      </c>
      <c r="H3542" t="s">
        <v>10</v>
      </c>
      <c r="J3542" t="str">
        <f>"06/03/2022 00:39"</f>
        <v>06/03/2022 00:39</v>
      </c>
    </row>
    <row r="3543" spans="1:10" x14ac:dyDescent="0.3">
      <c r="A3543" t="s">
        <v>6</v>
      </c>
      <c r="B3543" t="str">
        <f>"06/03/2022 00:00"</f>
        <v>06/03/2022 00:00</v>
      </c>
      <c r="C3543">
        <v>80.900000000000006</v>
      </c>
      <c r="D3543" t="s">
        <v>7</v>
      </c>
      <c r="E3543" s="2" t="s">
        <v>12</v>
      </c>
      <c r="F3543">
        <f t="shared" si="56"/>
        <v>160.42470000000003</v>
      </c>
      <c r="G3543" t="s">
        <v>16</v>
      </c>
      <c r="H3543" t="s">
        <v>10</v>
      </c>
      <c r="J3543" t="str">
        <f>"06/04/2022 00:39"</f>
        <v>06/04/2022 00:39</v>
      </c>
    </row>
    <row r="3544" spans="1:10" x14ac:dyDescent="0.3">
      <c r="A3544" t="s">
        <v>6</v>
      </c>
      <c r="B3544" t="str">
        <f>"06/04/2022 00:00"</f>
        <v>06/04/2022 00:00</v>
      </c>
      <c r="C3544">
        <v>81.099999999999994</v>
      </c>
      <c r="D3544" t="s">
        <v>7</v>
      </c>
      <c r="E3544" s="2" t="s">
        <v>12</v>
      </c>
      <c r="F3544">
        <f t="shared" si="56"/>
        <v>160.82130000000001</v>
      </c>
      <c r="G3544" t="s">
        <v>16</v>
      </c>
      <c r="H3544" t="s">
        <v>10</v>
      </c>
      <c r="J3544" t="str">
        <f>"06/05/2022 00:38"</f>
        <v>06/05/2022 00:38</v>
      </c>
    </row>
    <row r="3545" spans="1:10" x14ac:dyDescent="0.3">
      <c r="A3545" t="s">
        <v>6</v>
      </c>
      <c r="B3545" t="str">
        <f>"06/05/2022 00:00"</f>
        <v>06/05/2022 00:00</v>
      </c>
      <c r="C3545">
        <v>81.2</v>
      </c>
      <c r="D3545" t="s">
        <v>7</v>
      </c>
      <c r="E3545" s="2" t="s">
        <v>12</v>
      </c>
      <c r="F3545">
        <f t="shared" si="56"/>
        <v>161.01960000000003</v>
      </c>
      <c r="G3545" t="s">
        <v>16</v>
      </c>
      <c r="H3545" t="s">
        <v>10</v>
      </c>
      <c r="J3545" t="str">
        <f>"06/06/2022 00:38"</f>
        <v>06/06/2022 00:38</v>
      </c>
    </row>
    <row r="3546" spans="1:10" x14ac:dyDescent="0.3">
      <c r="A3546" t="s">
        <v>6</v>
      </c>
      <c r="B3546" t="str">
        <f>"06/06/2022 00:00"</f>
        <v>06/06/2022 00:00</v>
      </c>
      <c r="C3546">
        <v>118</v>
      </c>
      <c r="D3546" t="s">
        <v>7</v>
      </c>
      <c r="E3546" s="2" t="s">
        <v>12</v>
      </c>
      <c r="F3546">
        <f t="shared" si="56"/>
        <v>233.994</v>
      </c>
      <c r="G3546" t="s">
        <v>16</v>
      </c>
      <c r="H3546" t="s">
        <v>10</v>
      </c>
      <c r="J3546" t="str">
        <f>"06/07/2022 00:38"</f>
        <v>06/07/2022 00:38</v>
      </c>
    </row>
    <row r="3547" spans="1:10" x14ac:dyDescent="0.3">
      <c r="A3547" t="s">
        <v>6</v>
      </c>
      <c r="B3547" t="str">
        <f>"06/07/2022 00:00"</f>
        <v>06/07/2022 00:00</v>
      </c>
      <c r="C3547">
        <v>146</v>
      </c>
      <c r="D3547" t="s">
        <v>7</v>
      </c>
      <c r="E3547" s="2" t="s">
        <v>12</v>
      </c>
      <c r="F3547">
        <f t="shared" si="56"/>
        <v>289.51800000000003</v>
      </c>
      <c r="G3547" t="s">
        <v>16</v>
      </c>
      <c r="H3547" t="s">
        <v>10</v>
      </c>
      <c r="J3547" t="str">
        <f>"06/08/2022 00:38"</f>
        <v>06/08/2022 00:38</v>
      </c>
    </row>
    <row r="3548" spans="1:10" x14ac:dyDescent="0.3">
      <c r="A3548" t="s">
        <v>6</v>
      </c>
      <c r="B3548" t="str">
        <f>"06/08/2022 00:00"</f>
        <v>06/08/2022 00:00</v>
      </c>
      <c r="C3548">
        <v>171</v>
      </c>
      <c r="D3548" t="s">
        <v>7</v>
      </c>
      <c r="E3548" s="2" t="s">
        <v>12</v>
      </c>
      <c r="F3548">
        <f t="shared" si="56"/>
        <v>339.09300000000002</v>
      </c>
      <c r="G3548" t="s">
        <v>16</v>
      </c>
      <c r="H3548" t="s">
        <v>10</v>
      </c>
      <c r="J3548" t="str">
        <f>"06/09/2022 00:38"</f>
        <v>06/09/2022 00:38</v>
      </c>
    </row>
    <row r="3549" spans="1:10" x14ac:dyDescent="0.3">
      <c r="A3549" t="s">
        <v>6</v>
      </c>
      <c r="B3549" t="str">
        <f>"06/09/2022 00:00"</f>
        <v>06/09/2022 00:00</v>
      </c>
      <c r="C3549">
        <v>172</v>
      </c>
      <c r="D3549" t="s">
        <v>7</v>
      </c>
      <c r="E3549" s="2" t="s">
        <v>12</v>
      </c>
      <c r="F3549">
        <f t="shared" si="56"/>
        <v>341.07600000000002</v>
      </c>
      <c r="G3549" t="s">
        <v>16</v>
      </c>
      <c r="H3549" t="s">
        <v>10</v>
      </c>
      <c r="J3549" t="str">
        <f>"06/10/2022 00:39"</f>
        <v>06/10/2022 00:39</v>
      </c>
    </row>
    <row r="3550" spans="1:10" x14ac:dyDescent="0.3">
      <c r="A3550" t="s">
        <v>6</v>
      </c>
      <c r="B3550" t="str">
        <f>"06/10/2022 00:00"</f>
        <v>06/10/2022 00:00</v>
      </c>
      <c r="C3550">
        <v>172</v>
      </c>
      <c r="D3550" t="s">
        <v>7</v>
      </c>
      <c r="E3550" s="2" t="s">
        <v>12</v>
      </c>
      <c r="F3550">
        <f t="shared" si="56"/>
        <v>341.07600000000002</v>
      </c>
      <c r="G3550" t="s">
        <v>16</v>
      </c>
      <c r="H3550" t="s">
        <v>10</v>
      </c>
      <c r="J3550" t="str">
        <f>"06/11/2022 00:39"</f>
        <v>06/11/2022 00:39</v>
      </c>
    </row>
    <row r="3551" spans="1:10" x14ac:dyDescent="0.3">
      <c r="A3551" t="s">
        <v>6</v>
      </c>
      <c r="B3551" t="str">
        <f>"06/11/2022 00:00"</f>
        <v>06/11/2022 00:00</v>
      </c>
      <c r="C3551">
        <v>172</v>
      </c>
      <c r="D3551" t="s">
        <v>7</v>
      </c>
      <c r="E3551" s="2" t="s">
        <v>12</v>
      </c>
      <c r="F3551">
        <f t="shared" si="56"/>
        <v>341.07600000000002</v>
      </c>
      <c r="G3551" t="s">
        <v>16</v>
      </c>
      <c r="H3551" t="s">
        <v>10</v>
      </c>
      <c r="J3551" t="str">
        <f>"06/12/2022 00:38"</f>
        <v>06/12/2022 00:38</v>
      </c>
    </row>
    <row r="3552" spans="1:10" x14ac:dyDescent="0.3">
      <c r="A3552" t="s">
        <v>6</v>
      </c>
      <c r="B3552" t="str">
        <f>"06/12/2022 00:00"</f>
        <v>06/12/2022 00:00</v>
      </c>
      <c r="C3552">
        <v>171</v>
      </c>
      <c r="D3552" t="s">
        <v>7</v>
      </c>
      <c r="E3552" s="2" t="s">
        <v>12</v>
      </c>
      <c r="F3552">
        <f t="shared" si="56"/>
        <v>339.09300000000002</v>
      </c>
      <c r="G3552" t="s">
        <v>16</v>
      </c>
      <c r="H3552" t="s">
        <v>10</v>
      </c>
      <c r="J3552" t="str">
        <f>"06/13/2022 00:39"</f>
        <v>06/13/2022 00:39</v>
      </c>
    </row>
    <row r="3553" spans="1:10" x14ac:dyDescent="0.3">
      <c r="A3553" t="s">
        <v>6</v>
      </c>
      <c r="B3553" t="str">
        <f>"06/13/2022 00:00"</f>
        <v>06/13/2022 00:00</v>
      </c>
      <c r="C3553">
        <v>170</v>
      </c>
      <c r="D3553" t="s">
        <v>7</v>
      </c>
      <c r="E3553" s="2" t="s">
        <v>12</v>
      </c>
      <c r="F3553">
        <f t="shared" si="56"/>
        <v>337.11</v>
      </c>
      <c r="G3553" t="s">
        <v>16</v>
      </c>
      <c r="H3553" t="s">
        <v>10</v>
      </c>
      <c r="J3553" t="str">
        <f>"06/14/2022 00:39"</f>
        <v>06/14/2022 00:39</v>
      </c>
    </row>
    <row r="3554" spans="1:10" x14ac:dyDescent="0.3">
      <c r="A3554" t="s">
        <v>6</v>
      </c>
      <c r="B3554" t="str">
        <f>"06/14/2022 00:00"</f>
        <v>06/14/2022 00:00</v>
      </c>
      <c r="C3554">
        <v>171</v>
      </c>
      <c r="D3554" t="s">
        <v>7</v>
      </c>
      <c r="E3554" s="2" t="s">
        <v>12</v>
      </c>
      <c r="F3554">
        <f t="shared" si="56"/>
        <v>339.09300000000002</v>
      </c>
      <c r="G3554" t="s">
        <v>16</v>
      </c>
      <c r="H3554" t="s">
        <v>10</v>
      </c>
      <c r="J3554" t="str">
        <f>"06/15/2022 00:38"</f>
        <v>06/15/2022 00:38</v>
      </c>
    </row>
    <row r="3555" spans="1:10" x14ac:dyDescent="0.3">
      <c r="A3555" t="s">
        <v>6</v>
      </c>
      <c r="B3555" t="str">
        <f>"06/15/2022 00:00"</f>
        <v>06/15/2022 00:00</v>
      </c>
      <c r="C3555">
        <v>232</v>
      </c>
      <c r="D3555" t="s">
        <v>7</v>
      </c>
      <c r="E3555" s="2" t="s">
        <v>12</v>
      </c>
      <c r="F3555">
        <f t="shared" si="56"/>
        <v>460.05600000000004</v>
      </c>
      <c r="G3555" t="s">
        <v>16</v>
      </c>
      <c r="H3555" t="s">
        <v>10</v>
      </c>
      <c r="J3555" t="str">
        <f>"06/16/2022 00:38"</f>
        <v>06/16/2022 00:38</v>
      </c>
    </row>
    <row r="3556" spans="1:10" x14ac:dyDescent="0.3">
      <c r="A3556" t="s">
        <v>6</v>
      </c>
      <c r="B3556" t="str">
        <f>"06/16/2022 00:00"</f>
        <v>06/16/2022 00:00</v>
      </c>
      <c r="C3556">
        <v>297</v>
      </c>
      <c r="D3556" t="s">
        <v>7</v>
      </c>
      <c r="E3556" s="2" t="s">
        <v>12</v>
      </c>
      <c r="F3556">
        <f t="shared" si="56"/>
        <v>588.95100000000002</v>
      </c>
      <c r="G3556" t="s">
        <v>16</v>
      </c>
      <c r="H3556" t="s">
        <v>10</v>
      </c>
      <c r="J3556" t="str">
        <f>"06/17/2022 00:38"</f>
        <v>06/17/2022 00:38</v>
      </c>
    </row>
    <row r="3557" spans="1:10" x14ac:dyDescent="0.3">
      <c r="A3557" t="s">
        <v>6</v>
      </c>
      <c r="B3557" t="str">
        <f>"06/17/2022 00:00"</f>
        <v>06/17/2022 00:00</v>
      </c>
      <c r="C3557">
        <v>358</v>
      </c>
      <c r="D3557" t="s">
        <v>7</v>
      </c>
      <c r="E3557" s="2" t="s">
        <v>12</v>
      </c>
      <c r="F3557">
        <f t="shared" si="56"/>
        <v>709.91399999999999</v>
      </c>
      <c r="G3557" t="s">
        <v>16</v>
      </c>
      <c r="H3557" t="s">
        <v>10</v>
      </c>
      <c r="J3557" t="str">
        <f>"06/18/2022 00:38"</f>
        <v>06/18/2022 00:38</v>
      </c>
    </row>
    <row r="3558" spans="1:10" x14ac:dyDescent="0.3">
      <c r="A3558" t="s">
        <v>6</v>
      </c>
      <c r="B3558" t="str">
        <f>"06/18/2022 00:00"</f>
        <v>06/18/2022 00:00</v>
      </c>
      <c r="C3558">
        <v>380</v>
      </c>
      <c r="D3558" t="s">
        <v>7</v>
      </c>
      <c r="E3558" s="2" t="s">
        <v>12</v>
      </c>
      <c r="F3558">
        <f t="shared" si="56"/>
        <v>753.54000000000008</v>
      </c>
      <c r="G3558" t="s">
        <v>16</v>
      </c>
      <c r="H3558" t="s">
        <v>10</v>
      </c>
      <c r="J3558" t="str">
        <f>"06/19/2022 00:39"</f>
        <v>06/19/2022 00:39</v>
      </c>
    </row>
    <row r="3559" spans="1:10" x14ac:dyDescent="0.3">
      <c r="A3559" t="s">
        <v>6</v>
      </c>
      <c r="B3559" t="str">
        <f>"06/19/2022 00:00"</f>
        <v>06/19/2022 00:00</v>
      </c>
      <c r="C3559">
        <v>380</v>
      </c>
      <c r="D3559" t="s">
        <v>7</v>
      </c>
      <c r="E3559" s="2" t="s">
        <v>12</v>
      </c>
      <c r="F3559">
        <f t="shared" si="56"/>
        <v>753.54000000000008</v>
      </c>
      <c r="G3559" t="s">
        <v>16</v>
      </c>
      <c r="H3559" t="s">
        <v>10</v>
      </c>
      <c r="J3559" t="str">
        <f>"06/20/2022 00:38"</f>
        <v>06/20/2022 00:38</v>
      </c>
    </row>
    <row r="3560" spans="1:10" x14ac:dyDescent="0.3">
      <c r="A3560" t="s">
        <v>6</v>
      </c>
      <c r="B3560" t="str">
        <f>"06/20/2022 00:00"</f>
        <v>06/20/2022 00:00</v>
      </c>
      <c r="C3560">
        <v>349</v>
      </c>
      <c r="D3560" t="s">
        <v>7</v>
      </c>
      <c r="E3560" s="2" t="s">
        <v>12</v>
      </c>
      <c r="F3560">
        <f t="shared" si="56"/>
        <v>692.06700000000001</v>
      </c>
      <c r="G3560" t="s">
        <v>16</v>
      </c>
      <c r="H3560" t="s">
        <v>10</v>
      </c>
      <c r="J3560" t="str">
        <f>"06/21/2022 00:39"</f>
        <v>06/21/2022 00:39</v>
      </c>
    </row>
    <row r="3561" spans="1:10" x14ac:dyDescent="0.3">
      <c r="A3561" t="s">
        <v>6</v>
      </c>
      <c r="B3561" t="str">
        <f>"06/21/2022 00:00"</f>
        <v>06/21/2022 00:00</v>
      </c>
      <c r="C3561">
        <v>332</v>
      </c>
      <c r="D3561" t="s">
        <v>7</v>
      </c>
      <c r="E3561" s="2" t="s">
        <v>12</v>
      </c>
      <c r="F3561">
        <f t="shared" si="56"/>
        <v>658.35599999999999</v>
      </c>
      <c r="G3561" t="s">
        <v>16</v>
      </c>
      <c r="H3561" t="s">
        <v>10</v>
      </c>
      <c r="J3561" t="str">
        <f>"06/22/2022 00:39"</f>
        <v>06/22/2022 00:39</v>
      </c>
    </row>
    <row r="3562" spans="1:10" x14ac:dyDescent="0.3">
      <c r="A3562" t="s">
        <v>6</v>
      </c>
      <c r="B3562" t="str">
        <f>"06/22/2022 00:00"</f>
        <v>06/22/2022 00:00</v>
      </c>
      <c r="C3562">
        <v>331</v>
      </c>
      <c r="D3562" t="s">
        <v>7</v>
      </c>
      <c r="E3562" s="2" t="s">
        <v>12</v>
      </c>
      <c r="F3562">
        <f t="shared" si="56"/>
        <v>656.37300000000005</v>
      </c>
      <c r="G3562" t="s">
        <v>16</v>
      </c>
      <c r="H3562" t="s">
        <v>10</v>
      </c>
      <c r="J3562" t="str">
        <f>"06/23/2022 00:38"</f>
        <v>06/23/2022 00:38</v>
      </c>
    </row>
    <row r="3563" spans="1:10" x14ac:dyDescent="0.3">
      <c r="A3563" t="s">
        <v>6</v>
      </c>
      <c r="B3563" t="str">
        <f>"06/23/2022 00:00"</f>
        <v>06/23/2022 00:00</v>
      </c>
      <c r="C3563">
        <v>326</v>
      </c>
      <c r="D3563" t="s">
        <v>7</v>
      </c>
      <c r="E3563" s="2" t="s">
        <v>12</v>
      </c>
      <c r="F3563">
        <f t="shared" si="56"/>
        <v>646.45800000000008</v>
      </c>
      <c r="G3563" t="s">
        <v>16</v>
      </c>
      <c r="H3563" t="s">
        <v>10</v>
      </c>
      <c r="J3563" t="str">
        <f>"06/24/2022 00:38"</f>
        <v>06/24/2022 00:38</v>
      </c>
    </row>
    <row r="3564" spans="1:10" x14ac:dyDescent="0.3">
      <c r="A3564" t="s">
        <v>6</v>
      </c>
      <c r="B3564" t="str">
        <f>"06/24/2022 00:00"</f>
        <v>06/24/2022 00:00</v>
      </c>
      <c r="C3564">
        <v>327</v>
      </c>
      <c r="D3564" t="s">
        <v>7</v>
      </c>
      <c r="E3564" s="2" t="s">
        <v>12</v>
      </c>
      <c r="F3564">
        <f t="shared" si="56"/>
        <v>648.44100000000003</v>
      </c>
      <c r="G3564" t="s">
        <v>16</v>
      </c>
      <c r="H3564" t="s">
        <v>10</v>
      </c>
      <c r="J3564" t="str">
        <f>"06/25/2022 00:38"</f>
        <v>06/25/2022 00:38</v>
      </c>
    </row>
    <row r="3565" spans="1:10" x14ac:dyDescent="0.3">
      <c r="A3565" t="s">
        <v>6</v>
      </c>
      <c r="B3565" t="str">
        <f>"06/25/2022 00:00"</f>
        <v>06/25/2022 00:00</v>
      </c>
      <c r="C3565">
        <v>327</v>
      </c>
      <c r="D3565" t="s">
        <v>7</v>
      </c>
      <c r="E3565" s="2" t="s">
        <v>12</v>
      </c>
      <c r="F3565">
        <f t="shared" si="56"/>
        <v>648.44100000000003</v>
      </c>
      <c r="G3565" t="s">
        <v>16</v>
      </c>
      <c r="H3565" t="s">
        <v>10</v>
      </c>
      <c r="J3565" t="str">
        <f>"06/26/2022 00:39"</f>
        <v>06/26/2022 00:39</v>
      </c>
    </row>
    <row r="3566" spans="1:10" x14ac:dyDescent="0.3">
      <c r="A3566" t="s">
        <v>6</v>
      </c>
      <c r="B3566" t="str">
        <f>"06/26/2022 00:00"</f>
        <v>06/26/2022 00:00</v>
      </c>
      <c r="C3566">
        <v>328</v>
      </c>
      <c r="D3566" t="s">
        <v>7</v>
      </c>
      <c r="E3566" s="2" t="s">
        <v>12</v>
      </c>
      <c r="F3566">
        <f t="shared" si="56"/>
        <v>650.42399999999998</v>
      </c>
      <c r="G3566" t="s">
        <v>16</v>
      </c>
      <c r="H3566" t="s">
        <v>10</v>
      </c>
      <c r="J3566" t="str">
        <f>"06/27/2022 00:38"</f>
        <v>06/27/2022 00:38</v>
      </c>
    </row>
    <row r="3567" spans="1:10" x14ac:dyDescent="0.3">
      <c r="A3567" t="s">
        <v>6</v>
      </c>
      <c r="B3567" t="str">
        <f>"06/27/2022 00:00"</f>
        <v>06/27/2022 00:00</v>
      </c>
      <c r="C3567">
        <v>327</v>
      </c>
      <c r="D3567" t="s">
        <v>7</v>
      </c>
      <c r="E3567" s="2" t="s">
        <v>12</v>
      </c>
      <c r="F3567">
        <f t="shared" si="56"/>
        <v>648.44100000000003</v>
      </c>
      <c r="G3567" t="s">
        <v>16</v>
      </c>
      <c r="H3567" t="s">
        <v>10</v>
      </c>
      <c r="J3567" t="str">
        <f>"06/28/2022 00:39"</f>
        <v>06/28/2022 00:39</v>
      </c>
    </row>
    <row r="3568" spans="1:10" x14ac:dyDescent="0.3">
      <c r="A3568" t="s">
        <v>6</v>
      </c>
      <c r="B3568" t="str">
        <f>"06/28/2022 00:00"</f>
        <v>06/28/2022 00:00</v>
      </c>
      <c r="C3568">
        <v>362</v>
      </c>
      <c r="D3568" t="s">
        <v>7</v>
      </c>
      <c r="E3568" s="2" t="s">
        <v>12</v>
      </c>
      <c r="F3568">
        <f t="shared" si="56"/>
        <v>717.846</v>
      </c>
      <c r="G3568" t="s">
        <v>16</v>
      </c>
      <c r="H3568" t="s">
        <v>10</v>
      </c>
      <c r="J3568" t="str">
        <f>"06/29/2022 00:38"</f>
        <v>06/29/2022 00:38</v>
      </c>
    </row>
    <row r="3569" spans="1:10" x14ac:dyDescent="0.3">
      <c r="A3569" t="s">
        <v>6</v>
      </c>
      <c r="B3569" t="str">
        <f>"06/29/2022 00:00"</f>
        <v>06/29/2022 00:00</v>
      </c>
      <c r="C3569">
        <v>389</v>
      </c>
      <c r="D3569" t="s">
        <v>7</v>
      </c>
      <c r="E3569" s="2" t="s">
        <v>12</v>
      </c>
      <c r="F3569">
        <f t="shared" si="56"/>
        <v>771.38700000000006</v>
      </c>
      <c r="G3569" t="s">
        <v>16</v>
      </c>
      <c r="H3569" t="s">
        <v>10</v>
      </c>
      <c r="J3569" t="str">
        <f>"06/30/2022 00:39"</f>
        <v>06/30/2022 00:39</v>
      </c>
    </row>
    <row r="3570" spans="1:10" x14ac:dyDescent="0.3">
      <c r="A3570" t="s">
        <v>6</v>
      </c>
      <c r="B3570" t="str">
        <f>"06/30/2022 00:00"</f>
        <v>06/30/2022 00:00</v>
      </c>
      <c r="C3570">
        <v>389</v>
      </c>
      <c r="D3570" t="s">
        <v>7</v>
      </c>
      <c r="E3570" s="2" t="s">
        <v>12</v>
      </c>
      <c r="F3570">
        <f t="shared" si="56"/>
        <v>771.38700000000006</v>
      </c>
      <c r="G3570" t="s">
        <v>16</v>
      </c>
      <c r="H3570" t="s">
        <v>10</v>
      </c>
      <c r="J3570" t="str">
        <f>"07/01/2022 01:16"</f>
        <v>07/01/2022 01:16</v>
      </c>
    </row>
    <row r="3571" spans="1:10" x14ac:dyDescent="0.3">
      <c r="A3571" t="s">
        <v>6</v>
      </c>
      <c r="B3571" t="str">
        <f>"07/01/2022 00:00"</f>
        <v>07/01/2022 00:00</v>
      </c>
      <c r="C3571">
        <v>389</v>
      </c>
      <c r="D3571" t="s">
        <v>7</v>
      </c>
      <c r="E3571" s="2" t="s">
        <v>12</v>
      </c>
      <c r="F3571">
        <f t="shared" si="56"/>
        <v>771.38700000000006</v>
      </c>
      <c r="G3571" t="s">
        <v>16</v>
      </c>
      <c r="H3571" t="s">
        <v>10</v>
      </c>
      <c r="J3571" t="str">
        <f>"07/02/2022 00:38"</f>
        <v>07/02/2022 00:38</v>
      </c>
    </row>
    <row r="3572" spans="1:10" x14ac:dyDescent="0.3">
      <c r="A3572" t="s">
        <v>6</v>
      </c>
      <c r="B3572" t="str">
        <f>"07/02/2022 00:00"</f>
        <v>07/02/2022 00:00</v>
      </c>
      <c r="C3572">
        <v>389</v>
      </c>
      <c r="D3572" t="s">
        <v>7</v>
      </c>
      <c r="E3572" s="2" t="s">
        <v>12</v>
      </c>
      <c r="F3572">
        <f t="shared" si="56"/>
        <v>771.38700000000006</v>
      </c>
      <c r="G3572" t="s">
        <v>16</v>
      </c>
      <c r="H3572" t="s">
        <v>10</v>
      </c>
      <c r="J3572" t="str">
        <f>"07/03/2022 00:39"</f>
        <v>07/03/2022 00:39</v>
      </c>
    </row>
    <row r="3573" spans="1:10" x14ac:dyDescent="0.3">
      <c r="A3573" t="s">
        <v>6</v>
      </c>
      <c r="B3573" t="str">
        <f>"07/03/2022 00:00"</f>
        <v>07/03/2022 00:00</v>
      </c>
      <c r="C3573">
        <v>389</v>
      </c>
      <c r="D3573" t="s">
        <v>7</v>
      </c>
      <c r="E3573" s="2" t="s">
        <v>12</v>
      </c>
      <c r="F3573">
        <f t="shared" si="56"/>
        <v>771.38700000000006</v>
      </c>
      <c r="G3573" t="s">
        <v>16</v>
      </c>
      <c r="H3573" t="s">
        <v>10</v>
      </c>
      <c r="J3573" t="str">
        <f>"07/04/2022 00:39"</f>
        <v>07/04/2022 00:39</v>
      </c>
    </row>
    <row r="3574" spans="1:10" x14ac:dyDescent="0.3">
      <c r="A3574" t="s">
        <v>6</v>
      </c>
      <c r="B3574" t="str">
        <f>"07/04/2022 00:00"</f>
        <v>07/04/2022 00:00</v>
      </c>
      <c r="C3574">
        <v>388</v>
      </c>
      <c r="D3574" t="s">
        <v>7</v>
      </c>
      <c r="E3574" s="2" t="s">
        <v>12</v>
      </c>
      <c r="F3574">
        <f t="shared" si="56"/>
        <v>769.404</v>
      </c>
      <c r="G3574" t="s">
        <v>16</v>
      </c>
      <c r="H3574" t="s">
        <v>10</v>
      </c>
      <c r="J3574" t="str">
        <f>"07/05/2022 00:38"</f>
        <v>07/05/2022 00:38</v>
      </c>
    </row>
    <row r="3575" spans="1:10" x14ac:dyDescent="0.3">
      <c r="A3575" t="s">
        <v>6</v>
      </c>
      <c r="B3575" t="str">
        <f>"07/05/2022 00:00"</f>
        <v>07/05/2022 00:00</v>
      </c>
      <c r="C3575">
        <v>389</v>
      </c>
      <c r="D3575" t="s">
        <v>7</v>
      </c>
      <c r="E3575" s="2" t="s">
        <v>12</v>
      </c>
      <c r="F3575">
        <f t="shared" si="56"/>
        <v>771.38700000000006</v>
      </c>
      <c r="G3575" t="s">
        <v>16</v>
      </c>
      <c r="H3575" t="s">
        <v>10</v>
      </c>
      <c r="J3575" t="str">
        <f>"07/06/2022 00:38"</f>
        <v>07/06/2022 00:38</v>
      </c>
    </row>
    <row r="3576" spans="1:10" x14ac:dyDescent="0.3">
      <c r="A3576" t="s">
        <v>6</v>
      </c>
      <c r="B3576" t="str">
        <f>"07/06/2022 00:00"</f>
        <v>07/06/2022 00:00</v>
      </c>
      <c r="C3576">
        <v>416</v>
      </c>
      <c r="D3576" t="s">
        <v>7</v>
      </c>
      <c r="E3576" s="2" t="s">
        <v>12</v>
      </c>
      <c r="F3576">
        <f t="shared" si="56"/>
        <v>824.928</v>
      </c>
      <c r="G3576" t="s">
        <v>16</v>
      </c>
      <c r="H3576" t="s">
        <v>10</v>
      </c>
      <c r="J3576" t="str">
        <f>"07/07/2022 00:38"</f>
        <v>07/07/2022 00:38</v>
      </c>
    </row>
    <row r="3577" spans="1:10" x14ac:dyDescent="0.3">
      <c r="A3577" t="s">
        <v>6</v>
      </c>
      <c r="B3577" t="str">
        <f>"07/07/2022 00:00"</f>
        <v>07/07/2022 00:00</v>
      </c>
      <c r="C3577">
        <v>439</v>
      </c>
      <c r="D3577" t="s">
        <v>7</v>
      </c>
      <c r="E3577" s="2" t="s">
        <v>12</v>
      </c>
      <c r="F3577">
        <f t="shared" si="56"/>
        <v>870.53700000000003</v>
      </c>
      <c r="G3577" t="s">
        <v>16</v>
      </c>
      <c r="H3577" t="s">
        <v>10</v>
      </c>
      <c r="J3577" t="str">
        <f>"07/08/2022 00:38"</f>
        <v>07/08/2022 00:38</v>
      </c>
    </row>
    <row r="3578" spans="1:10" x14ac:dyDescent="0.3">
      <c r="A3578" t="s">
        <v>6</v>
      </c>
      <c r="B3578" t="str">
        <f>"07/08/2022 00:00"</f>
        <v>07/08/2022 00:00</v>
      </c>
      <c r="C3578">
        <v>439</v>
      </c>
      <c r="D3578" t="s">
        <v>7</v>
      </c>
      <c r="E3578" s="2" t="s">
        <v>12</v>
      </c>
      <c r="F3578">
        <f t="shared" si="56"/>
        <v>870.53700000000003</v>
      </c>
      <c r="G3578" t="s">
        <v>16</v>
      </c>
      <c r="H3578" t="s">
        <v>10</v>
      </c>
      <c r="J3578" t="str">
        <f>"07/09/2022 00:38"</f>
        <v>07/09/2022 00:38</v>
      </c>
    </row>
    <row r="3579" spans="1:10" x14ac:dyDescent="0.3">
      <c r="A3579" t="s">
        <v>6</v>
      </c>
      <c r="B3579" t="str">
        <f>"07/09/2022 00:00"</f>
        <v>07/09/2022 00:00</v>
      </c>
      <c r="C3579">
        <v>439</v>
      </c>
      <c r="D3579" t="s">
        <v>7</v>
      </c>
      <c r="E3579" s="2" t="s">
        <v>12</v>
      </c>
      <c r="F3579">
        <f t="shared" si="56"/>
        <v>870.53700000000003</v>
      </c>
      <c r="G3579" t="s">
        <v>16</v>
      </c>
      <c r="H3579" t="s">
        <v>10</v>
      </c>
      <c r="J3579" t="str">
        <f>"07/10/2022 00:38"</f>
        <v>07/10/2022 00:38</v>
      </c>
    </row>
    <row r="3580" spans="1:10" x14ac:dyDescent="0.3">
      <c r="A3580" t="s">
        <v>6</v>
      </c>
      <c r="B3580" t="str">
        <f>"07/10/2022 00:00"</f>
        <v>07/10/2022 00:00</v>
      </c>
      <c r="C3580">
        <v>439</v>
      </c>
      <c r="D3580" t="s">
        <v>7</v>
      </c>
      <c r="E3580" s="2" t="s">
        <v>12</v>
      </c>
      <c r="F3580">
        <f t="shared" si="56"/>
        <v>870.53700000000003</v>
      </c>
      <c r="G3580" t="s">
        <v>16</v>
      </c>
      <c r="H3580" t="s">
        <v>10</v>
      </c>
      <c r="J3580" t="str">
        <f>"07/11/2022 00:38"</f>
        <v>07/11/2022 00:38</v>
      </c>
    </row>
    <row r="3581" spans="1:10" x14ac:dyDescent="0.3">
      <c r="A3581" t="s">
        <v>6</v>
      </c>
      <c r="B3581" t="str">
        <f>"07/11/2022 00:00"</f>
        <v>07/11/2022 00:00</v>
      </c>
      <c r="C3581">
        <v>439</v>
      </c>
      <c r="D3581" t="s">
        <v>7</v>
      </c>
      <c r="E3581" s="2" t="s">
        <v>12</v>
      </c>
      <c r="F3581">
        <f t="shared" si="56"/>
        <v>870.53700000000003</v>
      </c>
      <c r="G3581" t="s">
        <v>16</v>
      </c>
      <c r="H3581" t="s">
        <v>10</v>
      </c>
      <c r="J3581" t="str">
        <f>"07/12/2022 00:39"</f>
        <v>07/12/2022 00:39</v>
      </c>
    </row>
    <row r="3582" spans="1:10" x14ac:dyDescent="0.3">
      <c r="A3582" t="s">
        <v>6</v>
      </c>
      <c r="B3582" t="str">
        <f>"07/12/2022 00:00"</f>
        <v>07/12/2022 00:00</v>
      </c>
      <c r="C3582">
        <v>439</v>
      </c>
      <c r="D3582" t="s">
        <v>7</v>
      </c>
      <c r="E3582" s="2" t="s">
        <v>12</v>
      </c>
      <c r="F3582">
        <f t="shared" si="56"/>
        <v>870.53700000000003</v>
      </c>
      <c r="G3582" t="s">
        <v>16</v>
      </c>
      <c r="H3582" t="s">
        <v>10</v>
      </c>
      <c r="J3582" t="str">
        <f>"07/13/2022 00:39"</f>
        <v>07/13/2022 00:39</v>
      </c>
    </row>
    <row r="3583" spans="1:10" x14ac:dyDescent="0.3">
      <c r="A3583" t="s">
        <v>6</v>
      </c>
      <c r="B3583" t="str">
        <f>"07/13/2022 00:00"</f>
        <v>07/13/2022 00:00</v>
      </c>
      <c r="C3583">
        <v>439</v>
      </c>
      <c r="D3583" t="s">
        <v>7</v>
      </c>
      <c r="E3583" s="2" t="s">
        <v>12</v>
      </c>
      <c r="F3583">
        <f t="shared" si="56"/>
        <v>870.53700000000003</v>
      </c>
      <c r="G3583" t="s">
        <v>16</v>
      </c>
      <c r="H3583" t="s">
        <v>10</v>
      </c>
      <c r="J3583" t="str">
        <f>"07/14/2022 00:39"</f>
        <v>07/14/2022 00:39</v>
      </c>
    </row>
    <row r="3584" spans="1:10" x14ac:dyDescent="0.3">
      <c r="A3584" t="s">
        <v>6</v>
      </c>
      <c r="B3584" t="str">
        <f>"07/14/2022 00:00"</f>
        <v>07/14/2022 00:00</v>
      </c>
      <c r="C3584">
        <v>439</v>
      </c>
      <c r="D3584" t="s">
        <v>7</v>
      </c>
      <c r="E3584" s="2" t="s">
        <v>12</v>
      </c>
      <c r="F3584">
        <f t="shared" si="56"/>
        <v>870.53700000000003</v>
      </c>
      <c r="G3584" t="s">
        <v>16</v>
      </c>
      <c r="H3584" t="s">
        <v>10</v>
      </c>
      <c r="J3584" t="str">
        <f>"07/15/2022 00:39"</f>
        <v>07/15/2022 00:39</v>
      </c>
    </row>
    <row r="3585" spans="1:10" x14ac:dyDescent="0.3">
      <c r="A3585" t="s">
        <v>6</v>
      </c>
      <c r="B3585" t="str">
        <f>"07/15/2022 00:00"</f>
        <v>07/15/2022 00:00</v>
      </c>
      <c r="C3585">
        <v>293</v>
      </c>
      <c r="D3585" t="s">
        <v>7</v>
      </c>
      <c r="E3585" s="2" t="s">
        <v>12</v>
      </c>
      <c r="F3585">
        <f t="shared" si="56"/>
        <v>581.01900000000001</v>
      </c>
      <c r="G3585" t="s">
        <v>16</v>
      </c>
      <c r="H3585" t="s">
        <v>10</v>
      </c>
      <c r="J3585" t="str">
        <f>"07/16/2022 00:38"</f>
        <v>07/16/2022 00:38</v>
      </c>
    </row>
    <row r="3586" spans="1:10" x14ac:dyDescent="0.3">
      <c r="A3586" t="s">
        <v>6</v>
      </c>
      <c r="B3586" t="str">
        <f>"07/16/2022 00:00"</f>
        <v>07/16/2022 00:00</v>
      </c>
      <c r="C3586">
        <v>439</v>
      </c>
      <c r="D3586" t="s">
        <v>7</v>
      </c>
      <c r="E3586" s="2" t="s">
        <v>12</v>
      </c>
      <c r="F3586">
        <f t="shared" si="56"/>
        <v>870.53700000000003</v>
      </c>
      <c r="G3586" t="s">
        <v>16</v>
      </c>
      <c r="H3586" t="s">
        <v>10</v>
      </c>
      <c r="J3586" t="str">
        <f>"07/17/2022 00:39"</f>
        <v>07/17/2022 00:39</v>
      </c>
    </row>
    <row r="3587" spans="1:10" x14ac:dyDescent="0.3">
      <c r="A3587" t="s">
        <v>6</v>
      </c>
      <c r="B3587" t="str">
        <f>"07/17/2022 00:00"</f>
        <v>07/17/2022 00:00</v>
      </c>
      <c r="C3587">
        <v>440</v>
      </c>
      <c r="D3587" t="s">
        <v>7</v>
      </c>
      <c r="E3587" s="2" t="s">
        <v>12</v>
      </c>
      <c r="F3587">
        <f t="shared" si="56"/>
        <v>872.5200000000001</v>
      </c>
      <c r="G3587" t="s">
        <v>16</v>
      </c>
      <c r="H3587" t="s">
        <v>10</v>
      </c>
      <c r="J3587" t="str">
        <f>"07/18/2022 00:38"</f>
        <v>07/18/2022 00:38</v>
      </c>
    </row>
    <row r="3588" spans="1:10" x14ac:dyDescent="0.3">
      <c r="A3588" t="s">
        <v>6</v>
      </c>
      <c r="B3588" t="str">
        <f>"07/18/2022 00:00"</f>
        <v>07/18/2022 00:00</v>
      </c>
      <c r="C3588">
        <v>440</v>
      </c>
      <c r="D3588" t="s">
        <v>7</v>
      </c>
      <c r="E3588" s="2" t="s">
        <v>12</v>
      </c>
      <c r="F3588">
        <f t="shared" si="56"/>
        <v>872.5200000000001</v>
      </c>
      <c r="G3588" t="s">
        <v>16</v>
      </c>
      <c r="H3588" t="s">
        <v>10</v>
      </c>
      <c r="J3588" t="str">
        <f>"07/19/2022 00:39"</f>
        <v>07/19/2022 00:39</v>
      </c>
    </row>
    <row r="3589" spans="1:10" x14ac:dyDescent="0.3">
      <c r="A3589" t="s">
        <v>6</v>
      </c>
      <c r="B3589" t="str">
        <f>"07/19/2022 00:00"</f>
        <v>07/19/2022 00:00</v>
      </c>
      <c r="C3589">
        <v>440</v>
      </c>
      <c r="D3589" t="s">
        <v>7</v>
      </c>
      <c r="E3589" s="2" t="s">
        <v>12</v>
      </c>
      <c r="F3589">
        <f t="shared" si="56"/>
        <v>872.5200000000001</v>
      </c>
      <c r="G3589" t="s">
        <v>16</v>
      </c>
      <c r="H3589" t="s">
        <v>10</v>
      </c>
      <c r="J3589" t="str">
        <f>"07/20/2022 00:38"</f>
        <v>07/20/2022 00:38</v>
      </c>
    </row>
    <row r="3590" spans="1:10" x14ac:dyDescent="0.3">
      <c r="A3590" t="s">
        <v>6</v>
      </c>
      <c r="B3590" t="str">
        <f>"07/20/2022 00:00"</f>
        <v>07/20/2022 00:00</v>
      </c>
      <c r="C3590">
        <v>440</v>
      </c>
      <c r="D3590" t="s">
        <v>7</v>
      </c>
      <c r="E3590" s="2" t="s">
        <v>12</v>
      </c>
      <c r="F3590">
        <f t="shared" si="56"/>
        <v>872.5200000000001</v>
      </c>
      <c r="G3590" t="s">
        <v>16</v>
      </c>
      <c r="H3590" t="s">
        <v>10</v>
      </c>
      <c r="J3590" t="str">
        <f>"07/21/2022 00:38"</f>
        <v>07/21/2022 00:38</v>
      </c>
    </row>
    <row r="3591" spans="1:10" x14ac:dyDescent="0.3">
      <c r="A3591" t="s">
        <v>6</v>
      </c>
      <c r="B3591" t="str">
        <f>"07/21/2022 00:00"</f>
        <v>07/21/2022 00:00</v>
      </c>
      <c r="C3591">
        <v>440</v>
      </c>
      <c r="D3591" t="s">
        <v>7</v>
      </c>
      <c r="E3591" s="2" t="s">
        <v>12</v>
      </c>
      <c r="F3591">
        <f t="shared" si="56"/>
        <v>872.5200000000001</v>
      </c>
      <c r="G3591" t="s">
        <v>16</v>
      </c>
      <c r="H3591" t="s">
        <v>10</v>
      </c>
      <c r="J3591" t="str">
        <f>"07/22/2022 00:38"</f>
        <v>07/22/2022 00:38</v>
      </c>
    </row>
    <row r="3592" spans="1:10" x14ac:dyDescent="0.3">
      <c r="A3592" t="s">
        <v>6</v>
      </c>
      <c r="B3592" t="str">
        <f>"07/22/2022 00:00"</f>
        <v>07/22/2022 00:00</v>
      </c>
      <c r="C3592">
        <v>439</v>
      </c>
      <c r="D3592" t="s">
        <v>7</v>
      </c>
      <c r="E3592" s="2" t="s">
        <v>12</v>
      </c>
      <c r="F3592">
        <f t="shared" si="56"/>
        <v>870.53700000000003</v>
      </c>
      <c r="G3592" t="s">
        <v>16</v>
      </c>
      <c r="H3592" t="s">
        <v>10</v>
      </c>
      <c r="J3592" t="str">
        <f>"07/23/2022 00:38"</f>
        <v>07/23/2022 00:38</v>
      </c>
    </row>
    <row r="3593" spans="1:10" x14ac:dyDescent="0.3">
      <c r="A3593" t="s">
        <v>6</v>
      </c>
      <c r="B3593" t="str">
        <f>"07/23/2022 00:00"</f>
        <v>07/23/2022 00:00</v>
      </c>
      <c r="C3593">
        <v>439</v>
      </c>
      <c r="D3593" t="s">
        <v>7</v>
      </c>
      <c r="E3593" s="2" t="s">
        <v>12</v>
      </c>
      <c r="F3593">
        <f t="shared" si="56"/>
        <v>870.53700000000003</v>
      </c>
      <c r="G3593" t="s">
        <v>16</v>
      </c>
      <c r="H3593" t="s">
        <v>10</v>
      </c>
      <c r="J3593" t="str">
        <f>"07/24/2022 00:38"</f>
        <v>07/24/2022 00:38</v>
      </c>
    </row>
    <row r="3594" spans="1:10" x14ac:dyDescent="0.3">
      <c r="A3594" t="s">
        <v>6</v>
      </c>
      <c r="B3594" t="str">
        <f>"07/24/2022 00:00"</f>
        <v>07/24/2022 00:00</v>
      </c>
      <c r="C3594">
        <v>439</v>
      </c>
      <c r="D3594" t="s">
        <v>7</v>
      </c>
      <c r="E3594" s="2" t="s">
        <v>12</v>
      </c>
      <c r="F3594">
        <f t="shared" si="56"/>
        <v>870.53700000000003</v>
      </c>
      <c r="G3594" t="s">
        <v>16</v>
      </c>
      <c r="H3594" t="s">
        <v>10</v>
      </c>
      <c r="J3594" t="str">
        <f>"07/25/2022 00:39"</f>
        <v>07/25/2022 00:39</v>
      </c>
    </row>
    <row r="3595" spans="1:10" x14ac:dyDescent="0.3">
      <c r="A3595" t="s">
        <v>6</v>
      </c>
      <c r="B3595" t="str">
        <f>"07/25/2022 00:00"</f>
        <v>07/25/2022 00:00</v>
      </c>
      <c r="C3595">
        <v>374</v>
      </c>
      <c r="D3595" t="s">
        <v>7</v>
      </c>
      <c r="E3595" s="2" t="s">
        <v>12</v>
      </c>
      <c r="F3595">
        <f t="shared" si="56"/>
        <v>741.64200000000005</v>
      </c>
      <c r="G3595" t="s">
        <v>16</v>
      </c>
      <c r="H3595" t="s">
        <v>10</v>
      </c>
      <c r="J3595" t="str">
        <f>"07/26/2022 00:39"</f>
        <v>07/26/2022 00:39</v>
      </c>
    </row>
    <row r="3596" spans="1:10" x14ac:dyDescent="0.3">
      <c r="A3596" t="s">
        <v>6</v>
      </c>
      <c r="B3596" t="str">
        <f>"07/26/2022 00:00"</f>
        <v>07/26/2022 00:00</v>
      </c>
      <c r="C3596">
        <v>306</v>
      </c>
      <c r="D3596" t="s">
        <v>7</v>
      </c>
      <c r="E3596" s="2" t="s">
        <v>12</v>
      </c>
      <c r="F3596">
        <f t="shared" ref="F3596:F3659" si="57">C3596*1.983</f>
        <v>606.798</v>
      </c>
      <c r="G3596" t="s">
        <v>16</v>
      </c>
      <c r="H3596" t="s">
        <v>10</v>
      </c>
      <c r="J3596" t="str">
        <f>"07/27/2022 00:39"</f>
        <v>07/27/2022 00:39</v>
      </c>
    </row>
    <row r="3597" spans="1:10" x14ac:dyDescent="0.3">
      <c r="A3597" t="s">
        <v>6</v>
      </c>
      <c r="B3597" t="str">
        <f>"07/27/2022 00:00"</f>
        <v>07/27/2022 00:00</v>
      </c>
      <c r="C3597">
        <v>270</v>
      </c>
      <c r="D3597" t="s">
        <v>7</v>
      </c>
      <c r="E3597" s="2" t="s">
        <v>12</v>
      </c>
      <c r="F3597">
        <f t="shared" si="57"/>
        <v>535.41000000000008</v>
      </c>
      <c r="G3597" t="s">
        <v>16</v>
      </c>
      <c r="H3597" t="s">
        <v>10</v>
      </c>
      <c r="J3597" t="str">
        <f>"07/28/2022 00:39"</f>
        <v>07/28/2022 00:39</v>
      </c>
    </row>
    <row r="3598" spans="1:10" x14ac:dyDescent="0.3">
      <c r="A3598" t="s">
        <v>6</v>
      </c>
      <c r="B3598" t="str">
        <f>"07/28/2022 00:00"</f>
        <v>07/28/2022 00:00</v>
      </c>
      <c r="C3598">
        <v>270</v>
      </c>
      <c r="D3598" t="s">
        <v>7</v>
      </c>
      <c r="E3598" s="2" t="s">
        <v>12</v>
      </c>
      <c r="F3598">
        <f t="shared" si="57"/>
        <v>535.41000000000008</v>
      </c>
      <c r="G3598" t="s">
        <v>16</v>
      </c>
      <c r="H3598" t="s">
        <v>10</v>
      </c>
      <c r="J3598" t="str">
        <f>"07/29/2022 00:39"</f>
        <v>07/29/2022 00:39</v>
      </c>
    </row>
    <row r="3599" spans="1:10" x14ac:dyDescent="0.3">
      <c r="A3599" t="s">
        <v>6</v>
      </c>
      <c r="B3599" t="str">
        <f>"07/29/2022 00:00"</f>
        <v>07/29/2022 00:00</v>
      </c>
      <c r="C3599">
        <v>270</v>
      </c>
      <c r="D3599" t="s">
        <v>7</v>
      </c>
      <c r="E3599" s="2" t="s">
        <v>12</v>
      </c>
      <c r="F3599">
        <f t="shared" si="57"/>
        <v>535.41000000000008</v>
      </c>
      <c r="G3599" t="s">
        <v>16</v>
      </c>
      <c r="H3599" t="s">
        <v>10</v>
      </c>
      <c r="J3599" t="str">
        <f>"07/30/2022 00:38"</f>
        <v>07/30/2022 00:38</v>
      </c>
    </row>
    <row r="3600" spans="1:10" x14ac:dyDescent="0.3">
      <c r="A3600" t="s">
        <v>6</v>
      </c>
      <c r="B3600" t="str">
        <f>"07/30/2022 00:00"</f>
        <v>07/30/2022 00:00</v>
      </c>
      <c r="C3600">
        <v>332</v>
      </c>
      <c r="D3600" t="s">
        <v>7</v>
      </c>
      <c r="E3600" s="2" t="s">
        <v>12</v>
      </c>
      <c r="F3600">
        <f t="shared" si="57"/>
        <v>658.35599999999999</v>
      </c>
      <c r="G3600" t="s">
        <v>16</v>
      </c>
      <c r="H3600" t="s">
        <v>10</v>
      </c>
      <c r="J3600" t="str">
        <f>"07/31/2022 00:39"</f>
        <v>07/31/2022 00:39</v>
      </c>
    </row>
    <row r="3601" spans="1:10" x14ac:dyDescent="0.3">
      <c r="A3601" t="s">
        <v>6</v>
      </c>
      <c r="B3601" t="str">
        <f>"07/31/2022 00:00"</f>
        <v>07/31/2022 00:00</v>
      </c>
      <c r="C3601">
        <v>401</v>
      </c>
      <c r="D3601" t="s">
        <v>7</v>
      </c>
      <c r="E3601" s="2" t="s">
        <v>12</v>
      </c>
      <c r="F3601">
        <f t="shared" si="57"/>
        <v>795.18299999999999</v>
      </c>
      <c r="G3601" t="s">
        <v>16</v>
      </c>
      <c r="H3601" t="s">
        <v>10</v>
      </c>
      <c r="J3601" t="str">
        <f>"08/01/2022 00:38"</f>
        <v>08/01/2022 00:38</v>
      </c>
    </row>
    <row r="3602" spans="1:10" x14ac:dyDescent="0.3">
      <c r="A3602" t="s">
        <v>6</v>
      </c>
      <c r="B3602" t="str">
        <f>"08/01/2022 00:00"</f>
        <v>08/01/2022 00:00</v>
      </c>
      <c r="C3602">
        <v>420</v>
      </c>
      <c r="D3602" t="s">
        <v>7</v>
      </c>
      <c r="E3602" s="2" t="s">
        <v>12</v>
      </c>
      <c r="F3602">
        <f t="shared" si="57"/>
        <v>832.86</v>
      </c>
      <c r="G3602" t="s">
        <v>16</v>
      </c>
      <c r="H3602" t="s">
        <v>10</v>
      </c>
      <c r="J3602" t="str">
        <f>"08/02/2022 00:38"</f>
        <v>08/02/2022 00:38</v>
      </c>
    </row>
    <row r="3603" spans="1:10" x14ac:dyDescent="0.3">
      <c r="A3603" t="s">
        <v>6</v>
      </c>
      <c r="B3603" t="str">
        <f>"08/02/2022 00:00"</f>
        <v>08/02/2022 00:00</v>
      </c>
      <c r="C3603">
        <v>420</v>
      </c>
      <c r="D3603" t="s">
        <v>7</v>
      </c>
      <c r="E3603" s="2" t="s">
        <v>12</v>
      </c>
      <c r="F3603">
        <f t="shared" si="57"/>
        <v>832.86</v>
      </c>
      <c r="G3603" t="s">
        <v>16</v>
      </c>
      <c r="H3603" t="s">
        <v>10</v>
      </c>
      <c r="J3603" t="str">
        <f>"08/03/2022 00:39"</f>
        <v>08/03/2022 00:39</v>
      </c>
    </row>
    <row r="3604" spans="1:10" x14ac:dyDescent="0.3">
      <c r="A3604" t="s">
        <v>6</v>
      </c>
      <c r="B3604" t="str">
        <f>"08/03/2022 00:00"</f>
        <v>08/03/2022 00:00</v>
      </c>
      <c r="C3604">
        <v>420</v>
      </c>
      <c r="D3604" t="s">
        <v>7</v>
      </c>
      <c r="E3604" s="2" t="s">
        <v>12</v>
      </c>
      <c r="F3604">
        <f t="shared" si="57"/>
        <v>832.86</v>
      </c>
      <c r="G3604" t="s">
        <v>16</v>
      </c>
      <c r="H3604" t="s">
        <v>10</v>
      </c>
      <c r="J3604" t="str">
        <f>"08/04/2022 00:42"</f>
        <v>08/04/2022 00:42</v>
      </c>
    </row>
    <row r="3605" spans="1:10" x14ac:dyDescent="0.3">
      <c r="A3605" t="s">
        <v>6</v>
      </c>
      <c r="B3605" t="str">
        <f>"08/04/2022 00:00"</f>
        <v>08/04/2022 00:00</v>
      </c>
      <c r="C3605">
        <v>420</v>
      </c>
      <c r="D3605" t="s">
        <v>7</v>
      </c>
      <c r="E3605" s="2" t="s">
        <v>12</v>
      </c>
      <c r="F3605">
        <f t="shared" si="57"/>
        <v>832.86</v>
      </c>
      <c r="G3605" t="s">
        <v>16</v>
      </c>
      <c r="H3605" t="s">
        <v>10</v>
      </c>
      <c r="J3605" t="str">
        <f>"08/05/2022 00:39"</f>
        <v>08/05/2022 00:39</v>
      </c>
    </row>
    <row r="3606" spans="1:10" x14ac:dyDescent="0.3">
      <c r="A3606" t="s">
        <v>6</v>
      </c>
      <c r="B3606" t="str">
        <f>"08/05/2022 00:00"</f>
        <v>08/05/2022 00:00</v>
      </c>
      <c r="C3606">
        <v>421</v>
      </c>
      <c r="D3606" t="s">
        <v>7</v>
      </c>
      <c r="E3606" s="2" t="s">
        <v>12</v>
      </c>
      <c r="F3606">
        <f t="shared" si="57"/>
        <v>834.84300000000007</v>
      </c>
      <c r="G3606" t="s">
        <v>16</v>
      </c>
      <c r="H3606" t="s">
        <v>10</v>
      </c>
      <c r="J3606" t="str">
        <f>"08/06/2022 00:38"</f>
        <v>08/06/2022 00:38</v>
      </c>
    </row>
    <row r="3607" spans="1:10" x14ac:dyDescent="0.3">
      <c r="A3607" t="s">
        <v>6</v>
      </c>
      <c r="B3607" t="str">
        <f>"08/06/2022 00:00"</f>
        <v>08/06/2022 00:00</v>
      </c>
      <c r="C3607">
        <v>390</v>
      </c>
      <c r="D3607" t="s">
        <v>7</v>
      </c>
      <c r="E3607" s="2" t="s">
        <v>12</v>
      </c>
      <c r="F3607">
        <f t="shared" si="57"/>
        <v>773.37</v>
      </c>
      <c r="G3607" t="s">
        <v>16</v>
      </c>
      <c r="H3607" t="s">
        <v>10</v>
      </c>
      <c r="J3607" t="str">
        <f>"08/07/2022 00:38"</f>
        <v>08/07/2022 00:38</v>
      </c>
    </row>
    <row r="3608" spans="1:10" x14ac:dyDescent="0.3">
      <c r="A3608" t="s">
        <v>6</v>
      </c>
      <c r="B3608" t="str">
        <f>"08/07/2022 00:00"</f>
        <v>08/07/2022 00:00</v>
      </c>
      <c r="C3608">
        <v>297</v>
      </c>
      <c r="D3608" t="s">
        <v>7</v>
      </c>
      <c r="E3608" s="2" t="s">
        <v>12</v>
      </c>
      <c r="F3608">
        <f t="shared" si="57"/>
        <v>588.95100000000002</v>
      </c>
      <c r="G3608" t="s">
        <v>16</v>
      </c>
      <c r="H3608" t="s">
        <v>10</v>
      </c>
      <c r="J3608" t="str">
        <f>"08/08/2022 00:39"</f>
        <v>08/08/2022 00:39</v>
      </c>
    </row>
    <row r="3609" spans="1:10" x14ac:dyDescent="0.3">
      <c r="A3609" t="s">
        <v>6</v>
      </c>
      <c r="B3609" t="str">
        <f>"08/08/2022 00:00"</f>
        <v>08/08/2022 00:00</v>
      </c>
      <c r="C3609">
        <v>199</v>
      </c>
      <c r="D3609" t="s">
        <v>7</v>
      </c>
      <c r="E3609" s="2" t="s">
        <v>12</v>
      </c>
      <c r="F3609">
        <f t="shared" si="57"/>
        <v>394.61700000000002</v>
      </c>
      <c r="G3609" t="s">
        <v>16</v>
      </c>
      <c r="H3609" t="s">
        <v>10</v>
      </c>
      <c r="J3609" t="str">
        <f>"08/09/2022 00:38"</f>
        <v>08/09/2022 00:38</v>
      </c>
    </row>
    <row r="3610" spans="1:10" x14ac:dyDescent="0.3">
      <c r="A3610" t="s">
        <v>6</v>
      </c>
      <c r="B3610" t="str">
        <f>"08/09/2022 00:00"</f>
        <v>08/09/2022 00:00</v>
      </c>
      <c r="C3610">
        <v>172</v>
      </c>
      <c r="D3610" t="s">
        <v>7</v>
      </c>
      <c r="E3610" s="2" t="s">
        <v>12</v>
      </c>
      <c r="F3610">
        <f t="shared" si="57"/>
        <v>341.07600000000002</v>
      </c>
      <c r="G3610" t="s">
        <v>16</v>
      </c>
      <c r="H3610" t="s">
        <v>10</v>
      </c>
      <c r="J3610" t="str">
        <f>"08/10/2022 00:38"</f>
        <v>08/10/2022 00:38</v>
      </c>
    </row>
    <row r="3611" spans="1:10" x14ac:dyDescent="0.3">
      <c r="A3611" t="s">
        <v>6</v>
      </c>
      <c r="B3611" t="str">
        <f>"08/10/2022 00:00"</f>
        <v>08/10/2022 00:00</v>
      </c>
      <c r="C3611">
        <v>238</v>
      </c>
      <c r="D3611" t="s">
        <v>7</v>
      </c>
      <c r="E3611" s="2" t="s">
        <v>12</v>
      </c>
      <c r="F3611">
        <f t="shared" si="57"/>
        <v>471.95400000000001</v>
      </c>
      <c r="G3611" t="s">
        <v>16</v>
      </c>
      <c r="H3611" t="s">
        <v>10</v>
      </c>
      <c r="J3611" t="str">
        <f>"08/11/2022 00:38"</f>
        <v>08/11/2022 00:38</v>
      </c>
    </row>
    <row r="3612" spans="1:10" x14ac:dyDescent="0.3">
      <c r="A3612" t="s">
        <v>6</v>
      </c>
      <c r="B3612" t="str">
        <f>"08/11/2022 00:00"</f>
        <v>08/11/2022 00:00</v>
      </c>
      <c r="C3612">
        <v>309</v>
      </c>
      <c r="D3612" t="s">
        <v>7</v>
      </c>
      <c r="E3612" s="2" t="s">
        <v>12</v>
      </c>
      <c r="F3612">
        <f t="shared" si="57"/>
        <v>612.74700000000007</v>
      </c>
      <c r="G3612" t="s">
        <v>16</v>
      </c>
      <c r="H3612" t="s">
        <v>10</v>
      </c>
      <c r="J3612" t="str">
        <f>"08/12/2022 00:38"</f>
        <v>08/12/2022 00:38</v>
      </c>
    </row>
    <row r="3613" spans="1:10" x14ac:dyDescent="0.3">
      <c r="A3613" t="s">
        <v>6</v>
      </c>
      <c r="B3613" t="str">
        <f>"08/12/2022 00:00"</f>
        <v>08/12/2022 00:00</v>
      </c>
      <c r="C3613">
        <v>327</v>
      </c>
      <c r="D3613" t="s">
        <v>7</v>
      </c>
      <c r="E3613" s="2" t="s">
        <v>12</v>
      </c>
      <c r="F3613">
        <f t="shared" si="57"/>
        <v>648.44100000000003</v>
      </c>
      <c r="G3613" t="s">
        <v>16</v>
      </c>
      <c r="H3613" t="s">
        <v>10</v>
      </c>
      <c r="J3613" t="str">
        <f>"08/13/2022 00:39"</f>
        <v>08/13/2022 00:39</v>
      </c>
    </row>
    <row r="3614" spans="1:10" x14ac:dyDescent="0.3">
      <c r="A3614" t="s">
        <v>6</v>
      </c>
      <c r="B3614" t="str">
        <f>"08/13/2022 00:00"</f>
        <v>08/13/2022 00:00</v>
      </c>
      <c r="C3614">
        <v>275</v>
      </c>
      <c r="D3614" t="s">
        <v>7</v>
      </c>
      <c r="E3614" s="2" t="s">
        <v>12</v>
      </c>
      <c r="F3614">
        <f t="shared" si="57"/>
        <v>545.32500000000005</v>
      </c>
      <c r="G3614" t="s">
        <v>16</v>
      </c>
      <c r="H3614" t="s">
        <v>10</v>
      </c>
      <c r="J3614" t="str">
        <f>"08/14/2022 00:39"</f>
        <v>08/14/2022 00:39</v>
      </c>
    </row>
    <row r="3615" spans="1:10" x14ac:dyDescent="0.3">
      <c r="A3615" t="s">
        <v>6</v>
      </c>
      <c r="B3615" t="str">
        <f>"08/14/2022 00:00"</f>
        <v>08/14/2022 00:00</v>
      </c>
      <c r="C3615">
        <v>205</v>
      </c>
      <c r="D3615" t="s">
        <v>7</v>
      </c>
      <c r="E3615" s="2" t="s">
        <v>12</v>
      </c>
      <c r="F3615">
        <f t="shared" si="57"/>
        <v>406.51500000000004</v>
      </c>
      <c r="G3615" t="s">
        <v>16</v>
      </c>
      <c r="H3615" t="s">
        <v>10</v>
      </c>
      <c r="J3615" t="str">
        <f>"08/15/2022 00:38"</f>
        <v>08/15/2022 00:38</v>
      </c>
    </row>
    <row r="3616" spans="1:10" x14ac:dyDescent="0.3">
      <c r="A3616" t="s">
        <v>6</v>
      </c>
      <c r="B3616" t="str">
        <f>"08/15/2022 00:00"</f>
        <v>08/15/2022 00:00</v>
      </c>
      <c r="C3616">
        <v>180</v>
      </c>
      <c r="D3616" t="s">
        <v>7</v>
      </c>
      <c r="E3616" s="2" t="s">
        <v>12</v>
      </c>
      <c r="F3616">
        <f t="shared" si="57"/>
        <v>356.94</v>
      </c>
      <c r="G3616" t="s">
        <v>16</v>
      </c>
      <c r="H3616" t="s">
        <v>10</v>
      </c>
      <c r="J3616" t="str">
        <f>"08/16/2022 00:43"</f>
        <v>08/16/2022 00:43</v>
      </c>
    </row>
    <row r="3617" spans="1:10" x14ac:dyDescent="0.3">
      <c r="A3617" t="s">
        <v>6</v>
      </c>
      <c r="B3617" t="str">
        <f>"08/16/2022 00:00"</f>
        <v>08/16/2022 00:00</v>
      </c>
      <c r="C3617">
        <v>138</v>
      </c>
      <c r="D3617" t="s">
        <v>7</v>
      </c>
      <c r="E3617" s="2" t="s">
        <v>12</v>
      </c>
      <c r="F3617">
        <f t="shared" si="57"/>
        <v>273.654</v>
      </c>
      <c r="G3617" t="s">
        <v>16</v>
      </c>
      <c r="H3617" t="s">
        <v>10</v>
      </c>
      <c r="J3617" t="str">
        <f>"08/17/2022 00:38"</f>
        <v>08/17/2022 00:38</v>
      </c>
    </row>
    <row r="3618" spans="1:10" x14ac:dyDescent="0.3">
      <c r="A3618" t="s">
        <v>6</v>
      </c>
      <c r="B3618" t="str">
        <f>"08/17/2022 00:00"</f>
        <v>08/17/2022 00:00</v>
      </c>
      <c r="C3618">
        <v>104</v>
      </c>
      <c r="D3618" t="s">
        <v>7</v>
      </c>
      <c r="E3618" s="2" t="s">
        <v>12</v>
      </c>
      <c r="F3618">
        <f t="shared" si="57"/>
        <v>206.232</v>
      </c>
      <c r="G3618" t="s">
        <v>16</v>
      </c>
      <c r="H3618" t="s">
        <v>10</v>
      </c>
      <c r="J3618" t="str">
        <f>"08/18/2022 00:38"</f>
        <v>08/18/2022 00:38</v>
      </c>
    </row>
    <row r="3619" spans="1:10" x14ac:dyDescent="0.3">
      <c r="A3619" t="s">
        <v>6</v>
      </c>
      <c r="B3619" t="str">
        <f>"08/18/2022 00:00"</f>
        <v>08/18/2022 00:00</v>
      </c>
      <c r="C3619">
        <v>89.9</v>
      </c>
      <c r="D3619" t="s">
        <v>7</v>
      </c>
      <c r="E3619" s="2" t="s">
        <v>12</v>
      </c>
      <c r="F3619">
        <f t="shared" si="57"/>
        <v>178.27170000000001</v>
      </c>
      <c r="G3619" t="s">
        <v>16</v>
      </c>
      <c r="H3619" t="s">
        <v>10</v>
      </c>
      <c r="J3619" t="str">
        <f>"08/19/2022 00:38"</f>
        <v>08/19/2022 00:38</v>
      </c>
    </row>
    <row r="3620" spans="1:10" x14ac:dyDescent="0.3">
      <c r="A3620" t="s">
        <v>6</v>
      </c>
      <c r="B3620" t="str">
        <f>"08/19/2022 00:00"</f>
        <v>08/19/2022 00:00</v>
      </c>
      <c r="C3620">
        <v>86.1</v>
      </c>
      <c r="D3620" t="s">
        <v>7</v>
      </c>
      <c r="E3620" s="2" t="s">
        <v>12</v>
      </c>
      <c r="F3620">
        <f t="shared" si="57"/>
        <v>170.7363</v>
      </c>
      <c r="G3620" t="s">
        <v>16</v>
      </c>
      <c r="H3620" t="s">
        <v>10</v>
      </c>
      <c r="J3620" t="str">
        <f>"08/20/2022 00:38"</f>
        <v>08/20/2022 00:38</v>
      </c>
    </row>
    <row r="3621" spans="1:10" x14ac:dyDescent="0.3">
      <c r="A3621" t="s">
        <v>6</v>
      </c>
      <c r="B3621" t="str">
        <f>"08/20/2022 00:00"</f>
        <v>08/20/2022 00:00</v>
      </c>
      <c r="C3621">
        <v>140</v>
      </c>
      <c r="D3621" t="s">
        <v>7</v>
      </c>
      <c r="E3621" s="2" t="s">
        <v>12</v>
      </c>
      <c r="F3621">
        <f t="shared" si="57"/>
        <v>277.62</v>
      </c>
      <c r="G3621" t="s">
        <v>16</v>
      </c>
      <c r="H3621" t="s">
        <v>10</v>
      </c>
      <c r="J3621" t="str">
        <f>"08/21/2022 00:38"</f>
        <v>08/21/2022 00:38</v>
      </c>
    </row>
    <row r="3622" spans="1:10" x14ac:dyDescent="0.3">
      <c r="A3622" t="s">
        <v>6</v>
      </c>
      <c r="B3622" t="str">
        <f>"08/21/2022 00:00"</f>
        <v>08/21/2022 00:00</v>
      </c>
      <c r="C3622">
        <v>170</v>
      </c>
      <c r="D3622" t="s">
        <v>7</v>
      </c>
      <c r="E3622" s="2" t="s">
        <v>12</v>
      </c>
      <c r="F3622">
        <f t="shared" si="57"/>
        <v>337.11</v>
      </c>
      <c r="G3622" t="s">
        <v>16</v>
      </c>
      <c r="H3622" t="s">
        <v>10</v>
      </c>
      <c r="J3622" t="str">
        <f>"08/22/2022 00:38"</f>
        <v>08/22/2022 00:38</v>
      </c>
    </row>
    <row r="3623" spans="1:10" x14ac:dyDescent="0.3">
      <c r="A3623" t="s">
        <v>6</v>
      </c>
      <c r="B3623" t="str">
        <f>"08/22/2022 00:00"</f>
        <v>08/22/2022 00:00</v>
      </c>
      <c r="C3623">
        <v>170</v>
      </c>
      <c r="D3623" t="s">
        <v>7</v>
      </c>
      <c r="E3623" s="2" t="s">
        <v>12</v>
      </c>
      <c r="F3623">
        <f t="shared" si="57"/>
        <v>337.11</v>
      </c>
      <c r="G3623" t="s">
        <v>16</v>
      </c>
      <c r="H3623" t="s">
        <v>10</v>
      </c>
      <c r="J3623" t="str">
        <f>"08/23/2022 00:38"</f>
        <v>08/23/2022 00:38</v>
      </c>
    </row>
    <row r="3624" spans="1:10" x14ac:dyDescent="0.3">
      <c r="A3624" t="s">
        <v>6</v>
      </c>
      <c r="B3624" t="str">
        <f>"08/23/2022 00:00"</f>
        <v>08/23/2022 00:00</v>
      </c>
      <c r="C3624">
        <v>149</v>
      </c>
      <c r="D3624" t="s">
        <v>7</v>
      </c>
      <c r="E3624" s="2" t="s">
        <v>12</v>
      </c>
      <c r="F3624">
        <f t="shared" si="57"/>
        <v>295.46700000000004</v>
      </c>
      <c r="G3624" t="s">
        <v>16</v>
      </c>
      <c r="H3624" t="s">
        <v>10</v>
      </c>
      <c r="J3624" t="str">
        <f>"08/24/2022 00:38"</f>
        <v>08/24/2022 00:38</v>
      </c>
    </row>
    <row r="3625" spans="1:10" x14ac:dyDescent="0.3">
      <c r="A3625" t="s">
        <v>6</v>
      </c>
      <c r="B3625" t="str">
        <f>"08/24/2022 00:00"</f>
        <v>08/24/2022 00:00</v>
      </c>
      <c r="C3625">
        <v>150</v>
      </c>
      <c r="D3625" t="s">
        <v>7</v>
      </c>
      <c r="E3625" s="2" t="s">
        <v>12</v>
      </c>
      <c r="F3625">
        <f t="shared" si="57"/>
        <v>297.45</v>
      </c>
      <c r="G3625" t="s">
        <v>16</v>
      </c>
      <c r="H3625" t="s">
        <v>10</v>
      </c>
      <c r="J3625" t="str">
        <f>"08/25/2022 00:39"</f>
        <v>08/25/2022 00:39</v>
      </c>
    </row>
    <row r="3626" spans="1:10" x14ac:dyDescent="0.3">
      <c r="A3626" t="s">
        <v>6</v>
      </c>
      <c r="B3626" t="str">
        <f>"08/25/2022 00:00"</f>
        <v>08/25/2022 00:00</v>
      </c>
      <c r="C3626">
        <v>187</v>
      </c>
      <c r="D3626" t="s">
        <v>7</v>
      </c>
      <c r="E3626" s="2" t="s">
        <v>12</v>
      </c>
      <c r="F3626">
        <f t="shared" si="57"/>
        <v>370.82100000000003</v>
      </c>
      <c r="G3626" t="s">
        <v>16</v>
      </c>
      <c r="H3626" t="s">
        <v>10</v>
      </c>
      <c r="J3626" t="str">
        <f>"08/26/2022 00:38"</f>
        <v>08/26/2022 00:38</v>
      </c>
    </row>
    <row r="3627" spans="1:10" x14ac:dyDescent="0.3">
      <c r="A3627" t="s">
        <v>6</v>
      </c>
      <c r="B3627" t="str">
        <f>"08/26/2022 00:00"</f>
        <v>08/26/2022 00:00</v>
      </c>
      <c r="C3627">
        <v>226</v>
      </c>
      <c r="D3627" t="s">
        <v>7</v>
      </c>
      <c r="E3627" s="2" t="s">
        <v>12</v>
      </c>
      <c r="F3627">
        <f t="shared" si="57"/>
        <v>448.15800000000002</v>
      </c>
      <c r="G3627" t="s">
        <v>16</v>
      </c>
      <c r="H3627" t="s">
        <v>10</v>
      </c>
      <c r="J3627" t="str">
        <f>"08/27/2022 00:39"</f>
        <v>08/27/2022 00:39</v>
      </c>
    </row>
    <row r="3628" spans="1:10" x14ac:dyDescent="0.3">
      <c r="A3628" t="s">
        <v>6</v>
      </c>
      <c r="B3628" t="str">
        <f>"08/27/2022 00:00"</f>
        <v>08/27/2022 00:00</v>
      </c>
      <c r="C3628">
        <v>248</v>
      </c>
      <c r="D3628" t="s">
        <v>7</v>
      </c>
      <c r="E3628" s="2" t="s">
        <v>12</v>
      </c>
      <c r="F3628">
        <f t="shared" si="57"/>
        <v>491.78400000000005</v>
      </c>
      <c r="G3628" t="s">
        <v>16</v>
      </c>
      <c r="H3628" t="s">
        <v>10</v>
      </c>
      <c r="J3628" t="str">
        <f>"08/28/2022 00:38"</f>
        <v>08/28/2022 00:38</v>
      </c>
    </row>
    <row r="3629" spans="1:10" x14ac:dyDescent="0.3">
      <c r="A3629" t="s">
        <v>6</v>
      </c>
      <c r="B3629" t="str">
        <f>"08/28/2022 00:00"</f>
        <v>08/28/2022 00:00</v>
      </c>
      <c r="C3629">
        <v>248</v>
      </c>
      <c r="D3629" t="s">
        <v>7</v>
      </c>
      <c r="E3629" s="2" t="s">
        <v>12</v>
      </c>
      <c r="F3629">
        <f t="shared" si="57"/>
        <v>491.78400000000005</v>
      </c>
      <c r="G3629" t="s">
        <v>16</v>
      </c>
      <c r="H3629" t="s">
        <v>10</v>
      </c>
      <c r="J3629" t="str">
        <f>"08/29/2022 00:38"</f>
        <v>08/29/2022 00:38</v>
      </c>
    </row>
    <row r="3630" spans="1:10" x14ac:dyDescent="0.3">
      <c r="A3630" t="s">
        <v>6</v>
      </c>
      <c r="B3630" t="str">
        <f>"08/29/2022 00:00"</f>
        <v>08/29/2022 00:00</v>
      </c>
      <c r="C3630">
        <v>249</v>
      </c>
      <c r="D3630" t="s">
        <v>7</v>
      </c>
      <c r="E3630" s="2" t="s">
        <v>12</v>
      </c>
      <c r="F3630">
        <f t="shared" si="57"/>
        <v>493.767</v>
      </c>
      <c r="G3630" t="s">
        <v>16</v>
      </c>
      <c r="H3630" t="s">
        <v>10</v>
      </c>
      <c r="J3630" t="str">
        <f>"08/30/2022 00:38"</f>
        <v>08/30/2022 00:38</v>
      </c>
    </row>
    <row r="3631" spans="1:10" x14ac:dyDescent="0.3">
      <c r="A3631" t="s">
        <v>6</v>
      </c>
      <c r="B3631" t="str">
        <f>"08/30/2022 00:00"</f>
        <v>08/30/2022 00:00</v>
      </c>
      <c r="C3631">
        <v>273</v>
      </c>
      <c r="D3631" t="s">
        <v>7</v>
      </c>
      <c r="E3631" s="2" t="s">
        <v>12</v>
      </c>
      <c r="F3631">
        <f t="shared" si="57"/>
        <v>541.35900000000004</v>
      </c>
      <c r="G3631" t="s">
        <v>16</v>
      </c>
      <c r="H3631" t="s">
        <v>10</v>
      </c>
      <c r="J3631" t="str">
        <f>"08/31/2022 00:39"</f>
        <v>08/31/2022 00:39</v>
      </c>
    </row>
    <row r="3632" spans="1:10" x14ac:dyDescent="0.3">
      <c r="A3632" t="s">
        <v>6</v>
      </c>
      <c r="B3632" t="str">
        <f>"08/31/2022 00:00"</f>
        <v>08/31/2022 00:00</v>
      </c>
      <c r="C3632">
        <v>330</v>
      </c>
      <c r="D3632" t="s">
        <v>7</v>
      </c>
      <c r="E3632" s="2" t="s">
        <v>12</v>
      </c>
      <c r="F3632">
        <f t="shared" si="57"/>
        <v>654.39</v>
      </c>
      <c r="G3632" t="s">
        <v>16</v>
      </c>
      <c r="H3632" t="s">
        <v>10</v>
      </c>
      <c r="J3632" t="str">
        <f>"09/01/2022 00:39"</f>
        <v>09/01/2022 00:39</v>
      </c>
    </row>
    <row r="3633" spans="1:10" x14ac:dyDescent="0.3">
      <c r="A3633" t="s">
        <v>6</v>
      </c>
      <c r="B3633" t="str">
        <f>"09/01/2022 00:00"</f>
        <v>09/01/2022 00:00</v>
      </c>
      <c r="C3633">
        <v>367</v>
      </c>
      <c r="D3633" t="s">
        <v>7</v>
      </c>
      <c r="E3633" s="2" t="s">
        <v>12</v>
      </c>
      <c r="F3633">
        <f t="shared" si="57"/>
        <v>727.76100000000008</v>
      </c>
      <c r="G3633" t="s">
        <v>16</v>
      </c>
      <c r="H3633" t="s">
        <v>10</v>
      </c>
      <c r="J3633" t="str">
        <f>"09/02/2022 00:38"</f>
        <v>09/02/2022 00:38</v>
      </c>
    </row>
    <row r="3634" spans="1:10" x14ac:dyDescent="0.3">
      <c r="A3634" t="s">
        <v>6</v>
      </c>
      <c r="B3634" t="str">
        <f>"09/02/2022 00:00"</f>
        <v>09/02/2022 00:00</v>
      </c>
      <c r="C3634">
        <v>402</v>
      </c>
      <c r="D3634" t="s">
        <v>7</v>
      </c>
      <c r="E3634" s="2" t="s">
        <v>12</v>
      </c>
      <c r="F3634">
        <f t="shared" si="57"/>
        <v>797.16600000000005</v>
      </c>
      <c r="G3634" t="s">
        <v>16</v>
      </c>
      <c r="H3634" t="s">
        <v>10</v>
      </c>
      <c r="J3634" t="str">
        <f>"09/03/2022 00:38"</f>
        <v>09/03/2022 00:38</v>
      </c>
    </row>
    <row r="3635" spans="1:10" x14ac:dyDescent="0.3">
      <c r="A3635" t="s">
        <v>6</v>
      </c>
      <c r="B3635" t="str">
        <f>"09/03/2022 00:00"</f>
        <v>09/03/2022 00:00</v>
      </c>
      <c r="C3635">
        <v>402</v>
      </c>
      <c r="D3635" t="s">
        <v>7</v>
      </c>
      <c r="E3635" s="2" t="s">
        <v>12</v>
      </c>
      <c r="F3635">
        <f t="shared" si="57"/>
        <v>797.16600000000005</v>
      </c>
      <c r="G3635" t="s">
        <v>16</v>
      </c>
      <c r="H3635" t="s">
        <v>10</v>
      </c>
      <c r="J3635" t="str">
        <f>"09/04/2022 00:38"</f>
        <v>09/04/2022 00:38</v>
      </c>
    </row>
    <row r="3636" spans="1:10" x14ac:dyDescent="0.3">
      <c r="A3636" t="s">
        <v>6</v>
      </c>
      <c r="B3636" t="str">
        <f>"09/04/2022 00:00"</f>
        <v>09/04/2022 00:00</v>
      </c>
      <c r="C3636">
        <v>402</v>
      </c>
      <c r="D3636" t="s">
        <v>7</v>
      </c>
      <c r="E3636" s="2" t="s">
        <v>12</v>
      </c>
      <c r="F3636">
        <f t="shared" si="57"/>
        <v>797.16600000000005</v>
      </c>
      <c r="G3636" t="s">
        <v>16</v>
      </c>
      <c r="H3636" t="s">
        <v>10</v>
      </c>
      <c r="J3636" t="str">
        <f>"09/05/2022 00:39"</f>
        <v>09/05/2022 00:39</v>
      </c>
    </row>
    <row r="3637" spans="1:10" x14ac:dyDescent="0.3">
      <c r="A3637" t="s">
        <v>6</v>
      </c>
      <c r="B3637" t="str">
        <f>"09/05/2022 00:00"</f>
        <v>09/05/2022 00:00</v>
      </c>
      <c r="C3637">
        <v>402</v>
      </c>
      <c r="D3637" t="s">
        <v>7</v>
      </c>
      <c r="E3637" s="2" t="s">
        <v>12</v>
      </c>
      <c r="F3637">
        <f t="shared" si="57"/>
        <v>797.16600000000005</v>
      </c>
      <c r="G3637" t="s">
        <v>16</v>
      </c>
      <c r="H3637" t="s">
        <v>10</v>
      </c>
      <c r="J3637" t="str">
        <f>"09/06/2022 00:39"</f>
        <v>09/06/2022 00:39</v>
      </c>
    </row>
    <row r="3638" spans="1:10" x14ac:dyDescent="0.3">
      <c r="A3638" t="s">
        <v>6</v>
      </c>
      <c r="B3638" t="str">
        <f>"09/06/2022 00:00"</f>
        <v>09/06/2022 00:00</v>
      </c>
      <c r="C3638">
        <v>357</v>
      </c>
      <c r="D3638" t="s">
        <v>7</v>
      </c>
      <c r="E3638" s="2" t="s">
        <v>12</v>
      </c>
      <c r="F3638">
        <f t="shared" si="57"/>
        <v>707.93100000000004</v>
      </c>
      <c r="G3638" t="s">
        <v>16</v>
      </c>
      <c r="H3638" t="s">
        <v>10</v>
      </c>
      <c r="J3638" t="str">
        <f>"09/07/2022 00:39"</f>
        <v>09/07/2022 00:39</v>
      </c>
    </row>
    <row r="3639" spans="1:10" x14ac:dyDescent="0.3">
      <c r="A3639" t="s">
        <v>6</v>
      </c>
      <c r="B3639" t="str">
        <f>"09/07/2022 00:00"</f>
        <v>09/07/2022 00:00</v>
      </c>
      <c r="C3639">
        <v>317</v>
      </c>
      <c r="D3639" t="s">
        <v>7</v>
      </c>
      <c r="E3639" s="2" t="s">
        <v>12</v>
      </c>
      <c r="F3639">
        <f t="shared" si="57"/>
        <v>628.61099999999999</v>
      </c>
      <c r="G3639" t="s">
        <v>16</v>
      </c>
      <c r="H3639" t="s">
        <v>10</v>
      </c>
      <c r="J3639" t="str">
        <f>"09/08/2022 00:38"</f>
        <v>09/08/2022 00:38</v>
      </c>
    </row>
    <row r="3640" spans="1:10" x14ac:dyDescent="0.3">
      <c r="A3640" t="s">
        <v>6</v>
      </c>
      <c r="B3640" t="str">
        <f>"09/08/2022 00:00"</f>
        <v>09/08/2022 00:00</v>
      </c>
      <c r="C3640">
        <v>268</v>
      </c>
      <c r="D3640" t="s">
        <v>7</v>
      </c>
      <c r="E3640" s="2" t="s">
        <v>12</v>
      </c>
      <c r="F3640">
        <f t="shared" si="57"/>
        <v>531.44400000000007</v>
      </c>
      <c r="G3640" t="s">
        <v>16</v>
      </c>
      <c r="H3640" t="s">
        <v>10</v>
      </c>
      <c r="J3640" t="str">
        <f>"09/09/2022 00:38"</f>
        <v>09/09/2022 00:38</v>
      </c>
    </row>
    <row r="3641" spans="1:10" x14ac:dyDescent="0.3">
      <c r="A3641" t="s">
        <v>6</v>
      </c>
      <c r="B3641" t="str">
        <f>"09/09/2022 00:00"</f>
        <v>09/09/2022 00:00</v>
      </c>
      <c r="C3641">
        <v>238</v>
      </c>
      <c r="D3641" t="s">
        <v>7</v>
      </c>
      <c r="E3641" s="2" t="s">
        <v>12</v>
      </c>
      <c r="F3641">
        <f t="shared" si="57"/>
        <v>471.95400000000001</v>
      </c>
      <c r="G3641" t="s">
        <v>16</v>
      </c>
      <c r="H3641" t="s">
        <v>10</v>
      </c>
      <c r="J3641" t="str">
        <f>"09/10/2022 00:38"</f>
        <v>09/10/2022 00:38</v>
      </c>
    </row>
    <row r="3642" spans="1:10" x14ac:dyDescent="0.3">
      <c r="A3642" t="s">
        <v>6</v>
      </c>
      <c r="B3642" t="str">
        <f>"09/10/2022 00:00"</f>
        <v>09/10/2022 00:00</v>
      </c>
      <c r="C3642">
        <v>239</v>
      </c>
      <c r="D3642" t="s">
        <v>7</v>
      </c>
      <c r="E3642" s="2" t="s">
        <v>12</v>
      </c>
      <c r="F3642">
        <f t="shared" si="57"/>
        <v>473.93700000000001</v>
      </c>
      <c r="G3642" t="s">
        <v>16</v>
      </c>
      <c r="H3642" t="s">
        <v>10</v>
      </c>
      <c r="J3642" t="str">
        <f>"09/11/2022 00:38"</f>
        <v>09/11/2022 00:38</v>
      </c>
    </row>
    <row r="3643" spans="1:10" x14ac:dyDescent="0.3">
      <c r="A3643" t="s">
        <v>6</v>
      </c>
      <c r="B3643" t="str">
        <f>"09/11/2022 00:00"</f>
        <v>09/11/2022 00:00</v>
      </c>
      <c r="C3643">
        <v>239</v>
      </c>
      <c r="D3643" t="s">
        <v>7</v>
      </c>
      <c r="E3643" s="2" t="s">
        <v>12</v>
      </c>
      <c r="F3643">
        <f t="shared" si="57"/>
        <v>473.93700000000001</v>
      </c>
      <c r="G3643" t="s">
        <v>16</v>
      </c>
      <c r="H3643" t="s">
        <v>10</v>
      </c>
      <c r="J3643" t="str">
        <f>"09/12/2022 00:38"</f>
        <v>09/12/2022 00:38</v>
      </c>
    </row>
    <row r="3644" spans="1:10" x14ac:dyDescent="0.3">
      <c r="A3644" t="s">
        <v>6</v>
      </c>
      <c r="B3644" t="str">
        <f>"09/12/2022 00:00"</f>
        <v>09/12/2022 00:00</v>
      </c>
      <c r="C3644">
        <v>239</v>
      </c>
      <c r="D3644" t="s">
        <v>7</v>
      </c>
      <c r="E3644" s="2" t="s">
        <v>12</v>
      </c>
      <c r="F3644">
        <f t="shared" si="57"/>
        <v>473.93700000000001</v>
      </c>
      <c r="G3644" t="s">
        <v>16</v>
      </c>
      <c r="H3644" t="s">
        <v>10</v>
      </c>
      <c r="J3644" t="str">
        <f>"09/13/2022 00:38"</f>
        <v>09/13/2022 00:38</v>
      </c>
    </row>
    <row r="3645" spans="1:10" x14ac:dyDescent="0.3">
      <c r="A3645" t="s">
        <v>6</v>
      </c>
      <c r="B3645" t="str">
        <f>"09/13/2022 00:00"</f>
        <v>09/13/2022 00:00</v>
      </c>
      <c r="C3645">
        <v>236</v>
      </c>
      <c r="D3645" t="s">
        <v>7</v>
      </c>
      <c r="E3645" s="2" t="s">
        <v>12</v>
      </c>
      <c r="F3645">
        <f t="shared" si="57"/>
        <v>467.988</v>
      </c>
      <c r="G3645" t="s">
        <v>16</v>
      </c>
      <c r="H3645" t="s">
        <v>10</v>
      </c>
      <c r="J3645" t="str">
        <f>"09/14/2022 00:38"</f>
        <v>09/14/2022 00:38</v>
      </c>
    </row>
    <row r="3646" spans="1:10" x14ac:dyDescent="0.3">
      <c r="A3646" t="s">
        <v>6</v>
      </c>
      <c r="B3646" t="str">
        <f>"09/14/2022 00:00"</f>
        <v>09/14/2022 00:00</v>
      </c>
      <c r="C3646">
        <v>225</v>
      </c>
      <c r="D3646" t="s">
        <v>7</v>
      </c>
      <c r="E3646" s="2" t="s">
        <v>12</v>
      </c>
      <c r="F3646">
        <f t="shared" si="57"/>
        <v>446.17500000000001</v>
      </c>
      <c r="G3646" t="s">
        <v>16</v>
      </c>
      <c r="H3646" t="s">
        <v>10</v>
      </c>
      <c r="J3646" t="str">
        <f>"09/15/2022 00:38"</f>
        <v>09/15/2022 00:38</v>
      </c>
    </row>
    <row r="3647" spans="1:10" x14ac:dyDescent="0.3">
      <c r="A3647" t="s">
        <v>6</v>
      </c>
      <c r="B3647" t="str">
        <f>"09/15/2022 00:00"</f>
        <v>09/15/2022 00:00</v>
      </c>
      <c r="C3647">
        <v>241</v>
      </c>
      <c r="D3647" t="s">
        <v>7</v>
      </c>
      <c r="E3647" s="2" t="s">
        <v>12</v>
      </c>
      <c r="F3647">
        <f t="shared" si="57"/>
        <v>477.90300000000002</v>
      </c>
      <c r="G3647" t="s">
        <v>16</v>
      </c>
      <c r="H3647" t="s">
        <v>10</v>
      </c>
      <c r="J3647" t="str">
        <f>"09/16/2022 00:39"</f>
        <v>09/16/2022 00:39</v>
      </c>
    </row>
    <row r="3648" spans="1:10" x14ac:dyDescent="0.3">
      <c r="A3648" t="s">
        <v>6</v>
      </c>
      <c r="B3648" t="str">
        <f>"09/16/2022 00:00"</f>
        <v>09/16/2022 00:00</v>
      </c>
      <c r="C3648">
        <v>244</v>
      </c>
      <c r="D3648" t="s">
        <v>7</v>
      </c>
      <c r="E3648" s="2" t="s">
        <v>12</v>
      </c>
      <c r="F3648">
        <f t="shared" si="57"/>
        <v>483.85200000000003</v>
      </c>
      <c r="G3648" t="s">
        <v>16</v>
      </c>
      <c r="H3648" t="s">
        <v>10</v>
      </c>
      <c r="J3648" t="str">
        <f>"09/17/2022 00:39"</f>
        <v>09/17/2022 00:39</v>
      </c>
    </row>
    <row r="3649" spans="1:10" x14ac:dyDescent="0.3">
      <c r="A3649" t="s">
        <v>6</v>
      </c>
      <c r="B3649" t="str">
        <f>"09/17/2022 00:00"</f>
        <v>09/17/2022 00:00</v>
      </c>
      <c r="C3649">
        <v>252</v>
      </c>
      <c r="D3649" t="s">
        <v>7</v>
      </c>
      <c r="E3649" s="2" t="s">
        <v>12</v>
      </c>
      <c r="F3649">
        <f t="shared" si="57"/>
        <v>499.71600000000001</v>
      </c>
      <c r="G3649" t="s">
        <v>16</v>
      </c>
      <c r="H3649" t="s">
        <v>10</v>
      </c>
      <c r="J3649" t="str">
        <f>"09/18/2022 00:39"</f>
        <v>09/18/2022 00:39</v>
      </c>
    </row>
    <row r="3650" spans="1:10" x14ac:dyDescent="0.3">
      <c r="A3650" t="s">
        <v>6</v>
      </c>
      <c r="B3650" t="str">
        <f>"09/18/2022 00:00"</f>
        <v>09/18/2022 00:00</v>
      </c>
      <c r="C3650">
        <v>252</v>
      </c>
      <c r="D3650" t="s">
        <v>7</v>
      </c>
      <c r="E3650" s="2" t="s">
        <v>12</v>
      </c>
      <c r="F3650">
        <f t="shared" si="57"/>
        <v>499.71600000000001</v>
      </c>
      <c r="G3650" t="s">
        <v>16</v>
      </c>
      <c r="H3650" t="s">
        <v>10</v>
      </c>
      <c r="J3650" t="str">
        <f>"09/19/2022 00:38"</f>
        <v>09/19/2022 00:38</v>
      </c>
    </row>
    <row r="3651" spans="1:10" x14ac:dyDescent="0.3">
      <c r="A3651" t="s">
        <v>6</v>
      </c>
      <c r="B3651" t="str">
        <f>"09/19/2022 00:00"</f>
        <v>09/19/2022 00:00</v>
      </c>
      <c r="C3651">
        <v>250</v>
      </c>
      <c r="D3651" t="s">
        <v>7</v>
      </c>
      <c r="E3651" s="2" t="s">
        <v>12</v>
      </c>
      <c r="F3651">
        <f t="shared" si="57"/>
        <v>495.75</v>
      </c>
      <c r="G3651" t="s">
        <v>16</v>
      </c>
      <c r="H3651" t="s">
        <v>10</v>
      </c>
      <c r="J3651" t="str">
        <f>"09/20/2022 00:38"</f>
        <v>09/20/2022 00:38</v>
      </c>
    </row>
    <row r="3652" spans="1:10" x14ac:dyDescent="0.3">
      <c r="A3652" t="s">
        <v>6</v>
      </c>
      <c r="B3652" t="str">
        <f>"09/20/2022 00:00"</f>
        <v>09/20/2022 00:00</v>
      </c>
      <c r="C3652">
        <v>251</v>
      </c>
      <c r="D3652" t="s">
        <v>7</v>
      </c>
      <c r="E3652" s="2" t="s">
        <v>12</v>
      </c>
      <c r="F3652">
        <f t="shared" si="57"/>
        <v>497.733</v>
      </c>
      <c r="G3652" t="s">
        <v>16</v>
      </c>
      <c r="H3652" t="s">
        <v>10</v>
      </c>
      <c r="J3652" t="str">
        <f>"09/21/2022 00:38"</f>
        <v>09/21/2022 00:38</v>
      </c>
    </row>
    <row r="3653" spans="1:10" x14ac:dyDescent="0.3">
      <c r="A3653" t="s">
        <v>6</v>
      </c>
      <c r="B3653" t="str">
        <f>"09/21/2022 00:00"</f>
        <v>09/21/2022 00:00</v>
      </c>
      <c r="C3653">
        <v>252</v>
      </c>
      <c r="D3653" t="s">
        <v>7</v>
      </c>
      <c r="E3653" s="2" t="s">
        <v>12</v>
      </c>
      <c r="F3653">
        <f t="shared" si="57"/>
        <v>499.71600000000001</v>
      </c>
      <c r="G3653" t="s">
        <v>16</v>
      </c>
      <c r="H3653" t="s">
        <v>10</v>
      </c>
      <c r="J3653" t="str">
        <f>"09/22/2022 00:38"</f>
        <v>09/22/2022 00:38</v>
      </c>
    </row>
    <row r="3654" spans="1:10" x14ac:dyDescent="0.3">
      <c r="A3654" t="s">
        <v>6</v>
      </c>
      <c r="B3654" t="str">
        <f>"09/22/2022 00:00"</f>
        <v>09/22/2022 00:00</v>
      </c>
      <c r="C3654">
        <v>252</v>
      </c>
      <c r="D3654" t="s">
        <v>7</v>
      </c>
      <c r="E3654" s="2" t="s">
        <v>12</v>
      </c>
      <c r="F3654">
        <f t="shared" si="57"/>
        <v>499.71600000000001</v>
      </c>
      <c r="G3654" t="s">
        <v>16</v>
      </c>
      <c r="H3654" t="s">
        <v>10</v>
      </c>
      <c r="J3654" t="str">
        <f>"09/23/2022 00:38"</f>
        <v>09/23/2022 00:38</v>
      </c>
    </row>
    <row r="3655" spans="1:10" x14ac:dyDescent="0.3">
      <c r="A3655" t="s">
        <v>6</v>
      </c>
      <c r="B3655" t="str">
        <f>"09/23/2022 00:00"</f>
        <v>09/23/2022 00:00</v>
      </c>
      <c r="C3655">
        <v>252</v>
      </c>
      <c r="D3655" t="s">
        <v>7</v>
      </c>
      <c r="E3655" s="2" t="s">
        <v>12</v>
      </c>
      <c r="F3655">
        <f t="shared" si="57"/>
        <v>499.71600000000001</v>
      </c>
      <c r="G3655" t="s">
        <v>16</v>
      </c>
      <c r="H3655" t="s">
        <v>10</v>
      </c>
      <c r="J3655" t="str">
        <f>"09/24/2022 00:38"</f>
        <v>09/24/2022 00:38</v>
      </c>
    </row>
    <row r="3656" spans="1:10" x14ac:dyDescent="0.3">
      <c r="A3656" t="s">
        <v>6</v>
      </c>
      <c r="B3656" t="str">
        <f>"09/24/2022 00:00"</f>
        <v>09/24/2022 00:00</v>
      </c>
      <c r="C3656">
        <v>252</v>
      </c>
      <c r="D3656" t="s">
        <v>7</v>
      </c>
      <c r="E3656" s="2" t="s">
        <v>12</v>
      </c>
      <c r="F3656">
        <f t="shared" si="57"/>
        <v>499.71600000000001</v>
      </c>
      <c r="G3656" t="s">
        <v>16</v>
      </c>
      <c r="H3656" t="s">
        <v>10</v>
      </c>
      <c r="J3656" t="str">
        <f>"09/25/2022 00:38"</f>
        <v>09/25/2022 00:38</v>
      </c>
    </row>
    <row r="3657" spans="1:10" x14ac:dyDescent="0.3">
      <c r="A3657" t="s">
        <v>6</v>
      </c>
      <c r="B3657" t="str">
        <f>"09/25/2022 00:00"</f>
        <v>09/25/2022 00:00</v>
      </c>
      <c r="C3657">
        <v>252</v>
      </c>
      <c r="D3657" t="s">
        <v>7</v>
      </c>
      <c r="E3657" s="2" t="s">
        <v>12</v>
      </c>
      <c r="F3657">
        <f t="shared" si="57"/>
        <v>499.71600000000001</v>
      </c>
      <c r="G3657" t="s">
        <v>16</v>
      </c>
      <c r="H3657" t="s">
        <v>10</v>
      </c>
      <c r="J3657" t="str">
        <f>"09/26/2022 00:39"</f>
        <v>09/26/2022 00:39</v>
      </c>
    </row>
    <row r="3658" spans="1:10" x14ac:dyDescent="0.3">
      <c r="A3658" t="s">
        <v>6</v>
      </c>
      <c r="B3658" t="str">
        <f>"09/26/2022 00:00"</f>
        <v>09/26/2022 00:00</v>
      </c>
      <c r="C3658">
        <v>252</v>
      </c>
      <c r="D3658" t="s">
        <v>7</v>
      </c>
      <c r="E3658" s="2" t="s">
        <v>12</v>
      </c>
      <c r="F3658">
        <f t="shared" si="57"/>
        <v>499.71600000000001</v>
      </c>
      <c r="G3658" t="s">
        <v>16</v>
      </c>
      <c r="H3658" t="s">
        <v>10</v>
      </c>
      <c r="J3658" t="str">
        <f>"09/27/2022 00:39"</f>
        <v>09/27/2022 00:39</v>
      </c>
    </row>
    <row r="3659" spans="1:10" x14ac:dyDescent="0.3">
      <c r="A3659" t="s">
        <v>6</v>
      </c>
      <c r="B3659" t="str">
        <f>"09/27/2022 00:00"</f>
        <v>09/27/2022 00:00</v>
      </c>
      <c r="C3659">
        <v>252</v>
      </c>
      <c r="D3659" t="s">
        <v>7</v>
      </c>
      <c r="E3659" s="2" t="s">
        <v>12</v>
      </c>
      <c r="F3659">
        <f t="shared" si="57"/>
        <v>499.71600000000001</v>
      </c>
      <c r="G3659" t="s">
        <v>16</v>
      </c>
      <c r="H3659" t="s">
        <v>10</v>
      </c>
      <c r="J3659" t="str">
        <f>"09/28/2022 00:39"</f>
        <v>09/28/2022 00:39</v>
      </c>
    </row>
    <row r="3660" spans="1:10" x14ac:dyDescent="0.3">
      <c r="A3660" t="s">
        <v>6</v>
      </c>
      <c r="B3660" t="str">
        <f>"09/28/2022 00:00"</f>
        <v>09/28/2022 00:00</v>
      </c>
      <c r="C3660">
        <v>252</v>
      </c>
      <c r="D3660" t="s">
        <v>7</v>
      </c>
      <c r="E3660" s="2" t="s">
        <v>12</v>
      </c>
      <c r="F3660">
        <f t="shared" ref="F3660:F3662" si="58">C3660*1.983</f>
        <v>499.71600000000001</v>
      </c>
      <c r="G3660" t="s">
        <v>16</v>
      </c>
      <c r="H3660" t="s">
        <v>10</v>
      </c>
      <c r="J3660" t="str">
        <f>"09/29/2022 00:38"</f>
        <v>09/29/2022 00:38</v>
      </c>
    </row>
    <row r="3661" spans="1:10" x14ac:dyDescent="0.3">
      <c r="A3661" t="s">
        <v>6</v>
      </c>
      <c r="B3661" t="str">
        <f>"09/29/2022 00:00"</f>
        <v>09/29/2022 00:00</v>
      </c>
      <c r="C3661">
        <v>219</v>
      </c>
      <c r="D3661" t="s">
        <v>7</v>
      </c>
      <c r="E3661" s="2" t="s">
        <v>12</v>
      </c>
      <c r="F3661">
        <f t="shared" si="58"/>
        <v>434.27700000000004</v>
      </c>
      <c r="G3661" t="s">
        <v>16</v>
      </c>
      <c r="H3661" t="s">
        <v>10</v>
      </c>
      <c r="J3661" t="str">
        <f>"09/30/2022 00:38"</f>
        <v>09/30/2022 00:38</v>
      </c>
    </row>
    <row r="3662" spans="1:10" x14ac:dyDescent="0.3">
      <c r="A3662" t="s">
        <v>6</v>
      </c>
      <c r="B3662" t="str">
        <f>"09/30/2022 00:00"</f>
        <v>09/30/2022 00:00</v>
      </c>
      <c r="C3662">
        <v>180</v>
      </c>
      <c r="D3662" t="s">
        <v>7</v>
      </c>
      <c r="E3662" s="2" t="s">
        <v>12</v>
      </c>
      <c r="F3662">
        <f t="shared" si="58"/>
        <v>356.94</v>
      </c>
      <c r="G3662" t="s">
        <v>16</v>
      </c>
      <c r="H3662" t="s">
        <v>10</v>
      </c>
      <c r="J3662" t="str">
        <f>"10/01/2022 00:38"</f>
        <v>10/01/2022 00:38</v>
      </c>
    </row>
    <row r="3663" spans="1:10" s="4" customFormat="1" x14ac:dyDescent="0.3">
      <c r="B3663" s="4" t="s">
        <v>17</v>
      </c>
      <c r="F3663" s="5">
        <f>SUM(F3298:F3662)</f>
        <v>104970.98156532001</v>
      </c>
      <c r="G3663" s="4" t="s">
        <v>19</v>
      </c>
    </row>
  </sheetData>
  <phoneticPr fontId="19" type="noConversion"/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AC789-B0FD-45BE-A835-F1736E29C638}">
  <dimension ref="A1:J5864"/>
  <sheetViews>
    <sheetView tabSelected="1" topLeftCell="A5839" workbookViewId="0">
      <selection activeCell="E5849" sqref="E5849:E5864"/>
    </sheetView>
  </sheetViews>
  <sheetFormatPr defaultRowHeight="14.4" x14ac:dyDescent="0.3"/>
  <cols>
    <col min="1" max="1" width="10.6640625" bestFit="1" customWidth="1"/>
    <col min="2" max="2" width="15.6640625" bestFit="1" customWidth="1"/>
    <col min="3" max="3" width="8.109375" customWidth="1"/>
    <col min="4" max="4" width="8.33203125" customWidth="1"/>
    <col min="5" max="6" width="13.44140625" customWidth="1"/>
    <col min="7" max="7" width="9.77734375" customWidth="1"/>
    <col min="8" max="8" width="13.77734375" customWidth="1"/>
    <col min="9" max="9" width="12.109375" customWidth="1"/>
    <col min="10" max="10" width="11.6640625" customWidth="1"/>
  </cols>
  <sheetData>
    <row r="1" spans="1:10" s="1" customFormat="1" ht="28.8" x14ac:dyDescent="0.3">
      <c r="A1" s="1" t="s">
        <v>0</v>
      </c>
      <c r="B1" s="1" t="s">
        <v>1</v>
      </c>
      <c r="C1" s="1" t="s">
        <v>39</v>
      </c>
      <c r="D1" s="1" t="s">
        <v>2</v>
      </c>
      <c r="E1" s="3" t="s">
        <v>11</v>
      </c>
      <c r="F1" s="3" t="s">
        <v>14</v>
      </c>
      <c r="G1" s="3" t="s">
        <v>15</v>
      </c>
      <c r="H1" s="1" t="s">
        <v>3</v>
      </c>
      <c r="I1" s="1" t="s">
        <v>4</v>
      </c>
      <c r="J1" s="1" t="s">
        <v>5</v>
      </c>
    </row>
    <row r="2" spans="1:10" x14ac:dyDescent="0.3">
      <c r="A2" t="s">
        <v>6</v>
      </c>
      <c r="B2" t="str">
        <f>"10/01/1985 00:00"</f>
        <v>10/01/1985 00:00</v>
      </c>
      <c r="D2" t="s">
        <v>7</v>
      </c>
      <c r="E2" s="2" t="s">
        <v>12</v>
      </c>
      <c r="F2">
        <f>C2*1.983</f>
        <v>0</v>
      </c>
      <c r="G2" t="s">
        <v>16</v>
      </c>
    </row>
    <row r="3" spans="1:10" x14ac:dyDescent="0.3">
      <c r="A3" t="s">
        <v>6</v>
      </c>
      <c r="B3" t="str">
        <f>"10/02/1985 00:00"</f>
        <v>10/02/1985 00:00</v>
      </c>
      <c r="D3" t="s">
        <v>7</v>
      </c>
      <c r="E3" s="2" t="s">
        <v>12</v>
      </c>
      <c r="F3">
        <f t="shared" ref="F3:F66" si="0">C3*1.983</f>
        <v>0</v>
      </c>
      <c r="G3" t="s">
        <v>16</v>
      </c>
    </row>
    <row r="4" spans="1:10" x14ac:dyDescent="0.3">
      <c r="A4" t="s">
        <v>6</v>
      </c>
      <c r="B4" t="str">
        <f>"10/03/1985 00:00"</f>
        <v>10/03/1985 00:00</v>
      </c>
      <c r="D4" t="s">
        <v>7</v>
      </c>
      <c r="E4" s="2" t="s">
        <v>12</v>
      </c>
      <c r="F4">
        <f t="shared" si="0"/>
        <v>0</v>
      </c>
      <c r="G4" t="s">
        <v>16</v>
      </c>
    </row>
    <row r="5" spans="1:10" x14ac:dyDescent="0.3">
      <c r="A5" t="s">
        <v>6</v>
      </c>
      <c r="B5" t="str">
        <f>"10/04/1985 00:00"</f>
        <v>10/04/1985 00:00</v>
      </c>
      <c r="D5" t="s">
        <v>7</v>
      </c>
      <c r="E5" s="2" t="s">
        <v>12</v>
      </c>
      <c r="F5">
        <f t="shared" si="0"/>
        <v>0</v>
      </c>
      <c r="G5" t="s">
        <v>16</v>
      </c>
    </row>
    <row r="6" spans="1:10" x14ac:dyDescent="0.3">
      <c r="A6" t="s">
        <v>6</v>
      </c>
      <c r="B6" t="str">
        <f>"10/05/1985 00:00"</f>
        <v>10/05/1985 00:00</v>
      </c>
      <c r="D6" t="s">
        <v>7</v>
      </c>
      <c r="E6" s="2" t="s">
        <v>12</v>
      </c>
      <c r="F6">
        <f t="shared" si="0"/>
        <v>0</v>
      </c>
      <c r="G6" t="s">
        <v>16</v>
      </c>
    </row>
    <row r="7" spans="1:10" x14ac:dyDescent="0.3">
      <c r="A7" t="s">
        <v>6</v>
      </c>
      <c r="B7" t="str">
        <f>"10/06/1985 00:00"</f>
        <v>10/06/1985 00:00</v>
      </c>
      <c r="D7" t="s">
        <v>7</v>
      </c>
      <c r="E7" s="2" t="s">
        <v>12</v>
      </c>
      <c r="F7">
        <f t="shared" si="0"/>
        <v>0</v>
      </c>
      <c r="G7" t="s">
        <v>16</v>
      </c>
    </row>
    <row r="8" spans="1:10" x14ac:dyDescent="0.3">
      <c r="A8" t="s">
        <v>6</v>
      </c>
      <c r="B8" t="str">
        <f>"10/07/1985 00:00"</f>
        <v>10/07/1985 00:00</v>
      </c>
      <c r="D8" t="s">
        <v>7</v>
      </c>
      <c r="E8" s="2" t="s">
        <v>12</v>
      </c>
      <c r="F8">
        <f t="shared" si="0"/>
        <v>0</v>
      </c>
      <c r="G8" t="s">
        <v>16</v>
      </c>
    </row>
    <row r="9" spans="1:10" x14ac:dyDescent="0.3">
      <c r="A9" t="s">
        <v>6</v>
      </c>
      <c r="B9" t="str">
        <f>"10/08/1985 00:00"</f>
        <v>10/08/1985 00:00</v>
      </c>
      <c r="D9" t="s">
        <v>7</v>
      </c>
      <c r="E9" s="2" t="s">
        <v>12</v>
      </c>
      <c r="F9">
        <f t="shared" si="0"/>
        <v>0</v>
      </c>
      <c r="G9" t="s">
        <v>16</v>
      </c>
    </row>
    <row r="10" spans="1:10" x14ac:dyDescent="0.3">
      <c r="A10" t="s">
        <v>6</v>
      </c>
      <c r="B10" t="str">
        <f>"10/09/1985 00:00"</f>
        <v>10/09/1985 00:00</v>
      </c>
      <c r="D10" t="s">
        <v>7</v>
      </c>
      <c r="E10" s="2" t="s">
        <v>12</v>
      </c>
      <c r="F10">
        <f t="shared" si="0"/>
        <v>0</v>
      </c>
      <c r="G10" t="s">
        <v>16</v>
      </c>
    </row>
    <row r="11" spans="1:10" x14ac:dyDescent="0.3">
      <c r="A11" t="s">
        <v>6</v>
      </c>
      <c r="B11" t="str">
        <f>"10/10/1985 00:00"</f>
        <v>10/10/1985 00:00</v>
      </c>
      <c r="D11" t="s">
        <v>7</v>
      </c>
      <c r="E11" s="2" t="s">
        <v>12</v>
      </c>
      <c r="F11">
        <f t="shared" si="0"/>
        <v>0</v>
      </c>
      <c r="G11" t="s">
        <v>16</v>
      </c>
    </row>
    <row r="12" spans="1:10" x14ac:dyDescent="0.3">
      <c r="A12" t="s">
        <v>6</v>
      </c>
      <c r="B12" t="str">
        <f>"10/11/1985 00:00"</f>
        <v>10/11/1985 00:00</v>
      </c>
      <c r="D12" t="s">
        <v>7</v>
      </c>
      <c r="E12" s="2" t="s">
        <v>12</v>
      </c>
      <c r="F12">
        <f t="shared" si="0"/>
        <v>0</v>
      </c>
      <c r="G12" t="s">
        <v>16</v>
      </c>
    </row>
    <row r="13" spans="1:10" x14ac:dyDescent="0.3">
      <c r="A13" t="s">
        <v>6</v>
      </c>
      <c r="B13" t="str">
        <f>"10/12/1985 00:00"</f>
        <v>10/12/1985 00:00</v>
      </c>
      <c r="D13" t="s">
        <v>7</v>
      </c>
      <c r="E13" s="2" t="s">
        <v>12</v>
      </c>
      <c r="F13">
        <f t="shared" si="0"/>
        <v>0</v>
      </c>
      <c r="G13" t="s">
        <v>16</v>
      </c>
    </row>
    <row r="14" spans="1:10" x14ac:dyDescent="0.3">
      <c r="A14" t="s">
        <v>6</v>
      </c>
      <c r="B14" t="str">
        <f>"10/13/1985 00:00"</f>
        <v>10/13/1985 00:00</v>
      </c>
      <c r="D14" t="s">
        <v>7</v>
      </c>
      <c r="E14" s="2" t="s">
        <v>12</v>
      </c>
      <c r="F14">
        <f t="shared" si="0"/>
        <v>0</v>
      </c>
      <c r="G14" t="s">
        <v>16</v>
      </c>
    </row>
    <row r="15" spans="1:10" x14ac:dyDescent="0.3">
      <c r="A15" t="s">
        <v>6</v>
      </c>
      <c r="B15" t="str">
        <f>"10/14/1985 00:00"</f>
        <v>10/14/1985 00:00</v>
      </c>
      <c r="D15" t="s">
        <v>7</v>
      </c>
      <c r="E15" s="2" t="s">
        <v>12</v>
      </c>
      <c r="F15">
        <f t="shared" si="0"/>
        <v>0</v>
      </c>
      <c r="G15" t="s">
        <v>16</v>
      </c>
    </row>
    <row r="16" spans="1:10" x14ac:dyDescent="0.3">
      <c r="A16" t="s">
        <v>6</v>
      </c>
      <c r="B16" t="str">
        <f>"10/15/1985 00:00"</f>
        <v>10/15/1985 00:00</v>
      </c>
      <c r="D16" t="s">
        <v>7</v>
      </c>
      <c r="E16" s="2" t="s">
        <v>12</v>
      </c>
      <c r="F16">
        <f t="shared" si="0"/>
        <v>0</v>
      </c>
      <c r="G16" t="s">
        <v>16</v>
      </c>
    </row>
    <row r="17" spans="1:7" x14ac:dyDescent="0.3">
      <c r="A17" t="s">
        <v>6</v>
      </c>
      <c r="B17" t="str">
        <f>"10/16/1985 00:00"</f>
        <v>10/16/1985 00:00</v>
      </c>
      <c r="D17" t="s">
        <v>7</v>
      </c>
      <c r="E17" s="2" t="s">
        <v>12</v>
      </c>
      <c r="F17">
        <f t="shared" si="0"/>
        <v>0</v>
      </c>
      <c r="G17" t="s">
        <v>16</v>
      </c>
    </row>
    <row r="18" spans="1:7" x14ac:dyDescent="0.3">
      <c r="A18" t="s">
        <v>6</v>
      </c>
      <c r="B18" t="str">
        <f>"10/17/1985 00:00"</f>
        <v>10/17/1985 00:00</v>
      </c>
      <c r="D18" t="s">
        <v>7</v>
      </c>
      <c r="E18" s="2" t="s">
        <v>12</v>
      </c>
      <c r="F18">
        <f t="shared" si="0"/>
        <v>0</v>
      </c>
      <c r="G18" t="s">
        <v>16</v>
      </c>
    </row>
    <row r="19" spans="1:7" x14ac:dyDescent="0.3">
      <c r="A19" t="s">
        <v>6</v>
      </c>
      <c r="B19" t="str">
        <f>"10/18/1985 00:00"</f>
        <v>10/18/1985 00:00</v>
      </c>
      <c r="D19" t="s">
        <v>7</v>
      </c>
      <c r="E19" s="2" t="s">
        <v>12</v>
      </c>
      <c r="F19">
        <f t="shared" si="0"/>
        <v>0</v>
      </c>
      <c r="G19" t="s">
        <v>16</v>
      </c>
    </row>
    <row r="20" spans="1:7" x14ac:dyDescent="0.3">
      <c r="A20" t="s">
        <v>6</v>
      </c>
      <c r="B20" t="str">
        <f>"10/19/1985 00:00"</f>
        <v>10/19/1985 00:00</v>
      </c>
      <c r="D20" t="s">
        <v>7</v>
      </c>
      <c r="E20" s="2" t="s">
        <v>12</v>
      </c>
      <c r="F20">
        <f t="shared" si="0"/>
        <v>0</v>
      </c>
      <c r="G20" t="s">
        <v>16</v>
      </c>
    </row>
    <row r="21" spans="1:7" x14ac:dyDescent="0.3">
      <c r="A21" t="s">
        <v>6</v>
      </c>
      <c r="B21" t="str">
        <f>"10/20/1985 00:00"</f>
        <v>10/20/1985 00:00</v>
      </c>
      <c r="D21" t="s">
        <v>7</v>
      </c>
      <c r="E21" s="2" t="s">
        <v>12</v>
      </c>
      <c r="F21">
        <f t="shared" si="0"/>
        <v>0</v>
      </c>
      <c r="G21" t="s">
        <v>16</v>
      </c>
    </row>
    <row r="22" spans="1:7" x14ac:dyDescent="0.3">
      <c r="A22" t="s">
        <v>6</v>
      </c>
      <c r="B22" t="str">
        <f>"10/21/1985 00:00"</f>
        <v>10/21/1985 00:00</v>
      </c>
      <c r="D22" t="s">
        <v>7</v>
      </c>
      <c r="E22" s="2" t="s">
        <v>12</v>
      </c>
      <c r="F22">
        <f t="shared" si="0"/>
        <v>0</v>
      </c>
      <c r="G22" t="s">
        <v>16</v>
      </c>
    </row>
    <row r="23" spans="1:7" x14ac:dyDescent="0.3">
      <c r="A23" t="s">
        <v>6</v>
      </c>
      <c r="B23" t="str">
        <f>"10/22/1985 00:00"</f>
        <v>10/22/1985 00:00</v>
      </c>
      <c r="D23" t="s">
        <v>7</v>
      </c>
      <c r="E23" s="2" t="s">
        <v>12</v>
      </c>
      <c r="F23">
        <f t="shared" si="0"/>
        <v>0</v>
      </c>
      <c r="G23" t="s">
        <v>16</v>
      </c>
    </row>
    <row r="24" spans="1:7" x14ac:dyDescent="0.3">
      <c r="A24" t="s">
        <v>6</v>
      </c>
      <c r="B24" t="str">
        <f>"10/23/1985 00:00"</f>
        <v>10/23/1985 00:00</v>
      </c>
      <c r="D24" t="s">
        <v>7</v>
      </c>
      <c r="E24" s="2" t="s">
        <v>12</v>
      </c>
      <c r="F24">
        <f t="shared" si="0"/>
        <v>0</v>
      </c>
      <c r="G24" t="s">
        <v>16</v>
      </c>
    </row>
    <row r="25" spans="1:7" x14ac:dyDescent="0.3">
      <c r="A25" t="s">
        <v>6</v>
      </c>
      <c r="B25" t="str">
        <f>"10/24/1985 00:00"</f>
        <v>10/24/1985 00:00</v>
      </c>
      <c r="D25" t="s">
        <v>7</v>
      </c>
      <c r="E25" s="2" t="s">
        <v>12</v>
      </c>
      <c r="F25">
        <f t="shared" si="0"/>
        <v>0</v>
      </c>
      <c r="G25" t="s">
        <v>16</v>
      </c>
    </row>
    <row r="26" spans="1:7" x14ac:dyDescent="0.3">
      <c r="A26" t="s">
        <v>6</v>
      </c>
      <c r="B26" t="str">
        <f>"10/25/1985 00:00"</f>
        <v>10/25/1985 00:00</v>
      </c>
      <c r="D26" t="s">
        <v>7</v>
      </c>
      <c r="E26" s="2" t="s">
        <v>12</v>
      </c>
      <c r="F26">
        <f t="shared" si="0"/>
        <v>0</v>
      </c>
      <c r="G26" t="s">
        <v>16</v>
      </c>
    </row>
    <row r="27" spans="1:7" x14ac:dyDescent="0.3">
      <c r="A27" t="s">
        <v>6</v>
      </c>
      <c r="B27" t="str">
        <f>"10/26/1985 00:00"</f>
        <v>10/26/1985 00:00</v>
      </c>
      <c r="D27" t="s">
        <v>7</v>
      </c>
      <c r="E27" s="2" t="s">
        <v>12</v>
      </c>
      <c r="F27">
        <f t="shared" si="0"/>
        <v>0</v>
      </c>
      <c r="G27" t="s">
        <v>16</v>
      </c>
    </row>
    <row r="28" spans="1:7" x14ac:dyDescent="0.3">
      <c r="A28" t="s">
        <v>6</v>
      </c>
      <c r="B28" t="str">
        <f>"10/27/1985 00:00"</f>
        <v>10/27/1985 00:00</v>
      </c>
      <c r="D28" t="s">
        <v>7</v>
      </c>
      <c r="E28" s="2" t="s">
        <v>12</v>
      </c>
      <c r="F28">
        <f t="shared" si="0"/>
        <v>0</v>
      </c>
      <c r="G28" t="s">
        <v>16</v>
      </c>
    </row>
    <row r="29" spans="1:7" x14ac:dyDescent="0.3">
      <c r="A29" t="s">
        <v>6</v>
      </c>
      <c r="B29" t="str">
        <f>"10/28/1985 00:00"</f>
        <v>10/28/1985 00:00</v>
      </c>
      <c r="D29" t="s">
        <v>7</v>
      </c>
      <c r="E29" s="2" t="s">
        <v>12</v>
      </c>
      <c r="F29">
        <f t="shared" si="0"/>
        <v>0</v>
      </c>
      <c r="G29" t="s">
        <v>16</v>
      </c>
    </row>
    <row r="30" spans="1:7" x14ac:dyDescent="0.3">
      <c r="A30" t="s">
        <v>6</v>
      </c>
      <c r="B30" t="str">
        <f>"10/29/1985 00:00"</f>
        <v>10/29/1985 00:00</v>
      </c>
      <c r="D30" t="s">
        <v>7</v>
      </c>
      <c r="E30" s="2" t="s">
        <v>12</v>
      </c>
      <c r="F30">
        <f t="shared" si="0"/>
        <v>0</v>
      </c>
      <c r="G30" t="s">
        <v>16</v>
      </c>
    </row>
    <row r="31" spans="1:7" x14ac:dyDescent="0.3">
      <c r="A31" t="s">
        <v>6</v>
      </c>
      <c r="B31" t="str">
        <f>"10/30/1985 00:00"</f>
        <v>10/30/1985 00:00</v>
      </c>
      <c r="D31" t="s">
        <v>7</v>
      </c>
      <c r="E31" s="2" t="s">
        <v>12</v>
      </c>
      <c r="F31">
        <f t="shared" si="0"/>
        <v>0</v>
      </c>
      <c r="G31" t="s">
        <v>16</v>
      </c>
    </row>
    <row r="32" spans="1:7" x14ac:dyDescent="0.3">
      <c r="A32" t="s">
        <v>6</v>
      </c>
      <c r="B32" t="str">
        <f>"10/31/1985 00:00"</f>
        <v>10/31/1985 00:00</v>
      </c>
      <c r="D32" t="s">
        <v>7</v>
      </c>
      <c r="E32" s="2" t="s">
        <v>12</v>
      </c>
      <c r="F32">
        <f t="shared" si="0"/>
        <v>0</v>
      </c>
      <c r="G32" t="s">
        <v>16</v>
      </c>
    </row>
    <row r="33" spans="1:7" x14ac:dyDescent="0.3">
      <c r="A33" t="s">
        <v>6</v>
      </c>
      <c r="B33" t="str">
        <f>"11/01/1985 00:00"</f>
        <v>11/01/1985 00:00</v>
      </c>
      <c r="D33" t="s">
        <v>7</v>
      </c>
      <c r="E33" s="2" t="s">
        <v>12</v>
      </c>
      <c r="F33">
        <f t="shared" si="0"/>
        <v>0</v>
      </c>
      <c r="G33" t="s">
        <v>16</v>
      </c>
    </row>
    <row r="34" spans="1:7" x14ac:dyDescent="0.3">
      <c r="A34" t="s">
        <v>6</v>
      </c>
      <c r="B34" t="str">
        <f>"11/02/1985 00:00"</f>
        <v>11/02/1985 00:00</v>
      </c>
      <c r="D34" t="s">
        <v>7</v>
      </c>
      <c r="E34" s="2" t="s">
        <v>12</v>
      </c>
      <c r="F34">
        <f t="shared" si="0"/>
        <v>0</v>
      </c>
      <c r="G34" t="s">
        <v>16</v>
      </c>
    </row>
    <row r="35" spans="1:7" x14ac:dyDescent="0.3">
      <c r="A35" t="s">
        <v>6</v>
      </c>
      <c r="B35" t="str">
        <f>"11/03/1985 00:00"</f>
        <v>11/03/1985 00:00</v>
      </c>
      <c r="D35" t="s">
        <v>7</v>
      </c>
      <c r="E35" s="2" t="s">
        <v>12</v>
      </c>
      <c r="F35">
        <f t="shared" si="0"/>
        <v>0</v>
      </c>
      <c r="G35" t="s">
        <v>16</v>
      </c>
    </row>
    <row r="36" spans="1:7" x14ac:dyDescent="0.3">
      <c r="A36" t="s">
        <v>6</v>
      </c>
      <c r="B36" t="str">
        <f>"11/04/1985 00:00"</f>
        <v>11/04/1985 00:00</v>
      </c>
      <c r="D36" t="s">
        <v>7</v>
      </c>
      <c r="E36" s="2" t="s">
        <v>12</v>
      </c>
      <c r="F36">
        <f t="shared" si="0"/>
        <v>0</v>
      </c>
      <c r="G36" t="s">
        <v>16</v>
      </c>
    </row>
    <row r="37" spans="1:7" x14ac:dyDescent="0.3">
      <c r="A37" t="s">
        <v>6</v>
      </c>
      <c r="B37" t="str">
        <f>"11/05/1985 00:00"</f>
        <v>11/05/1985 00:00</v>
      </c>
      <c r="D37" t="s">
        <v>7</v>
      </c>
      <c r="E37" s="2" t="s">
        <v>12</v>
      </c>
      <c r="F37">
        <f t="shared" si="0"/>
        <v>0</v>
      </c>
      <c r="G37" t="s">
        <v>16</v>
      </c>
    </row>
    <row r="38" spans="1:7" x14ac:dyDescent="0.3">
      <c r="A38" t="s">
        <v>6</v>
      </c>
      <c r="B38" t="str">
        <f>"11/06/1985 00:00"</f>
        <v>11/06/1985 00:00</v>
      </c>
      <c r="D38" t="s">
        <v>7</v>
      </c>
      <c r="E38" s="2" t="s">
        <v>12</v>
      </c>
      <c r="F38">
        <f t="shared" si="0"/>
        <v>0</v>
      </c>
      <c r="G38" t="s">
        <v>16</v>
      </c>
    </row>
    <row r="39" spans="1:7" x14ac:dyDescent="0.3">
      <c r="A39" t="s">
        <v>6</v>
      </c>
      <c r="B39" t="str">
        <f>"11/07/1985 00:00"</f>
        <v>11/07/1985 00:00</v>
      </c>
      <c r="D39" t="s">
        <v>7</v>
      </c>
      <c r="E39" s="2" t="s">
        <v>12</v>
      </c>
      <c r="F39">
        <f t="shared" si="0"/>
        <v>0</v>
      </c>
      <c r="G39" t="s">
        <v>16</v>
      </c>
    </row>
    <row r="40" spans="1:7" x14ac:dyDescent="0.3">
      <c r="A40" t="s">
        <v>6</v>
      </c>
      <c r="B40" t="str">
        <f>"11/08/1985 00:00"</f>
        <v>11/08/1985 00:00</v>
      </c>
      <c r="D40" t="s">
        <v>7</v>
      </c>
      <c r="E40" s="2" t="s">
        <v>12</v>
      </c>
      <c r="F40">
        <f t="shared" si="0"/>
        <v>0</v>
      </c>
      <c r="G40" t="s">
        <v>16</v>
      </c>
    </row>
    <row r="41" spans="1:7" x14ac:dyDescent="0.3">
      <c r="A41" t="s">
        <v>6</v>
      </c>
      <c r="B41" t="str">
        <f>"11/09/1985 00:00"</f>
        <v>11/09/1985 00:00</v>
      </c>
      <c r="D41" t="s">
        <v>7</v>
      </c>
      <c r="E41" s="2" t="s">
        <v>12</v>
      </c>
      <c r="F41">
        <f t="shared" si="0"/>
        <v>0</v>
      </c>
      <c r="G41" t="s">
        <v>16</v>
      </c>
    </row>
    <row r="42" spans="1:7" x14ac:dyDescent="0.3">
      <c r="A42" t="s">
        <v>6</v>
      </c>
      <c r="B42" t="str">
        <f>"11/10/1985 00:00"</f>
        <v>11/10/1985 00:00</v>
      </c>
      <c r="D42" t="s">
        <v>7</v>
      </c>
      <c r="E42" s="2" t="s">
        <v>12</v>
      </c>
      <c r="F42">
        <f t="shared" si="0"/>
        <v>0</v>
      </c>
      <c r="G42" t="s">
        <v>16</v>
      </c>
    </row>
    <row r="43" spans="1:7" x14ac:dyDescent="0.3">
      <c r="A43" t="s">
        <v>6</v>
      </c>
      <c r="B43" t="str">
        <f>"11/11/1985 00:00"</f>
        <v>11/11/1985 00:00</v>
      </c>
      <c r="D43" t="s">
        <v>7</v>
      </c>
      <c r="E43" s="2" t="s">
        <v>12</v>
      </c>
      <c r="F43">
        <f t="shared" si="0"/>
        <v>0</v>
      </c>
      <c r="G43" t="s">
        <v>16</v>
      </c>
    </row>
    <row r="44" spans="1:7" x14ac:dyDescent="0.3">
      <c r="A44" t="s">
        <v>6</v>
      </c>
      <c r="B44" t="str">
        <f>"11/12/1985 00:00"</f>
        <v>11/12/1985 00:00</v>
      </c>
      <c r="D44" t="s">
        <v>7</v>
      </c>
      <c r="E44" s="2" t="s">
        <v>12</v>
      </c>
      <c r="F44">
        <f t="shared" si="0"/>
        <v>0</v>
      </c>
      <c r="G44" t="s">
        <v>16</v>
      </c>
    </row>
    <row r="45" spans="1:7" x14ac:dyDescent="0.3">
      <c r="A45" t="s">
        <v>6</v>
      </c>
      <c r="B45" t="str">
        <f>"11/13/1985 00:00"</f>
        <v>11/13/1985 00:00</v>
      </c>
      <c r="D45" t="s">
        <v>7</v>
      </c>
      <c r="E45" s="2" t="s">
        <v>12</v>
      </c>
      <c r="F45">
        <f t="shared" si="0"/>
        <v>0</v>
      </c>
      <c r="G45" t="s">
        <v>16</v>
      </c>
    </row>
    <row r="46" spans="1:7" x14ac:dyDescent="0.3">
      <c r="A46" t="s">
        <v>6</v>
      </c>
      <c r="B46" t="str">
        <f>"11/14/1985 00:00"</f>
        <v>11/14/1985 00:00</v>
      </c>
      <c r="D46" t="s">
        <v>7</v>
      </c>
      <c r="E46" s="2" t="s">
        <v>12</v>
      </c>
      <c r="F46">
        <f t="shared" si="0"/>
        <v>0</v>
      </c>
      <c r="G46" t="s">
        <v>16</v>
      </c>
    </row>
    <row r="47" spans="1:7" x14ac:dyDescent="0.3">
      <c r="A47" t="s">
        <v>6</v>
      </c>
      <c r="B47" t="str">
        <f>"11/15/1985 00:00"</f>
        <v>11/15/1985 00:00</v>
      </c>
      <c r="D47" t="s">
        <v>7</v>
      </c>
      <c r="E47" s="2" t="s">
        <v>12</v>
      </c>
      <c r="F47">
        <f t="shared" si="0"/>
        <v>0</v>
      </c>
      <c r="G47" t="s">
        <v>16</v>
      </c>
    </row>
    <row r="48" spans="1:7" x14ac:dyDescent="0.3">
      <c r="A48" t="s">
        <v>6</v>
      </c>
      <c r="B48" t="str">
        <f>"11/16/1985 00:00"</f>
        <v>11/16/1985 00:00</v>
      </c>
      <c r="D48" t="s">
        <v>7</v>
      </c>
      <c r="E48" s="2" t="s">
        <v>12</v>
      </c>
      <c r="F48">
        <f t="shared" si="0"/>
        <v>0</v>
      </c>
      <c r="G48" t="s">
        <v>16</v>
      </c>
    </row>
    <row r="49" spans="1:7" x14ac:dyDescent="0.3">
      <c r="A49" t="s">
        <v>6</v>
      </c>
      <c r="B49" t="str">
        <f>"11/17/1985 00:00"</f>
        <v>11/17/1985 00:00</v>
      </c>
      <c r="D49" t="s">
        <v>7</v>
      </c>
      <c r="E49" s="2" t="s">
        <v>12</v>
      </c>
      <c r="F49">
        <f t="shared" si="0"/>
        <v>0</v>
      </c>
      <c r="G49" t="s">
        <v>16</v>
      </c>
    </row>
    <row r="50" spans="1:7" x14ac:dyDescent="0.3">
      <c r="A50" t="s">
        <v>6</v>
      </c>
      <c r="B50" t="str">
        <f>"11/18/1985 00:00"</f>
        <v>11/18/1985 00:00</v>
      </c>
      <c r="D50" t="s">
        <v>7</v>
      </c>
      <c r="E50" s="2" t="s">
        <v>12</v>
      </c>
      <c r="F50">
        <f t="shared" si="0"/>
        <v>0</v>
      </c>
      <c r="G50" t="s">
        <v>16</v>
      </c>
    </row>
    <row r="51" spans="1:7" x14ac:dyDescent="0.3">
      <c r="A51" t="s">
        <v>6</v>
      </c>
      <c r="B51" t="str">
        <f>"11/19/1985 00:00"</f>
        <v>11/19/1985 00:00</v>
      </c>
      <c r="D51" t="s">
        <v>7</v>
      </c>
      <c r="E51" s="2" t="s">
        <v>12</v>
      </c>
      <c r="F51">
        <f t="shared" si="0"/>
        <v>0</v>
      </c>
      <c r="G51" t="s">
        <v>16</v>
      </c>
    </row>
    <row r="52" spans="1:7" x14ac:dyDescent="0.3">
      <c r="A52" t="s">
        <v>6</v>
      </c>
      <c r="B52" t="str">
        <f>"11/20/1985 00:00"</f>
        <v>11/20/1985 00:00</v>
      </c>
      <c r="D52" t="s">
        <v>7</v>
      </c>
      <c r="E52" s="2" t="s">
        <v>12</v>
      </c>
      <c r="F52">
        <f t="shared" si="0"/>
        <v>0</v>
      </c>
      <c r="G52" t="s">
        <v>16</v>
      </c>
    </row>
    <row r="53" spans="1:7" x14ac:dyDescent="0.3">
      <c r="A53" t="s">
        <v>6</v>
      </c>
      <c r="B53" t="str">
        <f>"11/21/1985 00:00"</f>
        <v>11/21/1985 00:00</v>
      </c>
      <c r="D53" t="s">
        <v>7</v>
      </c>
      <c r="E53" s="2" t="s">
        <v>12</v>
      </c>
      <c r="F53">
        <f t="shared" si="0"/>
        <v>0</v>
      </c>
      <c r="G53" t="s">
        <v>16</v>
      </c>
    </row>
    <row r="54" spans="1:7" x14ac:dyDescent="0.3">
      <c r="A54" t="s">
        <v>6</v>
      </c>
      <c r="B54" t="str">
        <f>"11/22/1985 00:00"</f>
        <v>11/22/1985 00:00</v>
      </c>
      <c r="D54" t="s">
        <v>7</v>
      </c>
      <c r="E54" s="2" t="s">
        <v>12</v>
      </c>
      <c r="F54">
        <f t="shared" si="0"/>
        <v>0</v>
      </c>
      <c r="G54" t="s">
        <v>16</v>
      </c>
    </row>
    <row r="55" spans="1:7" x14ac:dyDescent="0.3">
      <c r="A55" t="s">
        <v>6</v>
      </c>
      <c r="B55" t="str">
        <f>"11/23/1985 00:00"</f>
        <v>11/23/1985 00:00</v>
      </c>
      <c r="D55" t="s">
        <v>7</v>
      </c>
      <c r="E55" s="2" t="s">
        <v>12</v>
      </c>
      <c r="F55">
        <f t="shared" si="0"/>
        <v>0</v>
      </c>
      <c r="G55" t="s">
        <v>16</v>
      </c>
    </row>
    <row r="56" spans="1:7" x14ac:dyDescent="0.3">
      <c r="A56" t="s">
        <v>6</v>
      </c>
      <c r="B56" t="str">
        <f>"11/24/1985 00:00"</f>
        <v>11/24/1985 00:00</v>
      </c>
      <c r="D56" t="s">
        <v>7</v>
      </c>
      <c r="E56" s="2" t="s">
        <v>12</v>
      </c>
      <c r="F56">
        <f t="shared" si="0"/>
        <v>0</v>
      </c>
      <c r="G56" t="s">
        <v>16</v>
      </c>
    </row>
    <row r="57" spans="1:7" x14ac:dyDescent="0.3">
      <c r="A57" t="s">
        <v>6</v>
      </c>
      <c r="B57" t="str">
        <f>"11/25/1985 00:00"</f>
        <v>11/25/1985 00:00</v>
      </c>
      <c r="D57" t="s">
        <v>7</v>
      </c>
      <c r="E57" s="2" t="s">
        <v>12</v>
      </c>
      <c r="F57">
        <f t="shared" si="0"/>
        <v>0</v>
      </c>
      <c r="G57" t="s">
        <v>16</v>
      </c>
    </row>
    <row r="58" spans="1:7" x14ac:dyDescent="0.3">
      <c r="A58" t="s">
        <v>6</v>
      </c>
      <c r="B58" t="str">
        <f>"11/26/1985 00:00"</f>
        <v>11/26/1985 00:00</v>
      </c>
      <c r="D58" t="s">
        <v>7</v>
      </c>
      <c r="E58" s="2" t="s">
        <v>12</v>
      </c>
      <c r="F58">
        <f t="shared" si="0"/>
        <v>0</v>
      </c>
      <c r="G58" t="s">
        <v>16</v>
      </c>
    </row>
    <row r="59" spans="1:7" x14ac:dyDescent="0.3">
      <c r="A59" t="s">
        <v>6</v>
      </c>
      <c r="B59" t="str">
        <f>"11/27/1985 00:00"</f>
        <v>11/27/1985 00:00</v>
      </c>
      <c r="D59" t="s">
        <v>7</v>
      </c>
      <c r="E59" s="2" t="s">
        <v>12</v>
      </c>
      <c r="F59">
        <f t="shared" si="0"/>
        <v>0</v>
      </c>
      <c r="G59" t="s">
        <v>16</v>
      </c>
    </row>
    <row r="60" spans="1:7" x14ac:dyDescent="0.3">
      <c r="A60" t="s">
        <v>6</v>
      </c>
      <c r="B60" t="str">
        <f>"11/28/1985 00:00"</f>
        <v>11/28/1985 00:00</v>
      </c>
      <c r="D60" t="s">
        <v>7</v>
      </c>
      <c r="E60" s="2" t="s">
        <v>12</v>
      </c>
      <c r="F60">
        <f t="shared" si="0"/>
        <v>0</v>
      </c>
      <c r="G60" t="s">
        <v>16</v>
      </c>
    </row>
    <row r="61" spans="1:7" x14ac:dyDescent="0.3">
      <c r="A61" t="s">
        <v>6</v>
      </c>
      <c r="B61" t="str">
        <f>"11/29/1985 00:00"</f>
        <v>11/29/1985 00:00</v>
      </c>
      <c r="D61" t="s">
        <v>7</v>
      </c>
      <c r="E61" s="2" t="s">
        <v>12</v>
      </c>
      <c r="F61">
        <f t="shared" si="0"/>
        <v>0</v>
      </c>
      <c r="G61" t="s">
        <v>16</v>
      </c>
    </row>
    <row r="62" spans="1:7" x14ac:dyDescent="0.3">
      <c r="A62" t="s">
        <v>6</v>
      </c>
      <c r="B62" t="str">
        <f>"11/30/1985 00:00"</f>
        <v>11/30/1985 00:00</v>
      </c>
      <c r="D62" t="s">
        <v>7</v>
      </c>
      <c r="E62" s="2" t="s">
        <v>12</v>
      </c>
      <c r="F62">
        <f t="shared" si="0"/>
        <v>0</v>
      </c>
      <c r="G62" t="s">
        <v>16</v>
      </c>
    </row>
    <row r="63" spans="1:7" x14ac:dyDescent="0.3">
      <c r="A63" t="s">
        <v>6</v>
      </c>
      <c r="B63" t="str">
        <f>"12/01/1985 00:00"</f>
        <v>12/01/1985 00:00</v>
      </c>
      <c r="D63" t="s">
        <v>7</v>
      </c>
      <c r="E63" s="2" t="s">
        <v>12</v>
      </c>
      <c r="F63">
        <f t="shared" si="0"/>
        <v>0</v>
      </c>
      <c r="G63" t="s">
        <v>16</v>
      </c>
    </row>
    <row r="64" spans="1:7" x14ac:dyDescent="0.3">
      <c r="A64" t="s">
        <v>6</v>
      </c>
      <c r="B64" t="str">
        <f>"12/02/1985 00:00"</f>
        <v>12/02/1985 00:00</v>
      </c>
      <c r="D64" t="s">
        <v>7</v>
      </c>
      <c r="E64" s="2" t="s">
        <v>12</v>
      </c>
      <c r="F64">
        <f t="shared" si="0"/>
        <v>0</v>
      </c>
      <c r="G64" t="s">
        <v>16</v>
      </c>
    </row>
    <row r="65" spans="1:7" x14ac:dyDescent="0.3">
      <c r="A65" t="s">
        <v>6</v>
      </c>
      <c r="B65" t="str">
        <f>"12/03/1985 00:00"</f>
        <v>12/03/1985 00:00</v>
      </c>
      <c r="D65" t="s">
        <v>7</v>
      </c>
      <c r="E65" s="2" t="s">
        <v>12</v>
      </c>
      <c r="F65">
        <f t="shared" si="0"/>
        <v>0</v>
      </c>
      <c r="G65" t="s">
        <v>16</v>
      </c>
    </row>
    <row r="66" spans="1:7" x14ac:dyDescent="0.3">
      <c r="A66" t="s">
        <v>6</v>
      </c>
      <c r="B66" t="str">
        <f>"12/04/1985 00:00"</f>
        <v>12/04/1985 00:00</v>
      </c>
      <c r="D66" t="s">
        <v>7</v>
      </c>
      <c r="E66" s="2" t="s">
        <v>12</v>
      </c>
      <c r="F66">
        <f t="shared" si="0"/>
        <v>0</v>
      </c>
      <c r="G66" t="s">
        <v>16</v>
      </c>
    </row>
    <row r="67" spans="1:7" x14ac:dyDescent="0.3">
      <c r="A67" t="s">
        <v>6</v>
      </c>
      <c r="B67" t="str">
        <f>"12/05/1985 00:00"</f>
        <v>12/05/1985 00:00</v>
      </c>
      <c r="D67" t="s">
        <v>7</v>
      </c>
      <c r="E67" s="2" t="s">
        <v>12</v>
      </c>
      <c r="F67">
        <f t="shared" ref="F67:F130" si="1">C67*1.983</f>
        <v>0</v>
      </c>
      <c r="G67" t="s">
        <v>16</v>
      </c>
    </row>
    <row r="68" spans="1:7" x14ac:dyDescent="0.3">
      <c r="A68" t="s">
        <v>6</v>
      </c>
      <c r="B68" t="str">
        <f>"12/06/1985 00:00"</f>
        <v>12/06/1985 00:00</v>
      </c>
      <c r="D68" t="s">
        <v>7</v>
      </c>
      <c r="E68" s="2" t="s">
        <v>12</v>
      </c>
      <c r="F68">
        <f t="shared" si="1"/>
        <v>0</v>
      </c>
      <c r="G68" t="s">
        <v>16</v>
      </c>
    </row>
    <row r="69" spans="1:7" x14ac:dyDescent="0.3">
      <c r="A69" t="s">
        <v>6</v>
      </c>
      <c r="B69" t="str">
        <f>"12/07/1985 00:00"</f>
        <v>12/07/1985 00:00</v>
      </c>
      <c r="D69" t="s">
        <v>7</v>
      </c>
      <c r="E69" s="2" t="s">
        <v>12</v>
      </c>
      <c r="F69">
        <f t="shared" si="1"/>
        <v>0</v>
      </c>
      <c r="G69" t="s">
        <v>16</v>
      </c>
    </row>
    <row r="70" spans="1:7" x14ac:dyDescent="0.3">
      <c r="A70" t="s">
        <v>6</v>
      </c>
      <c r="B70" t="str">
        <f>"12/08/1985 00:00"</f>
        <v>12/08/1985 00:00</v>
      </c>
      <c r="D70" t="s">
        <v>7</v>
      </c>
      <c r="E70" s="2" t="s">
        <v>12</v>
      </c>
      <c r="F70">
        <f t="shared" si="1"/>
        <v>0</v>
      </c>
      <c r="G70" t="s">
        <v>16</v>
      </c>
    </row>
    <row r="71" spans="1:7" x14ac:dyDescent="0.3">
      <c r="A71" t="s">
        <v>6</v>
      </c>
      <c r="B71" t="str">
        <f>"12/09/1985 00:00"</f>
        <v>12/09/1985 00:00</v>
      </c>
      <c r="D71" t="s">
        <v>7</v>
      </c>
      <c r="E71" s="2" t="s">
        <v>12</v>
      </c>
      <c r="F71">
        <f t="shared" si="1"/>
        <v>0</v>
      </c>
      <c r="G71" t="s">
        <v>16</v>
      </c>
    </row>
    <row r="72" spans="1:7" x14ac:dyDescent="0.3">
      <c r="A72" t="s">
        <v>6</v>
      </c>
      <c r="B72" t="str">
        <f>"12/10/1985 00:00"</f>
        <v>12/10/1985 00:00</v>
      </c>
      <c r="D72" t="s">
        <v>7</v>
      </c>
      <c r="E72" s="2" t="s">
        <v>12</v>
      </c>
      <c r="F72">
        <f t="shared" si="1"/>
        <v>0</v>
      </c>
      <c r="G72" t="s">
        <v>16</v>
      </c>
    </row>
    <row r="73" spans="1:7" x14ac:dyDescent="0.3">
      <c r="A73" t="s">
        <v>6</v>
      </c>
      <c r="B73" t="str">
        <f>"12/11/1985 00:00"</f>
        <v>12/11/1985 00:00</v>
      </c>
      <c r="D73" t="s">
        <v>7</v>
      </c>
      <c r="E73" s="2" t="s">
        <v>12</v>
      </c>
      <c r="F73">
        <f t="shared" si="1"/>
        <v>0</v>
      </c>
      <c r="G73" t="s">
        <v>16</v>
      </c>
    </row>
    <row r="74" spans="1:7" x14ac:dyDescent="0.3">
      <c r="A74" t="s">
        <v>6</v>
      </c>
      <c r="B74" t="str">
        <f>"12/12/1985 00:00"</f>
        <v>12/12/1985 00:00</v>
      </c>
      <c r="D74" t="s">
        <v>7</v>
      </c>
      <c r="E74" s="2" t="s">
        <v>12</v>
      </c>
      <c r="F74">
        <f t="shared" si="1"/>
        <v>0</v>
      </c>
      <c r="G74" t="s">
        <v>16</v>
      </c>
    </row>
    <row r="75" spans="1:7" x14ac:dyDescent="0.3">
      <c r="A75" t="s">
        <v>6</v>
      </c>
      <c r="B75" t="str">
        <f>"12/13/1985 00:00"</f>
        <v>12/13/1985 00:00</v>
      </c>
      <c r="D75" t="s">
        <v>7</v>
      </c>
      <c r="E75" s="2" t="s">
        <v>12</v>
      </c>
      <c r="F75">
        <f t="shared" si="1"/>
        <v>0</v>
      </c>
      <c r="G75" t="s">
        <v>16</v>
      </c>
    </row>
    <row r="76" spans="1:7" x14ac:dyDescent="0.3">
      <c r="A76" t="s">
        <v>6</v>
      </c>
      <c r="B76" t="str">
        <f>"12/14/1985 00:00"</f>
        <v>12/14/1985 00:00</v>
      </c>
      <c r="D76" t="s">
        <v>7</v>
      </c>
      <c r="E76" s="2" t="s">
        <v>12</v>
      </c>
      <c r="F76">
        <f t="shared" si="1"/>
        <v>0</v>
      </c>
      <c r="G76" t="s">
        <v>16</v>
      </c>
    </row>
    <row r="77" spans="1:7" x14ac:dyDescent="0.3">
      <c r="A77" t="s">
        <v>6</v>
      </c>
      <c r="B77" t="str">
        <f>"12/15/1985 00:00"</f>
        <v>12/15/1985 00:00</v>
      </c>
      <c r="D77" t="s">
        <v>7</v>
      </c>
      <c r="E77" s="2" t="s">
        <v>12</v>
      </c>
      <c r="F77">
        <f t="shared" si="1"/>
        <v>0</v>
      </c>
      <c r="G77" t="s">
        <v>16</v>
      </c>
    </row>
    <row r="78" spans="1:7" x14ac:dyDescent="0.3">
      <c r="A78" t="s">
        <v>6</v>
      </c>
      <c r="B78" t="str">
        <f>"12/16/1985 00:00"</f>
        <v>12/16/1985 00:00</v>
      </c>
      <c r="D78" t="s">
        <v>7</v>
      </c>
      <c r="E78" s="2" t="s">
        <v>12</v>
      </c>
      <c r="F78">
        <f t="shared" si="1"/>
        <v>0</v>
      </c>
      <c r="G78" t="s">
        <v>16</v>
      </c>
    </row>
    <row r="79" spans="1:7" x14ac:dyDescent="0.3">
      <c r="A79" t="s">
        <v>6</v>
      </c>
      <c r="B79" t="str">
        <f>"12/17/1985 00:00"</f>
        <v>12/17/1985 00:00</v>
      </c>
      <c r="D79" t="s">
        <v>7</v>
      </c>
      <c r="E79" s="2" t="s">
        <v>12</v>
      </c>
      <c r="F79">
        <f t="shared" si="1"/>
        <v>0</v>
      </c>
      <c r="G79" t="s">
        <v>16</v>
      </c>
    </row>
    <row r="80" spans="1:7" x14ac:dyDescent="0.3">
      <c r="A80" t="s">
        <v>6</v>
      </c>
      <c r="B80" t="str">
        <f>"12/18/1985 00:00"</f>
        <v>12/18/1985 00:00</v>
      </c>
      <c r="D80" t="s">
        <v>7</v>
      </c>
      <c r="E80" s="2" t="s">
        <v>12</v>
      </c>
      <c r="F80">
        <f t="shared" si="1"/>
        <v>0</v>
      </c>
      <c r="G80" t="s">
        <v>16</v>
      </c>
    </row>
    <row r="81" spans="1:7" x14ac:dyDescent="0.3">
      <c r="A81" t="s">
        <v>6</v>
      </c>
      <c r="B81" t="str">
        <f>"12/19/1985 00:00"</f>
        <v>12/19/1985 00:00</v>
      </c>
      <c r="D81" t="s">
        <v>7</v>
      </c>
      <c r="E81" s="2" t="s">
        <v>12</v>
      </c>
      <c r="F81">
        <f t="shared" si="1"/>
        <v>0</v>
      </c>
      <c r="G81" t="s">
        <v>16</v>
      </c>
    </row>
    <row r="82" spans="1:7" x14ac:dyDescent="0.3">
      <c r="A82" t="s">
        <v>6</v>
      </c>
      <c r="B82" t="str">
        <f>"12/20/1985 00:00"</f>
        <v>12/20/1985 00:00</v>
      </c>
      <c r="D82" t="s">
        <v>7</v>
      </c>
      <c r="E82" s="2" t="s">
        <v>12</v>
      </c>
      <c r="F82">
        <f t="shared" si="1"/>
        <v>0</v>
      </c>
      <c r="G82" t="s">
        <v>16</v>
      </c>
    </row>
    <row r="83" spans="1:7" x14ac:dyDescent="0.3">
      <c r="A83" t="s">
        <v>6</v>
      </c>
      <c r="B83" t="str">
        <f>"12/21/1985 00:00"</f>
        <v>12/21/1985 00:00</v>
      </c>
      <c r="D83" t="s">
        <v>7</v>
      </c>
      <c r="E83" s="2" t="s">
        <v>12</v>
      </c>
      <c r="F83">
        <f t="shared" si="1"/>
        <v>0</v>
      </c>
      <c r="G83" t="s">
        <v>16</v>
      </c>
    </row>
    <row r="84" spans="1:7" x14ac:dyDescent="0.3">
      <c r="A84" t="s">
        <v>6</v>
      </c>
      <c r="B84" t="str">
        <f>"12/22/1985 00:00"</f>
        <v>12/22/1985 00:00</v>
      </c>
      <c r="D84" t="s">
        <v>7</v>
      </c>
      <c r="E84" s="2" t="s">
        <v>12</v>
      </c>
      <c r="F84">
        <f t="shared" si="1"/>
        <v>0</v>
      </c>
      <c r="G84" t="s">
        <v>16</v>
      </c>
    </row>
    <row r="85" spans="1:7" x14ac:dyDescent="0.3">
      <c r="A85" t="s">
        <v>6</v>
      </c>
      <c r="B85" t="str">
        <f>"12/23/1985 00:00"</f>
        <v>12/23/1985 00:00</v>
      </c>
      <c r="D85" t="s">
        <v>7</v>
      </c>
      <c r="E85" s="2" t="s">
        <v>12</v>
      </c>
      <c r="F85">
        <f t="shared" si="1"/>
        <v>0</v>
      </c>
      <c r="G85" t="s">
        <v>16</v>
      </c>
    </row>
    <row r="86" spans="1:7" x14ac:dyDescent="0.3">
      <c r="A86" t="s">
        <v>6</v>
      </c>
      <c r="B86" t="str">
        <f>"12/24/1985 00:00"</f>
        <v>12/24/1985 00:00</v>
      </c>
      <c r="D86" t="s">
        <v>7</v>
      </c>
      <c r="E86" s="2" t="s">
        <v>12</v>
      </c>
      <c r="F86">
        <f t="shared" si="1"/>
        <v>0</v>
      </c>
      <c r="G86" t="s">
        <v>16</v>
      </c>
    </row>
    <row r="87" spans="1:7" x14ac:dyDescent="0.3">
      <c r="A87" t="s">
        <v>6</v>
      </c>
      <c r="B87" t="str">
        <f>"12/25/1985 00:00"</f>
        <v>12/25/1985 00:00</v>
      </c>
      <c r="D87" t="s">
        <v>7</v>
      </c>
      <c r="E87" s="2" t="s">
        <v>12</v>
      </c>
      <c r="F87">
        <f t="shared" si="1"/>
        <v>0</v>
      </c>
      <c r="G87" t="s">
        <v>16</v>
      </c>
    </row>
    <row r="88" spans="1:7" x14ac:dyDescent="0.3">
      <c r="A88" t="s">
        <v>6</v>
      </c>
      <c r="B88" t="str">
        <f>"12/26/1985 00:00"</f>
        <v>12/26/1985 00:00</v>
      </c>
      <c r="D88" t="s">
        <v>7</v>
      </c>
      <c r="E88" s="2" t="s">
        <v>12</v>
      </c>
      <c r="F88">
        <f t="shared" si="1"/>
        <v>0</v>
      </c>
      <c r="G88" t="s">
        <v>16</v>
      </c>
    </row>
    <row r="89" spans="1:7" x14ac:dyDescent="0.3">
      <c r="A89" t="s">
        <v>6</v>
      </c>
      <c r="B89" t="str">
        <f>"12/27/1985 00:00"</f>
        <v>12/27/1985 00:00</v>
      </c>
      <c r="D89" t="s">
        <v>7</v>
      </c>
      <c r="E89" s="2" t="s">
        <v>12</v>
      </c>
      <c r="F89">
        <f t="shared" si="1"/>
        <v>0</v>
      </c>
      <c r="G89" t="s">
        <v>16</v>
      </c>
    </row>
    <row r="90" spans="1:7" x14ac:dyDescent="0.3">
      <c r="A90" t="s">
        <v>6</v>
      </c>
      <c r="B90" t="str">
        <f>"12/28/1985 00:00"</f>
        <v>12/28/1985 00:00</v>
      </c>
      <c r="D90" t="s">
        <v>7</v>
      </c>
      <c r="E90" s="2" t="s">
        <v>12</v>
      </c>
      <c r="F90">
        <f t="shared" si="1"/>
        <v>0</v>
      </c>
      <c r="G90" t="s">
        <v>16</v>
      </c>
    </row>
    <row r="91" spans="1:7" x14ac:dyDescent="0.3">
      <c r="A91" t="s">
        <v>6</v>
      </c>
      <c r="B91" t="str">
        <f>"12/29/1985 00:00"</f>
        <v>12/29/1985 00:00</v>
      </c>
      <c r="D91" t="s">
        <v>7</v>
      </c>
      <c r="E91" s="2" t="s">
        <v>12</v>
      </c>
      <c r="F91">
        <f t="shared" si="1"/>
        <v>0</v>
      </c>
      <c r="G91" t="s">
        <v>16</v>
      </c>
    </row>
    <row r="92" spans="1:7" x14ac:dyDescent="0.3">
      <c r="A92" t="s">
        <v>6</v>
      </c>
      <c r="B92" t="str">
        <f>"12/30/1985 00:00"</f>
        <v>12/30/1985 00:00</v>
      </c>
      <c r="D92" t="s">
        <v>7</v>
      </c>
      <c r="E92" s="2" t="s">
        <v>12</v>
      </c>
      <c r="F92">
        <f t="shared" si="1"/>
        <v>0</v>
      </c>
      <c r="G92" t="s">
        <v>16</v>
      </c>
    </row>
    <row r="93" spans="1:7" x14ac:dyDescent="0.3">
      <c r="A93" t="s">
        <v>6</v>
      </c>
      <c r="B93" t="str">
        <f>"12/31/1985 00:00"</f>
        <v>12/31/1985 00:00</v>
      </c>
      <c r="D93" t="s">
        <v>7</v>
      </c>
      <c r="E93" s="2" t="s">
        <v>12</v>
      </c>
      <c r="F93">
        <f t="shared" si="1"/>
        <v>0</v>
      </c>
      <c r="G93" t="s">
        <v>16</v>
      </c>
    </row>
    <row r="94" spans="1:7" x14ac:dyDescent="0.3">
      <c r="A94" t="s">
        <v>6</v>
      </c>
      <c r="B94" t="str">
        <f>"01/01/1986 00:00"</f>
        <v>01/01/1986 00:00</v>
      </c>
      <c r="D94" t="s">
        <v>7</v>
      </c>
      <c r="E94" s="2" t="s">
        <v>12</v>
      </c>
      <c r="F94">
        <f t="shared" si="1"/>
        <v>0</v>
      </c>
      <c r="G94" t="s">
        <v>16</v>
      </c>
    </row>
    <row r="95" spans="1:7" x14ac:dyDescent="0.3">
      <c r="A95" t="s">
        <v>6</v>
      </c>
      <c r="B95" t="str">
        <f>"01/02/1986 00:00"</f>
        <v>01/02/1986 00:00</v>
      </c>
      <c r="D95" t="s">
        <v>7</v>
      </c>
      <c r="E95" s="2" t="s">
        <v>12</v>
      </c>
      <c r="F95">
        <f t="shared" si="1"/>
        <v>0</v>
      </c>
      <c r="G95" t="s">
        <v>16</v>
      </c>
    </row>
    <row r="96" spans="1:7" x14ac:dyDescent="0.3">
      <c r="A96" t="s">
        <v>6</v>
      </c>
      <c r="B96" t="str">
        <f>"01/03/1986 00:00"</f>
        <v>01/03/1986 00:00</v>
      </c>
      <c r="D96" t="s">
        <v>7</v>
      </c>
      <c r="E96" s="2" t="s">
        <v>12</v>
      </c>
      <c r="F96">
        <f t="shared" si="1"/>
        <v>0</v>
      </c>
      <c r="G96" t="s">
        <v>16</v>
      </c>
    </row>
    <row r="97" spans="1:7" x14ac:dyDescent="0.3">
      <c r="A97" t="s">
        <v>6</v>
      </c>
      <c r="B97" t="str">
        <f>"01/04/1986 00:00"</f>
        <v>01/04/1986 00:00</v>
      </c>
      <c r="D97" t="s">
        <v>7</v>
      </c>
      <c r="E97" s="2" t="s">
        <v>12</v>
      </c>
      <c r="F97">
        <f t="shared" si="1"/>
        <v>0</v>
      </c>
      <c r="G97" t="s">
        <v>16</v>
      </c>
    </row>
    <row r="98" spans="1:7" x14ac:dyDescent="0.3">
      <c r="A98" t="s">
        <v>6</v>
      </c>
      <c r="B98" t="str">
        <f>"01/05/1986 00:00"</f>
        <v>01/05/1986 00:00</v>
      </c>
      <c r="D98" t="s">
        <v>7</v>
      </c>
      <c r="E98" s="2" t="s">
        <v>12</v>
      </c>
      <c r="F98">
        <f t="shared" si="1"/>
        <v>0</v>
      </c>
      <c r="G98" t="s">
        <v>16</v>
      </c>
    </row>
    <row r="99" spans="1:7" x14ac:dyDescent="0.3">
      <c r="A99" t="s">
        <v>6</v>
      </c>
      <c r="B99" t="str">
        <f>"01/06/1986 00:00"</f>
        <v>01/06/1986 00:00</v>
      </c>
      <c r="D99" t="s">
        <v>7</v>
      </c>
      <c r="E99" s="2" t="s">
        <v>12</v>
      </c>
      <c r="F99">
        <f t="shared" si="1"/>
        <v>0</v>
      </c>
      <c r="G99" t="s">
        <v>16</v>
      </c>
    </row>
    <row r="100" spans="1:7" x14ac:dyDescent="0.3">
      <c r="A100" t="s">
        <v>6</v>
      </c>
      <c r="B100" t="str">
        <f>"01/07/1986 00:00"</f>
        <v>01/07/1986 00:00</v>
      </c>
      <c r="D100" t="s">
        <v>7</v>
      </c>
      <c r="E100" s="2" t="s">
        <v>12</v>
      </c>
      <c r="F100">
        <f t="shared" si="1"/>
        <v>0</v>
      </c>
      <c r="G100" t="s">
        <v>16</v>
      </c>
    </row>
    <row r="101" spans="1:7" x14ac:dyDescent="0.3">
      <c r="A101" t="s">
        <v>6</v>
      </c>
      <c r="B101" t="str">
        <f>"01/08/1986 00:00"</f>
        <v>01/08/1986 00:00</v>
      </c>
      <c r="D101" t="s">
        <v>7</v>
      </c>
      <c r="E101" s="2" t="s">
        <v>12</v>
      </c>
      <c r="F101">
        <f t="shared" si="1"/>
        <v>0</v>
      </c>
      <c r="G101" t="s">
        <v>16</v>
      </c>
    </row>
    <row r="102" spans="1:7" x14ac:dyDescent="0.3">
      <c r="A102" t="s">
        <v>6</v>
      </c>
      <c r="B102" t="str">
        <f>"01/09/1986 00:00"</f>
        <v>01/09/1986 00:00</v>
      </c>
      <c r="D102" t="s">
        <v>7</v>
      </c>
      <c r="E102" s="2" t="s">
        <v>12</v>
      </c>
      <c r="F102">
        <f t="shared" si="1"/>
        <v>0</v>
      </c>
      <c r="G102" t="s">
        <v>16</v>
      </c>
    </row>
    <row r="103" spans="1:7" x14ac:dyDescent="0.3">
      <c r="A103" t="s">
        <v>6</v>
      </c>
      <c r="B103" t="str">
        <f>"01/10/1986 00:00"</f>
        <v>01/10/1986 00:00</v>
      </c>
      <c r="D103" t="s">
        <v>7</v>
      </c>
      <c r="E103" s="2" t="s">
        <v>12</v>
      </c>
      <c r="F103">
        <f t="shared" si="1"/>
        <v>0</v>
      </c>
      <c r="G103" t="s">
        <v>16</v>
      </c>
    </row>
    <row r="104" spans="1:7" x14ac:dyDescent="0.3">
      <c r="A104" t="s">
        <v>6</v>
      </c>
      <c r="B104" t="str">
        <f>"01/11/1986 00:00"</f>
        <v>01/11/1986 00:00</v>
      </c>
      <c r="D104" t="s">
        <v>7</v>
      </c>
      <c r="E104" s="2" t="s">
        <v>12</v>
      </c>
      <c r="F104">
        <f t="shared" si="1"/>
        <v>0</v>
      </c>
      <c r="G104" t="s">
        <v>16</v>
      </c>
    </row>
    <row r="105" spans="1:7" x14ac:dyDescent="0.3">
      <c r="A105" t="s">
        <v>6</v>
      </c>
      <c r="B105" t="str">
        <f>"01/12/1986 00:00"</f>
        <v>01/12/1986 00:00</v>
      </c>
      <c r="D105" t="s">
        <v>7</v>
      </c>
      <c r="E105" s="2" t="s">
        <v>12</v>
      </c>
      <c r="F105">
        <f t="shared" si="1"/>
        <v>0</v>
      </c>
      <c r="G105" t="s">
        <v>16</v>
      </c>
    </row>
    <row r="106" spans="1:7" x14ac:dyDescent="0.3">
      <c r="A106" t="s">
        <v>6</v>
      </c>
      <c r="B106" t="str">
        <f>"01/13/1986 00:00"</f>
        <v>01/13/1986 00:00</v>
      </c>
      <c r="D106" t="s">
        <v>7</v>
      </c>
      <c r="E106" s="2" t="s">
        <v>12</v>
      </c>
      <c r="F106">
        <f t="shared" si="1"/>
        <v>0</v>
      </c>
      <c r="G106" t="s">
        <v>16</v>
      </c>
    </row>
    <row r="107" spans="1:7" x14ac:dyDescent="0.3">
      <c r="A107" t="s">
        <v>6</v>
      </c>
      <c r="B107" t="str">
        <f>"01/14/1986 00:00"</f>
        <v>01/14/1986 00:00</v>
      </c>
      <c r="D107" t="s">
        <v>7</v>
      </c>
      <c r="E107" s="2" t="s">
        <v>12</v>
      </c>
      <c r="F107">
        <f t="shared" si="1"/>
        <v>0</v>
      </c>
      <c r="G107" t="s">
        <v>16</v>
      </c>
    </row>
    <row r="108" spans="1:7" x14ac:dyDescent="0.3">
      <c r="A108" t="s">
        <v>6</v>
      </c>
      <c r="B108" t="str">
        <f>"01/15/1986 00:00"</f>
        <v>01/15/1986 00:00</v>
      </c>
      <c r="D108" t="s">
        <v>7</v>
      </c>
      <c r="E108" s="2" t="s">
        <v>12</v>
      </c>
      <c r="F108">
        <f t="shared" si="1"/>
        <v>0</v>
      </c>
      <c r="G108" t="s">
        <v>16</v>
      </c>
    </row>
    <row r="109" spans="1:7" x14ac:dyDescent="0.3">
      <c r="A109" t="s">
        <v>6</v>
      </c>
      <c r="B109" t="str">
        <f>"01/16/1986 00:00"</f>
        <v>01/16/1986 00:00</v>
      </c>
      <c r="D109" t="s">
        <v>7</v>
      </c>
      <c r="E109" s="2" t="s">
        <v>12</v>
      </c>
      <c r="F109">
        <f t="shared" si="1"/>
        <v>0</v>
      </c>
      <c r="G109" t="s">
        <v>16</v>
      </c>
    </row>
    <row r="110" spans="1:7" x14ac:dyDescent="0.3">
      <c r="A110" t="s">
        <v>6</v>
      </c>
      <c r="B110" t="str">
        <f>"01/17/1986 00:00"</f>
        <v>01/17/1986 00:00</v>
      </c>
      <c r="D110" t="s">
        <v>7</v>
      </c>
      <c r="E110" s="2" t="s">
        <v>12</v>
      </c>
      <c r="F110">
        <f t="shared" si="1"/>
        <v>0</v>
      </c>
      <c r="G110" t="s">
        <v>16</v>
      </c>
    </row>
    <row r="111" spans="1:7" x14ac:dyDescent="0.3">
      <c r="A111" t="s">
        <v>6</v>
      </c>
      <c r="B111" t="str">
        <f>"01/18/1986 00:00"</f>
        <v>01/18/1986 00:00</v>
      </c>
      <c r="D111" t="s">
        <v>7</v>
      </c>
      <c r="E111" s="2" t="s">
        <v>12</v>
      </c>
      <c r="F111">
        <f t="shared" si="1"/>
        <v>0</v>
      </c>
      <c r="G111" t="s">
        <v>16</v>
      </c>
    </row>
    <row r="112" spans="1:7" x14ac:dyDescent="0.3">
      <c r="A112" t="s">
        <v>6</v>
      </c>
      <c r="B112" t="str">
        <f>"01/19/1986 00:00"</f>
        <v>01/19/1986 00:00</v>
      </c>
      <c r="D112" t="s">
        <v>7</v>
      </c>
      <c r="E112" s="2" t="s">
        <v>12</v>
      </c>
      <c r="F112">
        <f t="shared" si="1"/>
        <v>0</v>
      </c>
      <c r="G112" t="s">
        <v>16</v>
      </c>
    </row>
    <row r="113" spans="1:7" x14ac:dyDescent="0.3">
      <c r="A113" t="s">
        <v>6</v>
      </c>
      <c r="B113" t="str">
        <f>"01/20/1986 00:00"</f>
        <v>01/20/1986 00:00</v>
      </c>
      <c r="D113" t="s">
        <v>7</v>
      </c>
      <c r="E113" s="2" t="s">
        <v>12</v>
      </c>
      <c r="F113">
        <f t="shared" si="1"/>
        <v>0</v>
      </c>
      <c r="G113" t="s">
        <v>16</v>
      </c>
    </row>
    <row r="114" spans="1:7" x14ac:dyDescent="0.3">
      <c r="A114" t="s">
        <v>6</v>
      </c>
      <c r="B114" t="str">
        <f>"01/21/1986 00:00"</f>
        <v>01/21/1986 00:00</v>
      </c>
      <c r="D114" t="s">
        <v>7</v>
      </c>
      <c r="E114" s="2" t="s">
        <v>12</v>
      </c>
      <c r="F114">
        <f t="shared" si="1"/>
        <v>0</v>
      </c>
      <c r="G114" t="s">
        <v>16</v>
      </c>
    </row>
    <row r="115" spans="1:7" x14ac:dyDescent="0.3">
      <c r="A115" t="s">
        <v>6</v>
      </c>
      <c r="B115" t="str">
        <f>"01/22/1986 00:00"</f>
        <v>01/22/1986 00:00</v>
      </c>
      <c r="D115" t="s">
        <v>7</v>
      </c>
      <c r="E115" s="2" t="s">
        <v>12</v>
      </c>
      <c r="F115">
        <f t="shared" si="1"/>
        <v>0</v>
      </c>
      <c r="G115" t="s">
        <v>16</v>
      </c>
    </row>
    <row r="116" spans="1:7" x14ac:dyDescent="0.3">
      <c r="A116" t="s">
        <v>6</v>
      </c>
      <c r="B116" t="str">
        <f>"01/23/1986 00:00"</f>
        <v>01/23/1986 00:00</v>
      </c>
      <c r="D116" t="s">
        <v>7</v>
      </c>
      <c r="E116" s="2" t="s">
        <v>12</v>
      </c>
      <c r="F116">
        <f t="shared" si="1"/>
        <v>0</v>
      </c>
      <c r="G116" t="s">
        <v>16</v>
      </c>
    </row>
    <row r="117" spans="1:7" x14ac:dyDescent="0.3">
      <c r="A117" t="s">
        <v>6</v>
      </c>
      <c r="B117" t="str">
        <f>"01/24/1986 00:00"</f>
        <v>01/24/1986 00:00</v>
      </c>
      <c r="D117" t="s">
        <v>7</v>
      </c>
      <c r="E117" s="2" t="s">
        <v>12</v>
      </c>
      <c r="F117">
        <f t="shared" si="1"/>
        <v>0</v>
      </c>
      <c r="G117" t="s">
        <v>16</v>
      </c>
    </row>
    <row r="118" spans="1:7" x14ac:dyDescent="0.3">
      <c r="A118" t="s">
        <v>6</v>
      </c>
      <c r="B118" t="str">
        <f>"01/25/1986 00:00"</f>
        <v>01/25/1986 00:00</v>
      </c>
      <c r="D118" t="s">
        <v>7</v>
      </c>
      <c r="E118" s="2" t="s">
        <v>12</v>
      </c>
      <c r="F118">
        <f t="shared" si="1"/>
        <v>0</v>
      </c>
      <c r="G118" t="s">
        <v>16</v>
      </c>
    </row>
    <row r="119" spans="1:7" x14ac:dyDescent="0.3">
      <c r="A119" t="s">
        <v>6</v>
      </c>
      <c r="B119" t="str">
        <f>"01/26/1986 00:00"</f>
        <v>01/26/1986 00:00</v>
      </c>
      <c r="D119" t="s">
        <v>7</v>
      </c>
      <c r="E119" s="2" t="s">
        <v>12</v>
      </c>
      <c r="F119">
        <f t="shared" si="1"/>
        <v>0</v>
      </c>
      <c r="G119" t="s">
        <v>16</v>
      </c>
    </row>
    <row r="120" spans="1:7" x14ac:dyDescent="0.3">
      <c r="A120" t="s">
        <v>6</v>
      </c>
      <c r="B120" t="str">
        <f>"01/27/1986 00:00"</f>
        <v>01/27/1986 00:00</v>
      </c>
      <c r="D120" t="s">
        <v>7</v>
      </c>
      <c r="E120" s="2" t="s">
        <v>12</v>
      </c>
      <c r="F120">
        <f t="shared" si="1"/>
        <v>0</v>
      </c>
      <c r="G120" t="s">
        <v>16</v>
      </c>
    </row>
    <row r="121" spans="1:7" x14ac:dyDescent="0.3">
      <c r="A121" t="s">
        <v>6</v>
      </c>
      <c r="B121" t="str">
        <f>"01/28/1986 00:00"</f>
        <v>01/28/1986 00:00</v>
      </c>
      <c r="D121" t="s">
        <v>7</v>
      </c>
      <c r="E121" s="2" t="s">
        <v>12</v>
      </c>
      <c r="F121">
        <f t="shared" si="1"/>
        <v>0</v>
      </c>
      <c r="G121" t="s">
        <v>16</v>
      </c>
    </row>
    <row r="122" spans="1:7" x14ac:dyDescent="0.3">
      <c r="A122" t="s">
        <v>6</v>
      </c>
      <c r="B122" t="str">
        <f>"01/29/1986 00:00"</f>
        <v>01/29/1986 00:00</v>
      </c>
      <c r="D122" t="s">
        <v>7</v>
      </c>
      <c r="E122" s="2" t="s">
        <v>12</v>
      </c>
      <c r="F122">
        <f t="shared" si="1"/>
        <v>0</v>
      </c>
      <c r="G122" t="s">
        <v>16</v>
      </c>
    </row>
    <row r="123" spans="1:7" x14ac:dyDescent="0.3">
      <c r="A123" t="s">
        <v>6</v>
      </c>
      <c r="B123" t="str">
        <f>"01/30/1986 00:00"</f>
        <v>01/30/1986 00:00</v>
      </c>
      <c r="D123" t="s">
        <v>7</v>
      </c>
      <c r="E123" s="2" t="s">
        <v>12</v>
      </c>
      <c r="F123">
        <f t="shared" si="1"/>
        <v>0</v>
      </c>
      <c r="G123" t="s">
        <v>16</v>
      </c>
    </row>
    <row r="124" spans="1:7" x14ac:dyDescent="0.3">
      <c r="A124" t="s">
        <v>6</v>
      </c>
      <c r="B124" t="str">
        <f>"01/31/1986 00:00"</f>
        <v>01/31/1986 00:00</v>
      </c>
      <c r="D124" t="s">
        <v>7</v>
      </c>
      <c r="E124" s="2" t="s">
        <v>12</v>
      </c>
      <c r="F124">
        <f t="shared" si="1"/>
        <v>0</v>
      </c>
      <c r="G124" t="s">
        <v>16</v>
      </c>
    </row>
    <row r="125" spans="1:7" x14ac:dyDescent="0.3">
      <c r="A125" t="s">
        <v>6</v>
      </c>
      <c r="B125" t="str">
        <f>"02/01/1986 00:00"</f>
        <v>02/01/1986 00:00</v>
      </c>
      <c r="D125" t="s">
        <v>7</v>
      </c>
      <c r="E125" s="2" t="s">
        <v>12</v>
      </c>
      <c r="F125">
        <f t="shared" si="1"/>
        <v>0</v>
      </c>
      <c r="G125" t="s">
        <v>16</v>
      </c>
    </row>
    <row r="126" spans="1:7" x14ac:dyDescent="0.3">
      <c r="A126" t="s">
        <v>6</v>
      </c>
      <c r="B126" t="str">
        <f>"02/02/1986 00:00"</f>
        <v>02/02/1986 00:00</v>
      </c>
      <c r="D126" t="s">
        <v>7</v>
      </c>
      <c r="E126" s="2" t="s">
        <v>12</v>
      </c>
      <c r="F126">
        <f t="shared" si="1"/>
        <v>0</v>
      </c>
      <c r="G126" t="s">
        <v>16</v>
      </c>
    </row>
    <row r="127" spans="1:7" x14ac:dyDescent="0.3">
      <c r="A127" t="s">
        <v>6</v>
      </c>
      <c r="B127" t="str">
        <f>"02/03/1986 00:00"</f>
        <v>02/03/1986 00:00</v>
      </c>
      <c r="D127" t="s">
        <v>7</v>
      </c>
      <c r="E127" s="2" t="s">
        <v>12</v>
      </c>
      <c r="F127">
        <f t="shared" si="1"/>
        <v>0</v>
      </c>
      <c r="G127" t="s">
        <v>16</v>
      </c>
    </row>
    <row r="128" spans="1:7" x14ac:dyDescent="0.3">
      <c r="A128" t="s">
        <v>6</v>
      </c>
      <c r="B128" t="str">
        <f>"02/04/1986 00:00"</f>
        <v>02/04/1986 00:00</v>
      </c>
      <c r="D128" t="s">
        <v>7</v>
      </c>
      <c r="E128" s="2" t="s">
        <v>12</v>
      </c>
      <c r="F128">
        <f t="shared" si="1"/>
        <v>0</v>
      </c>
      <c r="G128" t="s">
        <v>16</v>
      </c>
    </row>
    <row r="129" spans="1:7" x14ac:dyDescent="0.3">
      <c r="A129" t="s">
        <v>6</v>
      </c>
      <c r="B129" t="str">
        <f>"02/05/1986 00:00"</f>
        <v>02/05/1986 00:00</v>
      </c>
      <c r="D129" t="s">
        <v>7</v>
      </c>
      <c r="E129" s="2" t="s">
        <v>12</v>
      </c>
      <c r="F129">
        <f t="shared" si="1"/>
        <v>0</v>
      </c>
      <c r="G129" t="s">
        <v>16</v>
      </c>
    </row>
    <row r="130" spans="1:7" x14ac:dyDescent="0.3">
      <c r="A130" t="s">
        <v>6</v>
      </c>
      <c r="B130" t="str">
        <f>"02/06/1986 00:00"</f>
        <v>02/06/1986 00:00</v>
      </c>
      <c r="D130" t="s">
        <v>7</v>
      </c>
      <c r="E130" s="2" t="s">
        <v>12</v>
      </c>
      <c r="F130">
        <f t="shared" si="1"/>
        <v>0</v>
      </c>
      <c r="G130" t="s">
        <v>16</v>
      </c>
    </row>
    <row r="131" spans="1:7" x14ac:dyDescent="0.3">
      <c r="A131" t="s">
        <v>6</v>
      </c>
      <c r="B131" t="str">
        <f>"02/07/1986 00:00"</f>
        <v>02/07/1986 00:00</v>
      </c>
      <c r="D131" t="s">
        <v>7</v>
      </c>
      <c r="E131" s="2" t="s">
        <v>12</v>
      </c>
      <c r="F131">
        <f t="shared" ref="F131:F194" si="2">C131*1.983</f>
        <v>0</v>
      </c>
      <c r="G131" t="s">
        <v>16</v>
      </c>
    </row>
    <row r="132" spans="1:7" x14ac:dyDescent="0.3">
      <c r="A132" t="s">
        <v>6</v>
      </c>
      <c r="B132" t="str">
        <f>"02/08/1986 00:00"</f>
        <v>02/08/1986 00:00</v>
      </c>
      <c r="D132" t="s">
        <v>7</v>
      </c>
      <c r="E132" s="2" t="s">
        <v>12</v>
      </c>
      <c r="F132">
        <f t="shared" si="2"/>
        <v>0</v>
      </c>
      <c r="G132" t="s">
        <v>16</v>
      </c>
    </row>
    <row r="133" spans="1:7" x14ac:dyDescent="0.3">
      <c r="A133" t="s">
        <v>6</v>
      </c>
      <c r="B133" t="str">
        <f>"02/09/1986 00:00"</f>
        <v>02/09/1986 00:00</v>
      </c>
      <c r="D133" t="s">
        <v>7</v>
      </c>
      <c r="E133" s="2" t="s">
        <v>12</v>
      </c>
      <c r="F133">
        <f t="shared" si="2"/>
        <v>0</v>
      </c>
      <c r="G133" t="s">
        <v>16</v>
      </c>
    </row>
    <row r="134" spans="1:7" x14ac:dyDescent="0.3">
      <c r="A134" t="s">
        <v>6</v>
      </c>
      <c r="B134" t="str">
        <f>"02/10/1986 00:00"</f>
        <v>02/10/1986 00:00</v>
      </c>
      <c r="D134" t="s">
        <v>7</v>
      </c>
      <c r="E134" s="2" t="s">
        <v>12</v>
      </c>
      <c r="F134">
        <f t="shared" si="2"/>
        <v>0</v>
      </c>
      <c r="G134" t="s">
        <v>16</v>
      </c>
    </row>
    <row r="135" spans="1:7" x14ac:dyDescent="0.3">
      <c r="A135" t="s">
        <v>6</v>
      </c>
      <c r="B135" t="str">
        <f>"02/11/1986 00:00"</f>
        <v>02/11/1986 00:00</v>
      </c>
      <c r="D135" t="s">
        <v>7</v>
      </c>
      <c r="E135" s="2" t="s">
        <v>12</v>
      </c>
      <c r="F135">
        <f t="shared" si="2"/>
        <v>0</v>
      </c>
      <c r="G135" t="s">
        <v>16</v>
      </c>
    </row>
    <row r="136" spans="1:7" x14ac:dyDescent="0.3">
      <c r="A136" t="s">
        <v>6</v>
      </c>
      <c r="B136" t="str">
        <f>"02/12/1986 00:00"</f>
        <v>02/12/1986 00:00</v>
      </c>
      <c r="D136" t="s">
        <v>7</v>
      </c>
      <c r="E136" s="2" t="s">
        <v>12</v>
      </c>
      <c r="F136">
        <f t="shared" si="2"/>
        <v>0</v>
      </c>
      <c r="G136" t="s">
        <v>16</v>
      </c>
    </row>
    <row r="137" spans="1:7" x14ac:dyDescent="0.3">
      <c r="A137" t="s">
        <v>6</v>
      </c>
      <c r="B137" t="str">
        <f>"02/13/1986 00:00"</f>
        <v>02/13/1986 00:00</v>
      </c>
      <c r="D137" t="s">
        <v>7</v>
      </c>
      <c r="E137" s="2" t="s">
        <v>12</v>
      </c>
      <c r="F137">
        <f t="shared" si="2"/>
        <v>0</v>
      </c>
      <c r="G137" t="s">
        <v>16</v>
      </c>
    </row>
    <row r="138" spans="1:7" x14ac:dyDescent="0.3">
      <c r="A138" t="s">
        <v>6</v>
      </c>
      <c r="B138" t="str">
        <f>"02/14/1986 00:00"</f>
        <v>02/14/1986 00:00</v>
      </c>
      <c r="D138" t="s">
        <v>7</v>
      </c>
      <c r="E138" s="2" t="s">
        <v>12</v>
      </c>
      <c r="F138">
        <f t="shared" si="2"/>
        <v>0</v>
      </c>
      <c r="G138" t="s">
        <v>16</v>
      </c>
    </row>
    <row r="139" spans="1:7" x14ac:dyDescent="0.3">
      <c r="A139" t="s">
        <v>6</v>
      </c>
      <c r="B139" t="str">
        <f>"02/15/1986 00:00"</f>
        <v>02/15/1986 00:00</v>
      </c>
      <c r="D139" t="s">
        <v>7</v>
      </c>
      <c r="E139" s="2" t="s">
        <v>12</v>
      </c>
      <c r="F139">
        <f t="shared" si="2"/>
        <v>0</v>
      </c>
      <c r="G139" t="s">
        <v>16</v>
      </c>
    </row>
    <row r="140" spans="1:7" x14ac:dyDescent="0.3">
      <c r="A140" t="s">
        <v>6</v>
      </c>
      <c r="B140" t="str">
        <f>"02/16/1986 00:00"</f>
        <v>02/16/1986 00:00</v>
      </c>
      <c r="D140" t="s">
        <v>7</v>
      </c>
      <c r="E140" s="2" t="s">
        <v>12</v>
      </c>
      <c r="F140">
        <f t="shared" si="2"/>
        <v>0</v>
      </c>
      <c r="G140" t="s">
        <v>16</v>
      </c>
    </row>
    <row r="141" spans="1:7" x14ac:dyDescent="0.3">
      <c r="A141" t="s">
        <v>6</v>
      </c>
      <c r="B141" t="str">
        <f>"02/17/1986 00:00"</f>
        <v>02/17/1986 00:00</v>
      </c>
      <c r="D141" t="s">
        <v>7</v>
      </c>
      <c r="E141" s="2" t="s">
        <v>12</v>
      </c>
      <c r="F141">
        <f t="shared" si="2"/>
        <v>0</v>
      </c>
      <c r="G141" t="s">
        <v>16</v>
      </c>
    </row>
    <row r="142" spans="1:7" x14ac:dyDescent="0.3">
      <c r="A142" t="s">
        <v>6</v>
      </c>
      <c r="B142" t="str">
        <f>"02/18/1986 00:00"</f>
        <v>02/18/1986 00:00</v>
      </c>
      <c r="D142" t="s">
        <v>7</v>
      </c>
      <c r="E142" s="2" t="s">
        <v>12</v>
      </c>
      <c r="F142">
        <f t="shared" si="2"/>
        <v>0</v>
      </c>
      <c r="G142" t="s">
        <v>16</v>
      </c>
    </row>
    <row r="143" spans="1:7" x14ac:dyDescent="0.3">
      <c r="A143" t="s">
        <v>6</v>
      </c>
      <c r="B143" t="str">
        <f>"02/19/1986 00:00"</f>
        <v>02/19/1986 00:00</v>
      </c>
      <c r="D143" t="s">
        <v>7</v>
      </c>
      <c r="E143" s="2" t="s">
        <v>12</v>
      </c>
      <c r="F143">
        <f t="shared" si="2"/>
        <v>0</v>
      </c>
      <c r="G143" t="s">
        <v>16</v>
      </c>
    </row>
    <row r="144" spans="1:7" x14ac:dyDescent="0.3">
      <c r="A144" t="s">
        <v>6</v>
      </c>
      <c r="B144" t="str">
        <f>"02/20/1986 00:00"</f>
        <v>02/20/1986 00:00</v>
      </c>
      <c r="D144" t="s">
        <v>7</v>
      </c>
      <c r="E144" s="2" t="s">
        <v>12</v>
      </c>
      <c r="F144">
        <f t="shared" si="2"/>
        <v>0</v>
      </c>
      <c r="G144" t="s">
        <v>16</v>
      </c>
    </row>
    <row r="145" spans="1:10" x14ac:dyDescent="0.3">
      <c r="A145" t="s">
        <v>6</v>
      </c>
      <c r="B145" t="str">
        <f>"02/21/1986 00:00"</f>
        <v>02/21/1986 00:00</v>
      </c>
      <c r="D145" t="s">
        <v>7</v>
      </c>
      <c r="E145" s="2" t="s">
        <v>12</v>
      </c>
      <c r="F145">
        <f t="shared" si="2"/>
        <v>0</v>
      </c>
      <c r="G145" t="s">
        <v>16</v>
      </c>
    </row>
    <row r="146" spans="1:10" x14ac:dyDescent="0.3">
      <c r="A146" t="s">
        <v>6</v>
      </c>
      <c r="B146" t="str">
        <f>"02/22/1986 00:00"</f>
        <v>02/22/1986 00:00</v>
      </c>
      <c r="D146" t="s">
        <v>7</v>
      </c>
      <c r="E146" s="2" t="s">
        <v>12</v>
      </c>
      <c r="F146">
        <f t="shared" si="2"/>
        <v>0</v>
      </c>
      <c r="G146" t="s">
        <v>16</v>
      </c>
    </row>
    <row r="147" spans="1:10" x14ac:dyDescent="0.3">
      <c r="A147" t="s">
        <v>6</v>
      </c>
      <c r="B147" t="str">
        <f>"02/23/1986 00:00"</f>
        <v>02/23/1986 00:00</v>
      </c>
      <c r="D147" t="s">
        <v>7</v>
      </c>
      <c r="E147" s="2" t="s">
        <v>12</v>
      </c>
      <c r="F147">
        <f t="shared" si="2"/>
        <v>0</v>
      </c>
      <c r="G147" t="s">
        <v>16</v>
      </c>
    </row>
    <row r="148" spans="1:10" x14ac:dyDescent="0.3">
      <c r="A148" t="s">
        <v>6</v>
      </c>
      <c r="B148" t="str">
        <f>"02/24/1986 00:00"</f>
        <v>02/24/1986 00:00</v>
      </c>
      <c r="D148" t="s">
        <v>7</v>
      </c>
      <c r="E148" s="2" t="s">
        <v>12</v>
      </c>
      <c r="F148">
        <f t="shared" si="2"/>
        <v>0</v>
      </c>
      <c r="G148" t="s">
        <v>16</v>
      </c>
    </row>
    <row r="149" spans="1:10" x14ac:dyDescent="0.3">
      <c r="A149" t="s">
        <v>6</v>
      </c>
      <c r="B149" t="str">
        <f>"02/25/1986 00:00"</f>
        <v>02/25/1986 00:00</v>
      </c>
      <c r="D149" t="s">
        <v>7</v>
      </c>
      <c r="E149" s="2" t="s">
        <v>12</v>
      </c>
      <c r="F149">
        <f t="shared" si="2"/>
        <v>0</v>
      </c>
      <c r="G149" t="s">
        <v>16</v>
      </c>
    </row>
    <row r="150" spans="1:10" x14ac:dyDescent="0.3">
      <c r="A150" t="s">
        <v>6</v>
      </c>
      <c r="B150" t="str">
        <f>"02/26/1986 00:00"</f>
        <v>02/26/1986 00:00</v>
      </c>
      <c r="D150" t="s">
        <v>7</v>
      </c>
      <c r="E150" s="2" t="s">
        <v>12</v>
      </c>
      <c r="F150">
        <f t="shared" si="2"/>
        <v>0</v>
      </c>
      <c r="G150" t="s">
        <v>16</v>
      </c>
    </row>
    <row r="151" spans="1:10" x14ac:dyDescent="0.3">
      <c r="A151" t="s">
        <v>6</v>
      </c>
      <c r="B151" t="str">
        <f>"02/27/1986 00:00"</f>
        <v>02/27/1986 00:00</v>
      </c>
      <c r="D151" t="s">
        <v>7</v>
      </c>
      <c r="E151" s="2" t="s">
        <v>12</v>
      </c>
      <c r="F151">
        <f t="shared" si="2"/>
        <v>0</v>
      </c>
      <c r="G151" t="s">
        <v>16</v>
      </c>
    </row>
    <row r="152" spans="1:10" x14ac:dyDescent="0.3">
      <c r="A152" t="s">
        <v>6</v>
      </c>
      <c r="B152" t="str">
        <f>"02/28/1986 00:00"</f>
        <v>02/28/1986 00:00</v>
      </c>
      <c r="C152">
        <v>4470</v>
      </c>
      <c r="D152" t="s">
        <v>7</v>
      </c>
      <c r="E152" s="2" t="s">
        <v>12</v>
      </c>
      <c r="F152">
        <f t="shared" si="2"/>
        <v>8864.01</v>
      </c>
      <c r="G152" t="s">
        <v>16</v>
      </c>
      <c r="I152" t="s">
        <v>8</v>
      </c>
      <c r="J152" t="str">
        <f>"02/28/1986 23:45"</f>
        <v>02/28/1986 23:45</v>
      </c>
    </row>
    <row r="153" spans="1:10" x14ac:dyDescent="0.3">
      <c r="A153" t="s">
        <v>6</v>
      </c>
      <c r="B153" t="str">
        <f>"03/01/1986 00:00"</f>
        <v>03/01/1986 00:00</v>
      </c>
      <c r="C153">
        <v>4310</v>
      </c>
      <c r="D153" t="s">
        <v>7</v>
      </c>
      <c r="E153" s="2" t="s">
        <v>12</v>
      </c>
      <c r="F153">
        <f t="shared" si="2"/>
        <v>8546.73</v>
      </c>
      <c r="G153" t="s">
        <v>16</v>
      </c>
      <c r="I153" t="s">
        <v>8</v>
      </c>
      <c r="J153" t="str">
        <f>"03/01/1986 23:45"</f>
        <v>03/01/1986 23:45</v>
      </c>
    </row>
    <row r="154" spans="1:10" x14ac:dyDescent="0.3">
      <c r="A154" t="s">
        <v>6</v>
      </c>
      <c r="B154" t="str">
        <f>"03/02/1986 00:00"</f>
        <v>03/02/1986 00:00</v>
      </c>
      <c r="C154">
        <v>4140</v>
      </c>
      <c r="D154" t="s">
        <v>7</v>
      </c>
      <c r="E154" s="2" t="s">
        <v>12</v>
      </c>
      <c r="F154">
        <f t="shared" si="2"/>
        <v>8209.6200000000008</v>
      </c>
      <c r="G154" t="s">
        <v>16</v>
      </c>
      <c r="I154" t="s">
        <v>8</v>
      </c>
      <c r="J154" t="str">
        <f>"03/02/1986 23:45"</f>
        <v>03/02/1986 23:45</v>
      </c>
    </row>
    <row r="155" spans="1:10" x14ac:dyDescent="0.3">
      <c r="A155" t="s">
        <v>6</v>
      </c>
      <c r="B155" t="str">
        <f>"03/03/1986 00:00"</f>
        <v>03/03/1986 00:00</v>
      </c>
      <c r="C155">
        <v>5260</v>
      </c>
      <c r="D155" t="s">
        <v>7</v>
      </c>
      <c r="E155" s="2" t="s">
        <v>12</v>
      </c>
      <c r="F155">
        <f t="shared" si="2"/>
        <v>10430.58</v>
      </c>
      <c r="G155" t="s">
        <v>16</v>
      </c>
      <c r="I155" t="s">
        <v>8</v>
      </c>
      <c r="J155" t="str">
        <f>"03/03/1986 23:45"</f>
        <v>03/03/1986 23:45</v>
      </c>
    </row>
    <row r="156" spans="1:10" x14ac:dyDescent="0.3">
      <c r="A156" t="s">
        <v>6</v>
      </c>
      <c r="B156" t="str">
        <f>"03/04/1986 00:00"</f>
        <v>03/04/1986 00:00</v>
      </c>
      <c r="D156" t="s">
        <v>7</v>
      </c>
      <c r="E156" s="2" t="s">
        <v>12</v>
      </c>
      <c r="F156">
        <f t="shared" si="2"/>
        <v>0</v>
      </c>
      <c r="G156" t="s">
        <v>16</v>
      </c>
      <c r="I156" t="s">
        <v>36</v>
      </c>
      <c r="J156" t="str">
        <f>"03/04/1986 12:45"</f>
        <v>03/04/1986 12:45</v>
      </c>
    </row>
    <row r="157" spans="1:10" x14ac:dyDescent="0.3">
      <c r="A157" t="s">
        <v>6</v>
      </c>
      <c r="B157" t="str">
        <f>"03/05/1986 00:00"</f>
        <v>03/05/1986 00:00</v>
      </c>
      <c r="D157" t="s">
        <v>7</v>
      </c>
      <c r="E157" s="2" t="s">
        <v>12</v>
      </c>
      <c r="F157">
        <f t="shared" si="2"/>
        <v>0</v>
      </c>
      <c r="G157" t="s">
        <v>16</v>
      </c>
    </row>
    <row r="158" spans="1:10" x14ac:dyDescent="0.3">
      <c r="A158" t="s">
        <v>6</v>
      </c>
      <c r="B158" t="str">
        <f>"03/06/1986 00:00"</f>
        <v>03/06/1986 00:00</v>
      </c>
      <c r="D158" t="s">
        <v>7</v>
      </c>
      <c r="E158" s="2" t="s">
        <v>12</v>
      </c>
      <c r="F158">
        <f t="shared" si="2"/>
        <v>0</v>
      </c>
      <c r="G158" t="s">
        <v>16</v>
      </c>
    </row>
    <row r="159" spans="1:10" x14ac:dyDescent="0.3">
      <c r="A159" t="s">
        <v>6</v>
      </c>
      <c r="B159" t="str">
        <f>"03/07/1986 00:00"</f>
        <v>03/07/1986 00:00</v>
      </c>
      <c r="D159" t="s">
        <v>7</v>
      </c>
      <c r="E159" s="2" t="s">
        <v>12</v>
      </c>
      <c r="F159">
        <f t="shared" si="2"/>
        <v>0</v>
      </c>
      <c r="G159" t="s">
        <v>16</v>
      </c>
    </row>
    <row r="160" spans="1:10" x14ac:dyDescent="0.3">
      <c r="A160" t="s">
        <v>6</v>
      </c>
      <c r="B160" t="str">
        <f>"03/08/1986 00:00"</f>
        <v>03/08/1986 00:00</v>
      </c>
      <c r="D160" t="s">
        <v>7</v>
      </c>
      <c r="E160" s="2" t="s">
        <v>12</v>
      </c>
      <c r="F160">
        <f t="shared" si="2"/>
        <v>0</v>
      </c>
      <c r="G160" t="s">
        <v>16</v>
      </c>
    </row>
    <row r="161" spans="1:7" x14ac:dyDescent="0.3">
      <c r="A161" t="s">
        <v>6</v>
      </c>
      <c r="B161" t="str">
        <f>"03/09/1986 00:00"</f>
        <v>03/09/1986 00:00</v>
      </c>
      <c r="D161" t="s">
        <v>7</v>
      </c>
      <c r="E161" s="2" t="s">
        <v>12</v>
      </c>
      <c r="F161">
        <f t="shared" si="2"/>
        <v>0</v>
      </c>
      <c r="G161" t="s">
        <v>16</v>
      </c>
    </row>
    <row r="162" spans="1:7" x14ac:dyDescent="0.3">
      <c r="A162" t="s">
        <v>6</v>
      </c>
      <c r="B162" t="str">
        <f>"03/10/1986 00:00"</f>
        <v>03/10/1986 00:00</v>
      </c>
      <c r="D162" t="s">
        <v>7</v>
      </c>
      <c r="E162" s="2" t="s">
        <v>12</v>
      </c>
      <c r="F162">
        <f t="shared" si="2"/>
        <v>0</v>
      </c>
      <c r="G162" t="s">
        <v>16</v>
      </c>
    </row>
    <row r="163" spans="1:7" x14ac:dyDescent="0.3">
      <c r="A163" t="s">
        <v>6</v>
      </c>
      <c r="B163" t="str">
        <f>"03/11/1986 00:00"</f>
        <v>03/11/1986 00:00</v>
      </c>
      <c r="D163" t="s">
        <v>7</v>
      </c>
      <c r="E163" s="2" t="s">
        <v>12</v>
      </c>
      <c r="F163">
        <f t="shared" si="2"/>
        <v>0</v>
      </c>
      <c r="G163" t="s">
        <v>16</v>
      </c>
    </row>
    <row r="164" spans="1:7" x14ac:dyDescent="0.3">
      <c r="A164" t="s">
        <v>6</v>
      </c>
      <c r="B164" t="str">
        <f>"03/12/1986 00:00"</f>
        <v>03/12/1986 00:00</v>
      </c>
      <c r="D164" t="s">
        <v>7</v>
      </c>
      <c r="E164" s="2" t="s">
        <v>12</v>
      </c>
      <c r="F164">
        <f t="shared" si="2"/>
        <v>0</v>
      </c>
      <c r="G164" t="s">
        <v>16</v>
      </c>
    </row>
    <row r="165" spans="1:7" x14ac:dyDescent="0.3">
      <c r="A165" t="s">
        <v>6</v>
      </c>
      <c r="B165" t="str">
        <f>"03/13/1986 00:00"</f>
        <v>03/13/1986 00:00</v>
      </c>
      <c r="D165" t="s">
        <v>7</v>
      </c>
      <c r="E165" s="2" t="s">
        <v>12</v>
      </c>
      <c r="F165">
        <f t="shared" si="2"/>
        <v>0</v>
      </c>
      <c r="G165" t="s">
        <v>16</v>
      </c>
    </row>
    <row r="166" spans="1:7" x14ac:dyDescent="0.3">
      <c r="A166" t="s">
        <v>6</v>
      </c>
      <c r="B166" t="str">
        <f>"03/14/1986 00:00"</f>
        <v>03/14/1986 00:00</v>
      </c>
      <c r="D166" t="s">
        <v>7</v>
      </c>
      <c r="E166" s="2" t="s">
        <v>12</v>
      </c>
      <c r="F166">
        <f t="shared" si="2"/>
        <v>0</v>
      </c>
      <c r="G166" t="s">
        <v>16</v>
      </c>
    </row>
    <row r="167" spans="1:7" x14ac:dyDescent="0.3">
      <c r="A167" t="s">
        <v>6</v>
      </c>
      <c r="B167" t="str">
        <f>"03/15/1986 00:00"</f>
        <v>03/15/1986 00:00</v>
      </c>
      <c r="D167" t="s">
        <v>7</v>
      </c>
      <c r="E167" s="2" t="s">
        <v>12</v>
      </c>
      <c r="F167">
        <f t="shared" si="2"/>
        <v>0</v>
      </c>
      <c r="G167" t="s">
        <v>16</v>
      </c>
    </row>
    <row r="168" spans="1:7" x14ac:dyDescent="0.3">
      <c r="A168" t="s">
        <v>6</v>
      </c>
      <c r="B168" t="str">
        <f>"03/16/1986 00:00"</f>
        <v>03/16/1986 00:00</v>
      </c>
      <c r="D168" t="s">
        <v>7</v>
      </c>
      <c r="E168" s="2" t="s">
        <v>12</v>
      </c>
      <c r="F168">
        <f t="shared" si="2"/>
        <v>0</v>
      </c>
      <c r="G168" t="s">
        <v>16</v>
      </c>
    </row>
    <row r="169" spans="1:7" x14ac:dyDescent="0.3">
      <c r="A169" t="s">
        <v>6</v>
      </c>
      <c r="B169" t="str">
        <f>"03/17/1986 00:00"</f>
        <v>03/17/1986 00:00</v>
      </c>
      <c r="D169" t="s">
        <v>7</v>
      </c>
      <c r="E169" s="2" t="s">
        <v>12</v>
      </c>
      <c r="F169">
        <f t="shared" si="2"/>
        <v>0</v>
      </c>
      <c r="G169" t="s">
        <v>16</v>
      </c>
    </row>
    <row r="170" spans="1:7" x14ac:dyDescent="0.3">
      <c r="A170" t="s">
        <v>6</v>
      </c>
      <c r="B170" t="str">
        <f>"03/18/1986 00:00"</f>
        <v>03/18/1986 00:00</v>
      </c>
      <c r="D170" t="s">
        <v>7</v>
      </c>
      <c r="E170" s="2" t="s">
        <v>12</v>
      </c>
      <c r="F170">
        <f t="shared" si="2"/>
        <v>0</v>
      </c>
      <c r="G170" t="s">
        <v>16</v>
      </c>
    </row>
    <row r="171" spans="1:7" x14ac:dyDescent="0.3">
      <c r="A171" t="s">
        <v>6</v>
      </c>
      <c r="B171" t="str">
        <f>"03/19/1986 00:00"</f>
        <v>03/19/1986 00:00</v>
      </c>
      <c r="D171" t="s">
        <v>7</v>
      </c>
      <c r="E171" s="2" t="s">
        <v>12</v>
      </c>
      <c r="F171">
        <f t="shared" si="2"/>
        <v>0</v>
      </c>
      <c r="G171" t="s">
        <v>16</v>
      </c>
    </row>
    <row r="172" spans="1:7" x14ac:dyDescent="0.3">
      <c r="A172" t="s">
        <v>6</v>
      </c>
      <c r="B172" t="str">
        <f>"03/20/1986 00:00"</f>
        <v>03/20/1986 00:00</v>
      </c>
      <c r="D172" t="s">
        <v>7</v>
      </c>
      <c r="E172" s="2" t="s">
        <v>12</v>
      </c>
      <c r="F172">
        <f t="shared" si="2"/>
        <v>0</v>
      </c>
      <c r="G172" t="s">
        <v>16</v>
      </c>
    </row>
    <row r="173" spans="1:7" x14ac:dyDescent="0.3">
      <c r="A173" t="s">
        <v>6</v>
      </c>
      <c r="B173" t="str">
        <f>"03/21/1986 00:00"</f>
        <v>03/21/1986 00:00</v>
      </c>
      <c r="D173" t="s">
        <v>7</v>
      </c>
      <c r="E173" s="2" t="s">
        <v>12</v>
      </c>
      <c r="F173">
        <f t="shared" si="2"/>
        <v>0</v>
      </c>
      <c r="G173" t="s">
        <v>16</v>
      </c>
    </row>
    <row r="174" spans="1:7" x14ac:dyDescent="0.3">
      <c r="A174" t="s">
        <v>6</v>
      </c>
      <c r="B174" t="str">
        <f>"03/22/1986 00:00"</f>
        <v>03/22/1986 00:00</v>
      </c>
      <c r="D174" t="s">
        <v>7</v>
      </c>
      <c r="E174" s="2" t="s">
        <v>12</v>
      </c>
      <c r="F174">
        <f t="shared" si="2"/>
        <v>0</v>
      </c>
      <c r="G174" t="s">
        <v>16</v>
      </c>
    </row>
    <row r="175" spans="1:7" x14ac:dyDescent="0.3">
      <c r="A175" t="s">
        <v>6</v>
      </c>
      <c r="B175" t="str">
        <f>"03/23/1986 00:00"</f>
        <v>03/23/1986 00:00</v>
      </c>
      <c r="D175" t="s">
        <v>7</v>
      </c>
      <c r="E175" s="2" t="s">
        <v>12</v>
      </c>
      <c r="F175">
        <f t="shared" si="2"/>
        <v>0</v>
      </c>
      <c r="G175" t="s">
        <v>16</v>
      </c>
    </row>
    <row r="176" spans="1:7" x14ac:dyDescent="0.3">
      <c r="A176" t="s">
        <v>6</v>
      </c>
      <c r="B176" t="str">
        <f>"03/24/1986 00:00"</f>
        <v>03/24/1986 00:00</v>
      </c>
      <c r="D176" t="s">
        <v>7</v>
      </c>
      <c r="E176" s="2" t="s">
        <v>12</v>
      </c>
      <c r="F176">
        <f t="shared" si="2"/>
        <v>0</v>
      </c>
      <c r="G176" t="s">
        <v>16</v>
      </c>
    </row>
    <row r="177" spans="1:7" x14ac:dyDescent="0.3">
      <c r="A177" t="s">
        <v>6</v>
      </c>
      <c r="B177" t="str">
        <f>"03/25/1986 00:00"</f>
        <v>03/25/1986 00:00</v>
      </c>
      <c r="D177" t="s">
        <v>7</v>
      </c>
      <c r="E177" s="2" t="s">
        <v>12</v>
      </c>
      <c r="F177">
        <f t="shared" si="2"/>
        <v>0</v>
      </c>
      <c r="G177" t="s">
        <v>16</v>
      </c>
    </row>
    <row r="178" spans="1:7" x14ac:dyDescent="0.3">
      <c r="A178" t="s">
        <v>6</v>
      </c>
      <c r="B178" t="str">
        <f>"03/26/1986 00:00"</f>
        <v>03/26/1986 00:00</v>
      </c>
      <c r="D178" t="s">
        <v>7</v>
      </c>
      <c r="E178" s="2" t="s">
        <v>12</v>
      </c>
      <c r="F178">
        <f t="shared" si="2"/>
        <v>0</v>
      </c>
      <c r="G178" t="s">
        <v>16</v>
      </c>
    </row>
    <row r="179" spans="1:7" x14ac:dyDescent="0.3">
      <c r="A179" t="s">
        <v>6</v>
      </c>
      <c r="B179" t="str">
        <f>"03/27/1986 00:00"</f>
        <v>03/27/1986 00:00</v>
      </c>
      <c r="D179" t="s">
        <v>7</v>
      </c>
      <c r="E179" s="2" t="s">
        <v>12</v>
      </c>
      <c r="F179">
        <f t="shared" si="2"/>
        <v>0</v>
      </c>
      <c r="G179" t="s">
        <v>16</v>
      </c>
    </row>
    <row r="180" spans="1:7" x14ac:dyDescent="0.3">
      <c r="A180" t="s">
        <v>6</v>
      </c>
      <c r="B180" t="str">
        <f>"03/28/1986 00:00"</f>
        <v>03/28/1986 00:00</v>
      </c>
      <c r="D180" t="s">
        <v>7</v>
      </c>
      <c r="E180" s="2" t="s">
        <v>12</v>
      </c>
      <c r="F180">
        <f t="shared" si="2"/>
        <v>0</v>
      </c>
      <c r="G180" t="s">
        <v>16</v>
      </c>
    </row>
    <row r="181" spans="1:7" x14ac:dyDescent="0.3">
      <c r="A181" t="s">
        <v>6</v>
      </c>
      <c r="B181" t="str">
        <f>"03/29/1986 00:00"</f>
        <v>03/29/1986 00:00</v>
      </c>
      <c r="D181" t="s">
        <v>7</v>
      </c>
      <c r="E181" s="2" t="s">
        <v>12</v>
      </c>
      <c r="F181">
        <f t="shared" si="2"/>
        <v>0</v>
      </c>
      <c r="G181" t="s">
        <v>16</v>
      </c>
    </row>
    <row r="182" spans="1:7" x14ac:dyDescent="0.3">
      <c r="A182" t="s">
        <v>6</v>
      </c>
      <c r="B182" t="str">
        <f>"03/30/1986 00:00"</f>
        <v>03/30/1986 00:00</v>
      </c>
      <c r="D182" t="s">
        <v>7</v>
      </c>
      <c r="E182" s="2" t="s">
        <v>12</v>
      </c>
      <c r="F182">
        <f t="shared" si="2"/>
        <v>0</v>
      </c>
      <c r="G182" t="s">
        <v>16</v>
      </c>
    </row>
    <row r="183" spans="1:7" x14ac:dyDescent="0.3">
      <c r="A183" t="s">
        <v>6</v>
      </c>
      <c r="B183" t="str">
        <f>"03/31/1986 00:00"</f>
        <v>03/31/1986 00:00</v>
      </c>
      <c r="D183" t="s">
        <v>7</v>
      </c>
      <c r="E183" s="2" t="s">
        <v>12</v>
      </c>
      <c r="F183">
        <f t="shared" si="2"/>
        <v>0</v>
      </c>
      <c r="G183" t="s">
        <v>16</v>
      </c>
    </row>
    <row r="184" spans="1:7" x14ac:dyDescent="0.3">
      <c r="A184" t="s">
        <v>6</v>
      </c>
      <c r="B184" t="str">
        <f>"04/01/1986 00:00"</f>
        <v>04/01/1986 00:00</v>
      </c>
      <c r="D184" t="s">
        <v>7</v>
      </c>
      <c r="E184" s="2" t="s">
        <v>12</v>
      </c>
      <c r="F184">
        <f t="shared" si="2"/>
        <v>0</v>
      </c>
      <c r="G184" t="s">
        <v>16</v>
      </c>
    </row>
    <row r="185" spans="1:7" x14ac:dyDescent="0.3">
      <c r="A185" t="s">
        <v>6</v>
      </c>
      <c r="B185" t="str">
        <f>"04/02/1986 00:00"</f>
        <v>04/02/1986 00:00</v>
      </c>
      <c r="D185" t="s">
        <v>7</v>
      </c>
      <c r="E185" s="2" t="s">
        <v>12</v>
      </c>
      <c r="F185">
        <f t="shared" si="2"/>
        <v>0</v>
      </c>
      <c r="G185" t="s">
        <v>16</v>
      </c>
    </row>
    <row r="186" spans="1:7" x14ac:dyDescent="0.3">
      <c r="A186" t="s">
        <v>6</v>
      </c>
      <c r="B186" t="str">
        <f>"04/03/1986 00:00"</f>
        <v>04/03/1986 00:00</v>
      </c>
      <c r="D186" t="s">
        <v>7</v>
      </c>
      <c r="E186" s="2" t="s">
        <v>12</v>
      </c>
      <c r="F186">
        <f t="shared" si="2"/>
        <v>0</v>
      </c>
      <c r="G186" t="s">
        <v>16</v>
      </c>
    </row>
    <row r="187" spans="1:7" x14ac:dyDescent="0.3">
      <c r="A187" t="s">
        <v>6</v>
      </c>
      <c r="B187" t="str">
        <f>"04/04/1986 00:00"</f>
        <v>04/04/1986 00:00</v>
      </c>
      <c r="D187" t="s">
        <v>7</v>
      </c>
      <c r="E187" s="2" t="s">
        <v>12</v>
      </c>
      <c r="F187">
        <f t="shared" si="2"/>
        <v>0</v>
      </c>
      <c r="G187" t="s">
        <v>16</v>
      </c>
    </row>
    <row r="188" spans="1:7" x14ac:dyDescent="0.3">
      <c r="A188" t="s">
        <v>6</v>
      </c>
      <c r="B188" t="str">
        <f>"04/05/1986 00:00"</f>
        <v>04/05/1986 00:00</v>
      </c>
      <c r="D188" t="s">
        <v>7</v>
      </c>
      <c r="E188" s="2" t="s">
        <v>12</v>
      </c>
      <c r="F188">
        <f t="shared" si="2"/>
        <v>0</v>
      </c>
      <c r="G188" t="s">
        <v>16</v>
      </c>
    </row>
    <row r="189" spans="1:7" x14ac:dyDescent="0.3">
      <c r="A189" t="s">
        <v>6</v>
      </c>
      <c r="B189" t="str">
        <f>"04/06/1986 00:00"</f>
        <v>04/06/1986 00:00</v>
      </c>
      <c r="D189" t="s">
        <v>7</v>
      </c>
      <c r="E189" s="2" t="s">
        <v>12</v>
      </c>
      <c r="F189">
        <f t="shared" si="2"/>
        <v>0</v>
      </c>
      <c r="G189" t="s">
        <v>16</v>
      </c>
    </row>
    <row r="190" spans="1:7" x14ac:dyDescent="0.3">
      <c r="A190" t="s">
        <v>6</v>
      </c>
      <c r="B190" t="str">
        <f>"04/07/1986 00:00"</f>
        <v>04/07/1986 00:00</v>
      </c>
      <c r="D190" t="s">
        <v>7</v>
      </c>
      <c r="E190" s="2" t="s">
        <v>12</v>
      </c>
      <c r="F190">
        <f t="shared" si="2"/>
        <v>0</v>
      </c>
      <c r="G190" t="s">
        <v>16</v>
      </c>
    </row>
    <row r="191" spans="1:7" x14ac:dyDescent="0.3">
      <c r="A191" t="s">
        <v>6</v>
      </c>
      <c r="B191" t="str">
        <f>"04/08/1986 00:00"</f>
        <v>04/08/1986 00:00</v>
      </c>
      <c r="D191" t="s">
        <v>7</v>
      </c>
      <c r="E191" s="2" t="s">
        <v>12</v>
      </c>
      <c r="F191">
        <f t="shared" si="2"/>
        <v>0</v>
      </c>
      <c r="G191" t="s">
        <v>16</v>
      </c>
    </row>
    <row r="192" spans="1:7" x14ac:dyDescent="0.3">
      <c r="A192" t="s">
        <v>6</v>
      </c>
      <c r="B192" t="str">
        <f>"04/09/1986 00:00"</f>
        <v>04/09/1986 00:00</v>
      </c>
      <c r="D192" t="s">
        <v>7</v>
      </c>
      <c r="E192" s="2" t="s">
        <v>12</v>
      </c>
      <c r="F192">
        <f t="shared" si="2"/>
        <v>0</v>
      </c>
      <c r="G192" t="s">
        <v>16</v>
      </c>
    </row>
    <row r="193" spans="1:7" x14ac:dyDescent="0.3">
      <c r="A193" t="s">
        <v>6</v>
      </c>
      <c r="B193" t="str">
        <f>"04/10/1986 00:00"</f>
        <v>04/10/1986 00:00</v>
      </c>
      <c r="D193" t="s">
        <v>7</v>
      </c>
      <c r="E193" s="2" t="s">
        <v>12</v>
      </c>
      <c r="F193">
        <f t="shared" si="2"/>
        <v>0</v>
      </c>
      <c r="G193" t="s">
        <v>16</v>
      </c>
    </row>
    <row r="194" spans="1:7" x14ac:dyDescent="0.3">
      <c r="A194" t="s">
        <v>6</v>
      </c>
      <c r="B194" t="str">
        <f>"04/11/1986 00:00"</f>
        <v>04/11/1986 00:00</v>
      </c>
      <c r="D194" t="s">
        <v>7</v>
      </c>
      <c r="E194" s="2" t="s">
        <v>12</v>
      </c>
      <c r="F194">
        <f t="shared" si="2"/>
        <v>0</v>
      </c>
      <c r="G194" t="s">
        <v>16</v>
      </c>
    </row>
    <row r="195" spans="1:7" x14ac:dyDescent="0.3">
      <c r="A195" t="s">
        <v>6</v>
      </c>
      <c r="B195" t="str">
        <f>"04/12/1986 00:00"</f>
        <v>04/12/1986 00:00</v>
      </c>
      <c r="D195" t="s">
        <v>7</v>
      </c>
      <c r="E195" s="2" t="s">
        <v>12</v>
      </c>
      <c r="F195">
        <f t="shared" ref="F195:F258" si="3">C195*1.983</f>
        <v>0</v>
      </c>
      <c r="G195" t="s">
        <v>16</v>
      </c>
    </row>
    <row r="196" spans="1:7" x14ac:dyDescent="0.3">
      <c r="A196" t="s">
        <v>6</v>
      </c>
      <c r="B196" t="str">
        <f>"04/13/1986 00:00"</f>
        <v>04/13/1986 00:00</v>
      </c>
      <c r="D196" t="s">
        <v>7</v>
      </c>
      <c r="E196" s="2" t="s">
        <v>12</v>
      </c>
      <c r="F196">
        <f t="shared" si="3"/>
        <v>0</v>
      </c>
      <c r="G196" t="s">
        <v>16</v>
      </c>
    </row>
    <row r="197" spans="1:7" x14ac:dyDescent="0.3">
      <c r="A197" t="s">
        <v>6</v>
      </c>
      <c r="B197" t="str">
        <f>"04/14/1986 00:00"</f>
        <v>04/14/1986 00:00</v>
      </c>
      <c r="D197" t="s">
        <v>7</v>
      </c>
      <c r="E197" s="2" t="s">
        <v>12</v>
      </c>
      <c r="F197">
        <f t="shared" si="3"/>
        <v>0</v>
      </c>
      <c r="G197" t="s">
        <v>16</v>
      </c>
    </row>
    <row r="198" spans="1:7" x14ac:dyDescent="0.3">
      <c r="A198" t="s">
        <v>6</v>
      </c>
      <c r="B198" t="str">
        <f>"04/15/1986 00:00"</f>
        <v>04/15/1986 00:00</v>
      </c>
      <c r="D198" t="s">
        <v>7</v>
      </c>
      <c r="E198" s="2" t="s">
        <v>12</v>
      </c>
      <c r="F198">
        <f t="shared" si="3"/>
        <v>0</v>
      </c>
      <c r="G198" t="s">
        <v>16</v>
      </c>
    </row>
    <row r="199" spans="1:7" x14ac:dyDescent="0.3">
      <c r="A199" t="s">
        <v>6</v>
      </c>
      <c r="B199" t="str">
        <f>"04/16/1986 00:00"</f>
        <v>04/16/1986 00:00</v>
      </c>
      <c r="D199" t="s">
        <v>7</v>
      </c>
      <c r="E199" s="2" t="s">
        <v>12</v>
      </c>
      <c r="F199">
        <f t="shared" si="3"/>
        <v>0</v>
      </c>
      <c r="G199" t="s">
        <v>16</v>
      </c>
    </row>
    <row r="200" spans="1:7" x14ac:dyDescent="0.3">
      <c r="A200" t="s">
        <v>6</v>
      </c>
      <c r="B200" t="str">
        <f>"04/17/1986 00:00"</f>
        <v>04/17/1986 00:00</v>
      </c>
      <c r="D200" t="s">
        <v>7</v>
      </c>
      <c r="E200" s="2" t="s">
        <v>12</v>
      </c>
      <c r="F200">
        <f t="shared" si="3"/>
        <v>0</v>
      </c>
      <c r="G200" t="s">
        <v>16</v>
      </c>
    </row>
    <row r="201" spans="1:7" x14ac:dyDescent="0.3">
      <c r="A201" t="s">
        <v>6</v>
      </c>
      <c r="B201" t="str">
        <f>"04/18/1986 00:00"</f>
        <v>04/18/1986 00:00</v>
      </c>
      <c r="D201" t="s">
        <v>7</v>
      </c>
      <c r="E201" s="2" t="s">
        <v>12</v>
      </c>
      <c r="F201">
        <f t="shared" si="3"/>
        <v>0</v>
      </c>
      <c r="G201" t="s">
        <v>16</v>
      </c>
    </row>
    <row r="202" spans="1:7" x14ac:dyDescent="0.3">
      <c r="A202" t="s">
        <v>6</v>
      </c>
      <c r="B202" t="str">
        <f>"04/19/1986 00:00"</f>
        <v>04/19/1986 00:00</v>
      </c>
      <c r="D202" t="s">
        <v>7</v>
      </c>
      <c r="E202" s="2" t="s">
        <v>12</v>
      </c>
      <c r="F202">
        <f t="shared" si="3"/>
        <v>0</v>
      </c>
      <c r="G202" t="s">
        <v>16</v>
      </c>
    </row>
    <row r="203" spans="1:7" x14ac:dyDescent="0.3">
      <c r="A203" t="s">
        <v>6</v>
      </c>
      <c r="B203" t="str">
        <f>"04/20/1986 00:00"</f>
        <v>04/20/1986 00:00</v>
      </c>
      <c r="D203" t="s">
        <v>7</v>
      </c>
      <c r="E203" s="2" t="s">
        <v>12</v>
      </c>
      <c r="F203">
        <f t="shared" si="3"/>
        <v>0</v>
      </c>
      <c r="G203" t="s">
        <v>16</v>
      </c>
    </row>
    <row r="204" spans="1:7" x14ac:dyDescent="0.3">
      <c r="A204" t="s">
        <v>6</v>
      </c>
      <c r="B204" t="str">
        <f>"04/21/1986 00:00"</f>
        <v>04/21/1986 00:00</v>
      </c>
      <c r="D204" t="s">
        <v>7</v>
      </c>
      <c r="E204" s="2" t="s">
        <v>12</v>
      </c>
      <c r="F204">
        <f t="shared" si="3"/>
        <v>0</v>
      </c>
      <c r="G204" t="s">
        <v>16</v>
      </c>
    </row>
    <row r="205" spans="1:7" x14ac:dyDescent="0.3">
      <c r="A205" t="s">
        <v>6</v>
      </c>
      <c r="B205" t="str">
        <f>"04/22/1986 00:00"</f>
        <v>04/22/1986 00:00</v>
      </c>
      <c r="D205" t="s">
        <v>7</v>
      </c>
      <c r="E205" s="2" t="s">
        <v>12</v>
      </c>
      <c r="F205">
        <f t="shared" si="3"/>
        <v>0</v>
      </c>
      <c r="G205" t="s">
        <v>16</v>
      </c>
    </row>
    <row r="206" spans="1:7" x14ac:dyDescent="0.3">
      <c r="A206" t="s">
        <v>6</v>
      </c>
      <c r="B206" t="str">
        <f>"04/23/1986 00:00"</f>
        <v>04/23/1986 00:00</v>
      </c>
      <c r="D206" t="s">
        <v>7</v>
      </c>
      <c r="E206" s="2" t="s">
        <v>12</v>
      </c>
      <c r="F206">
        <f t="shared" si="3"/>
        <v>0</v>
      </c>
      <c r="G206" t="s">
        <v>16</v>
      </c>
    </row>
    <row r="207" spans="1:7" x14ac:dyDescent="0.3">
      <c r="A207" t="s">
        <v>6</v>
      </c>
      <c r="B207" t="str">
        <f>"04/24/1986 00:00"</f>
        <v>04/24/1986 00:00</v>
      </c>
      <c r="D207" t="s">
        <v>7</v>
      </c>
      <c r="E207" s="2" t="s">
        <v>12</v>
      </c>
      <c r="F207">
        <f t="shared" si="3"/>
        <v>0</v>
      </c>
      <c r="G207" t="s">
        <v>16</v>
      </c>
    </row>
    <row r="208" spans="1:7" x14ac:dyDescent="0.3">
      <c r="A208" t="s">
        <v>6</v>
      </c>
      <c r="B208" t="str">
        <f>"04/25/1986 00:00"</f>
        <v>04/25/1986 00:00</v>
      </c>
      <c r="D208" t="s">
        <v>7</v>
      </c>
      <c r="E208" s="2" t="s">
        <v>12</v>
      </c>
      <c r="F208">
        <f t="shared" si="3"/>
        <v>0</v>
      </c>
      <c r="G208" t="s">
        <v>16</v>
      </c>
    </row>
    <row r="209" spans="1:7" x14ac:dyDescent="0.3">
      <c r="A209" t="s">
        <v>6</v>
      </c>
      <c r="B209" t="str">
        <f>"04/26/1986 00:00"</f>
        <v>04/26/1986 00:00</v>
      </c>
      <c r="D209" t="s">
        <v>7</v>
      </c>
      <c r="E209" s="2" t="s">
        <v>12</v>
      </c>
      <c r="F209">
        <f t="shared" si="3"/>
        <v>0</v>
      </c>
      <c r="G209" t="s">
        <v>16</v>
      </c>
    </row>
    <row r="210" spans="1:7" x14ac:dyDescent="0.3">
      <c r="A210" t="s">
        <v>6</v>
      </c>
      <c r="B210" t="str">
        <f>"04/27/1986 00:00"</f>
        <v>04/27/1986 00:00</v>
      </c>
      <c r="D210" t="s">
        <v>7</v>
      </c>
      <c r="E210" s="2" t="s">
        <v>12</v>
      </c>
      <c r="F210">
        <f t="shared" si="3"/>
        <v>0</v>
      </c>
      <c r="G210" t="s">
        <v>16</v>
      </c>
    </row>
    <row r="211" spans="1:7" x14ac:dyDescent="0.3">
      <c r="A211" t="s">
        <v>6</v>
      </c>
      <c r="B211" t="str">
        <f>"04/28/1986 00:00"</f>
        <v>04/28/1986 00:00</v>
      </c>
      <c r="D211" t="s">
        <v>7</v>
      </c>
      <c r="E211" s="2" t="s">
        <v>12</v>
      </c>
      <c r="F211">
        <f t="shared" si="3"/>
        <v>0</v>
      </c>
      <c r="G211" t="s">
        <v>16</v>
      </c>
    </row>
    <row r="212" spans="1:7" x14ac:dyDescent="0.3">
      <c r="A212" t="s">
        <v>6</v>
      </c>
      <c r="B212" t="str">
        <f>"04/29/1986 00:00"</f>
        <v>04/29/1986 00:00</v>
      </c>
      <c r="D212" t="s">
        <v>7</v>
      </c>
      <c r="E212" s="2" t="s">
        <v>12</v>
      </c>
      <c r="F212">
        <f t="shared" si="3"/>
        <v>0</v>
      </c>
      <c r="G212" t="s">
        <v>16</v>
      </c>
    </row>
    <row r="213" spans="1:7" x14ac:dyDescent="0.3">
      <c r="A213" t="s">
        <v>6</v>
      </c>
      <c r="B213" t="str">
        <f>"04/30/1986 00:00"</f>
        <v>04/30/1986 00:00</v>
      </c>
      <c r="D213" t="s">
        <v>7</v>
      </c>
      <c r="E213" s="2" t="s">
        <v>12</v>
      </c>
      <c r="F213">
        <f t="shared" si="3"/>
        <v>0</v>
      </c>
      <c r="G213" t="s">
        <v>16</v>
      </c>
    </row>
    <row r="214" spans="1:7" x14ac:dyDescent="0.3">
      <c r="A214" t="s">
        <v>6</v>
      </c>
      <c r="B214" t="str">
        <f>"05/01/1986 00:00"</f>
        <v>05/01/1986 00:00</v>
      </c>
      <c r="D214" t="s">
        <v>7</v>
      </c>
      <c r="E214" s="2" t="s">
        <v>12</v>
      </c>
      <c r="F214">
        <f t="shared" si="3"/>
        <v>0</v>
      </c>
      <c r="G214" t="s">
        <v>16</v>
      </c>
    </row>
    <row r="215" spans="1:7" x14ac:dyDescent="0.3">
      <c r="A215" t="s">
        <v>6</v>
      </c>
      <c r="B215" t="str">
        <f>"05/02/1986 00:00"</f>
        <v>05/02/1986 00:00</v>
      </c>
      <c r="D215" t="s">
        <v>7</v>
      </c>
      <c r="E215" s="2" t="s">
        <v>12</v>
      </c>
      <c r="F215">
        <f t="shared" si="3"/>
        <v>0</v>
      </c>
      <c r="G215" t="s">
        <v>16</v>
      </c>
    </row>
    <row r="216" spans="1:7" x14ac:dyDescent="0.3">
      <c r="A216" t="s">
        <v>6</v>
      </c>
      <c r="B216" t="str">
        <f>"05/03/1986 00:00"</f>
        <v>05/03/1986 00:00</v>
      </c>
      <c r="D216" t="s">
        <v>7</v>
      </c>
      <c r="E216" s="2" t="s">
        <v>12</v>
      </c>
      <c r="F216">
        <f t="shared" si="3"/>
        <v>0</v>
      </c>
      <c r="G216" t="s">
        <v>16</v>
      </c>
    </row>
    <row r="217" spans="1:7" x14ac:dyDescent="0.3">
      <c r="A217" t="s">
        <v>6</v>
      </c>
      <c r="B217" t="str">
        <f>"05/04/1986 00:00"</f>
        <v>05/04/1986 00:00</v>
      </c>
      <c r="D217" t="s">
        <v>7</v>
      </c>
      <c r="E217" s="2" t="s">
        <v>12</v>
      </c>
      <c r="F217">
        <f t="shared" si="3"/>
        <v>0</v>
      </c>
      <c r="G217" t="s">
        <v>16</v>
      </c>
    </row>
    <row r="218" spans="1:7" x14ac:dyDescent="0.3">
      <c r="A218" t="s">
        <v>6</v>
      </c>
      <c r="B218" t="str">
        <f>"05/05/1986 00:00"</f>
        <v>05/05/1986 00:00</v>
      </c>
      <c r="D218" t="s">
        <v>7</v>
      </c>
      <c r="E218" s="2" t="s">
        <v>12</v>
      </c>
      <c r="F218">
        <f t="shared" si="3"/>
        <v>0</v>
      </c>
      <c r="G218" t="s">
        <v>16</v>
      </c>
    </row>
    <row r="219" spans="1:7" x14ac:dyDescent="0.3">
      <c r="A219" t="s">
        <v>6</v>
      </c>
      <c r="B219" t="str">
        <f>"05/06/1986 00:00"</f>
        <v>05/06/1986 00:00</v>
      </c>
      <c r="D219" t="s">
        <v>7</v>
      </c>
      <c r="E219" s="2" t="s">
        <v>12</v>
      </c>
      <c r="F219">
        <f t="shared" si="3"/>
        <v>0</v>
      </c>
      <c r="G219" t="s">
        <v>16</v>
      </c>
    </row>
    <row r="220" spans="1:7" x14ac:dyDescent="0.3">
      <c r="A220" t="s">
        <v>6</v>
      </c>
      <c r="B220" t="str">
        <f>"05/07/1986 00:00"</f>
        <v>05/07/1986 00:00</v>
      </c>
      <c r="D220" t="s">
        <v>7</v>
      </c>
      <c r="E220" s="2" t="s">
        <v>12</v>
      </c>
      <c r="F220">
        <f t="shared" si="3"/>
        <v>0</v>
      </c>
      <c r="G220" t="s">
        <v>16</v>
      </c>
    </row>
    <row r="221" spans="1:7" x14ac:dyDescent="0.3">
      <c r="A221" t="s">
        <v>6</v>
      </c>
      <c r="B221" t="str">
        <f>"05/08/1986 00:00"</f>
        <v>05/08/1986 00:00</v>
      </c>
      <c r="D221" t="s">
        <v>7</v>
      </c>
      <c r="E221" s="2" t="s">
        <v>12</v>
      </c>
      <c r="F221">
        <f t="shared" si="3"/>
        <v>0</v>
      </c>
      <c r="G221" t="s">
        <v>16</v>
      </c>
    </row>
    <row r="222" spans="1:7" x14ac:dyDescent="0.3">
      <c r="A222" t="s">
        <v>6</v>
      </c>
      <c r="B222" t="str">
        <f>"05/09/1986 00:00"</f>
        <v>05/09/1986 00:00</v>
      </c>
      <c r="D222" t="s">
        <v>7</v>
      </c>
      <c r="E222" s="2" t="s">
        <v>12</v>
      </c>
      <c r="F222">
        <f t="shared" si="3"/>
        <v>0</v>
      </c>
      <c r="G222" t="s">
        <v>16</v>
      </c>
    </row>
    <row r="223" spans="1:7" x14ac:dyDescent="0.3">
      <c r="A223" t="s">
        <v>6</v>
      </c>
      <c r="B223" t="str">
        <f>"05/10/1986 00:00"</f>
        <v>05/10/1986 00:00</v>
      </c>
      <c r="D223" t="s">
        <v>7</v>
      </c>
      <c r="E223" s="2" t="s">
        <v>12</v>
      </c>
      <c r="F223">
        <f t="shared" si="3"/>
        <v>0</v>
      </c>
      <c r="G223" t="s">
        <v>16</v>
      </c>
    </row>
    <row r="224" spans="1:7" x14ac:dyDescent="0.3">
      <c r="A224" t="s">
        <v>6</v>
      </c>
      <c r="B224" t="str">
        <f>"05/11/1986 00:00"</f>
        <v>05/11/1986 00:00</v>
      </c>
      <c r="D224" t="s">
        <v>7</v>
      </c>
      <c r="E224" s="2" t="s">
        <v>12</v>
      </c>
      <c r="F224">
        <f t="shared" si="3"/>
        <v>0</v>
      </c>
      <c r="G224" t="s">
        <v>16</v>
      </c>
    </row>
    <row r="225" spans="1:7" x14ac:dyDescent="0.3">
      <c r="A225" t="s">
        <v>6</v>
      </c>
      <c r="B225" t="str">
        <f>"05/12/1986 00:00"</f>
        <v>05/12/1986 00:00</v>
      </c>
      <c r="D225" t="s">
        <v>7</v>
      </c>
      <c r="E225" s="2" t="s">
        <v>12</v>
      </c>
      <c r="F225">
        <f t="shared" si="3"/>
        <v>0</v>
      </c>
      <c r="G225" t="s">
        <v>16</v>
      </c>
    </row>
    <row r="226" spans="1:7" x14ac:dyDescent="0.3">
      <c r="A226" t="s">
        <v>6</v>
      </c>
      <c r="B226" t="str">
        <f>"05/13/1986 00:00"</f>
        <v>05/13/1986 00:00</v>
      </c>
      <c r="D226" t="s">
        <v>7</v>
      </c>
      <c r="E226" s="2" t="s">
        <v>12</v>
      </c>
      <c r="F226">
        <f t="shared" si="3"/>
        <v>0</v>
      </c>
      <c r="G226" t="s">
        <v>16</v>
      </c>
    </row>
    <row r="227" spans="1:7" x14ac:dyDescent="0.3">
      <c r="A227" t="s">
        <v>6</v>
      </c>
      <c r="B227" t="str">
        <f>"05/14/1986 00:00"</f>
        <v>05/14/1986 00:00</v>
      </c>
      <c r="D227" t="s">
        <v>7</v>
      </c>
      <c r="E227" s="2" t="s">
        <v>12</v>
      </c>
      <c r="F227">
        <f t="shared" si="3"/>
        <v>0</v>
      </c>
      <c r="G227" t="s">
        <v>16</v>
      </c>
    </row>
    <row r="228" spans="1:7" x14ac:dyDescent="0.3">
      <c r="A228" t="s">
        <v>6</v>
      </c>
      <c r="B228" t="str">
        <f>"05/15/1986 00:00"</f>
        <v>05/15/1986 00:00</v>
      </c>
      <c r="D228" t="s">
        <v>7</v>
      </c>
      <c r="E228" s="2" t="s">
        <v>12</v>
      </c>
      <c r="F228">
        <f t="shared" si="3"/>
        <v>0</v>
      </c>
      <c r="G228" t="s">
        <v>16</v>
      </c>
    </row>
    <row r="229" spans="1:7" x14ac:dyDescent="0.3">
      <c r="A229" t="s">
        <v>6</v>
      </c>
      <c r="B229" t="str">
        <f>"05/16/1986 00:00"</f>
        <v>05/16/1986 00:00</v>
      </c>
      <c r="D229" t="s">
        <v>7</v>
      </c>
      <c r="E229" s="2" t="s">
        <v>12</v>
      </c>
      <c r="F229">
        <f t="shared" si="3"/>
        <v>0</v>
      </c>
      <c r="G229" t="s">
        <v>16</v>
      </c>
    </row>
    <row r="230" spans="1:7" x14ac:dyDescent="0.3">
      <c r="A230" t="s">
        <v>6</v>
      </c>
      <c r="B230" t="str">
        <f>"05/17/1986 00:00"</f>
        <v>05/17/1986 00:00</v>
      </c>
      <c r="D230" t="s">
        <v>7</v>
      </c>
      <c r="E230" s="2" t="s">
        <v>12</v>
      </c>
      <c r="F230">
        <f t="shared" si="3"/>
        <v>0</v>
      </c>
      <c r="G230" t="s">
        <v>16</v>
      </c>
    </row>
    <row r="231" spans="1:7" x14ac:dyDescent="0.3">
      <c r="A231" t="s">
        <v>6</v>
      </c>
      <c r="B231" t="str">
        <f>"05/18/1986 00:00"</f>
        <v>05/18/1986 00:00</v>
      </c>
      <c r="D231" t="s">
        <v>7</v>
      </c>
      <c r="E231" s="2" t="s">
        <v>12</v>
      </c>
      <c r="F231">
        <f t="shared" si="3"/>
        <v>0</v>
      </c>
      <c r="G231" t="s">
        <v>16</v>
      </c>
    </row>
    <row r="232" spans="1:7" x14ac:dyDescent="0.3">
      <c r="A232" t="s">
        <v>6</v>
      </c>
      <c r="B232" t="str">
        <f>"05/19/1986 00:00"</f>
        <v>05/19/1986 00:00</v>
      </c>
      <c r="D232" t="s">
        <v>7</v>
      </c>
      <c r="E232" s="2" t="s">
        <v>12</v>
      </c>
      <c r="F232">
        <f t="shared" si="3"/>
        <v>0</v>
      </c>
      <c r="G232" t="s">
        <v>16</v>
      </c>
    </row>
    <row r="233" spans="1:7" x14ac:dyDescent="0.3">
      <c r="A233" t="s">
        <v>6</v>
      </c>
      <c r="B233" t="str">
        <f>"05/20/1986 00:00"</f>
        <v>05/20/1986 00:00</v>
      </c>
      <c r="D233" t="s">
        <v>7</v>
      </c>
      <c r="E233" s="2" t="s">
        <v>12</v>
      </c>
      <c r="F233">
        <f t="shared" si="3"/>
        <v>0</v>
      </c>
      <c r="G233" t="s">
        <v>16</v>
      </c>
    </row>
    <row r="234" spans="1:7" x14ac:dyDescent="0.3">
      <c r="A234" t="s">
        <v>6</v>
      </c>
      <c r="B234" t="str">
        <f>"05/21/1986 00:00"</f>
        <v>05/21/1986 00:00</v>
      </c>
      <c r="D234" t="s">
        <v>7</v>
      </c>
      <c r="E234" s="2" t="s">
        <v>12</v>
      </c>
      <c r="F234">
        <f t="shared" si="3"/>
        <v>0</v>
      </c>
      <c r="G234" t="s">
        <v>16</v>
      </c>
    </row>
    <row r="235" spans="1:7" x14ac:dyDescent="0.3">
      <c r="A235" t="s">
        <v>6</v>
      </c>
      <c r="B235" t="str">
        <f>"05/22/1986 00:00"</f>
        <v>05/22/1986 00:00</v>
      </c>
      <c r="D235" t="s">
        <v>7</v>
      </c>
      <c r="E235" s="2" t="s">
        <v>12</v>
      </c>
      <c r="F235">
        <f t="shared" si="3"/>
        <v>0</v>
      </c>
      <c r="G235" t="s">
        <v>16</v>
      </c>
    </row>
    <row r="236" spans="1:7" x14ac:dyDescent="0.3">
      <c r="A236" t="s">
        <v>6</v>
      </c>
      <c r="B236" t="str">
        <f>"05/23/1986 00:00"</f>
        <v>05/23/1986 00:00</v>
      </c>
      <c r="D236" t="s">
        <v>7</v>
      </c>
      <c r="E236" s="2" t="s">
        <v>12</v>
      </c>
      <c r="F236">
        <f t="shared" si="3"/>
        <v>0</v>
      </c>
      <c r="G236" t="s">
        <v>16</v>
      </c>
    </row>
    <row r="237" spans="1:7" x14ac:dyDescent="0.3">
      <c r="A237" t="s">
        <v>6</v>
      </c>
      <c r="B237" t="str">
        <f>"05/24/1986 00:00"</f>
        <v>05/24/1986 00:00</v>
      </c>
      <c r="D237" t="s">
        <v>7</v>
      </c>
      <c r="E237" s="2" t="s">
        <v>12</v>
      </c>
      <c r="F237">
        <f t="shared" si="3"/>
        <v>0</v>
      </c>
      <c r="G237" t="s">
        <v>16</v>
      </c>
    </row>
    <row r="238" spans="1:7" x14ac:dyDescent="0.3">
      <c r="A238" t="s">
        <v>6</v>
      </c>
      <c r="B238" t="str">
        <f>"05/25/1986 00:00"</f>
        <v>05/25/1986 00:00</v>
      </c>
      <c r="D238" t="s">
        <v>7</v>
      </c>
      <c r="E238" s="2" t="s">
        <v>12</v>
      </c>
      <c r="F238">
        <f t="shared" si="3"/>
        <v>0</v>
      </c>
      <c r="G238" t="s">
        <v>16</v>
      </c>
    </row>
    <row r="239" spans="1:7" x14ac:dyDescent="0.3">
      <c r="A239" t="s">
        <v>6</v>
      </c>
      <c r="B239" t="str">
        <f>"05/26/1986 00:00"</f>
        <v>05/26/1986 00:00</v>
      </c>
      <c r="D239" t="s">
        <v>7</v>
      </c>
      <c r="E239" s="2" t="s">
        <v>12</v>
      </c>
      <c r="F239">
        <f t="shared" si="3"/>
        <v>0</v>
      </c>
      <c r="G239" t="s">
        <v>16</v>
      </c>
    </row>
    <row r="240" spans="1:7" x14ac:dyDescent="0.3">
      <c r="A240" t="s">
        <v>6</v>
      </c>
      <c r="B240" t="str">
        <f>"05/27/1986 00:00"</f>
        <v>05/27/1986 00:00</v>
      </c>
      <c r="D240" t="s">
        <v>7</v>
      </c>
      <c r="E240" s="2" t="s">
        <v>12</v>
      </c>
      <c r="F240">
        <f t="shared" si="3"/>
        <v>0</v>
      </c>
      <c r="G240" t="s">
        <v>16</v>
      </c>
    </row>
    <row r="241" spans="1:7" x14ac:dyDescent="0.3">
      <c r="A241" t="s">
        <v>6</v>
      </c>
      <c r="B241" t="str">
        <f>"05/28/1986 00:00"</f>
        <v>05/28/1986 00:00</v>
      </c>
      <c r="D241" t="s">
        <v>7</v>
      </c>
      <c r="E241" s="2" t="s">
        <v>12</v>
      </c>
      <c r="F241">
        <f t="shared" si="3"/>
        <v>0</v>
      </c>
      <c r="G241" t="s">
        <v>16</v>
      </c>
    </row>
    <row r="242" spans="1:7" x14ac:dyDescent="0.3">
      <c r="A242" t="s">
        <v>6</v>
      </c>
      <c r="B242" t="str">
        <f>"05/29/1986 00:00"</f>
        <v>05/29/1986 00:00</v>
      </c>
      <c r="D242" t="s">
        <v>7</v>
      </c>
      <c r="E242" s="2" t="s">
        <v>12</v>
      </c>
      <c r="F242">
        <f t="shared" si="3"/>
        <v>0</v>
      </c>
      <c r="G242" t="s">
        <v>16</v>
      </c>
    </row>
    <row r="243" spans="1:7" x14ac:dyDescent="0.3">
      <c r="A243" t="s">
        <v>6</v>
      </c>
      <c r="B243" t="str">
        <f>"05/30/1986 00:00"</f>
        <v>05/30/1986 00:00</v>
      </c>
      <c r="D243" t="s">
        <v>7</v>
      </c>
      <c r="E243" s="2" t="s">
        <v>12</v>
      </c>
      <c r="F243">
        <f t="shared" si="3"/>
        <v>0</v>
      </c>
      <c r="G243" t="s">
        <v>16</v>
      </c>
    </row>
    <row r="244" spans="1:7" x14ac:dyDescent="0.3">
      <c r="A244" t="s">
        <v>6</v>
      </c>
      <c r="B244" t="str">
        <f>"05/31/1986 00:00"</f>
        <v>05/31/1986 00:00</v>
      </c>
      <c r="D244" t="s">
        <v>7</v>
      </c>
      <c r="E244" s="2" t="s">
        <v>12</v>
      </c>
      <c r="F244">
        <f t="shared" si="3"/>
        <v>0</v>
      </c>
      <c r="G244" t="s">
        <v>16</v>
      </c>
    </row>
    <row r="245" spans="1:7" x14ac:dyDescent="0.3">
      <c r="A245" t="s">
        <v>6</v>
      </c>
      <c r="B245" t="str">
        <f>"06/01/1986 00:00"</f>
        <v>06/01/1986 00:00</v>
      </c>
      <c r="D245" t="s">
        <v>7</v>
      </c>
      <c r="E245" s="2" t="s">
        <v>12</v>
      </c>
      <c r="F245">
        <f t="shared" si="3"/>
        <v>0</v>
      </c>
      <c r="G245" t="s">
        <v>16</v>
      </c>
    </row>
    <row r="246" spans="1:7" x14ac:dyDescent="0.3">
      <c r="A246" t="s">
        <v>6</v>
      </c>
      <c r="B246" t="str">
        <f>"06/02/1986 00:00"</f>
        <v>06/02/1986 00:00</v>
      </c>
      <c r="D246" t="s">
        <v>7</v>
      </c>
      <c r="E246" s="2" t="s">
        <v>12</v>
      </c>
      <c r="F246">
        <f t="shared" si="3"/>
        <v>0</v>
      </c>
      <c r="G246" t="s">
        <v>16</v>
      </c>
    </row>
    <row r="247" spans="1:7" x14ac:dyDescent="0.3">
      <c r="A247" t="s">
        <v>6</v>
      </c>
      <c r="B247" t="str">
        <f>"06/03/1986 00:00"</f>
        <v>06/03/1986 00:00</v>
      </c>
      <c r="D247" t="s">
        <v>7</v>
      </c>
      <c r="E247" s="2" t="s">
        <v>12</v>
      </c>
      <c r="F247">
        <f t="shared" si="3"/>
        <v>0</v>
      </c>
      <c r="G247" t="s">
        <v>16</v>
      </c>
    </row>
    <row r="248" spans="1:7" x14ac:dyDescent="0.3">
      <c r="A248" t="s">
        <v>6</v>
      </c>
      <c r="B248" t="str">
        <f>"06/04/1986 00:00"</f>
        <v>06/04/1986 00:00</v>
      </c>
      <c r="D248" t="s">
        <v>7</v>
      </c>
      <c r="E248" s="2" t="s">
        <v>12</v>
      </c>
      <c r="F248">
        <f t="shared" si="3"/>
        <v>0</v>
      </c>
      <c r="G248" t="s">
        <v>16</v>
      </c>
    </row>
    <row r="249" spans="1:7" x14ac:dyDescent="0.3">
      <c r="A249" t="s">
        <v>6</v>
      </c>
      <c r="B249" t="str">
        <f>"06/05/1986 00:00"</f>
        <v>06/05/1986 00:00</v>
      </c>
      <c r="D249" t="s">
        <v>7</v>
      </c>
      <c r="E249" s="2" t="s">
        <v>12</v>
      </c>
      <c r="F249">
        <f t="shared" si="3"/>
        <v>0</v>
      </c>
      <c r="G249" t="s">
        <v>16</v>
      </c>
    </row>
    <row r="250" spans="1:7" x14ac:dyDescent="0.3">
      <c r="A250" t="s">
        <v>6</v>
      </c>
      <c r="B250" t="str">
        <f>"06/06/1986 00:00"</f>
        <v>06/06/1986 00:00</v>
      </c>
      <c r="D250" t="s">
        <v>7</v>
      </c>
      <c r="E250" s="2" t="s">
        <v>12</v>
      </c>
      <c r="F250">
        <f t="shared" si="3"/>
        <v>0</v>
      </c>
      <c r="G250" t="s">
        <v>16</v>
      </c>
    </row>
    <row r="251" spans="1:7" x14ac:dyDescent="0.3">
      <c r="A251" t="s">
        <v>6</v>
      </c>
      <c r="B251" t="str">
        <f>"06/07/1986 00:00"</f>
        <v>06/07/1986 00:00</v>
      </c>
      <c r="D251" t="s">
        <v>7</v>
      </c>
      <c r="E251" s="2" t="s">
        <v>12</v>
      </c>
      <c r="F251">
        <f t="shared" si="3"/>
        <v>0</v>
      </c>
      <c r="G251" t="s">
        <v>16</v>
      </c>
    </row>
    <row r="252" spans="1:7" x14ac:dyDescent="0.3">
      <c r="A252" t="s">
        <v>6</v>
      </c>
      <c r="B252" t="str">
        <f>"06/08/1986 00:00"</f>
        <v>06/08/1986 00:00</v>
      </c>
      <c r="D252" t="s">
        <v>7</v>
      </c>
      <c r="E252" s="2" t="s">
        <v>12</v>
      </c>
      <c r="F252">
        <f t="shared" si="3"/>
        <v>0</v>
      </c>
      <c r="G252" t="s">
        <v>16</v>
      </c>
    </row>
    <row r="253" spans="1:7" x14ac:dyDescent="0.3">
      <c r="A253" t="s">
        <v>6</v>
      </c>
      <c r="B253" t="str">
        <f>"06/09/1986 00:00"</f>
        <v>06/09/1986 00:00</v>
      </c>
      <c r="D253" t="s">
        <v>7</v>
      </c>
      <c r="E253" s="2" t="s">
        <v>12</v>
      </c>
      <c r="F253">
        <f t="shared" si="3"/>
        <v>0</v>
      </c>
      <c r="G253" t="s">
        <v>16</v>
      </c>
    </row>
    <row r="254" spans="1:7" x14ac:dyDescent="0.3">
      <c r="A254" t="s">
        <v>6</v>
      </c>
      <c r="B254" t="str">
        <f>"06/10/1986 00:00"</f>
        <v>06/10/1986 00:00</v>
      </c>
      <c r="D254" t="s">
        <v>7</v>
      </c>
      <c r="E254" s="2" t="s">
        <v>12</v>
      </c>
      <c r="F254">
        <f t="shared" si="3"/>
        <v>0</v>
      </c>
      <c r="G254" t="s">
        <v>16</v>
      </c>
    </row>
    <row r="255" spans="1:7" x14ac:dyDescent="0.3">
      <c r="A255" t="s">
        <v>6</v>
      </c>
      <c r="B255" t="str">
        <f>"06/11/1986 00:00"</f>
        <v>06/11/1986 00:00</v>
      </c>
      <c r="D255" t="s">
        <v>7</v>
      </c>
      <c r="E255" s="2" t="s">
        <v>12</v>
      </c>
      <c r="F255">
        <f t="shared" si="3"/>
        <v>0</v>
      </c>
      <c r="G255" t="s">
        <v>16</v>
      </c>
    </row>
    <row r="256" spans="1:7" x14ac:dyDescent="0.3">
      <c r="A256" t="s">
        <v>6</v>
      </c>
      <c r="B256" t="str">
        <f>"06/12/1986 00:00"</f>
        <v>06/12/1986 00:00</v>
      </c>
      <c r="D256" t="s">
        <v>7</v>
      </c>
      <c r="E256" s="2" t="s">
        <v>12</v>
      </c>
      <c r="F256">
        <f t="shared" si="3"/>
        <v>0</v>
      </c>
      <c r="G256" t="s">
        <v>16</v>
      </c>
    </row>
    <row r="257" spans="1:7" x14ac:dyDescent="0.3">
      <c r="A257" t="s">
        <v>6</v>
      </c>
      <c r="B257" t="str">
        <f>"06/13/1986 00:00"</f>
        <v>06/13/1986 00:00</v>
      </c>
      <c r="D257" t="s">
        <v>7</v>
      </c>
      <c r="E257" s="2" t="s">
        <v>12</v>
      </c>
      <c r="F257">
        <f t="shared" si="3"/>
        <v>0</v>
      </c>
      <c r="G257" t="s">
        <v>16</v>
      </c>
    </row>
    <row r="258" spans="1:7" x14ac:dyDescent="0.3">
      <c r="A258" t="s">
        <v>6</v>
      </c>
      <c r="B258" t="str">
        <f>"06/14/1986 00:00"</f>
        <v>06/14/1986 00:00</v>
      </c>
      <c r="D258" t="s">
        <v>7</v>
      </c>
      <c r="E258" s="2" t="s">
        <v>12</v>
      </c>
      <c r="F258">
        <f t="shared" si="3"/>
        <v>0</v>
      </c>
      <c r="G258" t="s">
        <v>16</v>
      </c>
    </row>
    <row r="259" spans="1:7" x14ac:dyDescent="0.3">
      <c r="A259" t="s">
        <v>6</v>
      </c>
      <c r="B259" t="str">
        <f>"06/15/1986 00:00"</f>
        <v>06/15/1986 00:00</v>
      </c>
      <c r="D259" t="s">
        <v>7</v>
      </c>
      <c r="E259" s="2" t="s">
        <v>12</v>
      </c>
      <c r="F259">
        <f t="shared" ref="F259:F322" si="4">C259*1.983</f>
        <v>0</v>
      </c>
      <c r="G259" t="s">
        <v>16</v>
      </c>
    </row>
    <row r="260" spans="1:7" x14ac:dyDescent="0.3">
      <c r="A260" t="s">
        <v>6</v>
      </c>
      <c r="B260" t="str">
        <f>"06/16/1986 00:00"</f>
        <v>06/16/1986 00:00</v>
      </c>
      <c r="D260" t="s">
        <v>7</v>
      </c>
      <c r="E260" s="2" t="s">
        <v>12</v>
      </c>
      <c r="F260">
        <f t="shared" si="4"/>
        <v>0</v>
      </c>
      <c r="G260" t="s">
        <v>16</v>
      </c>
    </row>
    <row r="261" spans="1:7" x14ac:dyDescent="0.3">
      <c r="A261" t="s">
        <v>6</v>
      </c>
      <c r="B261" t="str">
        <f>"06/17/1986 00:00"</f>
        <v>06/17/1986 00:00</v>
      </c>
      <c r="D261" t="s">
        <v>7</v>
      </c>
      <c r="E261" s="2" t="s">
        <v>12</v>
      </c>
      <c r="F261">
        <f t="shared" si="4"/>
        <v>0</v>
      </c>
      <c r="G261" t="s">
        <v>16</v>
      </c>
    </row>
    <row r="262" spans="1:7" x14ac:dyDescent="0.3">
      <c r="A262" t="s">
        <v>6</v>
      </c>
      <c r="B262" t="str">
        <f>"06/18/1986 00:00"</f>
        <v>06/18/1986 00:00</v>
      </c>
      <c r="D262" t="s">
        <v>7</v>
      </c>
      <c r="E262" s="2" t="s">
        <v>12</v>
      </c>
      <c r="F262">
        <f t="shared" si="4"/>
        <v>0</v>
      </c>
      <c r="G262" t="s">
        <v>16</v>
      </c>
    </row>
    <row r="263" spans="1:7" x14ac:dyDescent="0.3">
      <c r="A263" t="s">
        <v>6</v>
      </c>
      <c r="B263" t="str">
        <f>"06/19/1986 00:00"</f>
        <v>06/19/1986 00:00</v>
      </c>
      <c r="D263" t="s">
        <v>7</v>
      </c>
      <c r="E263" s="2" t="s">
        <v>12</v>
      </c>
      <c r="F263">
        <f t="shared" si="4"/>
        <v>0</v>
      </c>
      <c r="G263" t="s">
        <v>16</v>
      </c>
    </row>
    <row r="264" spans="1:7" x14ac:dyDescent="0.3">
      <c r="A264" t="s">
        <v>6</v>
      </c>
      <c r="B264" t="str">
        <f>"06/20/1986 00:00"</f>
        <v>06/20/1986 00:00</v>
      </c>
      <c r="D264" t="s">
        <v>7</v>
      </c>
      <c r="E264" s="2" t="s">
        <v>12</v>
      </c>
      <c r="F264">
        <f t="shared" si="4"/>
        <v>0</v>
      </c>
      <c r="G264" t="s">
        <v>16</v>
      </c>
    </row>
    <row r="265" spans="1:7" x14ac:dyDescent="0.3">
      <c r="A265" t="s">
        <v>6</v>
      </c>
      <c r="B265" t="str">
        <f>"06/21/1986 00:00"</f>
        <v>06/21/1986 00:00</v>
      </c>
      <c r="D265" t="s">
        <v>7</v>
      </c>
      <c r="E265" s="2" t="s">
        <v>12</v>
      </c>
      <c r="F265">
        <f t="shared" si="4"/>
        <v>0</v>
      </c>
      <c r="G265" t="s">
        <v>16</v>
      </c>
    </row>
    <row r="266" spans="1:7" x14ac:dyDescent="0.3">
      <c r="A266" t="s">
        <v>6</v>
      </c>
      <c r="B266" t="str">
        <f>"06/22/1986 00:00"</f>
        <v>06/22/1986 00:00</v>
      </c>
      <c r="D266" t="s">
        <v>7</v>
      </c>
      <c r="E266" s="2" t="s">
        <v>12</v>
      </c>
      <c r="F266">
        <f t="shared" si="4"/>
        <v>0</v>
      </c>
      <c r="G266" t="s">
        <v>16</v>
      </c>
    </row>
    <row r="267" spans="1:7" x14ac:dyDescent="0.3">
      <c r="A267" t="s">
        <v>6</v>
      </c>
      <c r="B267" t="str">
        <f>"06/23/1986 00:00"</f>
        <v>06/23/1986 00:00</v>
      </c>
      <c r="D267" t="s">
        <v>7</v>
      </c>
      <c r="E267" s="2" t="s">
        <v>12</v>
      </c>
      <c r="F267">
        <f t="shared" si="4"/>
        <v>0</v>
      </c>
      <c r="G267" t="s">
        <v>16</v>
      </c>
    </row>
    <row r="268" spans="1:7" x14ac:dyDescent="0.3">
      <c r="A268" t="s">
        <v>6</v>
      </c>
      <c r="B268" t="str">
        <f>"06/24/1986 00:00"</f>
        <v>06/24/1986 00:00</v>
      </c>
      <c r="D268" t="s">
        <v>7</v>
      </c>
      <c r="E268" s="2" t="s">
        <v>12</v>
      </c>
      <c r="F268">
        <f t="shared" si="4"/>
        <v>0</v>
      </c>
      <c r="G268" t="s">
        <v>16</v>
      </c>
    </row>
    <row r="269" spans="1:7" x14ac:dyDescent="0.3">
      <c r="A269" t="s">
        <v>6</v>
      </c>
      <c r="B269" t="str">
        <f>"06/25/1986 00:00"</f>
        <v>06/25/1986 00:00</v>
      </c>
      <c r="D269" t="s">
        <v>7</v>
      </c>
      <c r="E269" s="2" t="s">
        <v>12</v>
      </c>
      <c r="F269">
        <f t="shared" si="4"/>
        <v>0</v>
      </c>
      <c r="G269" t="s">
        <v>16</v>
      </c>
    </row>
    <row r="270" spans="1:7" x14ac:dyDescent="0.3">
      <c r="A270" t="s">
        <v>6</v>
      </c>
      <c r="B270" t="str">
        <f>"06/26/1986 00:00"</f>
        <v>06/26/1986 00:00</v>
      </c>
      <c r="D270" t="s">
        <v>7</v>
      </c>
      <c r="E270" s="2" t="s">
        <v>12</v>
      </c>
      <c r="F270">
        <f t="shared" si="4"/>
        <v>0</v>
      </c>
      <c r="G270" t="s">
        <v>16</v>
      </c>
    </row>
    <row r="271" spans="1:7" x14ac:dyDescent="0.3">
      <c r="A271" t="s">
        <v>6</v>
      </c>
      <c r="B271" t="str">
        <f>"06/27/1986 00:00"</f>
        <v>06/27/1986 00:00</v>
      </c>
      <c r="D271" t="s">
        <v>7</v>
      </c>
      <c r="E271" s="2" t="s">
        <v>12</v>
      </c>
      <c r="F271">
        <f t="shared" si="4"/>
        <v>0</v>
      </c>
      <c r="G271" t="s">
        <v>16</v>
      </c>
    </row>
    <row r="272" spans="1:7" x14ac:dyDescent="0.3">
      <c r="A272" t="s">
        <v>6</v>
      </c>
      <c r="B272" t="str">
        <f>"06/28/1986 00:00"</f>
        <v>06/28/1986 00:00</v>
      </c>
      <c r="D272" t="s">
        <v>7</v>
      </c>
      <c r="E272" s="2" t="s">
        <v>12</v>
      </c>
      <c r="F272">
        <f t="shared" si="4"/>
        <v>0</v>
      </c>
      <c r="G272" t="s">
        <v>16</v>
      </c>
    </row>
    <row r="273" spans="1:7" x14ac:dyDescent="0.3">
      <c r="A273" t="s">
        <v>6</v>
      </c>
      <c r="B273" t="str">
        <f>"06/29/1986 00:00"</f>
        <v>06/29/1986 00:00</v>
      </c>
      <c r="D273" t="s">
        <v>7</v>
      </c>
      <c r="E273" s="2" t="s">
        <v>12</v>
      </c>
      <c r="F273">
        <f t="shared" si="4"/>
        <v>0</v>
      </c>
      <c r="G273" t="s">
        <v>16</v>
      </c>
    </row>
    <row r="274" spans="1:7" x14ac:dyDescent="0.3">
      <c r="A274" t="s">
        <v>6</v>
      </c>
      <c r="B274" t="str">
        <f>"06/30/1986 00:00"</f>
        <v>06/30/1986 00:00</v>
      </c>
      <c r="D274" t="s">
        <v>7</v>
      </c>
      <c r="E274" s="2" t="s">
        <v>12</v>
      </c>
      <c r="F274">
        <f t="shared" si="4"/>
        <v>0</v>
      </c>
      <c r="G274" t="s">
        <v>16</v>
      </c>
    </row>
    <row r="275" spans="1:7" x14ac:dyDescent="0.3">
      <c r="A275" t="s">
        <v>6</v>
      </c>
      <c r="B275" t="str">
        <f>"07/01/1986 00:00"</f>
        <v>07/01/1986 00:00</v>
      </c>
      <c r="D275" t="s">
        <v>7</v>
      </c>
      <c r="E275" s="2" t="s">
        <v>12</v>
      </c>
      <c r="F275">
        <f t="shared" si="4"/>
        <v>0</v>
      </c>
      <c r="G275" t="s">
        <v>16</v>
      </c>
    </row>
    <row r="276" spans="1:7" x14ac:dyDescent="0.3">
      <c r="A276" t="s">
        <v>6</v>
      </c>
      <c r="B276" t="str">
        <f>"07/02/1986 00:00"</f>
        <v>07/02/1986 00:00</v>
      </c>
      <c r="D276" t="s">
        <v>7</v>
      </c>
      <c r="E276" s="2" t="s">
        <v>12</v>
      </c>
      <c r="F276">
        <f t="shared" si="4"/>
        <v>0</v>
      </c>
      <c r="G276" t="s">
        <v>16</v>
      </c>
    </row>
    <row r="277" spans="1:7" x14ac:dyDescent="0.3">
      <c r="A277" t="s">
        <v>6</v>
      </c>
      <c r="B277" t="str">
        <f>"07/03/1986 00:00"</f>
        <v>07/03/1986 00:00</v>
      </c>
      <c r="D277" t="s">
        <v>7</v>
      </c>
      <c r="E277" s="2" t="s">
        <v>12</v>
      </c>
      <c r="F277">
        <f t="shared" si="4"/>
        <v>0</v>
      </c>
      <c r="G277" t="s">
        <v>16</v>
      </c>
    </row>
    <row r="278" spans="1:7" x14ac:dyDescent="0.3">
      <c r="A278" t="s">
        <v>6</v>
      </c>
      <c r="B278" t="str">
        <f>"07/04/1986 00:00"</f>
        <v>07/04/1986 00:00</v>
      </c>
      <c r="D278" t="s">
        <v>7</v>
      </c>
      <c r="E278" s="2" t="s">
        <v>12</v>
      </c>
      <c r="F278">
        <f t="shared" si="4"/>
        <v>0</v>
      </c>
      <c r="G278" t="s">
        <v>16</v>
      </c>
    </row>
    <row r="279" spans="1:7" x14ac:dyDescent="0.3">
      <c r="A279" t="s">
        <v>6</v>
      </c>
      <c r="B279" t="str">
        <f>"07/05/1986 00:00"</f>
        <v>07/05/1986 00:00</v>
      </c>
      <c r="D279" t="s">
        <v>7</v>
      </c>
      <c r="E279" s="2" t="s">
        <v>12</v>
      </c>
      <c r="F279">
        <f t="shared" si="4"/>
        <v>0</v>
      </c>
      <c r="G279" t="s">
        <v>16</v>
      </c>
    </row>
    <row r="280" spans="1:7" x14ac:dyDescent="0.3">
      <c r="A280" t="s">
        <v>6</v>
      </c>
      <c r="B280" t="str">
        <f>"07/06/1986 00:00"</f>
        <v>07/06/1986 00:00</v>
      </c>
      <c r="D280" t="s">
        <v>7</v>
      </c>
      <c r="E280" s="2" t="s">
        <v>12</v>
      </c>
      <c r="F280">
        <f t="shared" si="4"/>
        <v>0</v>
      </c>
      <c r="G280" t="s">
        <v>16</v>
      </c>
    </row>
    <row r="281" spans="1:7" x14ac:dyDescent="0.3">
      <c r="A281" t="s">
        <v>6</v>
      </c>
      <c r="B281" t="str">
        <f>"07/07/1986 00:00"</f>
        <v>07/07/1986 00:00</v>
      </c>
      <c r="D281" t="s">
        <v>7</v>
      </c>
      <c r="E281" s="2" t="s">
        <v>12</v>
      </c>
      <c r="F281">
        <f t="shared" si="4"/>
        <v>0</v>
      </c>
      <c r="G281" t="s">
        <v>16</v>
      </c>
    </row>
    <row r="282" spans="1:7" x14ac:dyDescent="0.3">
      <c r="A282" t="s">
        <v>6</v>
      </c>
      <c r="B282" t="str">
        <f>"07/08/1986 00:00"</f>
        <v>07/08/1986 00:00</v>
      </c>
      <c r="D282" t="s">
        <v>7</v>
      </c>
      <c r="E282" s="2" t="s">
        <v>12</v>
      </c>
      <c r="F282">
        <f t="shared" si="4"/>
        <v>0</v>
      </c>
      <c r="G282" t="s">
        <v>16</v>
      </c>
    </row>
    <row r="283" spans="1:7" x14ac:dyDescent="0.3">
      <c r="A283" t="s">
        <v>6</v>
      </c>
      <c r="B283" t="str">
        <f>"07/09/1986 00:00"</f>
        <v>07/09/1986 00:00</v>
      </c>
      <c r="D283" t="s">
        <v>7</v>
      </c>
      <c r="E283" s="2" t="s">
        <v>12</v>
      </c>
      <c r="F283">
        <f t="shared" si="4"/>
        <v>0</v>
      </c>
      <c r="G283" t="s">
        <v>16</v>
      </c>
    </row>
    <row r="284" spans="1:7" x14ac:dyDescent="0.3">
      <c r="A284" t="s">
        <v>6</v>
      </c>
      <c r="B284" t="str">
        <f>"07/10/1986 00:00"</f>
        <v>07/10/1986 00:00</v>
      </c>
      <c r="D284" t="s">
        <v>7</v>
      </c>
      <c r="E284" s="2" t="s">
        <v>12</v>
      </c>
      <c r="F284">
        <f t="shared" si="4"/>
        <v>0</v>
      </c>
      <c r="G284" t="s">
        <v>16</v>
      </c>
    </row>
    <row r="285" spans="1:7" x14ac:dyDescent="0.3">
      <c r="A285" t="s">
        <v>6</v>
      </c>
      <c r="B285" t="str">
        <f>"07/11/1986 00:00"</f>
        <v>07/11/1986 00:00</v>
      </c>
      <c r="D285" t="s">
        <v>7</v>
      </c>
      <c r="E285" s="2" t="s">
        <v>12</v>
      </c>
      <c r="F285">
        <f t="shared" si="4"/>
        <v>0</v>
      </c>
      <c r="G285" t="s">
        <v>16</v>
      </c>
    </row>
    <row r="286" spans="1:7" x14ac:dyDescent="0.3">
      <c r="A286" t="s">
        <v>6</v>
      </c>
      <c r="B286" t="str">
        <f>"07/12/1986 00:00"</f>
        <v>07/12/1986 00:00</v>
      </c>
      <c r="D286" t="s">
        <v>7</v>
      </c>
      <c r="E286" s="2" t="s">
        <v>12</v>
      </c>
      <c r="F286">
        <f t="shared" si="4"/>
        <v>0</v>
      </c>
      <c r="G286" t="s">
        <v>16</v>
      </c>
    </row>
    <row r="287" spans="1:7" x14ac:dyDescent="0.3">
      <c r="A287" t="s">
        <v>6</v>
      </c>
      <c r="B287" t="str">
        <f>"07/13/1986 00:00"</f>
        <v>07/13/1986 00:00</v>
      </c>
      <c r="D287" t="s">
        <v>7</v>
      </c>
      <c r="E287" s="2" t="s">
        <v>12</v>
      </c>
      <c r="F287">
        <f t="shared" si="4"/>
        <v>0</v>
      </c>
      <c r="G287" t="s">
        <v>16</v>
      </c>
    </row>
    <row r="288" spans="1:7" x14ac:dyDescent="0.3">
      <c r="A288" t="s">
        <v>6</v>
      </c>
      <c r="B288" t="str">
        <f>"07/14/1986 00:00"</f>
        <v>07/14/1986 00:00</v>
      </c>
      <c r="D288" t="s">
        <v>7</v>
      </c>
      <c r="E288" s="2" t="s">
        <v>12</v>
      </c>
      <c r="F288">
        <f t="shared" si="4"/>
        <v>0</v>
      </c>
      <c r="G288" t="s">
        <v>16</v>
      </c>
    </row>
    <row r="289" spans="1:7" x14ac:dyDescent="0.3">
      <c r="A289" t="s">
        <v>6</v>
      </c>
      <c r="B289" t="str">
        <f>"07/15/1986 00:00"</f>
        <v>07/15/1986 00:00</v>
      </c>
      <c r="D289" t="s">
        <v>7</v>
      </c>
      <c r="E289" s="2" t="s">
        <v>12</v>
      </c>
      <c r="F289">
        <f t="shared" si="4"/>
        <v>0</v>
      </c>
      <c r="G289" t="s">
        <v>16</v>
      </c>
    </row>
    <row r="290" spans="1:7" x14ac:dyDescent="0.3">
      <c r="A290" t="s">
        <v>6</v>
      </c>
      <c r="B290" t="str">
        <f>"07/16/1986 00:00"</f>
        <v>07/16/1986 00:00</v>
      </c>
      <c r="D290" t="s">
        <v>7</v>
      </c>
      <c r="E290" s="2" t="s">
        <v>12</v>
      </c>
      <c r="F290">
        <f t="shared" si="4"/>
        <v>0</v>
      </c>
      <c r="G290" t="s">
        <v>16</v>
      </c>
    </row>
    <row r="291" spans="1:7" x14ac:dyDescent="0.3">
      <c r="A291" t="s">
        <v>6</v>
      </c>
      <c r="B291" t="str">
        <f>"07/17/1986 00:00"</f>
        <v>07/17/1986 00:00</v>
      </c>
      <c r="D291" t="s">
        <v>7</v>
      </c>
      <c r="E291" s="2" t="s">
        <v>12</v>
      </c>
      <c r="F291">
        <f t="shared" si="4"/>
        <v>0</v>
      </c>
      <c r="G291" t="s">
        <v>16</v>
      </c>
    </row>
    <row r="292" spans="1:7" x14ac:dyDescent="0.3">
      <c r="A292" t="s">
        <v>6</v>
      </c>
      <c r="B292" t="str">
        <f>"07/18/1986 00:00"</f>
        <v>07/18/1986 00:00</v>
      </c>
      <c r="D292" t="s">
        <v>7</v>
      </c>
      <c r="E292" s="2" t="s">
        <v>12</v>
      </c>
      <c r="F292">
        <f t="shared" si="4"/>
        <v>0</v>
      </c>
      <c r="G292" t="s">
        <v>16</v>
      </c>
    </row>
    <row r="293" spans="1:7" x14ac:dyDescent="0.3">
      <c r="A293" t="s">
        <v>6</v>
      </c>
      <c r="B293" t="str">
        <f>"07/19/1986 00:00"</f>
        <v>07/19/1986 00:00</v>
      </c>
      <c r="D293" t="s">
        <v>7</v>
      </c>
      <c r="E293" s="2" t="s">
        <v>12</v>
      </c>
      <c r="F293">
        <f t="shared" si="4"/>
        <v>0</v>
      </c>
      <c r="G293" t="s">
        <v>16</v>
      </c>
    </row>
    <row r="294" spans="1:7" x14ac:dyDescent="0.3">
      <c r="A294" t="s">
        <v>6</v>
      </c>
      <c r="B294" t="str">
        <f>"07/20/1986 00:00"</f>
        <v>07/20/1986 00:00</v>
      </c>
      <c r="D294" t="s">
        <v>7</v>
      </c>
      <c r="E294" s="2" t="s">
        <v>12</v>
      </c>
      <c r="F294">
        <f t="shared" si="4"/>
        <v>0</v>
      </c>
      <c r="G294" t="s">
        <v>16</v>
      </c>
    </row>
    <row r="295" spans="1:7" x14ac:dyDescent="0.3">
      <c r="A295" t="s">
        <v>6</v>
      </c>
      <c r="B295" t="str">
        <f>"07/21/1986 00:00"</f>
        <v>07/21/1986 00:00</v>
      </c>
      <c r="D295" t="s">
        <v>7</v>
      </c>
      <c r="E295" s="2" t="s">
        <v>12</v>
      </c>
      <c r="F295">
        <f t="shared" si="4"/>
        <v>0</v>
      </c>
      <c r="G295" t="s">
        <v>16</v>
      </c>
    </row>
    <row r="296" spans="1:7" x14ac:dyDescent="0.3">
      <c r="A296" t="s">
        <v>6</v>
      </c>
      <c r="B296" t="str">
        <f>"07/22/1986 00:00"</f>
        <v>07/22/1986 00:00</v>
      </c>
      <c r="D296" t="s">
        <v>7</v>
      </c>
      <c r="E296" s="2" t="s">
        <v>12</v>
      </c>
      <c r="F296">
        <f t="shared" si="4"/>
        <v>0</v>
      </c>
      <c r="G296" t="s">
        <v>16</v>
      </c>
    </row>
    <row r="297" spans="1:7" x14ac:dyDescent="0.3">
      <c r="A297" t="s">
        <v>6</v>
      </c>
      <c r="B297" t="str">
        <f>"07/23/1986 00:00"</f>
        <v>07/23/1986 00:00</v>
      </c>
      <c r="D297" t="s">
        <v>7</v>
      </c>
      <c r="E297" s="2" t="s">
        <v>12</v>
      </c>
      <c r="F297">
        <f t="shared" si="4"/>
        <v>0</v>
      </c>
      <c r="G297" t="s">
        <v>16</v>
      </c>
    </row>
    <row r="298" spans="1:7" x14ac:dyDescent="0.3">
      <c r="A298" t="s">
        <v>6</v>
      </c>
      <c r="B298" t="str">
        <f>"07/24/1986 00:00"</f>
        <v>07/24/1986 00:00</v>
      </c>
      <c r="D298" t="s">
        <v>7</v>
      </c>
      <c r="E298" s="2" t="s">
        <v>12</v>
      </c>
      <c r="F298">
        <f t="shared" si="4"/>
        <v>0</v>
      </c>
      <c r="G298" t="s">
        <v>16</v>
      </c>
    </row>
    <row r="299" spans="1:7" x14ac:dyDescent="0.3">
      <c r="A299" t="s">
        <v>6</v>
      </c>
      <c r="B299" t="str">
        <f>"07/25/1986 00:00"</f>
        <v>07/25/1986 00:00</v>
      </c>
      <c r="D299" t="s">
        <v>7</v>
      </c>
      <c r="E299" s="2" t="s">
        <v>12</v>
      </c>
      <c r="F299">
        <f t="shared" si="4"/>
        <v>0</v>
      </c>
      <c r="G299" t="s">
        <v>16</v>
      </c>
    </row>
    <row r="300" spans="1:7" x14ac:dyDescent="0.3">
      <c r="A300" t="s">
        <v>6</v>
      </c>
      <c r="B300" t="str">
        <f>"07/26/1986 00:00"</f>
        <v>07/26/1986 00:00</v>
      </c>
      <c r="D300" t="s">
        <v>7</v>
      </c>
      <c r="E300" s="2" t="s">
        <v>12</v>
      </c>
      <c r="F300">
        <f t="shared" si="4"/>
        <v>0</v>
      </c>
      <c r="G300" t="s">
        <v>16</v>
      </c>
    </row>
    <row r="301" spans="1:7" x14ac:dyDescent="0.3">
      <c r="A301" t="s">
        <v>6</v>
      </c>
      <c r="B301" t="str">
        <f>"07/27/1986 00:00"</f>
        <v>07/27/1986 00:00</v>
      </c>
      <c r="D301" t="s">
        <v>7</v>
      </c>
      <c r="E301" s="2" t="s">
        <v>12</v>
      </c>
      <c r="F301">
        <f t="shared" si="4"/>
        <v>0</v>
      </c>
      <c r="G301" t="s">
        <v>16</v>
      </c>
    </row>
    <row r="302" spans="1:7" x14ac:dyDescent="0.3">
      <c r="A302" t="s">
        <v>6</v>
      </c>
      <c r="B302" t="str">
        <f>"07/28/1986 00:00"</f>
        <v>07/28/1986 00:00</v>
      </c>
      <c r="D302" t="s">
        <v>7</v>
      </c>
      <c r="E302" s="2" t="s">
        <v>12</v>
      </c>
      <c r="F302">
        <f t="shared" si="4"/>
        <v>0</v>
      </c>
      <c r="G302" t="s">
        <v>16</v>
      </c>
    </row>
    <row r="303" spans="1:7" x14ac:dyDescent="0.3">
      <c r="A303" t="s">
        <v>6</v>
      </c>
      <c r="B303" t="str">
        <f>"07/29/1986 00:00"</f>
        <v>07/29/1986 00:00</v>
      </c>
      <c r="D303" t="s">
        <v>7</v>
      </c>
      <c r="E303" s="2" t="s">
        <v>12</v>
      </c>
      <c r="F303">
        <f t="shared" si="4"/>
        <v>0</v>
      </c>
      <c r="G303" t="s">
        <v>16</v>
      </c>
    </row>
    <row r="304" spans="1:7" x14ac:dyDescent="0.3">
      <c r="A304" t="s">
        <v>6</v>
      </c>
      <c r="B304" t="str">
        <f>"07/30/1986 00:00"</f>
        <v>07/30/1986 00:00</v>
      </c>
      <c r="D304" t="s">
        <v>7</v>
      </c>
      <c r="E304" s="2" t="s">
        <v>12</v>
      </c>
      <c r="F304">
        <f t="shared" si="4"/>
        <v>0</v>
      </c>
      <c r="G304" t="s">
        <v>16</v>
      </c>
    </row>
    <row r="305" spans="1:7" x14ac:dyDescent="0.3">
      <c r="A305" t="s">
        <v>6</v>
      </c>
      <c r="B305" t="str">
        <f>"07/31/1986 00:00"</f>
        <v>07/31/1986 00:00</v>
      </c>
      <c r="D305" t="s">
        <v>7</v>
      </c>
      <c r="E305" s="2" t="s">
        <v>12</v>
      </c>
      <c r="F305">
        <f t="shared" si="4"/>
        <v>0</v>
      </c>
      <c r="G305" t="s">
        <v>16</v>
      </c>
    </row>
    <row r="306" spans="1:7" x14ac:dyDescent="0.3">
      <c r="A306" t="s">
        <v>6</v>
      </c>
      <c r="B306" t="str">
        <f>"08/01/1986 00:00"</f>
        <v>08/01/1986 00:00</v>
      </c>
      <c r="D306" t="s">
        <v>7</v>
      </c>
      <c r="E306" s="2" t="s">
        <v>12</v>
      </c>
      <c r="F306">
        <f t="shared" si="4"/>
        <v>0</v>
      </c>
      <c r="G306" t="s">
        <v>16</v>
      </c>
    </row>
    <row r="307" spans="1:7" x14ac:dyDescent="0.3">
      <c r="A307" t="s">
        <v>6</v>
      </c>
      <c r="B307" t="str">
        <f>"08/02/1986 00:00"</f>
        <v>08/02/1986 00:00</v>
      </c>
      <c r="D307" t="s">
        <v>7</v>
      </c>
      <c r="E307" s="2" t="s">
        <v>12</v>
      </c>
      <c r="F307">
        <f t="shared" si="4"/>
        <v>0</v>
      </c>
      <c r="G307" t="s">
        <v>16</v>
      </c>
    </row>
    <row r="308" spans="1:7" x14ac:dyDescent="0.3">
      <c r="A308" t="s">
        <v>6</v>
      </c>
      <c r="B308" t="str">
        <f>"08/03/1986 00:00"</f>
        <v>08/03/1986 00:00</v>
      </c>
      <c r="D308" t="s">
        <v>7</v>
      </c>
      <c r="E308" s="2" t="s">
        <v>12</v>
      </c>
      <c r="F308">
        <f t="shared" si="4"/>
        <v>0</v>
      </c>
      <c r="G308" t="s">
        <v>16</v>
      </c>
    </row>
    <row r="309" spans="1:7" x14ac:dyDescent="0.3">
      <c r="A309" t="s">
        <v>6</v>
      </c>
      <c r="B309" t="str">
        <f>"08/04/1986 00:00"</f>
        <v>08/04/1986 00:00</v>
      </c>
      <c r="D309" t="s">
        <v>7</v>
      </c>
      <c r="E309" s="2" t="s">
        <v>12</v>
      </c>
      <c r="F309">
        <f t="shared" si="4"/>
        <v>0</v>
      </c>
      <c r="G309" t="s">
        <v>16</v>
      </c>
    </row>
    <row r="310" spans="1:7" x14ac:dyDescent="0.3">
      <c r="A310" t="s">
        <v>6</v>
      </c>
      <c r="B310" t="str">
        <f>"08/05/1986 00:00"</f>
        <v>08/05/1986 00:00</v>
      </c>
      <c r="D310" t="s">
        <v>7</v>
      </c>
      <c r="E310" s="2" t="s">
        <v>12</v>
      </c>
      <c r="F310">
        <f t="shared" si="4"/>
        <v>0</v>
      </c>
      <c r="G310" t="s">
        <v>16</v>
      </c>
    </row>
    <row r="311" spans="1:7" x14ac:dyDescent="0.3">
      <c r="A311" t="s">
        <v>6</v>
      </c>
      <c r="B311" t="str">
        <f>"08/06/1986 00:00"</f>
        <v>08/06/1986 00:00</v>
      </c>
      <c r="D311" t="s">
        <v>7</v>
      </c>
      <c r="E311" s="2" t="s">
        <v>12</v>
      </c>
      <c r="F311">
        <f t="shared" si="4"/>
        <v>0</v>
      </c>
      <c r="G311" t="s">
        <v>16</v>
      </c>
    </row>
    <row r="312" spans="1:7" x14ac:dyDescent="0.3">
      <c r="A312" t="s">
        <v>6</v>
      </c>
      <c r="B312" t="str">
        <f>"08/07/1986 00:00"</f>
        <v>08/07/1986 00:00</v>
      </c>
      <c r="D312" t="s">
        <v>7</v>
      </c>
      <c r="E312" s="2" t="s">
        <v>12</v>
      </c>
      <c r="F312">
        <f t="shared" si="4"/>
        <v>0</v>
      </c>
      <c r="G312" t="s">
        <v>16</v>
      </c>
    </row>
    <row r="313" spans="1:7" x14ac:dyDescent="0.3">
      <c r="A313" t="s">
        <v>6</v>
      </c>
      <c r="B313" t="str">
        <f>"08/08/1986 00:00"</f>
        <v>08/08/1986 00:00</v>
      </c>
      <c r="D313" t="s">
        <v>7</v>
      </c>
      <c r="E313" s="2" t="s">
        <v>12</v>
      </c>
      <c r="F313">
        <f t="shared" si="4"/>
        <v>0</v>
      </c>
      <c r="G313" t="s">
        <v>16</v>
      </c>
    </row>
    <row r="314" spans="1:7" x14ac:dyDescent="0.3">
      <c r="A314" t="s">
        <v>6</v>
      </c>
      <c r="B314" t="str">
        <f>"08/09/1986 00:00"</f>
        <v>08/09/1986 00:00</v>
      </c>
      <c r="D314" t="s">
        <v>7</v>
      </c>
      <c r="E314" s="2" t="s">
        <v>12</v>
      </c>
      <c r="F314">
        <f t="shared" si="4"/>
        <v>0</v>
      </c>
      <c r="G314" t="s">
        <v>16</v>
      </c>
    </row>
    <row r="315" spans="1:7" x14ac:dyDescent="0.3">
      <c r="A315" t="s">
        <v>6</v>
      </c>
      <c r="B315" t="str">
        <f>"08/10/1986 00:00"</f>
        <v>08/10/1986 00:00</v>
      </c>
      <c r="D315" t="s">
        <v>7</v>
      </c>
      <c r="E315" s="2" t="s">
        <v>12</v>
      </c>
      <c r="F315">
        <f t="shared" si="4"/>
        <v>0</v>
      </c>
      <c r="G315" t="s">
        <v>16</v>
      </c>
    </row>
    <row r="316" spans="1:7" x14ac:dyDescent="0.3">
      <c r="A316" t="s">
        <v>6</v>
      </c>
      <c r="B316" t="str">
        <f>"08/11/1986 00:00"</f>
        <v>08/11/1986 00:00</v>
      </c>
      <c r="D316" t="s">
        <v>7</v>
      </c>
      <c r="E316" s="2" t="s">
        <v>12</v>
      </c>
      <c r="F316">
        <f t="shared" si="4"/>
        <v>0</v>
      </c>
      <c r="G316" t="s">
        <v>16</v>
      </c>
    </row>
    <row r="317" spans="1:7" x14ac:dyDescent="0.3">
      <c r="A317" t="s">
        <v>6</v>
      </c>
      <c r="B317" t="str">
        <f>"08/12/1986 00:00"</f>
        <v>08/12/1986 00:00</v>
      </c>
      <c r="D317" t="s">
        <v>7</v>
      </c>
      <c r="E317" s="2" t="s">
        <v>12</v>
      </c>
      <c r="F317">
        <f t="shared" si="4"/>
        <v>0</v>
      </c>
      <c r="G317" t="s">
        <v>16</v>
      </c>
    </row>
    <row r="318" spans="1:7" x14ac:dyDescent="0.3">
      <c r="A318" t="s">
        <v>6</v>
      </c>
      <c r="B318" t="str">
        <f>"08/13/1986 00:00"</f>
        <v>08/13/1986 00:00</v>
      </c>
      <c r="D318" t="s">
        <v>7</v>
      </c>
      <c r="E318" s="2" t="s">
        <v>12</v>
      </c>
      <c r="F318">
        <f t="shared" si="4"/>
        <v>0</v>
      </c>
      <c r="G318" t="s">
        <v>16</v>
      </c>
    </row>
    <row r="319" spans="1:7" x14ac:dyDescent="0.3">
      <c r="A319" t="s">
        <v>6</v>
      </c>
      <c r="B319" t="str">
        <f>"08/14/1986 00:00"</f>
        <v>08/14/1986 00:00</v>
      </c>
      <c r="D319" t="s">
        <v>7</v>
      </c>
      <c r="E319" s="2" t="s">
        <v>12</v>
      </c>
      <c r="F319">
        <f t="shared" si="4"/>
        <v>0</v>
      </c>
      <c r="G319" t="s">
        <v>16</v>
      </c>
    </row>
    <row r="320" spans="1:7" x14ac:dyDescent="0.3">
      <c r="A320" t="s">
        <v>6</v>
      </c>
      <c r="B320" t="str">
        <f>"08/15/1986 00:00"</f>
        <v>08/15/1986 00:00</v>
      </c>
      <c r="D320" t="s">
        <v>7</v>
      </c>
      <c r="E320" s="2" t="s">
        <v>12</v>
      </c>
      <c r="F320">
        <f t="shared" si="4"/>
        <v>0</v>
      </c>
      <c r="G320" t="s">
        <v>16</v>
      </c>
    </row>
    <row r="321" spans="1:7" x14ac:dyDescent="0.3">
      <c r="A321" t="s">
        <v>6</v>
      </c>
      <c r="B321" t="str">
        <f>"08/16/1986 00:00"</f>
        <v>08/16/1986 00:00</v>
      </c>
      <c r="D321" t="s">
        <v>7</v>
      </c>
      <c r="E321" s="2" t="s">
        <v>12</v>
      </c>
      <c r="F321">
        <f t="shared" si="4"/>
        <v>0</v>
      </c>
      <c r="G321" t="s">
        <v>16</v>
      </c>
    </row>
    <row r="322" spans="1:7" x14ac:dyDescent="0.3">
      <c r="A322" t="s">
        <v>6</v>
      </c>
      <c r="B322" t="str">
        <f>"08/17/1986 00:00"</f>
        <v>08/17/1986 00:00</v>
      </c>
      <c r="D322" t="s">
        <v>7</v>
      </c>
      <c r="E322" s="2" t="s">
        <v>12</v>
      </c>
      <c r="F322">
        <f t="shared" si="4"/>
        <v>0</v>
      </c>
      <c r="G322" t="s">
        <v>16</v>
      </c>
    </row>
    <row r="323" spans="1:7" x14ac:dyDescent="0.3">
      <c r="A323" t="s">
        <v>6</v>
      </c>
      <c r="B323" t="str">
        <f>"08/18/1986 00:00"</f>
        <v>08/18/1986 00:00</v>
      </c>
      <c r="D323" t="s">
        <v>7</v>
      </c>
      <c r="E323" s="2" t="s">
        <v>12</v>
      </c>
      <c r="F323">
        <f t="shared" ref="F323:F386" si="5">C323*1.983</f>
        <v>0</v>
      </c>
      <c r="G323" t="s">
        <v>16</v>
      </c>
    </row>
    <row r="324" spans="1:7" x14ac:dyDescent="0.3">
      <c r="A324" t="s">
        <v>6</v>
      </c>
      <c r="B324" t="str">
        <f>"08/19/1986 00:00"</f>
        <v>08/19/1986 00:00</v>
      </c>
      <c r="D324" t="s">
        <v>7</v>
      </c>
      <c r="E324" s="2" t="s">
        <v>12</v>
      </c>
      <c r="F324">
        <f t="shared" si="5"/>
        <v>0</v>
      </c>
      <c r="G324" t="s">
        <v>16</v>
      </c>
    </row>
    <row r="325" spans="1:7" x14ac:dyDescent="0.3">
      <c r="A325" t="s">
        <v>6</v>
      </c>
      <c r="B325" t="str">
        <f>"08/20/1986 00:00"</f>
        <v>08/20/1986 00:00</v>
      </c>
      <c r="D325" t="s">
        <v>7</v>
      </c>
      <c r="E325" s="2" t="s">
        <v>12</v>
      </c>
      <c r="F325">
        <f t="shared" si="5"/>
        <v>0</v>
      </c>
      <c r="G325" t="s">
        <v>16</v>
      </c>
    </row>
    <row r="326" spans="1:7" x14ac:dyDescent="0.3">
      <c r="A326" t="s">
        <v>6</v>
      </c>
      <c r="B326" t="str">
        <f>"08/21/1986 00:00"</f>
        <v>08/21/1986 00:00</v>
      </c>
      <c r="D326" t="s">
        <v>7</v>
      </c>
      <c r="E326" s="2" t="s">
        <v>12</v>
      </c>
      <c r="F326">
        <f t="shared" si="5"/>
        <v>0</v>
      </c>
      <c r="G326" t="s">
        <v>16</v>
      </c>
    </row>
    <row r="327" spans="1:7" x14ac:dyDescent="0.3">
      <c r="A327" t="s">
        <v>6</v>
      </c>
      <c r="B327" t="str">
        <f>"08/22/1986 00:00"</f>
        <v>08/22/1986 00:00</v>
      </c>
      <c r="D327" t="s">
        <v>7</v>
      </c>
      <c r="E327" s="2" t="s">
        <v>12</v>
      </c>
      <c r="F327">
        <f t="shared" si="5"/>
        <v>0</v>
      </c>
      <c r="G327" t="s">
        <v>16</v>
      </c>
    </row>
    <row r="328" spans="1:7" x14ac:dyDescent="0.3">
      <c r="A328" t="s">
        <v>6</v>
      </c>
      <c r="B328" t="str">
        <f>"08/23/1986 00:00"</f>
        <v>08/23/1986 00:00</v>
      </c>
      <c r="D328" t="s">
        <v>7</v>
      </c>
      <c r="E328" s="2" t="s">
        <v>12</v>
      </c>
      <c r="F328">
        <f t="shared" si="5"/>
        <v>0</v>
      </c>
      <c r="G328" t="s">
        <v>16</v>
      </c>
    </row>
    <row r="329" spans="1:7" x14ac:dyDescent="0.3">
      <c r="A329" t="s">
        <v>6</v>
      </c>
      <c r="B329" t="str">
        <f>"08/24/1986 00:00"</f>
        <v>08/24/1986 00:00</v>
      </c>
      <c r="D329" t="s">
        <v>7</v>
      </c>
      <c r="E329" s="2" t="s">
        <v>12</v>
      </c>
      <c r="F329">
        <f t="shared" si="5"/>
        <v>0</v>
      </c>
      <c r="G329" t="s">
        <v>16</v>
      </c>
    </row>
    <row r="330" spans="1:7" x14ac:dyDescent="0.3">
      <c r="A330" t="s">
        <v>6</v>
      </c>
      <c r="B330" t="str">
        <f>"08/25/1986 00:00"</f>
        <v>08/25/1986 00:00</v>
      </c>
      <c r="D330" t="s">
        <v>7</v>
      </c>
      <c r="E330" s="2" t="s">
        <v>12</v>
      </c>
      <c r="F330">
        <f t="shared" si="5"/>
        <v>0</v>
      </c>
      <c r="G330" t="s">
        <v>16</v>
      </c>
    </row>
    <row r="331" spans="1:7" x14ac:dyDescent="0.3">
      <c r="A331" t="s">
        <v>6</v>
      </c>
      <c r="B331" t="str">
        <f>"08/26/1986 00:00"</f>
        <v>08/26/1986 00:00</v>
      </c>
      <c r="D331" t="s">
        <v>7</v>
      </c>
      <c r="E331" s="2" t="s">
        <v>12</v>
      </c>
      <c r="F331">
        <f t="shared" si="5"/>
        <v>0</v>
      </c>
      <c r="G331" t="s">
        <v>16</v>
      </c>
    </row>
    <row r="332" spans="1:7" x14ac:dyDescent="0.3">
      <c r="A332" t="s">
        <v>6</v>
      </c>
      <c r="B332" t="str">
        <f>"08/27/1986 00:00"</f>
        <v>08/27/1986 00:00</v>
      </c>
      <c r="D332" t="s">
        <v>7</v>
      </c>
      <c r="E332" s="2" t="s">
        <v>12</v>
      </c>
      <c r="F332">
        <f t="shared" si="5"/>
        <v>0</v>
      </c>
      <c r="G332" t="s">
        <v>16</v>
      </c>
    </row>
    <row r="333" spans="1:7" x14ac:dyDescent="0.3">
      <c r="A333" t="s">
        <v>6</v>
      </c>
      <c r="B333" t="str">
        <f>"08/28/1986 00:00"</f>
        <v>08/28/1986 00:00</v>
      </c>
      <c r="D333" t="s">
        <v>7</v>
      </c>
      <c r="E333" s="2" t="s">
        <v>12</v>
      </c>
      <c r="F333">
        <f t="shared" si="5"/>
        <v>0</v>
      </c>
      <c r="G333" t="s">
        <v>16</v>
      </c>
    </row>
    <row r="334" spans="1:7" x14ac:dyDescent="0.3">
      <c r="A334" t="s">
        <v>6</v>
      </c>
      <c r="B334" t="str">
        <f>"08/29/1986 00:00"</f>
        <v>08/29/1986 00:00</v>
      </c>
      <c r="D334" t="s">
        <v>7</v>
      </c>
      <c r="E334" s="2" t="s">
        <v>12</v>
      </c>
      <c r="F334">
        <f t="shared" si="5"/>
        <v>0</v>
      </c>
      <c r="G334" t="s">
        <v>16</v>
      </c>
    </row>
    <row r="335" spans="1:7" x14ac:dyDescent="0.3">
      <c r="A335" t="s">
        <v>6</v>
      </c>
      <c r="B335" t="str">
        <f>"08/30/1986 00:00"</f>
        <v>08/30/1986 00:00</v>
      </c>
      <c r="D335" t="s">
        <v>7</v>
      </c>
      <c r="E335" s="2" t="s">
        <v>12</v>
      </c>
      <c r="F335">
        <f t="shared" si="5"/>
        <v>0</v>
      </c>
      <c r="G335" t="s">
        <v>16</v>
      </c>
    </row>
    <row r="336" spans="1:7" x14ac:dyDescent="0.3">
      <c r="A336" t="s">
        <v>6</v>
      </c>
      <c r="B336" t="str">
        <f>"08/31/1986 00:00"</f>
        <v>08/31/1986 00:00</v>
      </c>
      <c r="D336" t="s">
        <v>7</v>
      </c>
      <c r="E336" s="2" t="s">
        <v>12</v>
      </c>
      <c r="F336">
        <f t="shared" si="5"/>
        <v>0</v>
      </c>
      <c r="G336" t="s">
        <v>16</v>
      </c>
    </row>
    <row r="337" spans="1:7" x14ac:dyDescent="0.3">
      <c r="A337" t="s">
        <v>6</v>
      </c>
      <c r="B337" t="str">
        <f>"09/01/1986 00:00"</f>
        <v>09/01/1986 00:00</v>
      </c>
      <c r="D337" t="s">
        <v>7</v>
      </c>
      <c r="E337" s="2" t="s">
        <v>12</v>
      </c>
      <c r="F337">
        <f t="shared" si="5"/>
        <v>0</v>
      </c>
      <c r="G337" t="s">
        <v>16</v>
      </c>
    </row>
    <row r="338" spans="1:7" x14ac:dyDescent="0.3">
      <c r="A338" t="s">
        <v>6</v>
      </c>
      <c r="B338" t="str">
        <f>"09/02/1986 00:00"</f>
        <v>09/02/1986 00:00</v>
      </c>
      <c r="D338" t="s">
        <v>7</v>
      </c>
      <c r="E338" s="2" t="s">
        <v>12</v>
      </c>
      <c r="F338">
        <f t="shared" si="5"/>
        <v>0</v>
      </c>
      <c r="G338" t="s">
        <v>16</v>
      </c>
    </row>
    <row r="339" spans="1:7" x14ac:dyDescent="0.3">
      <c r="A339" t="s">
        <v>6</v>
      </c>
      <c r="B339" t="str">
        <f>"09/03/1986 00:00"</f>
        <v>09/03/1986 00:00</v>
      </c>
      <c r="D339" t="s">
        <v>7</v>
      </c>
      <c r="E339" s="2" t="s">
        <v>12</v>
      </c>
      <c r="F339">
        <f t="shared" si="5"/>
        <v>0</v>
      </c>
      <c r="G339" t="s">
        <v>16</v>
      </c>
    </row>
    <row r="340" spans="1:7" x14ac:dyDescent="0.3">
      <c r="A340" t="s">
        <v>6</v>
      </c>
      <c r="B340" t="str">
        <f>"09/04/1986 00:00"</f>
        <v>09/04/1986 00:00</v>
      </c>
      <c r="D340" t="s">
        <v>7</v>
      </c>
      <c r="E340" s="2" t="s">
        <v>12</v>
      </c>
      <c r="F340">
        <f t="shared" si="5"/>
        <v>0</v>
      </c>
      <c r="G340" t="s">
        <v>16</v>
      </c>
    </row>
    <row r="341" spans="1:7" x14ac:dyDescent="0.3">
      <c r="A341" t="s">
        <v>6</v>
      </c>
      <c r="B341" t="str">
        <f>"09/05/1986 00:00"</f>
        <v>09/05/1986 00:00</v>
      </c>
      <c r="D341" t="s">
        <v>7</v>
      </c>
      <c r="E341" s="2" t="s">
        <v>12</v>
      </c>
      <c r="F341">
        <f t="shared" si="5"/>
        <v>0</v>
      </c>
      <c r="G341" t="s">
        <v>16</v>
      </c>
    </row>
    <row r="342" spans="1:7" x14ac:dyDescent="0.3">
      <c r="A342" t="s">
        <v>6</v>
      </c>
      <c r="B342" t="str">
        <f>"09/06/1986 00:00"</f>
        <v>09/06/1986 00:00</v>
      </c>
      <c r="D342" t="s">
        <v>7</v>
      </c>
      <c r="E342" s="2" t="s">
        <v>12</v>
      </c>
      <c r="F342">
        <f t="shared" si="5"/>
        <v>0</v>
      </c>
      <c r="G342" t="s">
        <v>16</v>
      </c>
    </row>
    <row r="343" spans="1:7" x14ac:dyDescent="0.3">
      <c r="A343" t="s">
        <v>6</v>
      </c>
      <c r="B343" t="str">
        <f>"09/07/1986 00:00"</f>
        <v>09/07/1986 00:00</v>
      </c>
      <c r="D343" t="s">
        <v>7</v>
      </c>
      <c r="E343" s="2" t="s">
        <v>12</v>
      </c>
      <c r="F343">
        <f t="shared" si="5"/>
        <v>0</v>
      </c>
      <c r="G343" t="s">
        <v>16</v>
      </c>
    </row>
    <row r="344" spans="1:7" x14ac:dyDescent="0.3">
      <c r="A344" t="s">
        <v>6</v>
      </c>
      <c r="B344" t="str">
        <f>"09/08/1986 00:00"</f>
        <v>09/08/1986 00:00</v>
      </c>
      <c r="D344" t="s">
        <v>7</v>
      </c>
      <c r="E344" s="2" t="s">
        <v>12</v>
      </c>
      <c r="F344">
        <f t="shared" si="5"/>
        <v>0</v>
      </c>
      <c r="G344" t="s">
        <v>16</v>
      </c>
    </row>
    <row r="345" spans="1:7" x14ac:dyDescent="0.3">
      <c r="A345" t="s">
        <v>6</v>
      </c>
      <c r="B345" t="str">
        <f>"09/09/1986 00:00"</f>
        <v>09/09/1986 00:00</v>
      </c>
      <c r="D345" t="s">
        <v>7</v>
      </c>
      <c r="E345" s="2" t="s">
        <v>12</v>
      </c>
      <c r="F345">
        <f t="shared" si="5"/>
        <v>0</v>
      </c>
      <c r="G345" t="s">
        <v>16</v>
      </c>
    </row>
    <row r="346" spans="1:7" x14ac:dyDescent="0.3">
      <c r="A346" t="s">
        <v>6</v>
      </c>
      <c r="B346" t="str">
        <f>"09/10/1986 00:00"</f>
        <v>09/10/1986 00:00</v>
      </c>
      <c r="D346" t="s">
        <v>7</v>
      </c>
      <c r="E346" s="2" t="s">
        <v>12</v>
      </c>
      <c r="F346">
        <f t="shared" si="5"/>
        <v>0</v>
      </c>
      <c r="G346" t="s">
        <v>16</v>
      </c>
    </row>
    <row r="347" spans="1:7" x14ac:dyDescent="0.3">
      <c r="A347" t="s">
        <v>6</v>
      </c>
      <c r="B347" t="str">
        <f>"09/11/1986 00:00"</f>
        <v>09/11/1986 00:00</v>
      </c>
      <c r="D347" t="s">
        <v>7</v>
      </c>
      <c r="E347" s="2" t="s">
        <v>12</v>
      </c>
      <c r="F347">
        <f t="shared" si="5"/>
        <v>0</v>
      </c>
      <c r="G347" t="s">
        <v>16</v>
      </c>
    </row>
    <row r="348" spans="1:7" x14ac:dyDescent="0.3">
      <c r="A348" t="s">
        <v>6</v>
      </c>
      <c r="B348" t="str">
        <f>"09/12/1986 00:00"</f>
        <v>09/12/1986 00:00</v>
      </c>
      <c r="D348" t="s">
        <v>7</v>
      </c>
      <c r="E348" s="2" t="s">
        <v>12</v>
      </c>
      <c r="F348">
        <f t="shared" si="5"/>
        <v>0</v>
      </c>
      <c r="G348" t="s">
        <v>16</v>
      </c>
    </row>
    <row r="349" spans="1:7" x14ac:dyDescent="0.3">
      <c r="A349" t="s">
        <v>6</v>
      </c>
      <c r="B349" t="str">
        <f>"09/13/1986 00:00"</f>
        <v>09/13/1986 00:00</v>
      </c>
      <c r="D349" t="s">
        <v>7</v>
      </c>
      <c r="E349" s="2" t="s">
        <v>12</v>
      </c>
      <c r="F349">
        <f t="shared" si="5"/>
        <v>0</v>
      </c>
      <c r="G349" t="s">
        <v>16</v>
      </c>
    </row>
    <row r="350" spans="1:7" x14ac:dyDescent="0.3">
      <c r="A350" t="s">
        <v>6</v>
      </c>
      <c r="B350" t="str">
        <f>"09/14/1986 00:00"</f>
        <v>09/14/1986 00:00</v>
      </c>
      <c r="D350" t="s">
        <v>7</v>
      </c>
      <c r="E350" s="2" t="s">
        <v>12</v>
      </c>
      <c r="F350">
        <f t="shared" si="5"/>
        <v>0</v>
      </c>
      <c r="G350" t="s">
        <v>16</v>
      </c>
    </row>
    <row r="351" spans="1:7" x14ac:dyDescent="0.3">
      <c r="A351" t="s">
        <v>6</v>
      </c>
      <c r="B351" t="str">
        <f>"09/15/1986 00:00"</f>
        <v>09/15/1986 00:00</v>
      </c>
      <c r="D351" t="s">
        <v>7</v>
      </c>
      <c r="E351" s="2" t="s">
        <v>12</v>
      </c>
      <c r="F351">
        <f t="shared" si="5"/>
        <v>0</v>
      </c>
      <c r="G351" t="s">
        <v>16</v>
      </c>
    </row>
    <row r="352" spans="1:7" x14ac:dyDescent="0.3">
      <c r="A352" t="s">
        <v>6</v>
      </c>
      <c r="B352" t="str">
        <f>"09/16/1986 00:00"</f>
        <v>09/16/1986 00:00</v>
      </c>
      <c r="D352" t="s">
        <v>7</v>
      </c>
      <c r="E352" s="2" t="s">
        <v>12</v>
      </c>
      <c r="F352">
        <f t="shared" si="5"/>
        <v>0</v>
      </c>
      <c r="G352" t="s">
        <v>16</v>
      </c>
    </row>
    <row r="353" spans="1:7" x14ac:dyDescent="0.3">
      <c r="A353" t="s">
        <v>6</v>
      </c>
      <c r="B353" t="str">
        <f>"09/17/1986 00:00"</f>
        <v>09/17/1986 00:00</v>
      </c>
      <c r="D353" t="s">
        <v>7</v>
      </c>
      <c r="E353" s="2" t="s">
        <v>12</v>
      </c>
      <c r="F353">
        <f t="shared" si="5"/>
        <v>0</v>
      </c>
      <c r="G353" t="s">
        <v>16</v>
      </c>
    </row>
    <row r="354" spans="1:7" x14ac:dyDescent="0.3">
      <c r="A354" t="s">
        <v>6</v>
      </c>
      <c r="B354" t="str">
        <f>"09/18/1986 00:00"</f>
        <v>09/18/1986 00:00</v>
      </c>
      <c r="D354" t="s">
        <v>7</v>
      </c>
      <c r="E354" s="2" t="s">
        <v>12</v>
      </c>
      <c r="F354">
        <f t="shared" si="5"/>
        <v>0</v>
      </c>
      <c r="G354" t="s">
        <v>16</v>
      </c>
    </row>
    <row r="355" spans="1:7" x14ac:dyDescent="0.3">
      <c r="A355" t="s">
        <v>6</v>
      </c>
      <c r="B355" t="str">
        <f>"09/19/1986 00:00"</f>
        <v>09/19/1986 00:00</v>
      </c>
      <c r="D355" t="s">
        <v>7</v>
      </c>
      <c r="E355" s="2" t="s">
        <v>12</v>
      </c>
      <c r="F355">
        <f t="shared" si="5"/>
        <v>0</v>
      </c>
      <c r="G355" t="s">
        <v>16</v>
      </c>
    </row>
    <row r="356" spans="1:7" x14ac:dyDescent="0.3">
      <c r="A356" t="s">
        <v>6</v>
      </c>
      <c r="B356" t="str">
        <f>"09/20/1986 00:00"</f>
        <v>09/20/1986 00:00</v>
      </c>
      <c r="D356" t="s">
        <v>7</v>
      </c>
      <c r="E356" s="2" t="s">
        <v>12</v>
      </c>
      <c r="F356">
        <f t="shared" si="5"/>
        <v>0</v>
      </c>
      <c r="G356" t="s">
        <v>16</v>
      </c>
    </row>
    <row r="357" spans="1:7" x14ac:dyDescent="0.3">
      <c r="A357" t="s">
        <v>6</v>
      </c>
      <c r="B357" t="str">
        <f>"09/21/1986 00:00"</f>
        <v>09/21/1986 00:00</v>
      </c>
      <c r="D357" t="s">
        <v>7</v>
      </c>
      <c r="E357" s="2" t="s">
        <v>12</v>
      </c>
      <c r="F357">
        <f t="shared" si="5"/>
        <v>0</v>
      </c>
      <c r="G357" t="s">
        <v>16</v>
      </c>
    </row>
    <row r="358" spans="1:7" x14ac:dyDescent="0.3">
      <c r="A358" t="s">
        <v>6</v>
      </c>
      <c r="B358" t="str">
        <f>"09/22/1986 00:00"</f>
        <v>09/22/1986 00:00</v>
      </c>
      <c r="D358" t="s">
        <v>7</v>
      </c>
      <c r="E358" s="2" t="s">
        <v>12</v>
      </c>
      <c r="F358">
        <f t="shared" si="5"/>
        <v>0</v>
      </c>
      <c r="G358" t="s">
        <v>16</v>
      </c>
    </row>
    <row r="359" spans="1:7" x14ac:dyDescent="0.3">
      <c r="A359" t="s">
        <v>6</v>
      </c>
      <c r="B359" t="str">
        <f>"09/23/1986 00:00"</f>
        <v>09/23/1986 00:00</v>
      </c>
      <c r="D359" t="s">
        <v>7</v>
      </c>
      <c r="E359" s="2" t="s">
        <v>12</v>
      </c>
      <c r="F359">
        <f t="shared" si="5"/>
        <v>0</v>
      </c>
      <c r="G359" t="s">
        <v>16</v>
      </c>
    </row>
    <row r="360" spans="1:7" x14ac:dyDescent="0.3">
      <c r="A360" t="s">
        <v>6</v>
      </c>
      <c r="B360" t="str">
        <f>"09/24/1986 00:00"</f>
        <v>09/24/1986 00:00</v>
      </c>
      <c r="D360" t="s">
        <v>7</v>
      </c>
      <c r="E360" s="2" t="s">
        <v>12</v>
      </c>
      <c r="F360">
        <f t="shared" si="5"/>
        <v>0</v>
      </c>
      <c r="G360" t="s">
        <v>16</v>
      </c>
    </row>
    <row r="361" spans="1:7" x14ac:dyDescent="0.3">
      <c r="A361" t="s">
        <v>6</v>
      </c>
      <c r="B361" t="str">
        <f>"09/25/1986 00:00"</f>
        <v>09/25/1986 00:00</v>
      </c>
      <c r="D361" t="s">
        <v>7</v>
      </c>
      <c r="E361" s="2" t="s">
        <v>12</v>
      </c>
      <c r="F361">
        <f t="shared" si="5"/>
        <v>0</v>
      </c>
      <c r="G361" t="s">
        <v>16</v>
      </c>
    </row>
    <row r="362" spans="1:7" x14ac:dyDescent="0.3">
      <c r="A362" t="s">
        <v>6</v>
      </c>
      <c r="B362" t="str">
        <f>"09/26/1986 00:00"</f>
        <v>09/26/1986 00:00</v>
      </c>
      <c r="D362" t="s">
        <v>7</v>
      </c>
      <c r="E362" s="2" t="s">
        <v>12</v>
      </c>
      <c r="F362">
        <f t="shared" si="5"/>
        <v>0</v>
      </c>
      <c r="G362" t="s">
        <v>16</v>
      </c>
    </row>
    <row r="363" spans="1:7" x14ac:dyDescent="0.3">
      <c r="A363" t="s">
        <v>6</v>
      </c>
      <c r="B363" t="str">
        <f>"09/27/1986 00:00"</f>
        <v>09/27/1986 00:00</v>
      </c>
      <c r="D363" t="s">
        <v>7</v>
      </c>
      <c r="E363" s="2" t="s">
        <v>12</v>
      </c>
      <c r="F363">
        <f t="shared" si="5"/>
        <v>0</v>
      </c>
      <c r="G363" t="s">
        <v>16</v>
      </c>
    </row>
    <row r="364" spans="1:7" x14ac:dyDescent="0.3">
      <c r="A364" t="s">
        <v>6</v>
      </c>
      <c r="B364" t="str">
        <f>"09/28/1986 00:00"</f>
        <v>09/28/1986 00:00</v>
      </c>
      <c r="D364" t="s">
        <v>7</v>
      </c>
      <c r="E364" s="2" t="s">
        <v>12</v>
      </c>
      <c r="F364">
        <f t="shared" si="5"/>
        <v>0</v>
      </c>
      <c r="G364" t="s">
        <v>16</v>
      </c>
    </row>
    <row r="365" spans="1:7" x14ac:dyDescent="0.3">
      <c r="A365" t="s">
        <v>6</v>
      </c>
      <c r="B365" t="str">
        <f>"09/29/1986 00:00"</f>
        <v>09/29/1986 00:00</v>
      </c>
      <c r="D365" t="s">
        <v>7</v>
      </c>
      <c r="E365" s="2" t="s">
        <v>12</v>
      </c>
      <c r="F365">
        <f t="shared" si="5"/>
        <v>0</v>
      </c>
      <c r="G365" t="s">
        <v>16</v>
      </c>
    </row>
    <row r="366" spans="1:7" x14ac:dyDescent="0.3">
      <c r="A366" t="s">
        <v>6</v>
      </c>
      <c r="B366" t="str">
        <f>"09/30/1986 00:00"</f>
        <v>09/30/1986 00:00</v>
      </c>
      <c r="D366" t="s">
        <v>7</v>
      </c>
      <c r="E366" s="2" t="s">
        <v>12</v>
      </c>
      <c r="F366">
        <f t="shared" si="5"/>
        <v>0</v>
      </c>
      <c r="G366" t="s">
        <v>16</v>
      </c>
    </row>
    <row r="367" spans="1:7" x14ac:dyDescent="0.3">
      <c r="A367" t="s">
        <v>6</v>
      </c>
      <c r="B367" t="str">
        <f>"10/01/1986 00:00"</f>
        <v>10/01/1986 00:00</v>
      </c>
      <c r="D367" t="s">
        <v>7</v>
      </c>
      <c r="E367" s="2" t="s">
        <v>12</v>
      </c>
      <c r="F367">
        <f t="shared" si="5"/>
        <v>0</v>
      </c>
      <c r="G367" t="s">
        <v>16</v>
      </c>
    </row>
    <row r="368" spans="1:7" x14ac:dyDescent="0.3">
      <c r="A368" t="s">
        <v>6</v>
      </c>
      <c r="B368" t="str">
        <f>"10/02/1986 00:00"</f>
        <v>10/02/1986 00:00</v>
      </c>
      <c r="D368" t="s">
        <v>7</v>
      </c>
      <c r="E368" s="2" t="s">
        <v>12</v>
      </c>
      <c r="F368">
        <f t="shared" si="5"/>
        <v>0</v>
      </c>
      <c r="G368" t="s">
        <v>16</v>
      </c>
    </row>
    <row r="369" spans="1:7" x14ac:dyDescent="0.3">
      <c r="A369" t="s">
        <v>6</v>
      </c>
      <c r="B369" t="str">
        <f>"10/03/1986 00:00"</f>
        <v>10/03/1986 00:00</v>
      </c>
      <c r="D369" t="s">
        <v>7</v>
      </c>
      <c r="E369" s="2" t="s">
        <v>12</v>
      </c>
      <c r="F369">
        <f t="shared" si="5"/>
        <v>0</v>
      </c>
      <c r="G369" t="s">
        <v>16</v>
      </c>
    </row>
    <row r="370" spans="1:7" x14ac:dyDescent="0.3">
      <c r="A370" t="s">
        <v>6</v>
      </c>
      <c r="B370" t="str">
        <f>"10/04/1986 00:00"</f>
        <v>10/04/1986 00:00</v>
      </c>
      <c r="D370" t="s">
        <v>7</v>
      </c>
      <c r="E370" s="2" t="s">
        <v>12</v>
      </c>
      <c r="F370">
        <f t="shared" si="5"/>
        <v>0</v>
      </c>
      <c r="G370" t="s">
        <v>16</v>
      </c>
    </row>
    <row r="371" spans="1:7" x14ac:dyDescent="0.3">
      <c r="A371" t="s">
        <v>6</v>
      </c>
      <c r="B371" t="str">
        <f>"10/05/1986 00:00"</f>
        <v>10/05/1986 00:00</v>
      </c>
      <c r="D371" t="s">
        <v>7</v>
      </c>
      <c r="E371" s="2" t="s">
        <v>12</v>
      </c>
      <c r="F371">
        <f t="shared" si="5"/>
        <v>0</v>
      </c>
      <c r="G371" t="s">
        <v>16</v>
      </c>
    </row>
    <row r="372" spans="1:7" x14ac:dyDescent="0.3">
      <c r="A372" t="s">
        <v>6</v>
      </c>
      <c r="B372" t="str">
        <f>"10/06/1986 00:00"</f>
        <v>10/06/1986 00:00</v>
      </c>
      <c r="D372" t="s">
        <v>7</v>
      </c>
      <c r="E372" s="2" t="s">
        <v>12</v>
      </c>
      <c r="F372">
        <f t="shared" si="5"/>
        <v>0</v>
      </c>
      <c r="G372" t="s">
        <v>16</v>
      </c>
    </row>
    <row r="373" spans="1:7" x14ac:dyDescent="0.3">
      <c r="A373" t="s">
        <v>6</v>
      </c>
      <c r="B373" t="str">
        <f>"10/07/1986 00:00"</f>
        <v>10/07/1986 00:00</v>
      </c>
      <c r="D373" t="s">
        <v>7</v>
      </c>
      <c r="E373" s="2" t="s">
        <v>12</v>
      </c>
      <c r="F373">
        <f t="shared" si="5"/>
        <v>0</v>
      </c>
      <c r="G373" t="s">
        <v>16</v>
      </c>
    </row>
    <row r="374" spans="1:7" x14ac:dyDescent="0.3">
      <c r="A374" t="s">
        <v>6</v>
      </c>
      <c r="B374" t="str">
        <f>"10/08/1986 00:00"</f>
        <v>10/08/1986 00:00</v>
      </c>
      <c r="D374" t="s">
        <v>7</v>
      </c>
      <c r="E374" s="2" t="s">
        <v>12</v>
      </c>
      <c r="F374">
        <f t="shared" si="5"/>
        <v>0</v>
      </c>
      <c r="G374" t="s">
        <v>16</v>
      </c>
    </row>
    <row r="375" spans="1:7" x14ac:dyDescent="0.3">
      <c r="A375" t="s">
        <v>6</v>
      </c>
      <c r="B375" t="str">
        <f>"10/09/1986 00:00"</f>
        <v>10/09/1986 00:00</v>
      </c>
      <c r="D375" t="s">
        <v>7</v>
      </c>
      <c r="E375" s="2" t="s">
        <v>12</v>
      </c>
      <c r="F375">
        <f t="shared" si="5"/>
        <v>0</v>
      </c>
      <c r="G375" t="s">
        <v>16</v>
      </c>
    </row>
    <row r="376" spans="1:7" x14ac:dyDescent="0.3">
      <c r="A376" t="s">
        <v>6</v>
      </c>
      <c r="B376" t="str">
        <f>"10/10/1986 00:00"</f>
        <v>10/10/1986 00:00</v>
      </c>
      <c r="D376" t="s">
        <v>7</v>
      </c>
      <c r="E376" s="2" t="s">
        <v>12</v>
      </c>
      <c r="F376">
        <f t="shared" si="5"/>
        <v>0</v>
      </c>
      <c r="G376" t="s">
        <v>16</v>
      </c>
    </row>
    <row r="377" spans="1:7" x14ac:dyDescent="0.3">
      <c r="A377" t="s">
        <v>6</v>
      </c>
      <c r="B377" t="str">
        <f>"10/11/1986 00:00"</f>
        <v>10/11/1986 00:00</v>
      </c>
      <c r="D377" t="s">
        <v>7</v>
      </c>
      <c r="E377" s="2" t="s">
        <v>12</v>
      </c>
      <c r="F377">
        <f t="shared" si="5"/>
        <v>0</v>
      </c>
      <c r="G377" t="s">
        <v>16</v>
      </c>
    </row>
    <row r="378" spans="1:7" x14ac:dyDescent="0.3">
      <c r="A378" t="s">
        <v>6</v>
      </c>
      <c r="B378" t="str">
        <f>"10/12/1986 00:00"</f>
        <v>10/12/1986 00:00</v>
      </c>
      <c r="D378" t="s">
        <v>7</v>
      </c>
      <c r="E378" s="2" t="s">
        <v>12</v>
      </c>
      <c r="F378">
        <f t="shared" si="5"/>
        <v>0</v>
      </c>
      <c r="G378" t="s">
        <v>16</v>
      </c>
    </row>
    <row r="379" spans="1:7" x14ac:dyDescent="0.3">
      <c r="A379" t="s">
        <v>6</v>
      </c>
      <c r="B379" t="str">
        <f>"10/13/1986 00:00"</f>
        <v>10/13/1986 00:00</v>
      </c>
      <c r="D379" t="s">
        <v>7</v>
      </c>
      <c r="E379" s="2" t="s">
        <v>12</v>
      </c>
      <c r="F379">
        <f t="shared" si="5"/>
        <v>0</v>
      </c>
      <c r="G379" t="s">
        <v>16</v>
      </c>
    </row>
    <row r="380" spans="1:7" x14ac:dyDescent="0.3">
      <c r="A380" t="s">
        <v>6</v>
      </c>
      <c r="B380" t="str">
        <f>"10/14/1986 00:00"</f>
        <v>10/14/1986 00:00</v>
      </c>
      <c r="D380" t="s">
        <v>7</v>
      </c>
      <c r="E380" s="2" t="s">
        <v>12</v>
      </c>
      <c r="F380">
        <f t="shared" si="5"/>
        <v>0</v>
      </c>
      <c r="G380" t="s">
        <v>16</v>
      </c>
    </row>
    <row r="381" spans="1:7" x14ac:dyDescent="0.3">
      <c r="A381" t="s">
        <v>6</v>
      </c>
      <c r="B381" t="str">
        <f>"10/15/1986 00:00"</f>
        <v>10/15/1986 00:00</v>
      </c>
      <c r="D381" t="s">
        <v>7</v>
      </c>
      <c r="E381" s="2" t="s">
        <v>12</v>
      </c>
      <c r="F381">
        <f t="shared" si="5"/>
        <v>0</v>
      </c>
      <c r="G381" t="s">
        <v>16</v>
      </c>
    </row>
    <row r="382" spans="1:7" x14ac:dyDescent="0.3">
      <c r="A382" t="s">
        <v>6</v>
      </c>
      <c r="B382" t="str">
        <f>"10/16/1986 00:00"</f>
        <v>10/16/1986 00:00</v>
      </c>
      <c r="D382" t="s">
        <v>7</v>
      </c>
      <c r="E382" s="2" t="s">
        <v>12</v>
      </c>
      <c r="F382">
        <f t="shared" si="5"/>
        <v>0</v>
      </c>
      <c r="G382" t="s">
        <v>16</v>
      </c>
    </row>
    <row r="383" spans="1:7" x14ac:dyDescent="0.3">
      <c r="A383" t="s">
        <v>6</v>
      </c>
      <c r="B383" t="str">
        <f>"10/17/1986 00:00"</f>
        <v>10/17/1986 00:00</v>
      </c>
      <c r="D383" t="s">
        <v>7</v>
      </c>
      <c r="E383" s="2" t="s">
        <v>12</v>
      </c>
      <c r="F383">
        <f t="shared" si="5"/>
        <v>0</v>
      </c>
      <c r="G383" t="s">
        <v>16</v>
      </c>
    </row>
    <row r="384" spans="1:7" x14ac:dyDescent="0.3">
      <c r="A384" t="s">
        <v>6</v>
      </c>
      <c r="B384" t="str">
        <f>"10/18/1986 00:00"</f>
        <v>10/18/1986 00:00</v>
      </c>
      <c r="D384" t="s">
        <v>7</v>
      </c>
      <c r="E384" s="2" t="s">
        <v>12</v>
      </c>
      <c r="F384">
        <f t="shared" si="5"/>
        <v>0</v>
      </c>
      <c r="G384" t="s">
        <v>16</v>
      </c>
    </row>
    <row r="385" spans="1:10" x14ac:dyDescent="0.3">
      <c r="A385" t="s">
        <v>6</v>
      </c>
      <c r="B385" t="str">
        <f>"10/19/1986 00:00"</f>
        <v>10/19/1986 00:00</v>
      </c>
      <c r="D385" t="s">
        <v>7</v>
      </c>
      <c r="E385" s="2" t="s">
        <v>12</v>
      </c>
      <c r="F385">
        <f t="shared" si="5"/>
        <v>0</v>
      </c>
      <c r="G385" t="s">
        <v>16</v>
      </c>
    </row>
    <row r="386" spans="1:10" x14ac:dyDescent="0.3">
      <c r="A386" t="s">
        <v>6</v>
      </c>
      <c r="B386" t="str">
        <f>"10/20/1986 00:00"</f>
        <v>10/20/1986 00:00</v>
      </c>
      <c r="D386" t="s">
        <v>7</v>
      </c>
      <c r="E386" s="2" t="s">
        <v>12</v>
      </c>
      <c r="F386">
        <f t="shared" si="5"/>
        <v>0</v>
      </c>
      <c r="G386" t="s">
        <v>16</v>
      </c>
    </row>
    <row r="387" spans="1:10" x14ac:dyDescent="0.3">
      <c r="A387" t="s">
        <v>6</v>
      </c>
      <c r="B387" t="str">
        <f>"10/21/1986 00:00"</f>
        <v>10/21/1986 00:00</v>
      </c>
      <c r="D387" t="s">
        <v>7</v>
      </c>
      <c r="E387" s="2" t="s">
        <v>12</v>
      </c>
      <c r="F387">
        <f t="shared" ref="F387:F450" si="6">C387*1.983</f>
        <v>0</v>
      </c>
      <c r="G387" t="s">
        <v>16</v>
      </c>
    </row>
    <row r="388" spans="1:10" x14ac:dyDescent="0.3">
      <c r="A388" t="s">
        <v>6</v>
      </c>
      <c r="B388" t="str">
        <f>"10/22/1986 00:00"</f>
        <v>10/22/1986 00:00</v>
      </c>
      <c r="D388" t="s">
        <v>7</v>
      </c>
      <c r="E388" s="2" t="s">
        <v>12</v>
      </c>
      <c r="F388">
        <f t="shared" si="6"/>
        <v>0</v>
      </c>
      <c r="G388" t="s">
        <v>16</v>
      </c>
      <c r="I388" t="s">
        <v>34</v>
      </c>
      <c r="J388" t="str">
        <f>"10/22/1986 23:45"</f>
        <v>10/22/1986 23:45</v>
      </c>
    </row>
    <row r="389" spans="1:10" x14ac:dyDescent="0.3">
      <c r="A389" t="s">
        <v>6</v>
      </c>
      <c r="B389" t="str">
        <f>"10/23/1986 00:00"</f>
        <v>10/23/1986 00:00</v>
      </c>
      <c r="D389" t="s">
        <v>7</v>
      </c>
      <c r="E389" s="2" t="s">
        <v>12</v>
      </c>
      <c r="F389">
        <f t="shared" si="6"/>
        <v>0</v>
      </c>
      <c r="G389" t="s">
        <v>16</v>
      </c>
      <c r="I389" t="s">
        <v>34</v>
      </c>
      <c r="J389" t="str">
        <f>"10/23/1986 23:45"</f>
        <v>10/23/1986 23:45</v>
      </c>
    </row>
    <row r="390" spans="1:10" x14ac:dyDescent="0.3">
      <c r="A390" t="s">
        <v>6</v>
      </c>
      <c r="B390" t="str">
        <f>"10/24/1986 00:00"</f>
        <v>10/24/1986 00:00</v>
      </c>
      <c r="C390">
        <v>0</v>
      </c>
      <c r="D390" t="s">
        <v>7</v>
      </c>
      <c r="E390" s="2" t="s">
        <v>12</v>
      </c>
      <c r="F390">
        <f t="shared" si="6"/>
        <v>0</v>
      </c>
      <c r="G390" t="s">
        <v>16</v>
      </c>
      <c r="I390" t="s">
        <v>34</v>
      </c>
      <c r="J390" t="str">
        <f>"10/24/1986 23:45"</f>
        <v>10/24/1986 23:45</v>
      </c>
    </row>
    <row r="391" spans="1:10" x14ac:dyDescent="0.3">
      <c r="A391" t="s">
        <v>6</v>
      </c>
      <c r="B391" t="str">
        <f>"10/25/1986 00:00"</f>
        <v>10/25/1986 00:00</v>
      </c>
      <c r="C391">
        <v>0</v>
      </c>
      <c r="D391" t="s">
        <v>7</v>
      </c>
      <c r="E391" s="2" t="s">
        <v>12</v>
      </c>
      <c r="F391">
        <f t="shared" si="6"/>
        <v>0</v>
      </c>
      <c r="G391" t="s">
        <v>16</v>
      </c>
      <c r="I391" t="s">
        <v>8</v>
      </c>
      <c r="J391" t="str">
        <f>"10/25/1986 23:45"</f>
        <v>10/25/1986 23:45</v>
      </c>
    </row>
    <row r="392" spans="1:10" x14ac:dyDescent="0.3">
      <c r="A392" t="s">
        <v>6</v>
      </c>
      <c r="B392" t="str">
        <f>"10/26/1986 00:00"</f>
        <v>10/26/1986 00:00</v>
      </c>
      <c r="C392">
        <v>0</v>
      </c>
      <c r="D392" t="s">
        <v>7</v>
      </c>
      <c r="E392" s="2" t="s">
        <v>12</v>
      </c>
      <c r="F392">
        <f t="shared" si="6"/>
        <v>0</v>
      </c>
      <c r="G392" t="s">
        <v>16</v>
      </c>
      <c r="I392" t="s">
        <v>34</v>
      </c>
      <c r="J392" t="str">
        <f>"10/26/1986 23:45"</f>
        <v>10/26/1986 23:45</v>
      </c>
    </row>
    <row r="393" spans="1:10" x14ac:dyDescent="0.3">
      <c r="A393" t="s">
        <v>6</v>
      </c>
      <c r="B393" t="str">
        <f>"10/27/1986 00:00"</f>
        <v>10/27/1986 00:00</v>
      </c>
      <c r="C393">
        <v>0</v>
      </c>
      <c r="D393" t="s">
        <v>7</v>
      </c>
      <c r="E393" s="2" t="s">
        <v>12</v>
      </c>
      <c r="F393">
        <f t="shared" si="6"/>
        <v>0</v>
      </c>
      <c r="G393" t="s">
        <v>16</v>
      </c>
      <c r="I393" t="s">
        <v>8</v>
      </c>
      <c r="J393" t="str">
        <f>"10/27/1986 23:45"</f>
        <v>10/27/1986 23:45</v>
      </c>
    </row>
    <row r="394" spans="1:10" x14ac:dyDescent="0.3">
      <c r="A394" t="s">
        <v>6</v>
      </c>
      <c r="B394" t="str">
        <f>"10/28/1986 00:00"</f>
        <v>10/28/1986 00:00</v>
      </c>
      <c r="C394">
        <v>0</v>
      </c>
      <c r="D394" t="s">
        <v>7</v>
      </c>
      <c r="E394" s="2" t="s">
        <v>12</v>
      </c>
      <c r="F394">
        <f t="shared" si="6"/>
        <v>0</v>
      </c>
      <c r="G394" t="s">
        <v>16</v>
      </c>
      <c r="I394" t="s">
        <v>34</v>
      </c>
      <c r="J394" t="str">
        <f>"10/28/1986 23:45"</f>
        <v>10/28/1986 23:45</v>
      </c>
    </row>
    <row r="395" spans="1:10" x14ac:dyDescent="0.3">
      <c r="A395" t="s">
        <v>6</v>
      </c>
      <c r="B395" t="str">
        <f>"10/29/1986 00:00"</f>
        <v>10/29/1986 00:00</v>
      </c>
      <c r="C395">
        <v>0</v>
      </c>
      <c r="D395" t="s">
        <v>7</v>
      </c>
      <c r="E395" s="2" t="s">
        <v>12</v>
      </c>
      <c r="F395">
        <f t="shared" si="6"/>
        <v>0</v>
      </c>
      <c r="G395" t="s">
        <v>16</v>
      </c>
      <c r="I395" t="s">
        <v>34</v>
      </c>
      <c r="J395" t="str">
        <f>"10/29/1986 23:45"</f>
        <v>10/29/1986 23:45</v>
      </c>
    </row>
    <row r="396" spans="1:10" x14ac:dyDescent="0.3">
      <c r="A396" t="s">
        <v>6</v>
      </c>
      <c r="B396" t="str">
        <f>"10/30/1986 00:00"</f>
        <v>10/30/1986 00:00</v>
      </c>
      <c r="C396">
        <v>0</v>
      </c>
      <c r="D396" t="s">
        <v>7</v>
      </c>
      <c r="E396" s="2" t="s">
        <v>12</v>
      </c>
      <c r="F396">
        <f t="shared" si="6"/>
        <v>0</v>
      </c>
      <c r="G396" t="s">
        <v>16</v>
      </c>
      <c r="I396" t="s">
        <v>34</v>
      </c>
      <c r="J396" t="str">
        <f>"10/30/1986 23:45"</f>
        <v>10/30/1986 23:45</v>
      </c>
    </row>
    <row r="397" spans="1:10" x14ac:dyDescent="0.3">
      <c r="A397" t="s">
        <v>6</v>
      </c>
      <c r="B397" t="str">
        <f>"10/31/1986 00:00"</f>
        <v>10/31/1986 00:00</v>
      </c>
      <c r="D397" t="s">
        <v>7</v>
      </c>
      <c r="E397" s="2" t="s">
        <v>12</v>
      </c>
      <c r="F397">
        <f t="shared" si="6"/>
        <v>0</v>
      </c>
      <c r="G397" t="s">
        <v>16</v>
      </c>
      <c r="I397" t="s">
        <v>34</v>
      </c>
      <c r="J397" t="str">
        <f>"10/31/1986 17:45"</f>
        <v>10/31/1986 17:45</v>
      </c>
    </row>
    <row r="398" spans="1:10" x14ac:dyDescent="0.3">
      <c r="A398" t="s">
        <v>6</v>
      </c>
      <c r="B398" t="str">
        <f>"11/01/1986 00:00"</f>
        <v>11/01/1986 00:00</v>
      </c>
      <c r="D398" t="s">
        <v>7</v>
      </c>
      <c r="E398" s="2" t="s">
        <v>12</v>
      </c>
      <c r="F398">
        <f t="shared" si="6"/>
        <v>0</v>
      </c>
      <c r="G398" t="s">
        <v>16</v>
      </c>
    </row>
    <row r="399" spans="1:10" x14ac:dyDescent="0.3">
      <c r="A399" t="s">
        <v>6</v>
      </c>
      <c r="B399" t="str">
        <f>"11/02/1986 00:00"</f>
        <v>11/02/1986 00:00</v>
      </c>
      <c r="D399" t="s">
        <v>7</v>
      </c>
      <c r="E399" s="2" t="s">
        <v>12</v>
      </c>
      <c r="F399">
        <f t="shared" si="6"/>
        <v>0</v>
      </c>
      <c r="G399" t="s">
        <v>16</v>
      </c>
    </row>
    <row r="400" spans="1:10" x14ac:dyDescent="0.3">
      <c r="A400" t="s">
        <v>6</v>
      </c>
      <c r="B400" t="str">
        <f>"11/03/1986 00:00"</f>
        <v>11/03/1986 00:00</v>
      </c>
      <c r="D400" t="s">
        <v>7</v>
      </c>
      <c r="E400" s="2" t="s">
        <v>12</v>
      </c>
      <c r="F400">
        <f t="shared" si="6"/>
        <v>0</v>
      </c>
      <c r="G400" t="s">
        <v>16</v>
      </c>
    </row>
    <row r="401" spans="1:10" x14ac:dyDescent="0.3">
      <c r="A401" t="s">
        <v>6</v>
      </c>
      <c r="B401" t="str">
        <f>"11/04/1986 00:00"</f>
        <v>11/04/1986 00:00</v>
      </c>
      <c r="D401" t="s">
        <v>7</v>
      </c>
      <c r="E401" s="2" t="s">
        <v>12</v>
      </c>
      <c r="F401">
        <f t="shared" si="6"/>
        <v>0</v>
      </c>
      <c r="G401" t="s">
        <v>16</v>
      </c>
    </row>
    <row r="402" spans="1:10" x14ac:dyDescent="0.3">
      <c r="A402" t="s">
        <v>6</v>
      </c>
      <c r="B402" t="str">
        <f>"11/05/1986 00:00"</f>
        <v>11/05/1986 00:00</v>
      </c>
      <c r="D402" t="s">
        <v>7</v>
      </c>
      <c r="E402" s="2" t="s">
        <v>12</v>
      </c>
      <c r="F402">
        <f t="shared" si="6"/>
        <v>0</v>
      </c>
      <c r="G402" t="s">
        <v>16</v>
      </c>
    </row>
    <row r="403" spans="1:10" x14ac:dyDescent="0.3">
      <c r="A403" t="s">
        <v>6</v>
      </c>
      <c r="B403" t="str">
        <f>"11/06/1986 00:00"</f>
        <v>11/06/1986 00:00</v>
      </c>
      <c r="D403" t="s">
        <v>7</v>
      </c>
      <c r="E403" s="2" t="s">
        <v>12</v>
      </c>
      <c r="F403">
        <f t="shared" si="6"/>
        <v>0</v>
      </c>
      <c r="G403" t="s">
        <v>16</v>
      </c>
    </row>
    <row r="404" spans="1:10" x14ac:dyDescent="0.3">
      <c r="A404" t="s">
        <v>6</v>
      </c>
      <c r="B404" t="str">
        <f>"11/07/1986 00:00"</f>
        <v>11/07/1986 00:00</v>
      </c>
      <c r="D404" t="s">
        <v>7</v>
      </c>
      <c r="E404" s="2" t="s">
        <v>12</v>
      </c>
      <c r="F404">
        <f t="shared" si="6"/>
        <v>0</v>
      </c>
      <c r="G404" t="s">
        <v>16</v>
      </c>
    </row>
    <row r="405" spans="1:10" x14ac:dyDescent="0.3">
      <c r="A405" t="s">
        <v>6</v>
      </c>
      <c r="B405" t="str">
        <f>"11/08/1986 00:00"</f>
        <v>11/08/1986 00:00</v>
      </c>
      <c r="D405" t="s">
        <v>7</v>
      </c>
      <c r="E405" s="2" t="s">
        <v>12</v>
      </c>
      <c r="F405">
        <f t="shared" si="6"/>
        <v>0</v>
      </c>
      <c r="G405" t="s">
        <v>16</v>
      </c>
    </row>
    <row r="406" spans="1:10" x14ac:dyDescent="0.3">
      <c r="A406" t="s">
        <v>6</v>
      </c>
      <c r="B406" t="str">
        <f>"11/09/1986 00:00"</f>
        <v>11/09/1986 00:00</v>
      </c>
      <c r="D406" t="s">
        <v>7</v>
      </c>
      <c r="E406" s="2" t="s">
        <v>12</v>
      </c>
      <c r="F406">
        <f t="shared" si="6"/>
        <v>0</v>
      </c>
      <c r="G406" t="s">
        <v>16</v>
      </c>
    </row>
    <row r="407" spans="1:10" x14ac:dyDescent="0.3">
      <c r="A407" t="s">
        <v>6</v>
      </c>
      <c r="B407" t="str">
        <f>"11/10/1986 00:00"</f>
        <v>11/10/1986 00:00</v>
      </c>
      <c r="D407" t="s">
        <v>7</v>
      </c>
      <c r="E407" s="2" t="s">
        <v>12</v>
      </c>
      <c r="F407">
        <f t="shared" si="6"/>
        <v>0</v>
      </c>
      <c r="G407" t="s">
        <v>16</v>
      </c>
    </row>
    <row r="408" spans="1:10" x14ac:dyDescent="0.3">
      <c r="A408" t="s">
        <v>6</v>
      </c>
      <c r="B408" t="str">
        <f>"11/11/1986 00:00"</f>
        <v>11/11/1986 00:00</v>
      </c>
      <c r="D408" t="s">
        <v>7</v>
      </c>
      <c r="E408" s="2" t="s">
        <v>12</v>
      </c>
      <c r="F408">
        <f t="shared" si="6"/>
        <v>0</v>
      </c>
      <c r="G408" t="s">
        <v>16</v>
      </c>
    </row>
    <row r="409" spans="1:10" x14ac:dyDescent="0.3">
      <c r="A409" t="s">
        <v>6</v>
      </c>
      <c r="B409" t="str">
        <f>"11/12/1986 00:00"</f>
        <v>11/12/1986 00:00</v>
      </c>
      <c r="D409" t="s">
        <v>7</v>
      </c>
      <c r="E409" s="2" t="s">
        <v>12</v>
      </c>
      <c r="F409">
        <f t="shared" si="6"/>
        <v>0</v>
      </c>
      <c r="G409" t="s">
        <v>16</v>
      </c>
    </row>
    <row r="410" spans="1:10" x14ac:dyDescent="0.3">
      <c r="A410" t="s">
        <v>6</v>
      </c>
      <c r="B410" t="str">
        <f>"11/13/1986 00:00"</f>
        <v>11/13/1986 00:00</v>
      </c>
      <c r="D410" t="s">
        <v>7</v>
      </c>
      <c r="E410" s="2" t="s">
        <v>12</v>
      </c>
      <c r="F410">
        <f t="shared" si="6"/>
        <v>0</v>
      </c>
      <c r="G410" t="s">
        <v>16</v>
      </c>
    </row>
    <row r="411" spans="1:10" x14ac:dyDescent="0.3">
      <c r="A411" t="s">
        <v>6</v>
      </c>
      <c r="B411" t="str">
        <f>"11/14/1986 00:00"</f>
        <v>11/14/1986 00:00</v>
      </c>
      <c r="D411" t="s">
        <v>7</v>
      </c>
      <c r="E411" s="2" t="s">
        <v>12</v>
      </c>
      <c r="F411">
        <f t="shared" si="6"/>
        <v>0</v>
      </c>
      <c r="G411" t="s">
        <v>16</v>
      </c>
    </row>
    <row r="412" spans="1:10" x14ac:dyDescent="0.3">
      <c r="A412" t="s">
        <v>6</v>
      </c>
      <c r="B412" t="str">
        <f>"11/15/1986 00:00"</f>
        <v>11/15/1986 00:00</v>
      </c>
      <c r="D412" t="s">
        <v>7</v>
      </c>
      <c r="E412" s="2" t="s">
        <v>12</v>
      </c>
      <c r="F412">
        <f t="shared" si="6"/>
        <v>0</v>
      </c>
      <c r="G412" t="s">
        <v>16</v>
      </c>
      <c r="I412" t="s">
        <v>34</v>
      </c>
      <c r="J412" t="str">
        <f>"11/15/1986 21:45"</f>
        <v>11/15/1986 21:45</v>
      </c>
    </row>
    <row r="413" spans="1:10" x14ac:dyDescent="0.3">
      <c r="A413" t="s">
        <v>6</v>
      </c>
      <c r="B413" t="str">
        <f>"11/16/1986 00:00"</f>
        <v>11/16/1986 00:00</v>
      </c>
      <c r="D413" t="s">
        <v>7</v>
      </c>
      <c r="E413" s="2" t="s">
        <v>12</v>
      </c>
      <c r="F413">
        <f t="shared" si="6"/>
        <v>0</v>
      </c>
      <c r="G413" t="s">
        <v>16</v>
      </c>
      <c r="I413" t="s">
        <v>34</v>
      </c>
      <c r="J413" t="str">
        <f>"11/16/1986 17:45"</f>
        <v>11/16/1986 17:45</v>
      </c>
    </row>
    <row r="414" spans="1:10" x14ac:dyDescent="0.3">
      <c r="A414" t="s">
        <v>6</v>
      </c>
      <c r="B414" t="str">
        <f>"11/17/1986 00:00"</f>
        <v>11/17/1986 00:00</v>
      </c>
      <c r="D414" t="s">
        <v>7</v>
      </c>
      <c r="E414" s="2" t="s">
        <v>12</v>
      </c>
      <c r="F414">
        <f t="shared" si="6"/>
        <v>0</v>
      </c>
      <c r="G414" t="s">
        <v>16</v>
      </c>
    </row>
    <row r="415" spans="1:10" x14ac:dyDescent="0.3">
      <c r="A415" t="s">
        <v>6</v>
      </c>
      <c r="B415" t="str">
        <f>"11/18/1986 00:00"</f>
        <v>11/18/1986 00:00</v>
      </c>
      <c r="D415" t="s">
        <v>7</v>
      </c>
      <c r="E415" s="2" t="s">
        <v>12</v>
      </c>
      <c r="F415">
        <f t="shared" si="6"/>
        <v>0</v>
      </c>
      <c r="G415" t="s">
        <v>16</v>
      </c>
    </row>
    <row r="416" spans="1:10" x14ac:dyDescent="0.3">
      <c r="A416" t="s">
        <v>6</v>
      </c>
      <c r="B416" t="str">
        <f>"11/19/1986 00:00"</f>
        <v>11/19/1986 00:00</v>
      </c>
      <c r="D416" t="s">
        <v>7</v>
      </c>
      <c r="E416" s="2" t="s">
        <v>12</v>
      </c>
      <c r="F416">
        <f t="shared" si="6"/>
        <v>0</v>
      </c>
      <c r="G416" t="s">
        <v>16</v>
      </c>
    </row>
    <row r="417" spans="1:7" x14ac:dyDescent="0.3">
      <c r="A417" t="s">
        <v>6</v>
      </c>
      <c r="B417" t="str">
        <f>"11/20/1986 00:00"</f>
        <v>11/20/1986 00:00</v>
      </c>
      <c r="D417" t="s">
        <v>7</v>
      </c>
      <c r="E417" s="2" t="s">
        <v>12</v>
      </c>
      <c r="F417">
        <f t="shared" si="6"/>
        <v>0</v>
      </c>
      <c r="G417" t="s">
        <v>16</v>
      </c>
    </row>
    <row r="418" spans="1:7" x14ac:dyDescent="0.3">
      <c r="A418" t="s">
        <v>6</v>
      </c>
      <c r="B418" t="str">
        <f>"11/21/1986 00:00"</f>
        <v>11/21/1986 00:00</v>
      </c>
      <c r="D418" t="s">
        <v>7</v>
      </c>
      <c r="E418" s="2" t="s">
        <v>12</v>
      </c>
      <c r="F418">
        <f t="shared" si="6"/>
        <v>0</v>
      </c>
      <c r="G418" t="s">
        <v>16</v>
      </c>
    </row>
    <row r="419" spans="1:7" x14ac:dyDescent="0.3">
      <c r="A419" t="s">
        <v>6</v>
      </c>
      <c r="B419" t="str">
        <f>"11/22/1986 00:00"</f>
        <v>11/22/1986 00:00</v>
      </c>
      <c r="D419" t="s">
        <v>7</v>
      </c>
      <c r="E419" s="2" t="s">
        <v>12</v>
      </c>
      <c r="F419">
        <f t="shared" si="6"/>
        <v>0</v>
      </c>
      <c r="G419" t="s">
        <v>16</v>
      </c>
    </row>
    <row r="420" spans="1:7" x14ac:dyDescent="0.3">
      <c r="A420" t="s">
        <v>6</v>
      </c>
      <c r="B420" t="str">
        <f>"11/23/1986 00:00"</f>
        <v>11/23/1986 00:00</v>
      </c>
      <c r="D420" t="s">
        <v>7</v>
      </c>
      <c r="E420" s="2" t="s">
        <v>12</v>
      </c>
      <c r="F420">
        <f t="shared" si="6"/>
        <v>0</v>
      </c>
      <c r="G420" t="s">
        <v>16</v>
      </c>
    </row>
    <row r="421" spans="1:7" x14ac:dyDescent="0.3">
      <c r="A421" t="s">
        <v>6</v>
      </c>
      <c r="B421" t="str">
        <f>"11/24/1986 00:00"</f>
        <v>11/24/1986 00:00</v>
      </c>
      <c r="D421" t="s">
        <v>7</v>
      </c>
      <c r="E421" s="2" t="s">
        <v>12</v>
      </c>
      <c r="F421">
        <f t="shared" si="6"/>
        <v>0</v>
      </c>
      <c r="G421" t="s">
        <v>16</v>
      </c>
    </row>
    <row r="422" spans="1:7" x14ac:dyDescent="0.3">
      <c r="A422" t="s">
        <v>6</v>
      </c>
      <c r="B422" t="str">
        <f>"11/25/1986 00:00"</f>
        <v>11/25/1986 00:00</v>
      </c>
      <c r="D422" t="s">
        <v>7</v>
      </c>
      <c r="E422" s="2" t="s">
        <v>12</v>
      </c>
      <c r="F422">
        <f t="shared" si="6"/>
        <v>0</v>
      </c>
      <c r="G422" t="s">
        <v>16</v>
      </c>
    </row>
    <row r="423" spans="1:7" x14ac:dyDescent="0.3">
      <c r="A423" t="s">
        <v>6</v>
      </c>
      <c r="B423" t="str">
        <f>"11/26/1986 00:00"</f>
        <v>11/26/1986 00:00</v>
      </c>
      <c r="D423" t="s">
        <v>7</v>
      </c>
      <c r="E423" s="2" t="s">
        <v>12</v>
      </c>
      <c r="F423">
        <f t="shared" si="6"/>
        <v>0</v>
      </c>
      <c r="G423" t="s">
        <v>16</v>
      </c>
    </row>
    <row r="424" spans="1:7" x14ac:dyDescent="0.3">
      <c r="A424" t="s">
        <v>6</v>
      </c>
      <c r="B424" t="str">
        <f>"11/27/1986 00:00"</f>
        <v>11/27/1986 00:00</v>
      </c>
      <c r="D424" t="s">
        <v>7</v>
      </c>
      <c r="E424" s="2" t="s">
        <v>12</v>
      </c>
      <c r="F424">
        <f t="shared" si="6"/>
        <v>0</v>
      </c>
      <c r="G424" t="s">
        <v>16</v>
      </c>
    </row>
    <row r="425" spans="1:7" x14ac:dyDescent="0.3">
      <c r="A425" t="s">
        <v>6</v>
      </c>
      <c r="B425" t="str">
        <f>"11/28/1986 00:00"</f>
        <v>11/28/1986 00:00</v>
      </c>
      <c r="D425" t="s">
        <v>7</v>
      </c>
      <c r="E425" s="2" t="s">
        <v>12</v>
      </c>
      <c r="F425">
        <f t="shared" si="6"/>
        <v>0</v>
      </c>
      <c r="G425" t="s">
        <v>16</v>
      </c>
    </row>
    <row r="426" spans="1:7" x14ac:dyDescent="0.3">
      <c r="A426" t="s">
        <v>6</v>
      </c>
      <c r="B426" t="str">
        <f>"11/29/1986 00:00"</f>
        <v>11/29/1986 00:00</v>
      </c>
      <c r="D426" t="s">
        <v>7</v>
      </c>
      <c r="E426" s="2" t="s">
        <v>12</v>
      </c>
      <c r="F426">
        <f t="shared" si="6"/>
        <v>0</v>
      </c>
      <c r="G426" t="s">
        <v>16</v>
      </c>
    </row>
    <row r="427" spans="1:7" x14ac:dyDescent="0.3">
      <c r="A427" t="s">
        <v>6</v>
      </c>
      <c r="B427" t="str">
        <f>"11/30/1986 00:00"</f>
        <v>11/30/1986 00:00</v>
      </c>
      <c r="D427" t="s">
        <v>7</v>
      </c>
      <c r="E427" s="2" t="s">
        <v>12</v>
      </c>
      <c r="F427">
        <f t="shared" si="6"/>
        <v>0</v>
      </c>
      <c r="G427" t="s">
        <v>16</v>
      </c>
    </row>
    <row r="428" spans="1:7" x14ac:dyDescent="0.3">
      <c r="A428" t="s">
        <v>6</v>
      </c>
      <c r="B428" t="str">
        <f>"12/01/1986 00:00"</f>
        <v>12/01/1986 00:00</v>
      </c>
      <c r="D428" t="s">
        <v>7</v>
      </c>
      <c r="E428" s="2" t="s">
        <v>12</v>
      </c>
      <c r="F428">
        <f t="shared" si="6"/>
        <v>0</v>
      </c>
      <c r="G428" t="s">
        <v>16</v>
      </c>
    </row>
    <row r="429" spans="1:7" x14ac:dyDescent="0.3">
      <c r="A429" t="s">
        <v>6</v>
      </c>
      <c r="B429" t="str">
        <f>"12/02/1986 00:00"</f>
        <v>12/02/1986 00:00</v>
      </c>
      <c r="D429" t="s">
        <v>7</v>
      </c>
      <c r="E429" s="2" t="s">
        <v>12</v>
      </c>
      <c r="F429">
        <f t="shared" si="6"/>
        <v>0</v>
      </c>
      <c r="G429" t="s">
        <v>16</v>
      </c>
    </row>
    <row r="430" spans="1:7" x14ac:dyDescent="0.3">
      <c r="A430" t="s">
        <v>6</v>
      </c>
      <c r="B430" t="str">
        <f>"12/03/1986 00:00"</f>
        <v>12/03/1986 00:00</v>
      </c>
      <c r="D430" t="s">
        <v>7</v>
      </c>
      <c r="E430" s="2" t="s">
        <v>12</v>
      </c>
      <c r="F430">
        <f t="shared" si="6"/>
        <v>0</v>
      </c>
      <c r="G430" t="s">
        <v>16</v>
      </c>
    </row>
    <row r="431" spans="1:7" x14ac:dyDescent="0.3">
      <c r="A431" t="s">
        <v>6</v>
      </c>
      <c r="B431" t="str">
        <f>"12/04/1986 00:00"</f>
        <v>12/04/1986 00:00</v>
      </c>
      <c r="D431" t="s">
        <v>7</v>
      </c>
      <c r="E431" s="2" t="s">
        <v>12</v>
      </c>
      <c r="F431">
        <f t="shared" si="6"/>
        <v>0</v>
      </c>
      <c r="G431" t="s">
        <v>16</v>
      </c>
    </row>
    <row r="432" spans="1:7" x14ac:dyDescent="0.3">
      <c r="A432" t="s">
        <v>6</v>
      </c>
      <c r="B432" t="str">
        <f>"12/05/1986 00:00"</f>
        <v>12/05/1986 00:00</v>
      </c>
      <c r="D432" t="s">
        <v>7</v>
      </c>
      <c r="E432" s="2" t="s">
        <v>12</v>
      </c>
      <c r="F432">
        <f t="shared" si="6"/>
        <v>0</v>
      </c>
      <c r="G432" t="s">
        <v>16</v>
      </c>
    </row>
    <row r="433" spans="1:7" x14ac:dyDescent="0.3">
      <c r="A433" t="s">
        <v>6</v>
      </c>
      <c r="B433" t="str">
        <f>"12/06/1986 00:00"</f>
        <v>12/06/1986 00:00</v>
      </c>
      <c r="D433" t="s">
        <v>7</v>
      </c>
      <c r="E433" s="2" t="s">
        <v>12</v>
      </c>
      <c r="F433">
        <f t="shared" si="6"/>
        <v>0</v>
      </c>
      <c r="G433" t="s">
        <v>16</v>
      </c>
    </row>
    <row r="434" spans="1:7" x14ac:dyDescent="0.3">
      <c r="A434" t="s">
        <v>6</v>
      </c>
      <c r="B434" t="str">
        <f>"12/07/1986 00:00"</f>
        <v>12/07/1986 00:00</v>
      </c>
      <c r="D434" t="s">
        <v>7</v>
      </c>
      <c r="E434" s="2" t="s">
        <v>12</v>
      </c>
      <c r="F434">
        <f t="shared" si="6"/>
        <v>0</v>
      </c>
      <c r="G434" t="s">
        <v>16</v>
      </c>
    </row>
    <row r="435" spans="1:7" x14ac:dyDescent="0.3">
      <c r="A435" t="s">
        <v>6</v>
      </c>
      <c r="B435" t="str">
        <f>"12/08/1986 00:00"</f>
        <v>12/08/1986 00:00</v>
      </c>
      <c r="D435" t="s">
        <v>7</v>
      </c>
      <c r="E435" s="2" t="s">
        <v>12</v>
      </c>
      <c r="F435">
        <f t="shared" si="6"/>
        <v>0</v>
      </c>
      <c r="G435" t="s">
        <v>16</v>
      </c>
    </row>
    <row r="436" spans="1:7" x14ac:dyDescent="0.3">
      <c r="A436" t="s">
        <v>6</v>
      </c>
      <c r="B436" t="str">
        <f>"12/09/1986 00:00"</f>
        <v>12/09/1986 00:00</v>
      </c>
      <c r="D436" t="s">
        <v>7</v>
      </c>
      <c r="E436" s="2" t="s">
        <v>12</v>
      </c>
      <c r="F436">
        <f t="shared" si="6"/>
        <v>0</v>
      </c>
      <c r="G436" t="s">
        <v>16</v>
      </c>
    </row>
    <row r="437" spans="1:7" x14ac:dyDescent="0.3">
      <c r="A437" t="s">
        <v>6</v>
      </c>
      <c r="B437" t="str">
        <f>"12/10/1986 00:00"</f>
        <v>12/10/1986 00:00</v>
      </c>
      <c r="D437" t="s">
        <v>7</v>
      </c>
      <c r="E437" s="2" t="s">
        <v>12</v>
      </c>
      <c r="F437">
        <f t="shared" si="6"/>
        <v>0</v>
      </c>
      <c r="G437" t="s">
        <v>16</v>
      </c>
    </row>
    <row r="438" spans="1:7" x14ac:dyDescent="0.3">
      <c r="A438" t="s">
        <v>6</v>
      </c>
      <c r="B438" t="str">
        <f>"12/11/1986 00:00"</f>
        <v>12/11/1986 00:00</v>
      </c>
      <c r="D438" t="s">
        <v>7</v>
      </c>
      <c r="E438" s="2" t="s">
        <v>12</v>
      </c>
      <c r="F438">
        <f t="shared" si="6"/>
        <v>0</v>
      </c>
      <c r="G438" t="s">
        <v>16</v>
      </c>
    </row>
    <row r="439" spans="1:7" x14ac:dyDescent="0.3">
      <c r="A439" t="s">
        <v>6</v>
      </c>
      <c r="B439" t="str">
        <f>"12/12/1986 00:00"</f>
        <v>12/12/1986 00:00</v>
      </c>
      <c r="D439" t="s">
        <v>7</v>
      </c>
      <c r="E439" s="2" t="s">
        <v>12</v>
      </c>
      <c r="F439">
        <f t="shared" si="6"/>
        <v>0</v>
      </c>
      <c r="G439" t="s">
        <v>16</v>
      </c>
    </row>
    <row r="440" spans="1:7" x14ac:dyDescent="0.3">
      <c r="A440" t="s">
        <v>6</v>
      </c>
      <c r="B440" t="str">
        <f>"12/13/1986 00:00"</f>
        <v>12/13/1986 00:00</v>
      </c>
      <c r="D440" t="s">
        <v>7</v>
      </c>
      <c r="E440" s="2" t="s">
        <v>12</v>
      </c>
      <c r="F440">
        <f t="shared" si="6"/>
        <v>0</v>
      </c>
      <c r="G440" t="s">
        <v>16</v>
      </c>
    </row>
    <row r="441" spans="1:7" x14ac:dyDescent="0.3">
      <c r="A441" t="s">
        <v>6</v>
      </c>
      <c r="B441" t="str">
        <f>"12/14/1986 00:00"</f>
        <v>12/14/1986 00:00</v>
      </c>
      <c r="D441" t="s">
        <v>7</v>
      </c>
      <c r="E441" s="2" t="s">
        <v>12</v>
      </c>
      <c r="F441">
        <f t="shared" si="6"/>
        <v>0</v>
      </c>
      <c r="G441" t="s">
        <v>16</v>
      </c>
    </row>
    <row r="442" spans="1:7" x14ac:dyDescent="0.3">
      <c r="A442" t="s">
        <v>6</v>
      </c>
      <c r="B442" t="str">
        <f>"12/15/1986 00:00"</f>
        <v>12/15/1986 00:00</v>
      </c>
      <c r="D442" t="s">
        <v>7</v>
      </c>
      <c r="E442" s="2" t="s">
        <v>12</v>
      </c>
      <c r="F442">
        <f t="shared" si="6"/>
        <v>0</v>
      </c>
      <c r="G442" t="s">
        <v>16</v>
      </c>
    </row>
    <row r="443" spans="1:7" x14ac:dyDescent="0.3">
      <c r="A443" t="s">
        <v>6</v>
      </c>
      <c r="B443" t="str">
        <f>"12/16/1986 00:00"</f>
        <v>12/16/1986 00:00</v>
      </c>
      <c r="D443" t="s">
        <v>7</v>
      </c>
      <c r="E443" s="2" t="s">
        <v>12</v>
      </c>
      <c r="F443">
        <f t="shared" si="6"/>
        <v>0</v>
      </c>
      <c r="G443" t="s">
        <v>16</v>
      </c>
    </row>
    <row r="444" spans="1:7" x14ac:dyDescent="0.3">
      <c r="A444" t="s">
        <v>6</v>
      </c>
      <c r="B444" t="str">
        <f>"12/17/1986 00:00"</f>
        <v>12/17/1986 00:00</v>
      </c>
      <c r="D444" t="s">
        <v>7</v>
      </c>
      <c r="E444" s="2" t="s">
        <v>12</v>
      </c>
      <c r="F444">
        <f t="shared" si="6"/>
        <v>0</v>
      </c>
      <c r="G444" t="s">
        <v>16</v>
      </c>
    </row>
    <row r="445" spans="1:7" x14ac:dyDescent="0.3">
      <c r="A445" t="s">
        <v>6</v>
      </c>
      <c r="B445" t="str">
        <f>"12/18/1986 00:00"</f>
        <v>12/18/1986 00:00</v>
      </c>
      <c r="D445" t="s">
        <v>7</v>
      </c>
      <c r="E445" s="2" t="s">
        <v>12</v>
      </c>
      <c r="F445">
        <f t="shared" si="6"/>
        <v>0</v>
      </c>
      <c r="G445" t="s">
        <v>16</v>
      </c>
    </row>
    <row r="446" spans="1:7" x14ac:dyDescent="0.3">
      <c r="A446" t="s">
        <v>6</v>
      </c>
      <c r="B446" t="str">
        <f>"12/19/1986 00:00"</f>
        <v>12/19/1986 00:00</v>
      </c>
      <c r="D446" t="s">
        <v>7</v>
      </c>
      <c r="E446" s="2" t="s">
        <v>12</v>
      </c>
      <c r="F446">
        <f t="shared" si="6"/>
        <v>0</v>
      </c>
      <c r="G446" t="s">
        <v>16</v>
      </c>
    </row>
    <row r="447" spans="1:7" x14ac:dyDescent="0.3">
      <c r="A447" t="s">
        <v>6</v>
      </c>
      <c r="B447" t="str">
        <f>"12/20/1986 00:00"</f>
        <v>12/20/1986 00:00</v>
      </c>
      <c r="D447" t="s">
        <v>7</v>
      </c>
      <c r="E447" s="2" t="s">
        <v>12</v>
      </c>
      <c r="F447">
        <f t="shared" si="6"/>
        <v>0</v>
      </c>
      <c r="G447" t="s">
        <v>16</v>
      </c>
    </row>
    <row r="448" spans="1:7" x14ac:dyDescent="0.3">
      <c r="A448" t="s">
        <v>6</v>
      </c>
      <c r="B448" t="str">
        <f>"12/21/1986 00:00"</f>
        <v>12/21/1986 00:00</v>
      </c>
      <c r="D448" t="s">
        <v>7</v>
      </c>
      <c r="E448" s="2" t="s">
        <v>12</v>
      </c>
      <c r="F448">
        <f t="shared" si="6"/>
        <v>0</v>
      </c>
      <c r="G448" t="s">
        <v>16</v>
      </c>
    </row>
    <row r="449" spans="1:7" x14ac:dyDescent="0.3">
      <c r="A449" t="s">
        <v>6</v>
      </c>
      <c r="B449" t="str">
        <f>"12/22/1986 00:00"</f>
        <v>12/22/1986 00:00</v>
      </c>
      <c r="D449" t="s">
        <v>7</v>
      </c>
      <c r="E449" s="2" t="s">
        <v>12</v>
      </c>
      <c r="F449">
        <f t="shared" si="6"/>
        <v>0</v>
      </c>
      <c r="G449" t="s">
        <v>16</v>
      </c>
    </row>
    <row r="450" spans="1:7" x14ac:dyDescent="0.3">
      <c r="A450" t="s">
        <v>6</v>
      </c>
      <c r="B450" t="str">
        <f>"12/23/1986 00:00"</f>
        <v>12/23/1986 00:00</v>
      </c>
      <c r="D450" t="s">
        <v>7</v>
      </c>
      <c r="E450" s="2" t="s">
        <v>12</v>
      </c>
      <c r="F450">
        <f t="shared" si="6"/>
        <v>0</v>
      </c>
      <c r="G450" t="s">
        <v>16</v>
      </c>
    </row>
    <row r="451" spans="1:7" x14ac:dyDescent="0.3">
      <c r="A451" t="s">
        <v>6</v>
      </c>
      <c r="B451" t="str">
        <f>"12/24/1986 00:00"</f>
        <v>12/24/1986 00:00</v>
      </c>
      <c r="D451" t="s">
        <v>7</v>
      </c>
      <c r="E451" s="2" t="s">
        <v>12</v>
      </c>
      <c r="F451">
        <f t="shared" ref="F451:F514" si="7">C451*1.983</f>
        <v>0</v>
      </c>
      <c r="G451" t="s">
        <v>16</v>
      </c>
    </row>
    <row r="452" spans="1:7" x14ac:dyDescent="0.3">
      <c r="A452" t="s">
        <v>6</v>
      </c>
      <c r="B452" t="str">
        <f>"12/25/1986 00:00"</f>
        <v>12/25/1986 00:00</v>
      </c>
      <c r="D452" t="s">
        <v>7</v>
      </c>
      <c r="E452" s="2" t="s">
        <v>12</v>
      </c>
      <c r="F452">
        <f t="shared" si="7"/>
        <v>0</v>
      </c>
      <c r="G452" t="s">
        <v>16</v>
      </c>
    </row>
    <row r="453" spans="1:7" x14ac:dyDescent="0.3">
      <c r="A453" t="s">
        <v>6</v>
      </c>
      <c r="B453" t="str">
        <f>"12/26/1986 00:00"</f>
        <v>12/26/1986 00:00</v>
      </c>
      <c r="D453" t="s">
        <v>7</v>
      </c>
      <c r="E453" s="2" t="s">
        <v>12</v>
      </c>
      <c r="F453">
        <f t="shared" si="7"/>
        <v>0</v>
      </c>
      <c r="G453" t="s">
        <v>16</v>
      </c>
    </row>
    <row r="454" spans="1:7" x14ac:dyDescent="0.3">
      <c r="A454" t="s">
        <v>6</v>
      </c>
      <c r="B454" t="str">
        <f>"12/27/1986 00:00"</f>
        <v>12/27/1986 00:00</v>
      </c>
      <c r="D454" t="s">
        <v>7</v>
      </c>
      <c r="E454" s="2" t="s">
        <v>12</v>
      </c>
      <c r="F454">
        <f t="shared" si="7"/>
        <v>0</v>
      </c>
      <c r="G454" t="s">
        <v>16</v>
      </c>
    </row>
    <row r="455" spans="1:7" x14ac:dyDescent="0.3">
      <c r="A455" t="s">
        <v>6</v>
      </c>
      <c r="B455" t="str">
        <f>"12/28/1986 00:00"</f>
        <v>12/28/1986 00:00</v>
      </c>
      <c r="D455" t="s">
        <v>7</v>
      </c>
      <c r="E455" s="2" t="s">
        <v>12</v>
      </c>
      <c r="F455">
        <f t="shared" si="7"/>
        <v>0</v>
      </c>
      <c r="G455" t="s">
        <v>16</v>
      </c>
    </row>
    <row r="456" spans="1:7" x14ac:dyDescent="0.3">
      <c r="A456" t="s">
        <v>6</v>
      </c>
      <c r="B456" t="str">
        <f>"12/29/1986 00:00"</f>
        <v>12/29/1986 00:00</v>
      </c>
      <c r="D456" t="s">
        <v>7</v>
      </c>
      <c r="E456" s="2" t="s">
        <v>12</v>
      </c>
      <c r="F456">
        <f t="shared" si="7"/>
        <v>0</v>
      </c>
      <c r="G456" t="s">
        <v>16</v>
      </c>
    </row>
    <row r="457" spans="1:7" x14ac:dyDescent="0.3">
      <c r="A457" t="s">
        <v>6</v>
      </c>
      <c r="B457" t="str">
        <f>"12/30/1986 00:00"</f>
        <v>12/30/1986 00:00</v>
      </c>
      <c r="D457" t="s">
        <v>7</v>
      </c>
      <c r="E457" s="2" t="s">
        <v>12</v>
      </c>
      <c r="F457">
        <f t="shared" si="7"/>
        <v>0</v>
      </c>
      <c r="G457" t="s">
        <v>16</v>
      </c>
    </row>
    <row r="458" spans="1:7" x14ac:dyDescent="0.3">
      <c r="A458" t="s">
        <v>6</v>
      </c>
      <c r="B458" t="str">
        <f>"12/31/1986 00:00"</f>
        <v>12/31/1986 00:00</v>
      </c>
      <c r="D458" t="s">
        <v>7</v>
      </c>
      <c r="E458" s="2" t="s">
        <v>12</v>
      </c>
      <c r="F458">
        <f t="shared" si="7"/>
        <v>0</v>
      </c>
      <c r="G458" t="s">
        <v>16</v>
      </c>
    </row>
    <row r="459" spans="1:7" x14ac:dyDescent="0.3">
      <c r="A459" t="s">
        <v>6</v>
      </c>
      <c r="B459" t="str">
        <f>"01/01/1987 00:00"</f>
        <v>01/01/1987 00:00</v>
      </c>
      <c r="D459" t="s">
        <v>7</v>
      </c>
      <c r="E459" s="2" t="s">
        <v>12</v>
      </c>
      <c r="F459">
        <f t="shared" si="7"/>
        <v>0</v>
      </c>
      <c r="G459" t="s">
        <v>16</v>
      </c>
    </row>
    <row r="460" spans="1:7" x14ac:dyDescent="0.3">
      <c r="A460" t="s">
        <v>6</v>
      </c>
      <c r="B460" t="str">
        <f>"01/02/1987 00:00"</f>
        <v>01/02/1987 00:00</v>
      </c>
      <c r="D460" t="s">
        <v>7</v>
      </c>
      <c r="E460" s="2" t="s">
        <v>12</v>
      </c>
      <c r="F460">
        <f t="shared" si="7"/>
        <v>0</v>
      </c>
      <c r="G460" t="s">
        <v>16</v>
      </c>
    </row>
    <row r="461" spans="1:7" x14ac:dyDescent="0.3">
      <c r="A461" t="s">
        <v>6</v>
      </c>
      <c r="B461" t="str">
        <f>"01/03/1987 00:00"</f>
        <v>01/03/1987 00:00</v>
      </c>
      <c r="D461" t="s">
        <v>7</v>
      </c>
      <c r="E461" s="2" t="s">
        <v>12</v>
      </c>
      <c r="F461">
        <f t="shared" si="7"/>
        <v>0</v>
      </c>
      <c r="G461" t="s">
        <v>16</v>
      </c>
    </row>
    <row r="462" spans="1:7" x14ac:dyDescent="0.3">
      <c r="A462" t="s">
        <v>6</v>
      </c>
      <c r="B462" t="str">
        <f>"01/04/1987 00:00"</f>
        <v>01/04/1987 00:00</v>
      </c>
      <c r="D462" t="s">
        <v>7</v>
      </c>
      <c r="E462" s="2" t="s">
        <v>12</v>
      </c>
      <c r="F462">
        <f t="shared" si="7"/>
        <v>0</v>
      </c>
      <c r="G462" t="s">
        <v>16</v>
      </c>
    </row>
    <row r="463" spans="1:7" x14ac:dyDescent="0.3">
      <c r="A463" t="s">
        <v>6</v>
      </c>
      <c r="B463" t="str">
        <f>"01/05/1987 00:00"</f>
        <v>01/05/1987 00:00</v>
      </c>
      <c r="D463" t="s">
        <v>7</v>
      </c>
      <c r="E463" s="2" t="s">
        <v>12</v>
      </c>
      <c r="F463">
        <f t="shared" si="7"/>
        <v>0</v>
      </c>
      <c r="G463" t="s">
        <v>16</v>
      </c>
    </row>
    <row r="464" spans="1:7" x14ac:dyDescent="0.3">
      <c r="A464" t="s">
        <v>6</v>
      </c>
      <c r="B464" t="str">
        <f>"01/06/1987 00:00"</f>
        <v>01/06/1987 00:00</v>
      </c>
      <c r="D464" t="s">
        <v>7</v>
      </c>
      <c r="E464" s="2" t="s">
        <v>12</v>
      </c>
      <c r="F464">
        <f t="shared" si="7"/>
        <v>0</v>
      </c>
      <c r="G464" t="s">
        <v>16</v>
      </c>
    </row>
    <row r="465" spans="1:7" x14ac:dyDescent="0.3">
      <c r="A465" t="s">
        <v>6</v>
      </c>
      <c r="B465" t="str">
        <f>"01/07/1987 00:00"</f>
        <v>01/07/1987 00:00</v>
      </c>
      <c r="D465" t="s">
        <v>7</v>
      </c>
      <c r="E465" s="2" t="s">
        <v>12</v>
      </c>
      <c r="F465">
        <f t="shared" si="7"/>
        <v>0</v>
      </c>
      <c r="G465" t="s">
        <v>16</v>
      </c>
    </row>
    <row r="466" spans="1:7" x14ac:dyDescent="0.3">
      <c r="A466" t="s">
        <v>6</v>
      </c>
      <c r="B466" t="str">
        <f>"01/08/1987 00:00"</f>
        <v>01/08/1987 00:00</v>
      </c>
      <c r="D466" t="s">
        <v>7</v>
      </c>
      <c r="E466" s="2" t="s">
        <v>12</v>
      </c>
      <c r="F466">
        <f t="shared" si="7"/>
        <v>0</v>
      </c>
      <c r="G466" t="s">
        <v>16</v>
      </c>
    </row>
    <row r="467" spans="1:7" x14ac:dyDescent="0.3">
      <c r="A467" t="s">
        <v>6</v>
      </c>
      <c r="B467" t="str">
        <f>"01/09/1987 00:00"</f>
        <v>01/09/1987 00:00</v>
      </c>
      <c r="D467" t="s">
        <v>7</v>
      </c>
      <c r="E467" s="2" t="s">
        <v>12</v>
      </c>
      <c r="F467">
        <f t="shared" si="7"/>
        <v>0</v>
      </c>
      <c r="G467" t="s">
        <v>16</v>
      </c>
    </row>
    <row r="468" spans="1:7" x14ac:dyDescent="0.3">
      <c r="A468" t="s">
        <v>6</v>
      </c>
      <c r="B468" t="str">
        <f>"01/10/1987 00:00"</f>
        <v>01/10/1987 00:00</v>
      </c>
      <c r="D468" t="s">
        <v>7</v>
      </c>
      <c r="E468" s="2" t="s">
        <v>12</v>
      </c>
      <c r="F468">
        <f t="shared" si="7"/>
        <v>0</v>
      </c>
      <c r="G468" t="s">
        <v>16</v>
      </c>
    </row>
    <row r="469" spans="1:7" x14ac:dyDescent="0.3">
      <c r="A469" t="s">
        <v>6</v>
      </c>
      <c r="B469" t="str">
        <f>"01/11/1987 00:00"</f>
        <v>01/11/1987 00:00</v>
      </c>
      <c r="D469" t="s">
        <v>7</v>
      </c>
      <c r="E469" s="2" t="s">
        <v>12</v>
      </c>
      <c r="F469">
        <f t="shared" si="7"/>
        <v>0</v>
      </c>
      <c r="G469" t="s">
        <v>16</v>
      </c>
    </row>
    <row r="470" spans="1:7" x14ac:dyDescent="0.3">
      <c r="A470" t="s">
        <v>6</v>
      </c>
      <c r="B470" t="str">
        <f>"01/12/1987 00:00"</f>
        <v>01/12/1987 00:00</v>
      </c>
      <c r="D470" t="s">
        <v>7</v>
      </c>
      <c r="E470" s="2" t="s">
        <v>12</v>
      </c>
      <c r="F470">
        <f t="shared" si="7"/>
        <v>0</v>
      </c>
      <c r="G470" t="s">
        <v>16</v>
      </c>
    </row>
    <row r="471" spans="1:7" x14ac:dyDescent="0.3">
      <c r="A471" t="s">
        <v>6</v>
      </c>
      <c r="B471" t="str">
        <f>"01/13/1987 00:00"</f>
        <v>01/13/1987 00:00</v>
      </c>
      <c r="D471" t="s">
        <v>7</v>
      </c>
      <c r="E471" s="2" t="s">
        <v>12</v>
      </c>
      <c r="F471">
        <f t="shared" si="7"/>
        <v>0</v>
      </c>
      <c r="G471" t="s">
        <v>16</v>
      </c>
    </row>
    <row r="472" spans="1:7" x14ac:dyDescent="0.3">
      <c r="A472" t="s">
        <v>6</v>
      </c>
      <c r="B472" t="str">
        <f>"01/14/1987 00:00"</f>
        <v>01/14/1987 00:00</v>
      </c>
      <c r="D472" t="s">
        <v>7</v>
      </c>
      <c r="E472" s="2" t="s">
        <v>12</v>
      </c>
      <c r="F472">
        <f t="shared" si="7"/>
        <v>0</v>
      </c>
      <c r="G472" t="s">
        <v>16</v>
      </c>
    </row>
    <row r="473" spans="1:7" x14ac:dyDescent="0.3">
      <c r="A473" t="s">
        <v>6</v>
      </c>
      <c r="B473" t="str">
        <f>"01/15/1987 00:00"</f>
        <v>01/15/1987 00:00</v>
      </c>
      <c r="D473" t="s">
        <v>7</v>
      </c>
      <c r="E473" s="2" t="s">
        <v>12</v>
      </c>
      <c r="F473">
        <f t="shared" si="7"/>
        <v>0</v>
      </c>
      <c r="G473" t="s">
        <v>16</v>
      </c>
    </row>
    <row r="474" spans="1:7" x14ac:dyDescent="0.3">
      <c r="A474" t="s">
        <v>6</v>
      </c>
      <c r="B474" t="str">
        <f>"01/16/1987 00:00"</f>
        <v>01/16/1987 00:00</v>
      </c>
      <c r="D474" t="s">
        <v>7</v>
      </c>
      <c r="E474" s="2" t="s">
        <v>12</v>
      </c>
      <c r="F474">
        <f t="shared" si="7"/>
        <v>0</v>
      </c>
      <c r="G474" t="s">
        <v>16</v>
      </c>
    </row>
    <row r="475" spans="1:7" x14ac:dyDescent="0.3">
      <c r="A475" t="s">
        <v>6</v>
      </c>
      <c r="B475" t="str">
        <f>"01/17/1987 00:00"</f>
        <v>01/17/1987 00:00</v>
      </c>
      <c r="D475" t="s">
        <v>7</v>
      </c>
      <c r="E475" s="2" t="s">
        <v>12</v>
      </c>
      <c r="F475">
        <f t="shared" si="7"/>
        <v>0</v>
      </c>
      <c r="G475" t="s">
        <v>16</v>
      </c>
    </row>
    <row r="476" spans="1:7" x14ac:dyDescent="0.3">
      <c r="A476" t="s">
        <v>6</v>
      </c>
      <c r="B476" t="str">
        <f>"01/18/1987 00:00"</f>
        <v>01/18/1987 00:00</v>
      </c>
      <c r="D476" t="s">
        <v>7</v>
      </c>
      <c r="E476" s="2" t="s">
        <v>12</v>
      </c>
      <c r="F476">
        <f t="shared" si="7"/>
        <v>0</v>
      </c>
      <c r="G476" t="s">
        <v>16</v>
      </c>
    </row>
    <row r="477" spans="1:7" x14ac:dyDescent="0.3">
      <c r="A477" t="s">
        <v>6</v>
      </c>
      <c r="B477" t="str">
        <f>"01/19/1987 00:00"</f>
        <v>01/19/1987 00:00</v>
      </c>
      <c r="D477" t="s">
        <v>7</v>
      </c>
      <c r="E477" s="2" t="s">
        <v>12</v>
      </c>
      <c r="F477">
        <f t="shared" si="7"/>
        <v>0</v>
      </c>
      <c r="G477" t="s">
        <v>16</v>
      </c>
    </row>
    <row r="478" spans="1:7" x14ac:dyDescent="0.3">
      <c r="A478" t="s">
        <v>6</v>
      </c>
      <c r="B478" t="str">
        <f>"01/20/1987 00:00"</f>
        <v>01/20/1987 00:00</v>
      </c>
      <c r="D478" t="s">
        <v>7</v>
      </c>
      <c r="E478" s="2" t="s">
        <v>12</v>
      </c>
      <c r="F478">
        <f t="shared" si="7"/>
        <v>0</v>
      </c>
      <c r="G478" t="s">
        <v>16</v>
      </c>
    </row>
    <row r="479" spans="1:7" x14ac:dyDescent="0.3">
      <c r="A479" t="s">
        <v>6</v>
      </c>
      <c r="B479" t="str">
        <f>"01/21/1987 00:00"</f>
        <v>01/21/1987 00:00</v>
      </c>
      <c r="D479" t="s">
        <v>7</v>
      </c>
      <c r="E479" s="2" t="s">
        <v>12</v>
      </c>
      <c r="F479">
        <f t="shared" si="7"/>
        <v>0</v>
      </c>
      <c r="G479" t="s">
        <v>16</v>
      </c>
    </row>
    <row r="480" spans="1:7" x14ac:dyDescent="0.3">
      <c r="A480" t="s">
        <v>6</v>
      </c>
      <c r="B480" t="str">
        <f>"01/22/1987 00:00"</f>
        <v>01/22/1987 00:00</v>
      </c>
      <c r="D480" t="s">
        <v>7</v>
      </c>
      <c r="E480" s="2" t="s">
        <v>12</v>
      </c>
      <c r="F480">
        <f t="shared" si="7"/>
        <v>0</v>
      </c>
      <c r="G480" t="s">
        <v>16</v>
      </c>
    </row>
    <row r="481" spans="1:7" x14ac:dyDescent="0.3">
      <c r="A481" t="s">
        <v>6</v>
      </c>
      <c r="B481" t="str">
        <f>"01/23/1987 00:00"</f>
        <v>01/23/1987 00:00</v>
      </c>
      <c r="D481" t="s">
        <v>7</v>
      </c>
      <c r="E481" s="2" t="s">
        <v>12</v>
      </c>
      <c r="F481">
        <f t="shared" si="7"/>
        <v>0</v>
      </c>
      <c r="G481" t="s">
        <v>16</v>
      </c>
    </row>
    <row r="482" spans="1:7" x14ac:dyDescent="0.3">
      <c r="A482" t="s">
        <v>6</v>
      </c>
      <c r="B482" t="str">
        <f>"01/24/1987 00:00"</f>
        <v>01/24/1987 00:00</v>
      </c>
      <c r="D482" t="s">
        <v>7</v>
      </c>
      <c r="E482" s="2" t="s">
        <v>12</v>
      </c>
      <c r="F482">
        <f t="shared" si="7"/>
        <v>0</v>
      </c>
      <c r="G482" t="s">
        <v>16</v>
      </c>
    </row>
    <row r="483" spans="1:7" x14ac:dyDescent="0.3">
      <c r="A483" t="s">
        <v>6</v>
      </c>
      <c r="B483" t="str">
        <f>"01/25/1987 00:00"</f>
        <v>01/25/1987 00:00</v>
      </c>
      <c r="D483" t="s">
        <v>7</v>
      </c>
      <c r="E483" s="2" t="s">
        <v>12</v>
      </c>
      <c r="F483">
        <f t="shared" si="7"/>
        <v>0</v>
      </c>
      <c r="G483" t="s">
        <v>16</v>
      </c>
    </row>
    <row r="484" spans="1:7" x14ac:dyDescent="0.3">
      <c r="A484" t="s">
        <v>6</v>
      </c>
      <c r="B484" t="str">
        <f>"01/26/1987 00:00"</f>
        <v>01/26/1987 00:00</v>
      </c>
      <c r="D484" t="s">
        <v>7</v>
      </c>
      <c r="E484" s="2" t="s">
        <v>12</v>
      </c>
      <c r="F484">
        <f t="shared" si="7"/>
        <v>0</v>
      </c>
      <c r="G484" t="s">
        <v>16</v>
      </c>
    </row>
    <row r="485" spans="1:7" x14ac:dyDescent="0.3">
      <c r="A485" t="s">
        <v>6</v>
      </c>
      <c r="B485" t="str">
        <f>"01/27/1987 00:00"</f>
        <v>01/27/1987 00:00</v>
      </c>
      <c r="D485" t="s">
        <v>7</v>
      </c>
      <c r="E485" s="2" t="s">
        <v>12</v>
      </c>
      <c r="F485">
        <f t="shared" si="7"/>
        <v>0</v>
      </c>
      <c r="G485" t="s">
        <v>16</v>
      </c>
    </row>
    <row r="486" spans="1:7" x14ac:dyDescent="0.3">
      <c r="A486" t="s">
        <v>6</v>
      </c>
      <c r="B486" t="str">
        <f>"01/28/1987 00:00"</f>
        <v>01/28/1987 00:00</v>
      </c>
      <c r="D486" t="s">
        <v>7</v>
      </c>
      <c r="E486" s="2" t="s">
        <v>12</v>
      </c>
      <c r="F486">
        <f t="shared" si="7"/>
        <v>0</v>
      </c>
      <c r="G486" t="s">
        <v>16</v>
      </c>
    </row>
    <row r="487" spans="1:7" x14ac:dyDescent="0.3">
      <c r="A487" t="s">
        <v>6</v>
      </c>
      <c r="B487" t="str">
        <f>"01/29/1987 00:00"</f>
        <v>01/29/1987 00:00</v>
      </c>
      <c r="D487" t="s">
        <v>7</v>
      </c>
      <c r="E487" s="2" t="s">
        <v>12</v>
      </c>
      <c r="F487">
        <f t="shared" si="7"/>
        <v>0</v>
      </c>
      <c r="G487" t="s">
        <v>16</v>
      </c>
    </row>
    <row r="488" spans="1:7" x14ac:dyDescent="0.3">
      <c r="A488" t="s">
        <v>6</v>
      </c>
      <c r="B488" t="str">
        <f>"01/30/1987 00:00"</f>
        <v>01/30/1987 00:00</v>
      </c>
      <c r="D488" t="s">
        <v>7</v>
      </c>
      <c r="E488" s="2" t="s">
        <v>12</v>
      </c>
      <c r="F488">
        <f t="shared" si="7"/>
        <v>0</v>
      </c>
      <c r="G488" t="s">
        <v>16</v>
      </c>
    </row>
    <row r="489" spans="1:7" x14ac:dyDescent="0.3">
      <c r="A489" t="s">
        <v>6</v>
      </c>
      <c r="B489" t="str">
        <f>"01/31/1987 00:00"</f>
        <v>01/31/1987 00:00</v>
      </c>
      <c r="D489" t="s">
        <v>7</v>
      </c>
      <c r="E489" s="2" t="s">
        <v>12</v>
      </c>
      <c r="F489">
        <f t="shared" si="7"/>
        <v>0</v>
      </c>
      <c r="G489" t="s">
        <v>16</v>
      </c>
    </row>
    <row r="490" spans="1:7" x14ac:dyDescent="0.3">
      <c r="A490" t="s">
        <v>6</v>
      </c>
      <c r="B490" t="str">
        <f>"02/01/1987 00:00"</f>
        <v>02/01/1987 00:00</v>
      </c>
      <c r="D490" t="s">
        <v>7</v>
      </c>
      <c r="E490" s="2" t="s">
        <v>12</v>
      </c>
      <c r="F490">
        <f t="shared" si="7"/>
        <v>0</v>
      </c>
      <c r="G490" t="s">
        <v>16</v>
      </c>
    </row>
    <row r="491" spans="1:7" x14ac:dyDescent="0.3">
      <c r="A491" t="s">
        <v>6</v>
      </c>
      <c r="B491" t="str">
        <f>"02/02/1987 00:00"</f>
        <v>02/02/1987 00:00</v>
      </c>
      <c r="D491" t="s">
        <v>7</v>
      </c>
      <c r="E491" s="2" t="s">
        <v>12</v>
      </c>
      <c r="F491">
        <f t="shared" si="7"/>
        <v>0</v>
      </c>
      <c r="G491" t="s">
        <v>16</v>
      </c>
    </row>
    <row r="492" spans="1:7" x14ac:dyDescent="0.3">
      <c r="A492" t="s">
        <v>6</v>
      </c>
      <c r="B492" t="str">
        <f>"02/03/1987 00:00"</f>
        <v>02/03/1987 00:00</v>
      </c>
      <c r="D492" t="s">
        <v>7</v>
      </c>
      <c r="E492" s="2" t="s">
        <v>12</v>
      </c>
      <c r="F492">
        <f t="shared" si="7"/>
        <v>0</v>
      </c>
      <c r="G492" t="s">
        <v>16</v>
      </c>
    </row>
    <row r="493" spans="1:7" x14ac:dyDescent="0.3">
      <c r="A493" t="s">
        <v>6</v>
      </c>
      <c r="B493" t="str">
        <f>"02/04/1987 00:00"</f>
        <v>02/04/1987 00:00</v>
      </c>
      <c r="D493" t="s">
        <v>7</v>
      </c>
      <c r="E493" s="2" t="s">
        <v>12</v>
      </c>
      <c r="F493">
        <f t="shared" si="7"/>
        <v>0</v>
      </c>
      <c r="G493" t="s">
        <v>16</v>
      </c>
    </row>
    <row r="494" spans="1:7" x14ac:dyDescent="0.3">
      <c r="A494" t="s">
        <v>6</v>
      </c>
      <c r="B494" t="str">
        <f>"02/05/1987 00:00"</f>
        <v>02/05/1987 00:00</v>
      </c>
      <c r="D494" t="s">
        <v>7</v>
      </c>
      <c r="E494" s="2" t="s">
        <v>12</v>
      </c>
      <c r="F494">
        <f t="shared" si="7"/>
        <v>0</v>
      </c>
      <c r="G494" t="s">
        <v>16</v>
      </c>
    </row>
    <row r="495" spans="1:7" x14ac:dyDescent="0.3">
      <c r="A495" t="s">
        <v>6</v>
      </c>
      <c r="B495" t="str">
        <f>"02/06/1987 00:00"</f>
        <v>02/06/1987 00:00</v>
      </c>
      <c r="D495" t="s">
        <v>7</v>
      </c>
      <c r="E495" s="2" t="s">
        <v>12</v>
      </c>
      <c r="F495">
        <f t="shared" si="7"/>
        <v>0</v>
      </c>
      <c r="G495" t="s">
        <v>16</v>
      </c>
    </row>
    <row r="496" spans="1:7" x14ac:dyDescent="0.3">
      <c r="A496" t="s">
        <v>6</v>
      </c>
      <c r="B496" t="str">
        <f>"02/07/1987 00:00"</f>
        <v>02/07/1987 00:00</v>
      </c>
      <c r="D496" t="s">
        <v>7</v>
      </c>
      <c r="E496" s="2" t="s">
        <v>12</v>
      </c>
      <c r="F496">
        <f t="shared" si="7"/>
        <v>0</v>
      </c>
      <c r="G496" t="s">
        <v>16</v>
      </c>
    </row>
    <row r="497" spans="1:7" x14ac:dyDescent="0.3">
      <c r="A497" t="s">
        <v>6</v>
      </c>
      <c r="B497" t="str">
        <f>"02/08/1987 00:00"</f>
        <v>02/08/1987 00:00</v>
      </c>
      <c r="D497" t="s">
        <v>7</v>
      </c>
      <c r="E497" s="2" t="s">
        <v>12</v>
      </c>
      <c r="F497">
        <f t="shared" si="7"/>
        <v>0</v>
      </c>
      <c r="G497" t="s">
        <v>16</v>
      </c>
    </row>
    <row r="498" spans="1:7" x14ac:dyDescent="0.3">
      <c r="A498" t="s">
        <v>6</v>
      </c>
      <c r="B498" t="str">
        <f>"02/09/1987 00:00"</f>
        <v>02/09/1987 00:00</v>
      </c>
      <c r="D498" t="s">
        <v>7</v>
      </c>
      <c r="E498" s="2" t="s">
        <v>12</v>
      </c>
      <c r="F498">
        <f t="shared" si="7"/>
        <v>0</v>
      </c>
      <c r="G498" t="s">
        <v>16</v>
      </c>
    </row>
    <row r="499" spans="1:7" x14ac:dyDescent="0.3">
      <c r="A499" t="s">
        <v>6</v>
      </c>
      <c r="B499" t="str">
        <f>"02/10/1987 00:00"</f>
        <v>02/10/1987 00:00</v>
      </c>
      <c r="D499" t="s">
        <v>7</v>
      </c>
      <c r="E499" s="2" t="s">
        <v>12</v>
      </c>
      <c r="F499">
        <f t="shared" si="7"/>
        <v>0</v>
      </c>
      <c r="G499" t="s">
        <v>16</v>
      </c>
    </row>
    <row r="500" spans="1:7" x14ac:dyDescent="0.3">
      <c r="A500" t="s">
        <v>6</v>
      </c>
      <c r="B500" t="str">
        <f>"02/11/1987 00:00"</f>
        <v>02/11/1987 00:00</v>
      </c>
      <c r="D500" t="s">
        <v>7</v>
      </c>
      <c r="E500" s="2" t="s">
        <v>12</v>
      </c>
      <c r="F500">
        <f t="shared" si="7"/>
        <v>0</v>
      </c>
      <c r="G500" t="s">
        <v>16</v>
      </c>
    </row>
    <row r="501" spans="1:7" x14ac:dyDescent="0.3">
      <c r="A501" t="s">
        <v>6</v>
      </c>
      <c r="B501" t="str">
        <f>"02/12/1987 00:00"</f>
        <v>02/12/1987 00:00</v>
      </c>
      <c r="D501" t="s">
        <v>7</v>
      </c>
      <c r="E501" s="2" t="s">
        <v>12</v>
      </c>
      <c r="F501">
        <f t="shared" si="7"/>
        <v>0</v>
      </c>
      <c r="G501" t="s">
        <v>16</v>
      </c>
    </row>
    <row r="502" spans="1:7" x14ac:dyDescent="0.3">
      <c r="A502" t="s">
        <v>6</v>
      </c>
      <c r="B502" t="str">
        <f>"02/13/1987 00:00"</f>
        <v>02/13/1987 00:00</v>
      </c>
      <c r="D502" t="s">
        <v>7</v>
      </c>
      <c r="E502" s="2" t="s">
        <v>12</v>
      </c>
      <c r="F502">
        <f t="shared" si="7"/>
        <v>0</v>
      </c>
      <c r="G502" t="s">
        <v>16</v>
      </c>
    </row>
    <row r="503" spans="1:7" x14ac:dyDescent="0.3">
      <c r="A503" t="s">
        <v>6</v>
      </c>
      <c r="B503" t="str">
        <f>"02/14/1987 00:00"</f>
        <v>02/14/1987 00:00</v>
      </c>
      <c r="D503" t="s">
        <v>7</v>
      </c>
      <c r="E503" s="2" t="s">
        <v>12</v>
      </c>
      <c r="F503">
        <f t="shared" si="7"/>
        <v>0</v>
      </c>
      <c r="G503" t="s">
        <v>16</v>
      </c>
    </row>
    <row r="504" spans="1:7" x14ac:dyDescent="0.3">
      <c r="A504" t="s">
        <v>6</v>
      </c>
      <c r="B504" t="str">
        <f>"02/15/1987 00:00"</f>
        <v>02/15/1987 00:00</v>
      </c>
      <c r="D504" t="s">
        <v>7</v>
      </c>
      <c r="E504" s="2" t="s">
        <v>12</v>
      </c>
      <c r="F504">
        <f t="shared" si="7"/>
        <v>0</v>
      </c>
      <c r="G504" t="s">
        <v>16</v>
      </c>
    </row>
    <row r="505" spans="1:7" x14ac:dyDescent="0.3">
      <c r="A505" t="s">
        <v>6</v>
      </c>
      <c r="B505" t="str">
        <f>"02/16/1987 00:00"</f>
        <v>02/16/1987 00:00</v>
      </c>
      <c r="D505" t="s">
        <v>7</v>
      </c>
      <c r="E505" s="2" t="s">
        <v>12</v>
      </c>
      <c r="F505">
        <f t="shared" si="7"/>
        <v>0</v>
      </c>
      <c r="G505" t="s">
        <v>16</v>
      </c>
    </row>
    <row r="506" spans="1:7" x14ac:dyDescent="0.3">
      <c r="A506" t="s">
        <v>6</v>
      </c>
      <c r="B506" t="str">
        <f>"02/17/1987 00:00"</f>
        <v>02/17/1987 00:00</v>
      </c>
      <c r="D506" t="s">
        <v>7</v>
      </c>
      <c r="E506" s="2" t="s">
        <v>12</v>
      </c>
      <c r="F506">
        <f t="shared" si="7"/>
        <v>0</v>
      </c>
      <c r="G506" t="s">
        <v>16</v>
      </c>
    </row>
    <row r="507" spans="1:7" x14ac:dyDescent="0.3">
      <c r="A507" t="s">
        <v>6</v>
      </c>
      <c r="B507" t="str">
        <f>"02/18/1987 00:00"</f>
        <v>02/18/1987 00:00</v>
      </c>
      <c r="D507" t="s">
        <v>7</v>
      </c>
      <c r="E507" s="2" t="s">
        <v>12</v>
      </c>
      <c r="F507">
        <f t="shared" si="7"/>
        <v>0</v>
      </c>
      <c r="G507" t="s">
        <v>16</v>
      </c>
    </row>
    <row r="508" spans="1:7" x14ac:dyDescent="0.3">
      <c r="A508" t="s">
        <v>6</v>
      </c>
      <c r="B508" t="str">
        <f>"02/19/1987 00:00"</f>
        <v>02/19/1987 00:00</v>
      </c>
      <c r="D508" t="s">
        <v>7</v>
      </c>
      <c r="E508" s="2" t="s">
        <v>12</v>
      </c>
      <c r="F508">
        <f t="shared" si="7"/>
        <v>0</v>
      </c>
      <c r="G508" t="s">
        <v>16</v>
      </c>
    </row>
    <row r="509" spans="1:7" x14ac:dyDescent="0.3">
      <c r="A509" t="s">
        <v>6</v>
      </c>
      <c r="B509" t="str">
        <f>"02/20/1987 00:00"</f>
        <v>02/20/1987 00:00</v>
      </c>
      <c r="D509" t="s">
        <v>7</v>
      </c>
      <c r="E509" s="2" t="s">
        <v>12</v>
      </c>
      <c r="F509">
        <f t="shared" si="7"/>
        <v>0</v>
      </c>
      <c r="G509" t="s">
        <v>16</v>
      </c>
    </row>
    <row r="510" spans="1:7" x14ac:dyDescent="0.3">
      <c r="A510" t="s">
        <v>6</v>
      </c>
      <c r="B510" t="str">
        <f>"02/21/1987 00:00"</f>
        <v>02/21/1987 00:00</v>
      </c>
      <c r="D510" t="s">
        <v>7</v>
      </c>
      <c r="E510" s="2" t="s">
        <v>12</v>
      </c>
      <c r="F510">
        <f t="shared" si="7"/>
        <v>0</v>
      </c>
      <c r="G510" t="s">
        <v>16</v>
      </c>
    </row>
    <row r="511" spans="1:7" x14ac:dyDescent="0.3">
      <c r="A511" t="s">
        <v>6</v>
      </c>
      <c r="B511" t="str">
        <f>"02/22/1987 00:00"</f>
        <v>02/22/1987 00:00</v>
      </c>
      <c r="D511" t="s">
        <v>7</v>
      </c>
      <c r="E511" s="2" t="s">
        <v>12</v>
      </c>
      <c r="F511">
        <f t="shared" si="7"/>
        <v>0</v>
      </c>
      <c r="G511" t="s">
        <v>16</v>
      </c>
    </row>
    <row r="512" spans="1:7" x14ac:dyDescent="0.3">
      <c r="A512" t="s">
        <v>6</v>
      </c>
      <c r="B512" t="str">
        <f>"02/23/1987 00:00"</f>
        <v>02/23/1987 00:00</v>
      </c>
      <c r="D512" t="s">
        <v>7</v>
      </c>
      <c r="E512" s="2" t="s">
        <v>12</v>
      </c>
      <c r="F512">
        <f t="shared" si="7"/>
        <v>0</v>
      </c>
      <c r="G512" t="s">
        <v>16</v>
      </c>
    </row>
    <row r="513" spans="1:7" x14ac:dyDescent="0.3">
      <c r="A513" t="s">
        <v>6</v>
      </c>
      <c r="B513" t="str">
        <f>"02/24/1987 00:00"</f>
        <v>02/24/1987 00:00</v>
      </c>
      <c r="D513" t="s">
        <v>7</v>
      </c>
      <c r="E513" s="2" t="s">
        <v>12</v>
      </c>
      <c r="F513">
        <f t="shared" si="7"/>
        <v>0</v>
      </c>
      <c r="G513" t="s">
        <v>16</v>
      </c>
    </row>
    <row r="514" spans="1:7" x14ac:dyDescent="0.3">
      <c r="A514" t="s">
        <v>6</v>
      </c>
      <c r="B514" t="str">
        <f>"02/25/1987 00:00"</f>
        <v>02/25/1987 00:00</v>
      </c>
      <c r="D514" t="s">
        <v>7</v>
      </c>
      <c r="E514" s="2" t="s">
        <v>12</v>
      </c>
      <c r="F514">
        <f t="shared" si="7"/>
        <v>0</v>
      </c>
      <c r="G514" t="s">
        <v>16</v>
      </c>
    </row>
    <row r="515" spans="1:7" x14ac:dyDescent="0.3">
      <c r="A515" t="s">
        <v>6</v>
      </c>
      <c r="B515" t="str">
        <f>"02/26/1987 00:00"</f>
        <v>02/26/1987 00:00</v>
      </c>
      <c r="D515" t="s">
        <v>7</v>
      </c>
      <c r="E515" s="2" t="s">
        <v>12</v>
      </c>
      <c r="F515">
        <f t="shared" ref="F515:F578" si="8">C515*1.983</f>
        <v>0</v>
      </c>
      <c r="G515" t="s">
        <v>16</v>
      </c>
    </row>
    <row r="516" spans="1:7" x14ac:dyDescent="0.3">
      <c r="A516" t="s">
        <v>6</v>
      </c>
      <c r="B516" t="str">
        <f>"02/27/1987 00:00"</f>
        <v>02/27/1987 00:00</v>
      </c>
      <c r="D516" t="s">
        <v>7</v>
      </c>
      <c r="E516" s="2" t="s">
        <v>12</v>
      </c>
      <c r="F516">
        <f t="shared" si="8"/>
        <v>0</v>
      </c>
      <c r="G516" t="s">
        <v>16</v>
      </c>
    </row>
    <row r="517" spans="1:7" x14ac:dyDescent="0.3">
      <c r="A517" t="s">
        <v>6</v>
      </c>
      <c r="B517" t="str">
        <f>"02/28/1987 00:00"</f>
        <v>02/28/1987 00:00</v>
      </c>
      <c r="D517" t="s">
        <v>7</v>
      </c>
      <c r="E517" s="2" t="s">
        <v>12</v>
      </c>
      <c r="F517">
        <f t="shared" si="8"/>
        <v>0</v>
      </c>
      <c r="G517" t="s">
        <v>16</v>
      </c>
    </row>
    <row r="518" spans="1:7" x14ac:dyDescent="0.3">
      <c r="A518" t="s">
        <v>6</v>
      </c>
      <c r="B518" t="str">
        <f>"03/01/1987 00:00"</f>
        <v>03/01/1987 00:00</v>
      </c>
      <c r="D518" t="s">
        <v>7</v>
      </c>
      <c r="E518" s="2" t="s">
        <v>12</v>
      </c>
      <c r="F518">
        <f t="shared" si="8"/>
        <v>0</v>
      </c>
      <c r="G518" t="s">
        <v>16</v>
      </c>
    </row>
    <row r="519" spans="1:7" x14ac:dyDescent="0.3">
      <c r="A519" t="s">
        <v>6</v>
      </c>
      <c r="B519" t="str">
        <f>"03/02/1987 00:00"</f>
        <v>03/02/1987 00:00</v>
      </c>
      <c r="D519" t="s">
        <v>7</v>
      </c>
      <c r="E519" s="2" t="s">
        <v>12</v>
      </c>
      <c r="F519">
        <f t="shared" si="8"/>
        <v>0</v>
      </c>
      <c r="G519" t="s">
        <v>16</v>
      </c>
    </row>
    <row r="520" spans="1:7" x14ac:dyDescent="0.3">
      <c r="A520" t="s">
        <v>6</v>
      </c>
      <c r="B520" t="str">
        <f>"03/03/1987 00:00"</f>
        <v>03/03/1987 00:00</v>
      </c>
      <c r="D520" t="s">
        <v>7</v>
      </c>
      <c r="E520" s="2" t="s">
        <v>12</v>
      </c>
      <c r="F520">
        <f t="shared" si="8"/>
        <v>0</v>
      </c>
      <c r="G520" t="s">
        <v>16</v>
      </c>
    </row>
    <row r="521" spans="1:7" x14ac:dyDescent="0.3">
      <c r="A521" t="s">
        <v>6</v>
      </c>
      <c r="B521" t="str">
        <f>"03/04/1987 00:00"</f>
        <v>03/04/1987 00:00</v>
      </c>
      <c r="D521" t="s">
        <v>7</v>
      </c>
      <c r="E521" s="2" t="s">
        <v>12</v>
      </c>
      <c r="F521">
        <f t="shared" si="8"/>
        <v>0</v>
      </c>
      <c r="G521" t="s">
        <v>16</v>
      </c>
    </row>
    <row r="522" spans="1:7" x14ac:dyDescent="0.3">
      <c r="A522" t="s">
        <v>6</v>
      </c>
      <c r="B522" t="str">
        <f>"03/05/1987 00:00"</f>
        <v>03/05/1987 00:00</v>
      </c>
      <c r="D522" t="s">
        <v>7</v>
      </c>
      <c r="E522" s="2" t="s">
        <v>12</v>
      </c>
      <c r="F522">
        <f t="shared" si="8"/>
        <v>0</v>
      </c>
      <c r="G522" t="s">
        <v>16</v>
      </c>
    </row>
    <row r="523" spans="1:7" x14ac:dyDescent="0.3">
      <c r="A523" t="s">
        <v>6</v>
      </c>
      <c r="B523" t="str">
        <f>"03/06/1987 00:00"</f>
        <v>03/06/1987 00:00</v>
      </c>
      <c r="D523" t="s">
        <v>7</v>
      </c>
      <c r="E523" s="2" t="s">
        <v>12</v>
      </c>
      <c r="F523">
        <f t="shared" si="8"/>
        <v>0</v>
      </c>
      <c r="G523" t="s">
        <v>16</v>
      </c>
    </row>
    <row r="524" spans="1:7" x14ac:dyDescent="0.3">
      <c r="A524" t="s">
        <v>6</v>
      </c>
      <c r="B524" t="str">
        <f>"03/07/1987 00:00"</f>
        <v>03/07/1987 00:00</v>
      </c>
      <c r="D524" t="s">
        <v>7</v>
      </c>
      <c r="E524" s="2" t="s">
        <v>12</v>
      </c>
      <c r="F524">
        <f t="shared" si="8"/>
        <v>0</v>
      </c>
      <c r="G524" t="s">
        <v>16</v>
      </c>
    </row>
    <row r="525" spans="1:7" x14ac:dyDescent="0.3">
      <c r="A525" t="s">
        <v>6</v>
      </c>
      <c r="B525" t="str">
        <f>"03/08/1987 00:00"</f>
        <v>03/08/1987 00:00</v>
      </c>
      <c r="D525" t="s">
        <v>7</v>
      </c>
      <c r="E525" s="2" t="s">
        <v>12</v>
      </c>
      <c r="F525">
        <f t="shared" si="8"/>
        <v>0</v>
      </c>
      <c r="G525" t="s">
        <v>16</v>
      </c>
    </row>
    <row r="526" spans="1:7" x14ac:dyDescent="0.3">
      <c r="A526" t="s">
        <v>6</v>
      </c>
      <c r="B526" t="str">
        <f>"03/09/1987 00:00"</f>
        <v>03/09/1987 00:00</v>
      </c>
      <c r="D526" t="s">
        <v>7</v>
      </c>
      <c r="E526" s="2" t="s">
        <v>12</v>
      </c>
      <c r="F526">
        <f t="shared" si="8"/>
        <v>0</v>
      </c>
      <c r="G526" t="s">
        <v>16</v>
      </c>
    </row>
    <row r="527" spans="1:7" x14ac:dyDescent="0.3">
      <c r="A527" t="s">
        <v>6</v>
      </c>
      <c r="B527" t="str">
        <f>"03/10/1987 00:00"</f>
        <v>03/10/1987 00:00</v>
      </c>
      <c r="D527" t="s">
        <v>7</v>
      </c>
      <c r="E527" s="2" t="s">
        <v>12</v>
      </c>
      <c r="F527">
        <f t="shared" si="8"/>
        <v>0</v>
      </c>
      <c r="G527" t="s">
        <v>16</v>
      </c>
    </row>
    <row r="528" spans="1:7" x14ac:dyDescent="0.3">
      <c r="A528" t="s">
        <v>6</v>
      </c>
      <c r="B528" t="str">
        <f>"03/11/1987 00:00"</f>
        <v>03/11/1987 00:00</v>
      </c>
      <c r="D528" t="s">
        <v>7</v>
      </c>
      <c r="E528" s="2" t="s">
        <v>12</v>
      </c>
      <c r="F528">
        <f t="shared" si="8"/>
        <v>0</v>
      </c>
      <c r="G528" t="s">
        <v>16</v>
      </c>
    </row>
    <row r="529" spans="1:7" x14ac:dyDescent="0.3">
      <c r="A529" t="s">
        <v>6</v>
      </c>
      <c r="B529" t="str">
        <f>"03/12/1987 00:00"</f>
        <v>03/12/1987 00:00</v>
      </c>
      <c r="D529" t="s">
        <v>7</v>
      </c>
      <c r="E529" s="2" t="s">
        <v>12</v>
      </c>
      <c r="F529">
        <f t="shared" si="8"/>
        <v>0</v>
      </c>
      <c r="G529" t="s">
        <v>16</v>
      </c>
    </row>
    <row r="530" spans="1:7" x14ac:dyDescent="0.3">
      <c r="A530" t="s">
        <v>6</v>
      </c>
      <c r="B530" t="str">
        <f>"03/13/1987 00:00"</f>
        <v>03/13/1987 00:00</v>
      </c>
      <c r="D530" t="s">
        <v>7</v>
      </c>
      <c r="E530" s="2" t="s">
        <v>12</v>
      </c>
      <c r="F530">
        <f t="shared" si="8"/>
        <v>0</v>
      </c>
      <c r="G530" t="s">
        <v>16</v>
      </c>
    </row>
    <row r="531" spans="1:7" x14ac:dyDescent="0.3">
      <c r="A531" t="s">
        <v>6</v>
      </c>
      <c r="B531" t="str">
        <f>"03/14/1987 00:00"</f>
        <v>03/14/1987 00:00</v>
      </c>
      <c r="D531" t="s">
        <v>7</v>
      </c>
      <c r="E531" s="2" t="s">
        <v>12</v>
      </c>
      <c r="F531">
        <f t="shared" si="8"/>
        <v>0</v>
      </c>
      <c r="G531" t="s">
        <v>16</v>
      </c>
    </row>
    <row r="532" spans="1:7" x14ac:dyDescent="0.3">
      <c r="A532" t="s">
        <v>6</v>
      </c>
      <c r="B532" t="str">
        <f>"03/15/1987 00:00"</f>
        <v>03/15/1987 00:00</v>
      </c>
      <c r="D532" t="s">
        <v>7</v>
      </c>
      <c r="E532" s="2" t="s">
        <v>12</v>
      </c>
      <c r="F532">
        <f t="shared" si="8"/>
        <v>0</v>
      </c>
      <c r="G532" t="s">
        <v>16</v>
      </c>
    </row>
    <row r="533" spans="1:7" x14ac:dyDescent="0.3">
      <c r="A533" t="s">
        <v>6</v>
      </c>
      <c r="B533" t="str">
        <f>"03/16/1987 00:00"</f>
        <v>03/16/1987 00:00</v>
      </c>
      <c r="D533" t="s">
        <v>7</v>
      </c>
      <c r="E533" s="2" t="s">
        <v>12</v>
      </c>
      <c r="F533">
        <f t="shared" si="8"/>
        <v>0</v>
      </c>
      <c r="G533" t="s">
        <v>16</v>
      </c>
    </row>
    <row r="534" spans="1:7" x14ac:dyDescent="0.3">
      <c r="A534" t="s">
        <v>6</v>
      </c>
      <c r="B534" t="str">
        <f>"03/17/1987 00:00"</f>
        <v>03/17/1987 00:00</v>
      </c>
      <c r="D534" t="s">
        <v>7</v>
      </c>
      <c r="E534" s="2" t="s">
        <v>12</v>
      </c>
      <c r="F534">
        <f t="shared" si="8"/>
        <v>0</v>
      </c>
      <c r="G534" t="s">
        <v>16</v>
      </c>
    </row>
    <row r="535" spans="1:7" x14ac:dyDescent="0.3">
      <c r="A535" t="s">
        <v>6</v>
      </c>
      <c r="B535" t="str">
        <f>"03/18/1987 00:00"</f>
        <v>03/18/1987 00:00</v>
      </c>
      <c r="D535" t="s">
        <v>7</v>
      </c>
      <c r="E535" s="2" t="s">
        <v>12</v>
      </c>
      <c r="F535">
        <f t="shared" si="8"/>
        <v>0</v>
      </c>
      <c r="G535" t="s">
        <v>16</v>
      </c>
    </row>
    <row r="536" spans="1:7" x14ac:dyDescent="0.3">
      <c r="A536" t="s">
        <v>6</v>
      </c>
      <c r="B536" t="str">
        <f>"03/19/1987 00:00"</f>
        <v>03/19/1987 00:00</v>
      </c>
      <c r="D536" t="s">
        <v>7</v>
      </c>
      <c r="E536" s="2" t="s">
        <v>12</v>
      </c>
      <c r="F536">
        <f t="shared" si="8"/>
        <v>0</v>
      </c>
      <c r="G536" t="s">
        <v>16</v>
      </c>
    </row>
    <row r="537" spans="1:7" x14ac:dyDescent="0.3">
      <c r="A537" t="s">
        <v>6</v>
      </c>
      <c r="B537" t="str">
        <f>"03/20/1987 00:00"</f>
        <v>03/20/1987 00:00</v>
      </c>
      <c r="D537" t="s">
        <v>7</v>
      </c>
      <c r="E537" s="2" t="s">
        <v>12</v>
      </c>
      <c r="F537">
        <f t="shared" si="8"/>
        <v>0</v>
      </c>
      <c r="G537" t="s">
        <v>16</v>
      </c>
    </row>
    <row r="538" spans="1:7" x14ac:dyDescent="0.3">
      <c r="A538" t="s">
        <v>6</v>
      </c>
      <c r="B538" t="str">
        <f>"03/21/1987 00:00"</f>
        <v>03/21/1987 00:00</v>
      </c>
      <c r="D538" t="s">
        <v>7</v>
      </c>
      <c r="E538" s="2" t="s">
        <v>12</v>
      </c>
      <c r="F538">
        <f t="shared" si="8"/>
        <v>0</v>
      </c>
      <c r="G538" t="s">
        <v>16</v>
      </c>
    </row>
    <row r="539" spans="1:7" x14ac:dyDescent="0.3">
      <c r="A539" t="s">
        <v>6</v>
      </c>
      <c r="B539" t="str">
        <f>"03/22/1987 00:00"</f>
        <v>03/22/1987 00:00</v>
      </c>
      <c r="D539" t="s">
        <v>7</v>
      </c>
      <c r="E539" s="2" t="s">
        <v>12</v>
      </c>
      <c r="F539">
        <f t="shared" si="8"/>
        <v>0</v>
      </c>
      <c r="G539" t="s">
        <v>16</v>
      </c>
    </row>
    <row r="540" spans="1:7" x14ac:dyDescent="0.3">
      <c r="A540" t="s">
        <v>6</v>
      </c>
      <c r="B540" t="str">
        <f>"03/23/1987 00:00"</f>
        <v>03/23/1987 00:00</v>
      </c>
      <c r="D540" t="s">
        <v>7</v>
      </c>
      <c r="E540" s="2" t="s">
        <v>12</v>
      </c>
      <c r="F540">
        <f t="shared" si="8"/>
        <v>0</v>
      </c>
      <c r="G540" t="s">
        <v>16</v>
      </c>
    </row>
    <row r="541" spans="1:7" x14ac:dyDescent="0.3">
      <c r="A541" t="s">
        <v>6</v>
      </c>
      <c r="B541" t="str">
        <f>"03/24/1987 00:00"</f>
        <v>03/24/1987 00:00</v>
      </c>
      <c r="D541" t="s">
        <v>7</v>
      </c>
      <c r="E541" s="2" t="s">
        <v>12</v>
      </c>
      <c r="F541">
        <f t="shared" si="8"/>
        <v>0</v>
      </c>
      <c r="G541" t="s">
        <v>16</v>
      </c>
    </row>
    <row r="542" spans="1:7" x14ac:dyDescent="0.3">
      <c r="A542" t="s">
        <v>6</v>
      </c>
      <c r="B542" t="str">
        <f>"03/25/1987 00:00"</f>
        <v>03/25/1987 00:00</v>
      </c>
      <c r="D542" t="s">
        <v>7</v>
      </c>
      <c r="E542" s="2" t="s">
        <v>12</v>
      </c>
      <c r="F542">
        <f t="shared" si="8"/>
        <v>0</v>
      </c>
      <c r="G542" t="s">
        <v>16</v>
      </c>
    </row>
    <row r="543" spans="1:7" x14ac:dyDescent="0.3">
      <c r="A543" t="s">
        <v>6</v>
      </c>
      <c r="B543" t="str">
        <f>"03/26/1987 00:00"</f>
        <v>03/26/1987 00:00</v>
      </c>
      <c r="D543" t="s">
        <v>7</v>
      </c>
      <c r="E543" s="2" t="s">
        <v>12</v>
      </c>
      <c r="F543">
        <f t="shared" si="8"/>
        <v>0</v>
      </c>
      <c r="G543" t="s">
        <v>16</v>
      </c>
    </row>
    <row r="544" spans="1:7" x14ac:dyDescent="0.3">
      <c r="A544" t="s">
        <v>6</v>
      </c>
      <c r="B544" t="str">
        <f>"03/27/1987 00:00"</f>
        <v>03/27/1987 00:00</v>
      </c>
      <c r="D544" t="s">
        <v>7</v>
      </c>
      <c r="E544" s="2" t="s">
        <v>12</v>
      </c>
      <c r="F544">
        <f t="shared" si="8"/>
        <v>0</v>
      </c>
      <c r="G544" t="s">
        <v>16</v>
      </c>
    </row>
    <row r="545" spans="1:7" x14ac:dyDescent="0.3">
      <c r="A545" t="s">
        <v>6</v>
      </c>
      <c r="B545" t="str">
        <f>"03/28/1987 00:00"</f>
        <v>03/28/1987 00:00</v>
      </c>
      <c r="D545" t="s">
        <v>7</v>
      </c>
      <c r="E545" s="2" t="s">
        <v>12</v>
      </c>
      <c r="F545">
        <f t="shared" si="8"/>
        <v>0</v>
      </c>
      <c r="G545" t="s">
        <v>16</v>
      </c>
    </row>
    <row r="546" spans="1:7" x14ac:dyDescent="0.3">
      <c r="A546" t="s">
        <v>6</v>
      </c>
      <c r="B546" t="str">
        <f>"03/29/1987 00:00"</f>
        <v>03/29/1987 00:00</v>
      </c>
      <c r="D546" t="s">
        <v>7</v>
      </c>
      <c r="E546" s="2" t="s">
        <v>12</v>
      </c>
      <c r="F546">
        <f t="shared" si="8"/>
        <v>0</v>
      </c>
      <c r="G546" t="s">
        <v>16</v>
      </c>
    </row>
    <row r="547" spans="1:7" x14ac:dyDescent="0.3">
      <c r="A547" t="s">
        <v>6</v>
      </c>
      <c r="B547" t="str">
        <f>"03/30/1987 00:00"</f>
        <v>03/30/1987 00:00</v>
      </c>
      <c r="D547" t="s">
        <v>7</v>
      </c>
      <c r="E547" s="2" t="s">
        <v>12</v>
      </c>
      <c r="F547">
        <f t="shared" si="8"/>
        <v>0</v>
      </c>
      <c r="G547" t="s">
        <v>16</v>
      </c>
    </row>
    <row r="548" spans="1:7" x14ac:dyDescent="0.3">
      <c r="A548" t="s">
        <v>6</v>
      </c>
      <c r="B548" t="str">
        <f>"03/31/1987 00:00"</f>
        <v>03/31/1987 00:00</v>
      </c>
      <c r="D548" t="s">
        <v>7</v>
      </c>
      <c r="E548" s="2" t="s">
        <v>12</v>
      </c>
      <c r="F548">
        <f t="shared" si="8"/>
        <v>0</v>
      </c>
      <c r="G548" t="s">
        <v>16</v>
      </c>
    </row>
    <row r="549" spans="1:7" x14ac:dyDescent="0.3">
      <c r="A549" t="s">
        <v>6</v>
      </c>
      <c r="B549" t="str">
        <f>"04/01/1987 00:00"</f>
        <v>04/01/1987 00:00</v>
      </c>
      <c r="D549" t="s">
        <v>7</v>
      </c>
      <c r="E549" s="2" t="s">
        <v>12</v>
      </c>
      <c r="F549">
        <f t="shared" si="8"/>
        <v>0</v>
      </c>
      <c r="G549" t="s">
        <v>16</v>
      </c>
    </row>
    <row r="550" spans="1:7" x14ac:dyDescent="0.3">
      <c r="A550" t="s">
        <v>6</v>
      </c>
      <c r="B550" t="str">
        <f>"04/02/1987 00:00"</f>
        <v>04/02/1987 00:00</v>
      </c>
      <c r="D550" t="s">
        <v>7</v>
      </c>
      <c r="E550" s="2" t="s">
        <v>12</v>
      </c>
      <c r="F550">
        <f t="shared" si="8"/>
        <v>0</v>
      </c>
      <c r="G550" t="s">
        <v>16</v>
      </c>
    </row>
    <row r="551" spans="1:7" x14ac:dyDescent="0.3">
      <c r="A551" t="s">
        <v>6</v>
      </c>
      <c r="B551" t="str">
        <f>"04/03/1987 00:00"</f>
        <v>04/03/1987 00:00</v>
      </c>
      <c r="D551" t="s">
        <v>7</v>
      </c>
      <c r="E551" s="2" t="s">
        <v>12</v>
      </c>
      <c r="F551">
        <f t="shared" si="8"/>
        <v>0</v>
      </c>
      <c r="G551" t="s">
        <v>16</v>
      </c>
    </row>
    <row r="552" spans="1:7" x14ac:dyDescent="0.3">
      <c r="A552" t="s">
        <v>6</v>
      </c>
      <c r="B552" t="str">
        <f>"04/04/1987 00:00"</f>
        <v>04/04/1987 00:00</v>
      </c>
      <c r="D552" t="s">
        <v>7</v>
      </c>
      <c r="E552" s="2" t="s">
        <v>12</v>
      </c>
      <c r="F552">
        <f t="shared" si="8"/>
        <v>0</v>
      </c>
      <c r="G552" t="s">
        <v>16</v>
      </c>
    </row>
    <row r="553" spans="1:7" x14ac:dyDescent="0.3">
      <c r="A553" t="s">
        <v>6</v>
      </c>
      <c r="B553" t="str">
        <f>"04/05/1987 00:00"</f>
        <v>04/05/1987 00:00</v>
      </c>
      <c r="D553" t="s">
        <v>7</v>
      </c>
      <c r="E553" s="2" t="s">
        <v>12</v>
      </c>
      <c r="F553">
        <f t="shared" si="8"/>
        <v>0</v>
      </c>
      <c r="G553" t="s">
        <v>16</v>
      </c>
    </row>
    <row r="554" spans="1:7" x14ac:dyDescent="0.3">
      <c r="A554" t="s">
        <v>6</v>
      </c>
      <c r="B554" t="str">
        <f>"04/06/1987 00:00"</f>
        <v>04/06/1987 00:00</v>
      </c>
      <c r="D554" t="s">
        <v>7</v>
      </c>
      <c r="E554" s="2" t="s">
        <v>12</v>
      </c>
      <c r="F554">
        <f t="shared" si="8"/>
        <v>0</v>
      </c>
      <c r="G554" t="s">
        <v>16</v>
      </c>
    </row>
    <row r="555" spans="1:7" x14ac:dyDescent="0.3">
      <c r="A555" t="s">
        <v>6</v>
      </c>
      <c r="B555" t="str">
        <f>"04/07/1987 00:00"</f>
        <v>04/07/1987 00:00</v>
      </c>
      <c r="D555" t="s">
        <v>7</v>
      </c>
      <c r="E555" s="2" t="s">
        <v>12</v>
      </c>
      <c r="F555">
        <f t="shared" si="8"/>
        <v>0</v>
      </c>
      <c r="G555" t="s">
        <v>16</v>
      </c>
    </row>
    <row r="556" spans="1:7" x14ac:dyDescent="0.3">
      <c r="A556" t="s">
        <v>6</v>
      </c>
      <c r="B556" t="str">
        <f>"04/08/1987 00:00"</f>
        <v>04/08/1987 00:00</v>
      </c>
      <c r="D556" t="s">
        <v>7</v>
      </c>
      <c r="E556" s="2" t="s">
        <v>12</v>
      </c>
      <c r="F556">
        <f t="shared" si="8"/>
        <v>0</v>
      </c>
      <c r="G556" t="s">
        <v>16</v>
      </c>
    </row>
    <row r="557" spans="1:7" x14ac:dyDescent="0.3">
      <c r="A557" t="s">
        <v>6</v>
      </c>
      <c r="B557" t="str">
        <f>"04/09/1987 00:00"</f>
        <v>04/09/1987 00:00</v>
      </c>
      <c r="D557" t="s">
        <v>7</v>
      </c>
      <c r="E557" s="2" t="s">
        <v>12</v>
      </c>
      <c r="F557">
        <f t="shared" si="8"/>
        <v>0</v>
      </c>
      <c r="G557" t="s">
        <v>16</v>
      </c>
    </row>
    <row r="558" spans="1:7" x14ac:dyDescent="0.3">
      <c r="A558" t="s">
        <v>6</v>
      </c>
      <c r="B558" t="str">
        <f>"04/10/1987 00:00"</f>
        <v>04/10/1987 00:00</v>
      </c>
      <c r="D558" t="s">
        <v>7</v>
      </c>
      <c r="E558" s="2" t="s">
        <v>12</v>
      </c>
      <c r="F558">
        <f t="shared" si="8"/>
        <v>0</v>
      </c>
      <c r="G558" t="s">
        <v>16</v>
      </c>
    </row>
    <row r="559" spans="1:7" x14ac:dyDescent="0.3">
      <c r="A559" t="s">
        <v>6</v>
      </c>
      <c r="B559" t="str">
        <f>"04/11/1987 00:00"</f>
        <v>04/11/1987 00:00</v>
      </c>
      <c r="D559" t="s">
        <v>7</v>
      </c>
      <c r="E559" s="2" t="s">
        <v>12</v>
      </c>
      <c r="F559">
        <f t="shared" si="8"/>
        <v>0</v>
      </c>
      <c r="G559" t="s">
        <v>16</v>
      </c>
    </row>
    <row r="560" spans="1:7" x14ac:dyDescent="0.3">
      <c r="A560" t="s">
        <v>6</v>
      </c>
      <c r="B560" t="str">
        <f>"04/12/1987 00:00"</f>
        <v>04/12/1987 00:00</v>
      </c>
      <c r="D560" t="s">
        <v>7</v>
      </c>
      <c r="E560" s="2" t="s">
        <v>12</v>
      </c>
      <c r="F560">
        <f t="shared" si="8"/>
        <v>0</v>
      </c>
      <c r="G560" t="s">
        <v>16</v>
      </c>
    </row>
    <row r="561" spans="1:7" x14ac:dyDescent="0.3">
      <c r="A561" t="s">
        <v>6</v>
      </c>
      <c r="B561" t="str">
        <f>"04/13/1987 00:00"</f>
        <v>04/13/1987 00:00</v>
      </c>
      <c r="D561" t="s">
        <v>7</v>
      </c>
      <c r="E561" s="2" t="s">
        <v>12</v>
      </c>
      <c r="F561">
        <f t="shared" si="8"/>
        <v>0</v>
      </c>
      <c r="G561" t="s">
        <v>16</v>
      </c>
    </row>
    <row r="562" spans="1:7" x14ac:dyDescent="0.3">
      <c r="A562" t="s">
        <v>6</v>
      </c>
      <c r="B562" t="str">
        <f>"04/14/1987 00:00"</f>
        <v>04/14/1987 00:00</v>
      </c>
      <c r="D562" t="s">
        <v>7</v>
      </c>
      <c r="E562" s="2" t="s">
        <v>12</v>
      </c>
      <c r="F562">
        <f t="shared" si="8"/>
        <v>0</v>
      </c>
      <c r="G562" t="s">
        <v>16</v>
      </c>
    </row>
    <row r="563" spans="1:7" x14ac:dyDescent="0.3">
      <c r="A563" t="s">
        <v>6</v>
      </c>
      <c r="B563" t="str">
        <f>"04/15/1987 00:00"</f>
        <v>04/15/1987 00:00</v>
      </c>
      <c r="D563" t="s">
        <v>7</v>
      </c>
      <c r="E563" s="2" t="s">
        <v>12</v>
      </c>
      <c r="F563">
        <f t="shared" si="8"/>
        <v>0</v>
      </c>
      <c r="G563" t="s">
        <v>16</v>
      </c>
    </row>
    <row r="564" spans="1:7" x14ac:dyDescent="0.3">
      <c r="A564" t="s">
        <v>6</v>
      </c>
      <c r="B564" t="str">
        <f>"04/16/1987 00:00"</f>
        <v>04/16/1987 00:00</v>
      </c>
      <c r="D564" t="s">
        <v>7</v>
      </c>
      <c r="E564" s="2" t="s">
        <v>12</v>
      </c>
      <c r="F564">
        <f t="shared" si="8"/>
        <v>0</v>
      </c>
      <c r="G564" t="s">
        <v>16</v>
      </c>
    </row>
    <row r="565" spans="1:7" x14ac:dyDescent="0.3">
      <c r="A565" t="s">
        <v>6</v>
      </c>
      <c r="B565" t="str">
        <f>"04/17/1987 00:00"</f>
        <v>04/17/1987 00:00</v>
      </c>
      <c r="D565" t="s">
        <v>7</v>
      </c>
      <c r="E565" s="2" t="s">
        <v>12</v>
      </c>
      <c r="F565">
        <f t="shared" si="8"/>
        <v>0</v>
      </c>
      <c r="G565" t="s">
        <v>16</v>
      </c>
    </row>
    <row r="566" spans="1:7" x14ac:dyDescent="0.3">
      <c r="A566" t="s">
        <v>6</v>
      </c>
      <c r="B566" t="str">
        <f>"04/18/1987 00:00"</f>
        <v>04/18/1987 00:00</v>
      </c>
      <c r="D566" t="s">
        <v>7</v>
      </c>
      <c r="E566" s="2" t="s">
        <v>12</v>
      </c>
      <c r="F566">
        <f t="shared" si="8"/>
        <v>0</v>
      </c>
      <c r="G566" t="s">
        <v>16</v>
      </c>
    </row>
    <row r="567" spans="1:7" x14ac:dyDescent="0.3">
      <c r="A567" t="s">
        <v>6</v>
      </c>
      <c r="B567" t="str">
        <f>"04/19/1987 00:00"</f>
        <v>04/19/1987 00:00</v>
      </c>
      <c r="D567" t="s">
        <v>7</v>
      </c>
      <c r="E567" s="2" t="s">
        <v>12</v>
      </c>
      <c r="F567">
        <f t="shared" si="8"/>
        <v>0</v>
      </c>
      <c r="G567" t="s">
        <v>16</v>
      </c>
    </row>
    <row r="568" spans="1:7" x14ac:dyDescent="0.3">
      <c r="A568" t="s">
        <v>6</v>
      </c>
      <c r="B568" t="str">
        <f>"04/20/1987 00:00"</f>
        <v>04/20/1987 00:00</v>
      </c>
      <c r="D568" t="s">
        <v>7</v>
      </c>
      <c r="E568" s="2" t="s">
        <v>12</v>
      </c>
      <c r="F568">
        <f t="shared" si="8"/>
        <v>0</v>
      </c>
      <c r="G568" t="s">
        <v>16</v>
      </c>
    </row>
    <row r="569" spans="1:7" x14ac:dyDescent="0.3">
      <c r="A569" t="s">
        <v>6</v>
      </c>
      <c r="B569" t="str">
        <f>"04/21/1987 00:00"</f>
        <v>04/21/1987 00:00</v>
      </c>
      <c r="D569" t="s">
        <v>7</v>
      </c>
      <c r="E569" s="2" t="s">
        <v>12</v>
      </c>
      <c r="F569">
        <f t="shared" si="8"/>
        <v>0</v>
      </c>
      <c r="G569" t="s">
        <v>16</v>
      </c>
    </row>
    <row r="570" spans="1:7" x14ac:dyDescent="0.3">
      <c r="A570" t="s">
        <v>6</v>
      </c>
      <c r="B570" t="str">
        <f>"04/22/1987 00:00"</f>
        <v>04/22/1987 00:00</v>
      </c>
      <c r="D570" t="s">
        <v>7</v>
      </c>
      <c r="E570" s="2" t="s">
        <v>12</v>
      </c>
      <c r="F570">
        <f t="shared" si="8"/>
        <v>0</v>
      </c>
      <c r="G570" t="s">
        <v>16</v>
      </c>
    </row>
    <row r="571" spans="1:7" x14ac:dyDescent="0.3">
      <c r="A571" t="s">
        <v>6</v>
      </c>
      <c r="B571" t="str">
        <f>"04/23/1987 00:00"</f>
        <v>04/23/1987 00:00</v>
      </c>
      <c r="D571" t="s">
        <v>7</v>
      </c>
      <c r="E571" s="2" t="s">
        <v>12</v>
      </c>
      <c r="F571">
        <f t="shared" si="8"/>
        <v>0</v>
      </c>
      <c r="G571" t="s">
        <v>16</v>
      </c>
    </row>
    <row r="572" spans="1:7" x14ac:dyDescent="0.3">
      <c r="A572" t="s">
        <v>6</v>
      </c>
      <c r="B572" t="str">
        <f>"04/24/1987 00:00"</f>
        <v>04/24/1987 00:00</v>
      </c>
      <c r="D572" t="s">
        <v>7</v>
      </c>
      <c r="E572" s="2" t="s">
        <v>12</v>
      </c>
      <c r="F572">
        <f t="shared" si="8"/>
        <v>0</v>
      </c>
      <c r="G572" t="s">
        <v>16</v>
      </c>
    </row>
    <row r="573" spans="1:7" x14ac:dyDescent="0.3">
      <c r="A573" t="s">
        <v>6</v>
      </c>
      <c r="B573" t="str">
        <f>"04/25/1987 00:00"</f>
        <v>04/25/1987 00:00</v>
      </c>
      <c r="D573" t="s">
        <v>7</v>
      </c>
      <c r="E573" s="2" t="s">
        <v>12</v>
      </c>
      <c r="F573">
        <f t="shared" si="8"/>
        <v>0</v>
      </c>
      <c r="G573" t="s">
        <v>16</v>
      </c>
    </row>
    <row r="574" spans="1:7" x14ac:dyDescent="0.3">
      <c r="A574" t="s">
        <v>6</v>
      </c>
      <c r="B574" t="str">
        <f>"04/26/1987 00:00"</f>
        <v>04/26/1987 00:00</v>
      </c>
      <c r="D574" t="s">
        <v>7</v>
      </c>
      <c r="E574" s="2" t="s">
        <v>12</v>
      </c>
      <c r="F574">
        <f t="shared" si="8"/>
        <v>0</v>
      </c>
      <c r="G574" t="s">
        <v>16</v>
      </c>
    </row>
    <row r="575" spans="1:7" x14ac:dyDescent="0.3">
      <c r="A575" t="s">
        <v>6</v>
      </c>
      <c r="B575" t="str">
        <f>"04/27/1987 00:00"</f>
        <v>04/27/1987 00:00</v>
      </c>
      <c r="D575" t="s">
        <v>7</v>
      </c>
      <c r="E575" s="2" t="s">
        <v>12</v>
      </c>
      <c r="F575">
        <f t="shared" si="8"/>
        <v>0</v>
      </c>
      <c r="G575" t="s">
        <v>16</v>
      </c>
    </row>
    <row r="576" spans="1:7" x14ac:dyDescent="0.3">
      <c r="A576" t="s">
        <v>6</v>
      </c>
      <c r="B576" t="str">
        <f>"04/28/1987 00:00"</f>
        <v>04/28/1987 00:00</v>
      </c>
      <c r="D576" t="s">
        <v>7</v>
      </c>
      <c r="E576" s="2" t="s">
        <v>12</v>
      </c>
      <c r="F576">
        <f t="shared" si="8"/>
        <v>0</v>
      </c>
      <c r="G576" t="s">
        <v>16</v>
      </c>
    </row>
    <row r="577" spans="1:7" x14ac:dyDescent="0.3">
      <c r="A577" t="s">
        <v>6</v>
      </c>
      <c r="B577" t="str">
        <f>"04/29/1987 00:00"</f>
        <v>04/29/1987 00:00</v>
      </c>
      <c r="D577" t="s">
        <v>7</v>
      </c>
      <c r="E577" s="2" t="s">
        <v>12</v>
      </c>
      <c r="F577">
        <f t="shared" si="8"/>
        <v>0</v>
      </c>
      <c r="G577" t="s">
        <v>16</v>
      </c>
    </row>
    <row r="578" spans="1:7" x14ac:dyDescent="0.3">
      <c r="A578" t="s">
        <v>6</v>
      </c>
      <c r="B578" t="str">
        <f>"04/30/1987 00:00"</f>
        <v>04/30/1987 00:00</v>
      </c>
      <c r="D578" t="s">
        <v>7</v>
      </c>
      <c r="E578" s="2" t="s">
        <v>12</v>
      </c>
      <c r="F578">
        <f t="shared" si="8"/>
        <v>0</v>
      </c>
      <c r="G578" t="s">
        <v>16</v>
      </c>
    </row>
    <row r="579" spans="1:7" x14ac:dyDescent="0.3">
      <c r="A579" t="s">
        <v>6</v>
      </c>
      <c r="B579" t="str">
        <f>"05/01/1987 00:00"</f>
        <v>05/01/1987 00:00</v>
      </c>
      <c r="D579" t="s">
        <v>7</v>
      </c>
      <c r="E579" s="2" t="s">
        <v>12</v>
      </c>
      <c r="F579">
        <f t="shared" ref="F579:F642" si="9">C579*1.983</f>
        <v>0</v>
      </c>
      <c r="G579" t="s">
        <v>16</v>
      </c>
    </row>
    <row r="580" spans="1:7" x14ac:dyDescent="0.3">
      <c r="A580" t="s">
        <v>6</v>
      </c>
      <c r="B580" t="str">
        <f>"05/02/1987 00:00"</f>
        <v>05/02/1987 00:00</v>
      </c>
      <c r="D580" t="s">
        <v>7</v>
      </c>
      <c r="E580" s="2" t="s">
        <v>12</v>
      </c>
      <c r="F580">
        <f t="shared" si="9"/>
        <v>0</v>
      </c>
      <c r="G580" t="s">
        <v>16</v>
      </c>
    </row>
    <row r="581" spans="1:7" x14ac:dyDescent="0.3">
      <c r="A581" t="s">
        <v>6</v>
      </c>
      <c r="B581" t="str">
        <f>"05/03/1987 00:00"</f>
        <v>05/03/1987 00:00</v>
      </c>
      <c r="D581" t="s">
        <v>7</v>
      </c>
      <c r="E581" s="2" t="s">
        <v>12</v>
      </c>
      <c r="F581">
        <f t="shared" si="9"/>
        <v>0</v>
      </c>
      <c r="G581" t="s">
        <v>16</v>
      </c>
    </row>
    <row r="582" spans="1:7" x14ac:dyDescent="0.3">
      <c r="A582" t="s">
        <v>6</v>
      </c>
      <c r="B582" t="str">
        <f>"05/04/1987 00:00"</f>
        <v>05/04/1987 00:00</v>
      </c>
      <c r="D582" t="s">
        <v>7</v>
      </c>
      <c r="E582" s="2" t="s">
        <v>12</v>
      </c>
      <c r="F582">
        <f t="shared" si="9"/>
        <v>0</v>
      </c>
      <c r="G582" t="s">
        <v>16</v>
      </c>
    </row>
    <row r="583" spans="1:7" x14ac:dyDescent="0.3">
      <c r="A583" t="s">
        <v>6</v>
      </c>
      <c r="B583" t="str">
        <f>"05/05/1987 00:00"</f>
        <v>05/05/1987 00:00</v>
      </c>
      <c r="D583" t="s">
        <v>7</v>
      </c>
      <c r="E583" s="2" t="s">
        <v>12</v>
      </c>
      <c r="F583">
        <f t="shared" si="9"/>
        <v>0</v>
      </c>
      <c r="G583" t="s">
        <v>16</v>
      </c>
    </row>
    <row r="584" spans="1:7" x14ac:dyDescent="0.3">
      <c r="A584" t="s">
        <v>6</v>
      </c>
      <c r="B584" t="str">
        <f>"05/06/1987 00:00"</f>
        <v>05/06/1987 00:00</v>
      </c>
      <c r="D584" t="s">
        <v>7</v>
      </c>
      <c r="E584" s="2" t="s">
        <v>12</v>
      </c>
      <c r="F584">
        <f t="shared" si="9"/>
        <v>0</v>
      </c>
      <c r="G584" t="s">
        <v>16</v>
      </c>
    </row>
    <row r="585" spans="1:7" x14ac:dyDescent="0.3">
      <c r="A585" t="s">
        <v>6</v>
      </c>
      <c r="B585" t="str">
        <f>"05/07/1987 00:00"</f>
        <v>05/07/1987 00:00</v>
      </c>
      <c r="D585" t="s">
        <v>7</v>
      </c>
      <c r="E585" s="2" t="s">
        <v>12</v>
      </c>
      <c r="F585">
        <f t="shared" si="9"/>
        <v>0</v>
      </c>
      <c r="G585" t="s">
        <v>16</v>
      </c>
    </row>
    <row r="586" spans="1:7" x14ac:dyDescent="0.3">
      <c r="A586" t="s">
        <v>6</v>
      </c>
      <c r="B586" t="str">
        <f>"05/08/1987 00:00"</f>
        <v>05/08/1987 00:00</v>
      </c>
      <c r="D586" t="s">
        <v>7</v>
      </c>
      <c r="E586" s="2" t="s">
        <v>12</v>
      </c>
      <c r="F586">
        <f t="shared" si="9"/>
        <v>0</v>
      </c>
      <c r="G586" t="s">
        <v>16</v>
      </c>
    </row>
    <row r="587" spans="1:7" x14ac:dyDescent="0.3">
      <c r="A587" t="s">
        <v>6</v>
      </c>
      <c r="B587" t="str">
        <f>"05/09/1987 00:00"</f>
        <v>05/09/1987 00:00</v>
      </c>
      <c r="D587" t="s">
        <v>7</v>
      </c>
      <c r="E587" s="2" t="s">
        <v>12</v>
      </c>
      <c r="F587">
        <f t="shared" si="9"/>
        <v>0</v>
      </c>
      <c r="G587" t="s">
        <v>16</v>
      </c>
    </row>
    <row r="588" spans="1:7" x14ac:dyDescent="0.3">
      <c r="A588" t="s">
        <v>6</v>
      </c>
      <c r="B588" t="str">
        <f>"05/10/1987 00:00"</f>
        <v>05/10/1987 00:00</v>
      </c>
      <c r="D588" t="s">
        <v>7</v>
      </c>
      <c r="E588" s="2" t="s">
        <v>12</v>
      </c>
      <c r="F588">
        <f t="shared" si="9"/>
        <v>0</v>
      </c>
      <c r="G588" t="s">
        <v>16</v>
      </c>
    </row>
    <row r="589" spans="1:7" x14ac:dyDescent="0.3">
      <c r="A589" t="s">
        <v>6</v>
      </c>
      <c r="B589" t="str">
        <f>"05/11/1987 00:00"</f>
        <v>05/11/1987 00:00</v>
      </c>
      <c r="D589" t="s">
        <v>7</v>
      </c>
      <c r="E589" s="2" t="s">
        <v>12</v>
      </c>
      <c r="F589">
        <f t="shared" si="9"/>
        <v>0</v>
      </c>
      <c r="G589" t="s">
        <v>16</v>
      </c>
    </row>
    <row r="590" spans="1:7" x14ac:dyDescent="0.3">
      <c r="A590" t="s">
        <v>6</v>
      </c>
      <c r="B590" t="str">
        <f>"05/12/1987 00:00"</f>
        <v>05/12/1987 00:00</v>
      </c>
      <c r="D590" t="s">
        <v>7</v>
      </c>
      <c r="E590" s="2" t="s">
        <v>12</v>
      </c>
      <c r="F590">
        <f t="shared" si="9"/>
        <v>0</v>
      </c>
      <c r="G590" t="s">
        <v>16</v>
      </c>
    </row>
    <row r="591" spans="1:7" x14ac:dyDescent="0.3">
      <c r="A591" t="s">
        <v>6</v>
      </c>
      <c r="B591" t="str">
        <f>"05/13/1987 00:00"</f>
        <v>05/13/1987 00:00</v>
      </c>
      <c r="D591" t="s">
        <v>7</v>
      </c>
      <c r="E591" s="2" t="s">
        <v>12</v>
      </c>
      <c r="F591">
        <f t="shared" si="9"/>
        <v>0</v>
      </c>
      <c r="G591" t="s">
        <v>16</v>
      </c>
    </row>
    <row r="592" spans="1:7" x14ac:dyDescent="0.3">
      <c r="A592" t="s">
        <v>6</v>
      </c>
      <c r="B592" t="str">
        <f>"05/14/1987 00:00"</f>
        <v>05/14/1987 00:00</v>
      </c>
      <c r="D592" t="s">
        <v>7</v>
      </c>
      <c r="E592" s="2" t="s">
        <v>12</v>
      </c>
      <c r="F592">
        <f t="shared" si="9"/>
        <v>0</v>
      </c>
      <c r="G592" t="s">
        <v>16</v>
      </c>
    </row>
    <row r="593" spans="1:7" x14ac:dyDescent="0.3">
      <c r="A593" t="s">
        <v>6</v>
      </c>
      <c r="B593" t="str">
        <f>"05/15/1987 00:00"</f>
        <v>05/15/1987 00:00</v>
      </c>
      <c r="D593" t="s">
        <v>7</v>
      </c>
      <c r="E593" s="2" t="s">
        <v>12</v>
      </c>
      <c r="F593">
        <f t="shared" si="9"/>
        <v>0</v>
      </c>
      <c r="G593" t="s">
        <v>16</v>
      </c>
    </row>
    <row r="594" spans="1:7" x14ac:dyDescent="0.3">
      <c r="A594" t="s">
        <v>6</v>
      </c>
      <c r="B594" t="str">
        <f>"05/16/1987 00:00"</f>
        <v>05/16/1987 00:00</v>
      </c>
      <c r="D594" t="s">
        <v>7</v>
      </c>
      <c r="E594" s="2" t="s">
        <v>12</v>
      </c>
      <c r="F594">
        <f t="shared" si="9"/>
        <v>0</v>
      </c>
      <c r="G594" t="s">
        <v>16</v>
      </c>
    </row>
    <row r="595" spans="1:7" x14ac:dyDescent="0.3">
      <c r="A595" t="s">
        <v>6</v>
      </c>
      <c r="B595" t="str">
        <f>"05/17/1987 00:00"</f>
        <v>05/17/1987 00:00</v>
      </c>
      <c r="D595" t="s">
        <v>7</v>
      </c>
      <c r="E595" s="2" t="s">
        <v>12</v>
      </c>
      <c r="F595">
        <f t="shared" si="9"/>
        <v>0</v>
      </c>
      <c r="G595" t="s">
        <v>16</v>
      </c>
    </row>
    <row r="596" spans="1:7" x14ac:dyDescent="0.3">
      <c r="A596" t="s">
        <v>6</v>
      </c>
      <c r="B596" t="str">
        <f>"05/18/1987 00:00"</f>
        <v>05/18/1987 00:00</v>
      </c>
      <c r="D596" t="s">
        <v>7</v>
      </c>
      <c r="E596" s="2" t="s">
        <v>12</v>
      </c>
      <c r="F596">
        <f t="shared" si="9"/>
        <v>0</v>
      </c>
      <c r="G596" t="s">
        <v>16</v>
      </c>
    </row>
    <row r="597" spans="1:7" x14ac:dyDescent="0.3">
      <c r="A597" t="s">
        <v>6</v>
      </c>
      <c r="B597" t="str">
        <f>"05/19/1987 00:00"</f>
        <v>05/19/1987 00:00</v>
      </c>
      <c r="D597" t="s">
        <v>7</v>
      </c>
      <c r="E597" s="2" t="s">
        <v>12</v>
      </c>
      <c r="F597">
        <f t="shared" si="9"/>
        <v>0</v>
      </c>
      <c r="G597" t="s">
        <v>16</v>
      </c>
    </row>
    <row r="598" spans="1:7" x14ac:dyDescent="0.3">
      <c r="A598" t="s">
        <v>6</v>
      </c>
      <c r="B598" t="str">
        <f>"05/20/1987 00:00"</f>
        <v>05/20/1987 00:00</v>
      </c>
      <c r="D598" t="s">
        <v>7</v>
      </c>
      <c r="E598" s="2" t="s">
        <v>12</v>
      </c>
      <c r="F598">
        <f t="shared" si="9"/>
        <v>0</v>
      </c>
      <c r="G598" t="s">
        <v>16</v>
      </c>
    </row>
    <row r="599" spans="1:7" x14ac:dyDescent="0.3">
      <c r="A599" t="s">
        <v>6</v>
      </c>
      <c r="B599" t="str">
        <f>"05/21/1987 00:00"</f>
        <v>05/21/1987 00:00</v>
      </c>
      <c r="D599" t="s">
        <v>7</v>
      </c>
      <c r="E599" s="2" t="s">
        <v>12</v>
      </c>
      <c r="F599">
        <f t="shared" si="9"/>
        <v>0</v>
      </c>
      <c r="G599" t="s">
        <v>16</v>
      </c>
    </row>
    <row r="600" spans="1:7" x14ac:dyDescent="0.3">
      <c r="A600" t="s">
        <v>6</v>
      </c>
      <c r="B600" t="str">
        <f>"05/22/1987 00:00"</f>
        <v>05/22/1987 00:00</v>
      </c>
      <c r="D600" t="s">
        <v>7</v>
      </c>
      <c r="E600" s="2" t="s">
        <v>12</v>
      </c>
      <c r="F600">
        <f t="shared" si="9"/>
        <v>0</v>
      </c>
      <c r="G600" t="s">
        <v>16</v>
      </c>
    </row>
    <row r="601" spans="1:7" x14ac:dyDescent="0.3">
      <c r="A601" t="s">
        <v>6</v>
      </c>
      <c r="B601" t="str">
        <f>"05/23/1987 00:00"</f>
        <v>05/23/1987 00:00</v>
      </c>
      <c r="D601" t="s">
        <v>7</v>
      </c>
      <c r="E601" s="2" t="s">
        <v>12</v>
      </c>
      <c r="F601">
        <f t="shared" si="9"/>
        <v>0</v>
      </c>
      <c r="G601" t="s">
        <v>16</v>
      </c>
    </row>
    <row r="602" spans="1:7" x14ac:dyDescent="0.3">
      <c r="A602" t="s">
        <v>6</v>
      </c>
      <c r="B602" t="str">
        <f>"05/24/1987 00:00"</f>
        <v>05/24/1987 00:00</v>
      </c>
      <c r="D602" t="s">
        <v>7</v>
      </c>
      <c r="E602" s="2" t="s">
        <v>12</v>
      </c>
      <c r="F602">
        <f t="shared" si="9"/>
        <v>0</v>
      </c>
      <c r="G602" t="s">
        <v>16</v>
      </c>
    </row>
    <row r="603" spans="1:7" x14ac:dyDescent="0.3">
      <c r="A603" t="s">
        <v>6</v>
      </c>
      <c r="B603" t="str">
        <f>"05/25/1987 00:00"</f>
        <v>05/25/1987 00:00</v>
      </c>
      <c r="D603" t="s">
        <v>7</v>
      </c>
      <c r="E603" s="2" t="s">
        <v>12</v>
      </c>
      <c r="F603">
        <f t="shared" si="9"/>
        <v>0</v>
      </c>
      <c r="G603" t="s">
        <v>16</v>
      </c>
    </row>
    <row r="604" spans="1:7" x14ac:dyDescent="0.3">
      <c r="A604" t="s">
        <v>6</v>
      </c>
      <c r="B604" t="str">
        <f>"05/26/1987 00:00"</f>
        <v>05/26/1987 00:00</v>
      </c>
      <c r="D604" t="s">
        <v>7</v>
      </c>
      <c r="E604" s="2" t="s">
        <v>12</v>
      </c>
      <c r="F604">
        <f t="shared" si="9"/>
        <v>0</v>
      </c>
      <c r="G604" t="s">
        <v>16</v>
      </c>
    </row>
    <row r="605" spans="1:7" x14ac:dyDescent="0.3">
      <c r="A605" t="s">
        <v>6</v>
      </c>
      <c r="B605" t="str">
        <f>"05/27/1987 00:00"</f>
        <v>05/27/1987 00:00</v>
      </c>
      <c r="D605" t="s">
        <v>7</v>
      </c>
      <c r="E605" s="2" t="s">
        <v>12</v>
      </c>
      <c r="F605">
        <f t="shared" si="9"/>
        <v>0</v>
      </c>
      <c r="G605" t="s">
        <v>16</v>
      </c>
    </row>
    <row r="606" spans="1:7" x14ac:dyDescent="0.3">
      <c r="A606" t="s">
        <v>6</v>
      </c>
      <c r="B606" t="str">
        <f>"05/28/1987 00:00"</f>
        <v>05/28/1987 00:00</v>
      </c>
      <c r="D606" t="s">
        <v>7</v>
      </c>
      <c r="E606" s="2" t="s">
        <v>12</v>
      </c>
      <c r="F606">
        <f t="shared" si="9"/>
        <v>0</v>
      </c>
      <c r="G606" t="s">
        <v>16</v>
      </c>
    </row>
    <row r="607" spans="1:7" x14ac:dyDescent="0.3">
      <c r="A607" t="s">
        <v>6</v>
      </c>
      <c r="B607" t="str">
        <f>"05/29/1987 00:00"</f>
        <v>05/29/1987 00:00</v>
      </c>
      <c r="D607" t="s">
        <v>7</v>
      </c>
      <c r="E607" s="2" t="s">
        <v>12</v>
      </c>
      <c r="F607">
        <f t="shared" si="9"/>
        <v>0</v>
      </c>
      <c r="G607" t="s">
        <v>16</v>
      </c>
    </row>
    <row r="608" spans="1:7" x14ac:dyDescent="0.3">
      <c r="A608" t="s">
        <v>6</v>
      </c>
      <c r="B608" t="str">
        <f>"05/30/1987 00:00"</f>
        <v>05/30/1987 00:00</v>
      </c>
      <c r="D608" t="s">
        <v>7</v>
      </c>
      <c r="E608" s="2" t="s">
        <v>12</v>
      </c>
      <c r="F608">
        <f t="shared" si="9"/>
        <v>0</v>
      </c>
      <c r="G608" t="s">
        <v>16</v>
      </c>
    </row>
    <row r="609" spans="1:7" x14ac:dyDescent="0.3">
      <c r="A609" t="s">
        <v>6</v>
      </c>
      <c r="B609" t="str">
        <f>"05/31/1987 00:00"</f>
        <v>05/31/1987 00:00</v>
      </c>
      <c r="D609" t="s">
        <v>7</v>
      </c>
      <c r="E609" s="2" t="s">
        <v>12</v>
      </c>
      <c r="F609">
        <f t="shared" si="9"/>
        <v>0</v>
      </c>
      <c r="G609" t="s">
        <v>16</v>
      </c>
    </row>
    <row r="610" spans="1:7" x14ac:dyDescent="0.3">
      <c r="A610" t="s">
        <v>6</v>
      </c>
      <c r="B610" t="str">
        <f>"06/01/1987 00:00"</f>
        <v>06/01/1987 00:00</v>
      </c>
      <c r="D610" t="s">
        <v>7</v>
      </c>
      <c r="E610" s="2" t="s">
        <v>12</v>
      </c>
      <c r="F610">
        <f t="shared" si="9"/>
        <v>0</v>
      </c>
      <c r="G610" t="s">
        <v>16</v>
      </c>
    </row>
    <row r="611" spans="1:7" x14ac:dyDescent="0.3">
      <c r="A611" t="s">
        <v>6</v>
      </c>
      <c r="B611" t="str">
        <f>"06/02/1987 00:00"</f>
        <v>06/02/1987 00:00</v>
      </c>
      <c r="D611" t="s">
        <v>7</v>
      </c>
      <c r="E611" s="2" t="s">
        <v>12</v>
      </c>
      <c r="F611">
        <f t="shared" si="9"/>
        <v>0</v>
      </c>
      <c r="G611" t="s">
        <v>16</v>
      </c>
    </row>
    <row r="612" spans="1:7" x14ac:dyDescent="0.3">
      <c r="A612" t="s">
        <v>6</v>
      </c>
      <c r="B612" t="str">
        <f>"06/03/1987 00:00"</f>
        <v>06/03/1987 00:00</v>
      </c>
      <c r="D612" t="s">
        <v>7</v>
      </c>
      <c r="E612" s="2" t="s">
        <v>12</v>
      </c>
      <c r="F612">
        <f t="shared" si="9"/>
        <v>0</v>
      </c>
      <c r="G612" t="s">
        <v>16</v>
      </c>
    </row>
    <row r="613" spans="1:7" x14ac:dyDescent="0.3">
      <c r="A613" t="s">
        <v>6</v>
      </c>
      <c r="B613" t="str">
        <f>"06/04/1987 00:00"</f>
        <v>06/04/1987 00:00</v>
      </c>
      <c r="D613" t="s">
        <v>7</v>
      </c>
      <c r="E613" s="2" t="s">
        <v>12</v>
      </c>
      <c r="F613">
        <f t="shared" si="9"/>
        <v>0</v>
      </c>
      <c r="G613" t="s">
        <v>16</v>
      </c>
    </row>
    <row r="614" spans="1:7" x14ac:dyDescent="0.3">
      <c r="A614" t="s">
        <v>6</v>
      </c>
      <c r="B614" t="str">
        <f>"06/05/1987 00:00"</f>
        <v>06/05/1987 00:00</v>
      </c>
      <c r="D614" t="s">
        <v>7</v>
      </c>
      <c r="E614" s="2" t="s">
        <v>12</v>
      </c>
      <c r="F614">
        <f t="shared" si="9"/>
        <v>0</v>
      </c>
      <c r="G614" t="s">
        <v>16</v>
      </c>
    </row>
    <row r="615" spans="1:7" x14ac:dyDescent="0.3">
      <c r="A615" t="s">
        <v>6</v>
      </c>
      <c r="B615" t="str">
        <f>"06/06/1987 00:00"</f>
        <v>06/06/1987 00:00</v>
      </c>
      <c r="D615" t="s">
        <v>7</v>
      </c>
      <c r="E615" s="2" t="s">
        <v>12</v>
      </c>
      <c r="F615">
        <f t="shared" si="9"/>
        <v>0</v>
      </c>
      <c r="G615" t="s">
        <v>16</v>
      </c>
    </row>
    <row r="616" spans="1:7" x14ac:dyDescent="0.3">
      <c r="A616" t="s">
        <v>6</v>
      </c>
      <c r="B616" t="str">
        <f>"06/07/1987 00:00"</f>
        <v>06/07/1987 00:00</v>
      </c>
      <c r="D616" t="s">
        <v>7</v>
      </c>
      <c r="E616" s="2" t="s">
        <v>12</v>
      </c>
      <c r="F616">
        <f t="shared" si="9"/>
        <v>0</v>
      </c>
      <c r="G616" t="s">
        <v>16</v>
      </c>
    </row>
    <row r="617" spans="1:7" x14ac:dyDescent="0.3">
      <c r="A617" t="s">
        <v>6</v>
      </c>
      <c r="B617" t="str">
        <f>"06/08/1987 00:00"</f>
        <v>06/08/1987 00:00</v>
      </c>
      <c r="D617" t="s">
        <v>7</v>
      </c>
      <c r="E617" s="2" t="s">
        <v>12</v>
      </c>
      <c r="F617">
        <f t="shared" si="9"/>
        <v>0</v>
      </c>
      <c r="G617" t="s">
        <v>16</v>
      </c>
    </row>
    <row r="618" spans="1:7" x14ac:dyDescent="0.3">
      <c r="A618" t="s">
        <v>6</v>
      </c>
      <c r="B618" t="str">
        <f>"06/09/1987 00:00"</f>
        <v>06/09/1987 00:00</v>
      </c>
      <c r="D618" t="s">
        <v>7</v>
      </c>
      <c r="E618" s="2" t="s">
        <v>12</v>
      </c>
      <c r="F618">
        <f t="shared" si="9"/>
        <v>0</v>
      </c>
      <c r="G618" t="s">
        <v>16</v>
      </c>
    </row>
    <row r="619" spans="1:7" x14ac:dyDescent="0.3">
      <c r="A619" t="s">
        <v>6</v>
      </c>
      <c r="B619" t="str">
        <f>"06/10/1987 00:00"</f>
        <v>06/10/1987 00:00</v>
      </c>
      <c r="D619" t="s">
        <v>7</v>
      </c>
      <c r="E619" s="2" t="s">
        <v>12</v>
      </c>
      <c r="F619">
        <f t="shared" si="9"/>
        <v>0</v>
      </c>
      <c r="G619" t="s">
        <v>16</v>
      </c>
    </row>
    <row r="620" spans="1:7" x14ac:dyDescent="0.3">
      <c r="A620" t="s">
        <v>6</v>
      </c>
      <c r="B620" t="str">
        <f>"06/11/1987 00:00"</f>
        <v>06/11/1987 00:00</v>
      </c>
      <c r="D620" t="s">
        <v>7</v>
      </c>
      <c r="E620" s="2" t="s">
        <v>12</v>
      </c>
      <c r="F620">
        <f t="shared" si="9"/>
        <v>0</v>
      </c>
      <c r="G620" t="s">
        <v>16</v>
      </c>
    </row>
    <row r="621" spans="1:7" x14ac:dyDescent="0.3">
      <c r="A621" t="s">
        <v>6</v>
      </c>
      <c r="B621" t="str">
        <f>"06/12/1987 00:00"</f>
        <v>06/12/1987 00:00</v>
      </c>
      <c r="D621" t="s">
        <v>7</v>
      </c>
      <c r="E621" s="2" t="s">
        <v>12</v>
      </c>
      <c r="F621">
        <f t="shared" si="9"/>
        <v>0</v>
      </c>
      <c r="G621" t="s">
        <v>16</v>
      </c>
    </row>
    <row r="622" spans="1:7" x14ac:dyDescent="0.3">
      <c r="A622" t="s">
        <v>6</v>
      </c>
      <c r="B622" t="str">
        <f>"06/13/1987 00:00"</f>
        <v>06/13/1987 00:00</v>
      </c>
      <c r="D622" t="s">
        <v>7</v>
      </c>
      <c r="E622" s="2" t="s">
        <v>12</v>
      </c>
      <c r="F622">
        <f t="shared" si="9"/>
        <v>0</v>
      </c>
      <c r="G622" t="s">
        <v>16</v>
      </c>
    </row>
    <row r="623" spans="1:7" x14ac:dyDescent="0.3">
      <c r="A623" t="s">
        <v>6</v>
      </c>
      <c r="B623" t="str">
        <f>"06/14/1987 00:00"</f>
        <v>06/14/1987 00:00</v>
      </c>
      <c r="D623" t="s">
        <v>7</v>
      </c>
      <c r="E623" s="2" t="s">
        <v>12</v>
      </c>
      <c r="F623">
        <f t="shared" si="9"/>
        <v>0</v>
      </c>
      <c r="G623" t="s">
        <v>16</v>
      </c>
    </row>
    <row r="624" spans="1:7" x14ac:dyDescent="0.3">
      <c r="A624" t="s">
        <v>6</v>
      </c>
      <c r="B624" t="str">
        <f>"06/15/1987 00:00"</f>
        <v>06/15/1987 00:00</v>
      </c>
      <c r="D624" t="s">
        <v>7</v>
      </c>
      <c r="E624" s="2" t="s">
        <v>12</v>
      </c>
      <c r="F624">
        <f t="shared" si="9"/>
        <v>0</v>
      </c>
      <c r="G624" t="s">
        <v>16</v>
      </c>
    </row>
    <row r="625" spans="1:7" x14ac:dyDescent="0.3">
      <c r="A625" t="s">
        <v>6</v>
      </c>
      <c r="B625" t="str">
        <f>"06/16/1987 00:00"</f>
        <v>06/16/1987 00:00</v>
      </c>
      <c r="D625" t="s">
        <v>7</v>
      </c>
      <c r="E625" s="2" t="s">
        <v>12</v>
      </c>
      <c r="F625">
        <f t="shared" si="9"/>
        <v>0</v>
      </c>
      <c r="G625" t="s">
        <v>16</v>
      </c>
    </row>
    <row r="626" spans="1:7" x14ac:dyDescent="0.3">
      <c r="A626" t="s">
        <v>6</v>
      </c>
      <c r="B626" t="str">
        <f>"06/17/1987 00:00"</f>
        <v>06/17/1987 00:00</v>
      </c>
      <c r="D626" t="s">
        <v>7</v>
      </c>
      <c r="E626" s="2" t="s">
        <v>12</v>
      </c>
      <c r="F626">
        <f t="shared" si="9"/>
        <v>0</v>
      </c>
      <c r="G626" t="s">
        <v>16</v>
      </c>
    </row>
    <row r="627" spans="1:7" x14ac:dyDescent="0.3">
      <c r="A627" t="s">
        <v>6</v>
      </c>
      <c r="B627" t="str">
        <f>"06/18/1987 00:00"</f>
        <v>06/18/1987 00:00</v>
      </c>
      <c r="D627" t="s">
        <v>7</v>
      </c>
      <c r="E627" s="2" t="s">
        <v>12</v>
      </c>
      <c r="F627">
        <f t="shared" si="9"/>
        <v>0</v>
      </c>
      <c r="G627" t="s">
        <v>16</v>
      </c>
    </row>
    <row r="628" spans="1:7" x14ac:dyDescent="0.3">
      <c r="A628" t="s">
        <v>6</v>
      </c>
      <c r="B628" t="str">
        <f>"06/19/1987 00:00"</f>
        <v>06/19/1987 00:00</v>
      </c>
      <c r="D628" t="s">
        <v>7</v>
      </c>
      <c r="E628" s="2" t="s">
        <v>12</v>
      </c>
      <c r="F628">
        <f t="shared" si="9"/>
        <v>0</v>
      </c>
      <c r="G628" t="s">
        <v>16</v>
      </c>
    </row>
    <row r="629" spans="1:7" x14ac:dyDescent="0.3">
      <c r="A629" t="s">
        <v>6</v>
      </c>
      <c r="B629" t="str">
        <f>"06/20/1987 00:00"</f>
        <v>06/20/1987 00:00</v>
      </c>
      <c r="D629" t="s">
        <v>7</v>
      </c>
      <c r="E629" s="2" t="s">
        <v>12</v>
      </c>
      <c r="F629">
        <f t="shared" si="9"/>
        <v>0</v>
      </c>
      <c r="G629" t="s">
        <v>16</v>
      </c>
    </row>
    <row r="630" spans="1:7" x14ac:dyDescent="0.3">
      <c r="A630" t="s">
        <v>6</v>
      </c>
      <c r="B630" t="str">
        <f>"06/21/1987 00:00"</f>
        <v>06/21/1987 00:00</v>
      </c>
      <c r="D630" t="s">
        <v>7</v>
      </c>
      <c r="E630" s="2" t="s">
        <v>12</v>
      </c>
      <c r="F630">
        <f t="shared" si="9"/>
        <v>0</v>
      </c>
      <c r="G630" t="s">
        <v>16</v>
      </c>
    </row>
    <row r="631" spans="1:7" x14ac:dyDescent="0.3">
      <c r="A631" t="s">
        <v>6</v>
      </c>
      <c r="B631" t="str">
        <f>"06/22/1987 00:00"</f>
        <v>06/22/1987 00:00</v>
      </c>
      <c r="D631" t="s">
        <v>7</v>
      </c>
      <c r="E631" s="2" t="s">
        <v>12</v>
      </c>
      <c r="F631">
        <f t="shared" si="9"/>
        <v>0</v>
      </c>
      <c r="G631" t="s">
        <v>16</v>
      </c>
    </row>
    <row r="632" spans="1:7" x14ac:dyDescent="0.3">
      <c r="A632" t="s">
        <v>6</v>
      </c>
      <c r="B632" t="str">
        <f>"06/23/1987 00:00"</f>
        <v>06/23/1987 00:00</v>
      </c>
      <c r="D632" t="s">
        <v>7</v>
      </c>
      <c r="E632" s="2" t="s">
        <v>12</v>
      </c>
      <c r="F632">
        <f t="shared" si="9"/>
        <v>0</v>
      </c>
      <c r="G632" t="s">
        <v>16</v>
      </c>
    </row>
    <row r="633" spans="1:7" x14ac:dyDescent="0.3">
      <c r="A633" t="s">
        <v>6</v>
      </c>
      <c r="B633" t="str">
        <f>"06/24/1987 00:00"</f>
        <v>06/24/1987 00:00</v>
      </c>
      <c r="D633" t="s">
        <v>7</v>
      </c>
      <c r="E633" s="2" t="s">
        <v>12</v>
      </c>
      <c r="F633">
        <f t="shared" si="9"/>
        <v>0</v>
      </c>
      <c r="G633" t="s">
        <v>16</v>
      </c>
    </row>
    <row r="634" spans="1:7" x14ac:dyDescent="0.3">
      <c r="A634" t="s">
        <v>6</v>
      </c>
      <c r="B634" t="str">
        <f>"06/25/1987 00:00"</f>
        <v>06/25/1987 00:00</v>
      </c>
      <c r="D634" t="s">
        <v>7</v>
      </c>
      <c r="E634" s="2" t="s">
        <v>12</v>
      </c>
      <c r="F634">
        <f t="shared" si="9"/>
        <v>0</v>
      </c>
      <c r="G634" t="s">
        <v>16</v>
      </c>
    </row>
    <row r="635" spans="1:7" x14ac:dyDescent="0.3">
      <c r="A635" t="s">
        <v>6</v>
      </c>
      <c r="B635" t="str">
        <f>"06/26/1987 00:00"</f>
        <v>06/26/1987 00:00</v>
      </c>
      <c r="D635" t="s">
        <v>7</v>
      </c>
      <c r="E635" s="2" t="s">
        <v>12</v>
      </c>
      <c r="F635">
        <f t="shared" si="9"/>
        <v>0</v>
      </c>
      <c r="G635" t="s">
        <v>16</v>
      </c>
    </row>
    <row r="636" spans="1:7" x14ac:dyDescent="0.3">
      <c r="A636" t="s">
        <v>6</v>
      </c>
      <c r="B636" t="str">
        <f>"06/27/1987 00:00"</f>
        <v>06/27/1987 00:00</v>
      </c>
      <c r="D636" t="s">
        <v>7</v>
      </c>
      <c r="E636" s="2" t="s">
        <v>12</v>
      </c>
      <c r="F636">
        <f t="shared" si="9"/>
        <v>0</v>
      </c>
      <c r="G636" t="s">
        <v>16</v>
      </c>
    </row>
    <row r="637" spans="1:7" x14ac:dyDescent="0.3">
      <c r="A637" t="s">
        <v>6</v>
      </c>
      <c r="B637" t="str">
        <f>"06/28/1987 00:00"</f>
        <v>06/28/1987 00:00</v>
      </c>
      <c r="D637" t="s">
        <v>7</v>
      </c>
      <c r="E637" s="2" t="s">
        <v>12</v>
      </c>
      <c r="F637">
        <f t="shared" si="9"/>
        <v>0</v>
      </c>
      <c r="G637" t="s">
        <v>16</v>
      </c>
    </row>
    <row r="638" spans="1:7" x14ac:dyDescent="0.3">
      <c r="A638" t="s">
        <v>6</v>
      </c>
      <c r="B638" t="str">
        <f>"06/29/1987 00:00"</f>
        <v>06/29/1987 00:00</v>
      </c>
      <c r="D638" t="s">
        <v>7</v>
      </c>
      <c r="E638" s="2" t="s">
        <v>12</v>
      </c>
      <c r="F638">
        <f t="shared" si="9"/>
        <v>0</v>
      </c>
      <c r="G638" t="s">
        <v>16</v>
      </c>
    </row>
    <row r="639" spans="1:7" x14ac:dyDescent="0.3">
      <c r="A639" t="s">
        <v>6</v>
      </c>
      <c r="B639" t="str">
        <f>"06/30/1987 00:00"</f>
        <v>06/30/1987 00:00</v>
      </c>
      <c r="D639" t="s">
        <v>7</v>
      </c>
      <c r="E639" s="2" t="s">
        <v>12</v>
      </c>
      <c r="F639">
        <f t="shared" si="9"/>
        <v>0</v>
      </c>
      <c r="G639" t="s">
        <v>16</v>
      </c>
    </row>
    <row r="640" spans="1:7" x14ac:dyDescent="0.3">
      <c r="A640" t="s">
        <v>6</v>
      </c>
      <c r="B640" t="str">
        <f>"07/01/1987 00:00"</f>
        <v>07/01/1987 00:00</v>
      </c>
      <c r="D640" t="s">
        <v>7</v>
      </c>
      <c r="E640" s="2" t="s">
        <v>12</v>
      </c>
      <c r="F640">
        <f t="shared" si="9"/>
        <v>0</v>
      </c>
      <c r="G640" t="s">
        <v>16</v>
      </c>
    </row>
    <row r="641" spans="1:7" x14ac:dyDescent="0.3">
      <c r="A641" t="s">
        <v>6</v>
      </c>
      <c r="B641" t="str">
        <f>"07/02/1987 00:00"</f>
        <v>07/02/1987 00:00</v>
      </c>
      <c r="D641" t="s">
        <v>7</v>
      </c>
      <c r="E641" s="2" t="s">
        <v>12</v>
      </c>
      <c r="F641">
        <f t="shared" si="9"/>
        <v>0</v>
      </c>
      <c r="G641" t="s">
        <v>16</v>
      </c>
    </row>
    <row r="642" spans="1:7" x14ac:dyDescent="0.3">
      <c r="A642" t="s">
        <v>6</v>
      </c>
      <c r="B642" t="str">
        <f>"07/03/1987 00:00"</f>
        <v>07/03/1987 00:00</v>
      </c>
      <c r="D642" t="s">
        <v>7</v>
      </c>
      <c r="E642" s="2" t="s">
        <v>12</v>
      </c>
      <c r="F642">
        <f t="shared" si="9"/>
        <v>0</v>
      </c>
      <c r="G642" t="s">
        <v>16</v>
      </c>
    </row>
    <row r="643" spans="1:7" x14ac:dyDescent="0.3">
      <c r="A643" t="s">
        <v>6</v>
      </c>
      <c r="B643" t="str">
        <f>"07/04/1987 00:00"</f>
        <v>07/04/1987 00:00</v>
      </c>
      <c r="D643" t="s">
        <v>7</v>
      </c>
      <c r="E643" s="2" t="s">
        <v>12</v>
      </c>
      <c r="F643">
        <f t="shared" ref="F643:F706" si="10">C643*1.983</f>
        <v>0</v>
      </c>
      <c r="G643" t="s">
        <v>16</v>
      </c>
    </row>
    <row r="644" spans="1:7" x14ac:dyDescent="0.3">
      <c r="A644" t="s">
        <v>6</v>
      </c>
      <c r="B644" t="str">
        <f>"07/05/1987 00:00"</f>
        <v>07/05/1987 00:00</v>
      </c>
      <c r="D644" t="s">
        <v>7</v>
      </c>
      <c r="E644" s="2" t="s">
        <v>12</v>
      </c>
      <c r="F644">
        <f t="shared" si="10"/>
        <v>0</v>
      </c>
      <c r="G644" t="s">
        <v>16</v>
      </c>
    </row>
    <row r="645" spans="1:7" x14ac:dyDescent="0.3">
      <c r="A645" t="s">
        <v>6</v>
      </c>
      <c r="B645" t="str">
        <f>"07/06/1987 00:00"</f>
        <v>07/06/1987 00:00</v>
      </c>
      <c r="D645" t="s">
        <v>7</v>
      </c>
      <c r="E645" s="2" t="s">
        <v>12</v>
      </c>
      <c r="F645">
        <f t="shared" si="10"/>
        <v>0</v>
      </c>
      <c r="G645" t="s">
        <v>16</v>
      </c>
    </row>
    <row r="646" spans="1:7" x14ac:dyDescent="0.3">
      <c r="A646" t="s">
        <v>6</v>
      </c>
      <c r="B646" t="str">
        <f>"07/07/1987 00:00"</f>
        <v>07/07/1987 00:00</v>
      </c>
      <c r="D646" t="s">
        <v>7</v>
      </c>
      <c r="E646" s="2" t="s">
        <v>12</v>
      </c>
      <c r="F646">
        <f t="shared" si="10"/>
        <v>0</v>
      </c>
      <c r="G646" t="s">
        <v>16</v>
      </c>
    </row>
    <row r="647" spans="1:7" x14ac:dyDescent="0.3">
      <c r="A647" t="s">
        <v>6</v>
      </c>
      <c r="B647" t="str">
        <f>"07/08/1987 00:00"</f>
        <v>07/08/1987 00:00</v>
      </c>
      <c r="D647" t="s">
        <v>7</v>
      </c>
      <c r="E647" s="2" t="s">
        <v>12</v>
      </c>
      <c r="F647">
        <f t="shared" si="10"/>
        <v>0</v>
      </c>
      <c r="G647" t="s">
        <v>16</v>
      </c>
    </row>
    <row r="648" spans="1:7" x14ac:dyDescent="0.3">
      <c r="A648" t="s">
        <v>6</v>
      </c>
      <c r="B648" t="str">
        <f>"07/09/1987 00:00"</f>
        <v>07/09/1987 00:00</v>
      </c>
      <c r="D648" t="s">
        <v>7</v>
      </c>
      <c r="E648" s="2" t="s">
        <v>12</v>
      </c>
      <c r="F648">
        <f t="shared" si="10"/>
        <v>0</v>
      </c>
      <c r="G648" t="s">
        <v>16</v>
      </c>
    </row>
    <row r="649" spans="1:7" x14ac:dyDescent="0.3">
      <c r="A649" t="s">
        <v>6</v>
      </c>
      <c r="B649" t="str">
        <f>"07/10/1987 00:00"</f>
        <v>07/10/1987 00:00</v>
      </c>
      <c r="D649" t="s">
        <v>7</v>
      </c>
      <c r="E649" s="2" t="s">
        <v>12</v>
      </c>
      <c r="F649">
        <f t="shared" si="10"/>
        <v>0</v>
      </c>
      <c r="G649" t="s">
        <v>16</v>
      </c>
    </row>
    <row r="650" spans="1:7" x14ac:dyDescent="0.3">
      <c r="A650" t="s">
        <v>6</v>
      </c>
      <c r="B650" t="str">
        <f>"07/11/1987 00:00"</f>
        <v>07/11/1987 00:00</v>
      </c>
      <c r="D650" t="s">
        <v>7</v>
      </c>
      <c r="E650" s="2" t="s">
        <v>12</v>
      </c>
      <c r="F650">
        <f t="shared" si="10"/>
        <v>0</v>
      </c>
      <c r="G650" t="s">
        <v>16</v>
      </c>
    </row>
    <row r="651" spans="1:7" x14ac:dyDescent="0.3">
      <c r="A651" t="s">
        <v>6</v>
      </c>
      <c r="B651" t="str">
        <f>"07/12/1987 00:00"</f>
        <v>07/12/1987 00:00</v>
      </c>
      <c r="D651" t="s">
        <v>7</v>
      </c>
      <c r="E651" s="2" t="s">
        <v>12</v>
      </c>
      <c r="F651">
        <f t="shared" si="10"/>
        <v>0</v>
      </c>
      <c r="G651" t="s">
        <v>16</v>
      </c>
    </row>
    <row r="652" spans="1:7" x14ac:dyDescent="0.3">
      <c r="A652" t="s">
        <v>6</v>
      </c>
      <c r="B652" t="str">
        <f>"07/13/1987 00:00"</f>
        <v>07/13/1987 00:00</v>
      </c>
      <c r="D652" t="s">
        <v>7</v>
      </c>
      <c r="E652" s="2" t="s">
        <v>12</v>
      </c>
      <c r="F652">
        <f t="shared" si="10"/>
        <v>0</v>
      </c>
      <c r="G652" t="s">
        <v>16</v>
      </c>
    </row>
    <row r="653" spans="1:7" x14ac:dyDescent="0.3">
      <c r="A653" t="s">
        <v>6</v>
      </c>
      <c r="B653" t="str">
        <f>"07/14/1987 00:00"</f>
        <v>07/14/1987 00:00</v>
      </c>
      <c r="D653" t="s">
        <v>7</v>
      </c>
      <c r="E653" s="2" t="s">
        <v>12</v>
      </c>
      <c r="F653">
        <f t="shared" si="10"/>
        <v>0</v>
      </c>
      <c r="G653" t="s">
        <v>16</v>
      </c>
    </row>
    <row r="654" spans="1:7" x14ac:dyDescent="0.3">
      <c r="A654" t="s">
        <v>6</v>
      </c>
      <c r="B654" t="str">
        <f>"07/15/1987 00:00"</f>
        <v>07/15/1987 00:00</v>
      </c>
      <c r="D654" t="s">
        <v>7</v>
      </c>
      <c r="E654" s="2" t="s">
        <v>12</v>
      </c>
      <c r="F654">
        <f t="shared" si="10"/>
        <v>0</v>
      </c>
      <c r="G654" t="s">
        <v>16</v>
      </c>
    </row>
    <row r="655" spans="1:7" x14ac:dyDescent="0.3">
      <c r="A655" t="s">
        <v>6</v>
      </c>
      <c r="B655" t="str">
        <f>"07/16/1987 00:00"</f>
        <v>07/16/1987 00:00</v>
      </c>
      <c r="D655" t="s">
        <v>7</v>
      </c>
      <c r="E655" s="2" t="s">
        <v>12</v>
      </c>
      <c r="F655">
        <f t="shared" si="10"/>
        <v>0</v>
      </c>
      <c r="G655" t="s">
        <v>16</v>
      </c>
    </row>
    <row r="656" spans="1:7" x14ac:dyDescent="0.3">
      <c r="A656" t="s">
        <v>6</v>
      </c>
      <c r="B656" t="str">
        <f>"07/17/1987 00:00"</f>
        <v>07/17/1987 00:00</v>
      </c>
      <c r="D656" t="s">
        <v>7</v>
      </c>
      <c r="E656" s="2" t="s">
        <v>12</v>
      </c>
      <c r="F656">
        <f t="shared" si="10"/>
        <v>0</v>
      </c>
      <c r="G656" t="s">
        <v>16</v>
      </c>
    </row>
    <row r="657" spans="1:7" x14ac:dyDescent="0.3">
      <c r="A657" t="s">
        <v>6</v>
      </c>
      <c r="B657" t="str">
        <f>"07/18/1987 00:00"</f>
        <v>07/18/1987 00:00</v>
      </c>
      <c r="D657" t="s">
        <v>7</v>
      </c>
      <c r="E657" s="2" t="s">
        <v>12</v>
      </c>
      <c r="F657">
        <f t="shared" si="10"/>
        <v>0</v>
      </c>
      <c r="G657" t="s">
        <v>16</v>
      </c>
    </row>
    <row r="658" spans="1:7" x14ac:dyDescent="0.3">
      <c r="A658" t="s">
        <v>6</v>
      </c>
      <c r="B658" t="str">
        <f>"07/19/1987 00:00"</f>
        <v>07/19/1987 00:00</v>
      </c>
      <c r="D658" t="s">
        <v>7</v>
      </c>
      <c r="E658" s="2" t="s">
        <v>12</v>
      </c>
      <c r="F658">
        <f t="shared" si="10"/>
        <v>0</v>
      </c>
      <c r="G658" t="s">
        <v>16</v>
      </c>
    </row>
    <row r="659" spans="1:7" x14ac:dyDescent="0.3">
      <c r="A659" t="s">
        <v>6</v>
      </c>
      <c r="B659" t="str">
        <f>"07/20/1987 00:00"</f>
        <v>07/20/1987 00:00</v>
      </c>
      <c r="D659" t="s">
        <v>7</v>
      </c>
      <c r="E659" s="2" t="s">
        <v>12</v>
      </c>
      <c r="F659">
        <f t="shared" si="10"/>
        <v>0</v>
      </c>
      <c r="G659" t="s">
        <v>16</v>
      </c>
    </row>
    <row r="660" spans="1:7" x14ac:dyDescent="0.3">
      <c r="A660" t="s">
        <v>6</v>
      </c>
      <c r="B660" t="str">
        <f>"07/21/1987 00:00"</f>
        <v>07/21/1987 00:00</v>
      </c>
      <c r="D660" t="s">
        <v>7</v>
      </c>
      <c r="E660" s="2" t="s">
        <v>12</v>
      </c>
      <c r="F660">
        <f t="shared" si="10"/>
        <v>0</v>
      </c>
      <c r="G660" t="s">
        <v>16</v>
      </c>
    </row>
    <row r="661" spans="1:7" x14ac:dyDescent="0.3">
      <c r="A661" t="s">
        <v>6</v>
      </c>
      <c r="B661" t="str">
        <f>"07/22/1987 00:00"</f>
        <v>07/22/1987 00:00</v>
      </c>
      <c r="D661" t="s">
        <v>7</v>
      </c>
      <c r="E661" s="2" t="s">
        <v>12</v>
      </c>
      <c r="F661">
        <f t="shared" si="10"/>
        <v>0</v>
      </c>
      <c r="G661" t="s">
        <v>16</v>
      </c>
    </row>
    <row r="662" spans="1:7" x14ac:dyDescent="0.3">
      <c r="A662" t="s">
        <v>6</v>
      </c>
      <c r="B662" t="str">
        <f>"07/23/1987 00:00"</f>
        <v>07/23/1987 00:00</v>
      </c>
      <c r="D662" t="s">
        <v>7</v>
      </c>
      <c r="E662" s="2" t="s">
        <v>12</v>
      </c>
      <c r="F662">
        <f t="shared" si="10"/>
        <v>0</v>
      </c>
      <c r="G662" t="s">
        <v>16</v>
      </c>
    </row>
    <row r="663" spans="1:7" x14ac:dyDescent="0.3">
      <c r="A663" t="s">
        <v>6</v>
      </c>
      <c r="B663" t="str">
        <f>"07/24/1987 00:00"</f>
        <v>07/24/1987 00:00</v>
      </c>
      <c r="D663" t="s">
        <v>7</v>
      </c>
      <c r="E663" s="2" t="s">
        <v>12</v>
      </c>
      <c r="F663">
        <f t="shared" si="10"/>
        <v>0</v>
      </c>
      <c r="G663" t="s">
        <v>16</v>
      </c>
    </row>
    <row r="664" spans="1:7" x14ac:dyDescent="0.3">
      <c r="A664" t="s">
        <v>6</v>
      </c>
      <c r="B664" t="str">
        <f>"07/25/1987 00:00"</f>
        <v>07/25/1987 00:00</v>
      </c>
      <c r="D664" t="s">
        <v>7</v>
      </c>
      <c r="E664" s="2" t="s">
        <v>12</v>
      </c>
      <c r="F664">
        <f t="shared" si="10"/>
        <v>0</v>
      </c>
      <c r="G664" t="s">
        <v>16</v>
      </c>
    </row>
    <row r="665" spans="1:7" x14ac:dyDescent="0.3">
      <c r="A665" t="s">
        <v>6</v>
      </c>
      <c r="B665" t="str">
        <f>"07/26/1987 00:00"</f>
        <v>07/26/1987 00:00</v>
      </c>
      <c r="D665" t="s">
        <v>7</v>
      </c>
      <c r="E665" s="2" t="s">
        <v>12</v>
      </c>
      <c r="F665">
        <f t="shared" si="10"/>
        <v>0</v>
      </c>
      <c r="G665" t="s">
        <v>16</v>
      </c>
    </row>
    <row r="666" spans="1:7" x14ac:dyDescent="0.3">
      <c r="A666" t="s">
        <v>6</v>
      </c>
      <c r="B666" t="str">
        <f>"07/27/1987 00:00"</f>
        <v>07/27/1987 00:00</v>
      </c>
      <c r="D666" t="s">
        <v>7</v>
      </c>
      <c r="E666" s="2" t="s">
        <v>12</v>
      </c>
      <c r="F666">
        <f t="shared" si="10"/>
        <v>0</v>
      </c>
      <c r="G666" t="s">
        <v>16</v>
      </c>
    </row>
    <row r="667" spans="1:7" x14ac:dyDescent="0.3">
      <c r="A667" t="s">
        <v>6</v>
      </c>
      <c r="B667" t="str">
        <f>"07/28/1987 00:00"</f>
        <v>07/28/1987 00:00</v>
      </c>
      <c r="D667" t="s">
        <v>7</v>
      </c>
      <c r="E667" s="2" t="s">
        <v>12</v>
      </c>
      <c r="F667">
        <f t="shared" si="10"/>
        <v>0</v>
      </c>
      <c r="G667" t="s">
        <v>16</v>
      </c>
    </row>
    <row r="668" spans="1:7" x14ac:dyDescent="0.3">
      <c r="A668" t="s">
        <v>6</v>
      </c>
      <c r="B668" t="str">
        <f>"07/29/1987 00:00"</f>
        <v>07/29/1987 00:00</v>
      </c>
      <c r="D668" t="s">
        <v>7</v>
      </c>
      <c r="E668" s="2" t="s">
        <v>12</v>
      </c>
      <c r="F668">
        <f t="shared" si="10"/>
        <v>0</v>
      </c>
      <c r="G668" t="s">
        <v>16</v>
      </c>
    </row>
    <row r="669" spans="1:7" x14ac:dyDescent="0.3">
      <c r="A669" t="s">
        <v>6</v>
      </c>
      <c r="B669" t="str">
        <f>"07/30/1987 00:00"</f>
        <v>07/30/1987 00:00</v>
      </c>
      <c r="D669" t="s">
        <v>7</v>
      </c>
      <c r="E669" s="2" t="s">
        <v>12</v>
      </c>
      <c r="F669">
        <f t="shared" si="10"/>
        <v>0</v>
      </c>
      <c r="G669" t="s">
        <v>16</v>
      </c>
    </row>
    <row r="670" spans="1:7" x14ac:dyDescent="0.3">
      <c r="A670" t="s">
        <v>6</v>
      </c>
      <c r="B670" t="str">
        <f>"07/31/1987 00:00"</f>
        <v>07/31/1987 00:00</v>
      </c>
      <c r="D670" t="s">
        <v>7</v>
      </c>
      <c r="E670" s="2" t="s">
        <v>12</v>
      </c>
      <c r="F670">
        <f t="shared" si="10"/>
        <v>0</v>
      </c>
      <c r="G670" t="s">
        <v>16</v>
      </c>
    </row>
    <row r="671" spans="1:7" x14ac:dyDescent="0.3">
      <c r="A671" t="s">
        <v>6</v>
      </c>
      <c r="B671" t="str">
        <f>"08/01/1987 00:00"</f>
        <v>08/01/1987 00:00</v>
      </c>
      <c r="D671" t="s">
        <v>7</v>
      </c>
      <c r="E671" s="2" t="s">
        <v>12</v>
      </c>
      <c r="F671">
        <f t="shared" si="10"/>
        <v>0</v>
      </c>
      <c r="G671" t="s">
        <v>16</v>
      </c>
    </row>
    <row r="672" spans="1:7" x14ac:dyDescent="0.3">
      <c r="A672" t="s">
        <v>6</v>
      </c>
      <c r="B672" t="str">
        <f>"08/02/1987 00:00"</f>
        <v>08/02/1987 00:00</v>
      </c>
      <c r="D672" t="s">
        <v>7</v>
      </c>
      <c r="E672" s="2" t="s">
        <v>12</v>
      </c>
      <c r="F672">
        <f t="shared" si="10"/>
        <v>0</v>
      </c>
      <c r="G672" t="s">
        <v>16</v>
      </c>
    </row>
    <row r="673" spans="1:7" x14ac:dyDescent="0.3">
      <c r="A673" t="s">
        <v>6</v>
      </c>
      <c r="B673" t="str">
        <f>"08/03/1987 00:00"</f>
        <v>08/03/1987 00:00</v>
      </c>
      <c r="D673" t="s">
        <v>7</v>
      </c>
      <c r="E673" s="2" t="s">
        <v>12</v>
      </c>
      <c r="F673">
        <f t="shared" si="10"/>
        <v>0</v>
      </c>
      <c r="G673" t="s">
        <v>16</v>
      </c>
    </row>
    <row r="674" spans="1:7" x14ac:dyDescent="0.3">
      <c r="A674" t="s">
        <v>6</v>
      </c>
      <c r="B674" t="str">
        <f>"08/04/1987 00:00"</f>
        <v>08/04/1987 00:00</v>
      </c>
      <c r="D674" t="s">
        <v>7</v>
      </c>
      <c r="E674" s="2" t="s">
        <v>12</v>
      </c>
      <c r="F674">
        <f t="shared" si="10"/>
        <v>0</v>
      </c>
      <c r="G674" t="s">
        <v>16</v>
      </c>
    </row>
    <row r="675" spans="1:7" x14ac:dyDescent="0.3">
      <c r="A675" t="s">
        <v>6</v>
      </c>
      <c r="B675" t="str">
        <f>"08/05/1987 00:00"</f>
        <v>08/05/1987 00:00</v>
      </c>
      <c r="D675" t="s">
        <v>7</v>
      </c>
      <c r="E675" s="2" t="s">
        <v>12</v>
      </c>
      <c r="F675">
        <f t="shared" si="10"/>
        <v>0</v>
      </c>
      <c r="G675" t="s">
        <v>16</v>
      </c>
    </row>
    <row r="676" spans="1:7" x14ac:dyDescent="0.3">
      <c r="A676" t="s">
        <v>6</v>
      </c>
      <c r="B676" t="str">
        <f>"08/06/1987 00:00"</f>
        <v>08/06/1987 00:00</v>
      </c>
      <c r="D676" t="s">
        <v>7</v>
      </c>
      <c r="E676" s="2" t="s">
        <v>12</v>
      </c>
      <c r="F676">
        <f t="shared" si="10"/>
        <v>0</v>
      </c>
      <c r="G676" t="s">
        <v>16</v>
      </c>
    </row>
    <row r="677" spans="1:7" x14ac:dyDescent="0.3">
      <c r="A677" t="s">
        <v>6</v>
      </c>
      <c r="B677" t="str">
        <f>"08/07/1987 00:00"</f>
        <v>08/07/1987 00:00</v>
      </c>
      <c r="D677" t="s">
        <v>7</v>
      </c>
      <c r="E677" s="2" t="s">
        <v>12</v>
      </c>
      <c r="F677">
        <f t="shared" si="10"/>
        <v>0</v>
      </c>
      <c r="G677" t="s">
        <v>16</v>
      </c>
    </row>
    <row r="678" spans="1:7" x14ac:dyDescent="0.3">
      <c r="A678" t="s">
        <v>6</v>
      </c>
      <c r="B678" t="str">
        <f>"08/08/1987 00:00"</f>
        <v>08/08/1987 00:00</v>
      </c>
      <c r="D678" t="s">
        <v>7</v>
      </c>
      <c r="E678" s="2" t="s">
        <v>12</v>
      </c>
      <c r="F678">
        <f t="shared" si="10"/>
        <v>0</v>
      </c>
      <c r="G678" t="s">
        <v>16</v>
      </c>
    </row>
    <row r="679" spans="1:7" x14ac:dyDescent="0.3">
      <c r="A679" t="s">
        <v>6</v>
      </c>
      <c r="B679" t="str">
        <f>"08/09/1987 00:00"</f>
        <v>08/09/1987 00:00</v>
      </c>
      <c r="D679" t="s">
        <v>7</v>
      </c>
      <c r="E679" s="2" t="s">
        <v>12</v>
      </c>
      <c r="F679">
        <f t="shared" si="10"/>
        <v>0</v>
      </c>
      <c r="G679" t="s">
        <v>16</v>
      </c>
    </row>
    <row r="680" spans="1:7" x14ac:dyDescent="0.3">
      <c r="A680" t="s">
        <v>6</v>
      </c>
      <c r="B680" t="str">
        <f>"08/10/1987 00:00"</f>
        <v>08/10/1987 00:00</v>
      </c>
      <c r="D680" t="s">
        <v>7</v>
      </c>
      <c r="E680" s="2" t="s">
        <v>12</v>
      </c>
      <c r="F680">
        <f t="shared" si="10"/>
        <v>0</v>
      </c>
      <c r="G680" t="s">
        <v>16</v>
      </c>
    </row>
    <row r="681" spans="1:7" x14ac:dyDescent="0.3">
      <c r="A681" t="s">
        <v>6</v>
      </c>
      <c r="B681" t="str">
        <f>"08/11/1987 00:00"</f>
        <v>08/11/1987 00:00</v>
      </c>
      <c r="D681" t="s">
        <v>7</v>
      </c>
      <c r="E681" s="2" t="s">
        <v>12</v>
      </c>
      <c r="F681">
        <f t="shared" si="10"/>
        <v>0</v>
      </c>
      <c r="G681" t="s">
        <v>16</v>
      </c>
    </row>
    <row r="682" spans="1:7" x14ac:dyDescent="0.3">
      <c r="A682" t="s">
        <v>6</v>
      </c>
      <c r="B682" t="str">
        <f>"08/12/1987 00:00"</f>
        <v>08/12/1987 00:00</v>
      </c>
      <c r="D682" t="s">
        <v>7</v>
      </c>
      <c r="E682" s="2" t="s">
        <v>12</v>
      </c>
      <c r="F682">
        <f t="shared" si="10"/>
        <v>0</v>
      </c>
      <c r="G682" t="s">
        <v>16</v>
      </c>
    </row>
    <row r="683" spans="1:7" x14ac:dyDescent="0.3">
      <c r="A683" t="s">
        <v>6</v>
      </c>
      <c r="B683" t="str">
        <f>"08/13/1987 00:00"</f>
        <v>08/13/1987 00:00</v>
      </c>
      <c r="D683" t="s">
        <v>7</v>
      </c>
      <c r="E683" s="2" t="s">
        <v>12</v>
      </c>
      <c r="F683">
        <f t="shared" si="10"/>
        <v>0</v>
      </c>
      <c r="G683" t="s">
        <v>16</v>
      </c>
    </row>
    <row r="684" spans="1:7" x14ac:dyDescent="0.3">
      <c r="A684" t="s">
        <v>6</v>
      </c>
      <c r="B684" t="str">
        <f>"08/14/1987 00:00"</f>
        <v>08/14/1987 00:00</v>
      </c>
      <c r="D684" t="s">
        <v>7</v>
      </c>
      <c r="E684" s="2" t="s">
        <v>12</v>
      </c>
      <c r="F684">
        <f t="shared" si="10"/>
        <v>0</v>
      </c>
      <c r="G684" t="s">
        <v>16</v>
      </c>
    </row>
    <row r="685" spans="1:7" x14ac:dyDescent="0.3">
      <c r="A685" t="s">
        <v>6</v>
      </c>
      <c r="B685" t="str">
        <f>"08/15/1987 00:00"</f>
        <v>08/15/1987 00:00</v>
      </c>
      <c r="D685" t="s">
        <v>7</v>
      </c>
      <c r="E685" s="2" t="s">
        <v>12</v>
      </c>
      <c r="F685">
        <f t="shared" si="10"/>
        <v>0</v>
      </c>
      <c r="G685" t="s">
        <v>16</v>
      </c>
    </row>
    <row r="686" spans="1:7" x14ac:dyDescent="0.3">
      <c r="A686" t="s">
        <v>6</v>
      </c>
      <c r="B686" t="str">
        <f>"08/16/1987 00:00"</f>
        <v>08/16/1987 00:00</v>
      </c>
      <c r="D686" t="s">
        <v>7</v>
      </c>
      <c r="E686" s="2" t="s">
        <v>12</v>
      </c>
      <c r="F686">
        <f t="shared" si="10"/>
        <v>0</v>
      </c>
      <c r="G686" t="s">
        <v>16</v>
      </c>
    </row>
    <row r="687" spans="1:7" x14ac:dyDescent="0.3">
      <c r="A687" t="s">
        <v>6</v>
      </c>
      <c r="B687" t="str">
        <f>"08/17/1987 00:00"</f>
        <v>08/17/1987 00:00</v>
      </c>
      <c r="D687" t="s">
        <v>7</v>
      </c>
      <c r="E687" s="2" t="s">
        <v>12</v>
      </c>
      <c r="F687">
        <f t="shared" si="10"/>
        <v>0</v>
      </c>
      <c r="G687" t="s">
        <v>16</v>
      </c>
    </row>
    <row r="688" spans="1:7" x14ac:dyDescent="0.3">
      <c r="A688" t="s">
        <v>6</v>
      </c>
      <c r="B688" t="str">
        <f>"08/18/1987 00:00"</f>
        <v>08/18/1987 00:00</v>
      </c>
      <c r="D688" t="s">
        <v>7</v>
      </c>
      <c r="E688" s="2" t="s">
        <v>12</v>
      </c>
      <c r="F688">
        <f t="shared" si="10"/>
        <v>0</v>
      </c>
      <c r="G688" t="s">
        <v>16</v>
      </c>
    </row>
    <row r="689" spans="1:7" x14ac:dyDescent="0.3">
      <c r="A689" t="s">
        <v>6</v>
      </c>
      <c r="B689" t="str">
        <f>"08/19/1987 00:00"</f>
        <v>08/19/1987 00:00</v>
      </c>
      <c r="D689" t="s">
        <v>7</v>
      </c>
      <c r="E689" s="2" t="s">
        <v>12</v>
      </c>
      <c r="F689">
        <f t="shared" si="10"/>
        <v>0</v>
      </c>
      <c r="G689" t="s">
        <v>16</v>
      </c>
    </row>
    <row r="690" spans="1:7" x14ac:dyDescent="0.3">
      <c r="A690" t="s">
        <v>6</v>
      </c>
      <c r="B690" t="str">
        <f>"08/20/1987 00:00"</f>
        <v>08/20/1987 00:00</v>
      </c>
      <c r="D690" t="s">
        <v>7</v>
      </c>
      <c r="E690" s="2" t="s">
        <v>12</v>
      </c>
      <c r="F690">
        <f t="shared" si="10"/>
        <v>0</v>
      </c>
      <c r="G690" t="s">
        <v>16</v>
      </c>
    </row>
    <row r="691" spans="1:7" x14ac:dyDescent="0.3">
      <c r="A691" t="s">
        <v>6</v>
      </c>
      <c r="B691" t="str">
        <f>"08/21/1987 00:00"</f>
        <v>08/21/1987 00:00</v>
      </c>
      <c r="D691" t="s">
        <v>7</v>
      </c>
      <c r="E691" s="2" t="s">
        <v>12</v>
      </c>
      <c r="F691">
        <f t="shared" si="10"/>
        <v>0</v>
      </c>
      <c r="G691" t="s">
        <v>16</v>
      </c>
    </row>
    <row r="692" spans="1:7" x14ac:dyDescent="0.3">
      <c r="A692" t="s">
        <v>6</v>
      </c>
      <c r="B692" t="str">
        <f>"08/22/1987 00:00"</f>
        <v>08/22/1987 00:00</v>
      </c>
      <c r="D692" t="s">
        <v>7</v>
      </c>
      <c r="E692" s="2" t="s">
        <v>12</v>
      </c>
      <c r="F692">
        <f t="shared" si="10"/>
        <v>0</v>
      </c>
      <c r="G692" t="s">
        <v>16</v>
      </c>
    </row>
    <row r="693" spans="1:7" x14ac:dyDescent="0.3">
      <c r="A693" t="s">
        <v>6</v>
      </c>
      <c r="B693" t="str">
        <f>"08/23/1987 00:00"</f>
        <v>08/23/1987 00:00</v>
      </c>
      <c r="D693" t="s">
        <v>7</v>
      </c>
      <c r="E693" s="2" t="s">
        <v>12</v>
      </c>
      <c r="F693">
        <f t="shared" si="10"/>
        <v>0</v>
      </c>
      <c r="G693" t="s">
        <v>16</v>
      </c>
    </row>
    <row r="694" spans="1:7" x14ac:dyDescent="0.3">
      <c r="A694" t="s">
        <v>6</v>
      </c>
      <c r="B694" t="str">
        <f>"08/24/1987 00:00"</f>
        <v>08/24/1987 00:00</v>
      </c>
      <c r="D694" t="s">
        <v>7</v>
      </c>
      <c r="E694" s="2" t="s">
        <v>12</v>
      </c>
      <c r="F694">
        <f t="shared" si="10"/>
        <v>0</v>
      </c>
      <c r="G694" t="s">
        <v>16</v>
      </c>
    </row>
    <row r="695" spans="1:7" x14ac:dyDescent="0.3">
      <c r="A695" t="s">
        <v>6</v>
      </c>
      <c r="B695" t="str">
        <f>"08/25/1987 00:00"</f>
        <v>08/25/1987 00:00</v>
      </c>
      <c r="D695" t="s">
        <v>7</v>
      </c>
      <c r="E695" s="2" t="s">
        <v>12</v>
      </c>
      <c r="F695">
        <f t="shared" si="10"/>
        <v>0</v>
      </c>
      <c r="G695" t="s">
        <v>16</v>
      </c>
    </row>
    <row r="696" spans="1:7" x14ac:dyDescent="0.3">
      <c r="A696" t="s">
        <v>6</v>
      </c>
      <c r="B696" t="str">
        <f>"08/26/1987 00:00"</f>
        <v>08/26/1987 00:00</v>
      </c>
      <c r="D696" t="s">
        <v>7</v>
      </c>
      <c r="E696" s="2" t="s">
        <v>12</v>
      </c>
      <c r="F696">
        <f t="shared" si="10"/>
        <v>0</v>
      </c>
      <c r="G696" t="s">
        <v>16</v>
      </c>
    </row>
    <row r="697" spans="1:7" x14ac:dyDescent="0.3">
      <c r="A697" t="s">
        <v>6</v>
      </c>
      <c r="B697" t="str">
        <f>"08/27/1987 00:00"</f>
        <v>08/27/1987 00:00</v>
      </c>
      <c r="D697" t="s">
        <v>7</v>
      </c>
      <c r="E697" s="2" t="s">
        <v>12</v>
      </c>
      <c r="F697">
        <f t="shared" si="10"/>
        <v>0</v>
      </c>
      <c r="G697" t="s">
        <v>16</v>
      </c>
    </row>
    <row r="698" spans="1:7" x14ac:dyDescent="0.3">
      <c r="A698" t="s">
        <v>6</v>
      </c>
      <c r="B698" t="str">
        <f>"08/28/1987 00:00"</f>
        <v>08/28/1987 00:00</v>
      </c>
      <c r="D698" t="s">
        <v>7</v>
      </c>
      <c r="E698" s="2" t="s">
        <v>12</v>
      </c>
      <c r="F698">
        <f t="shared" si="10"/>
        <v>0</v>
      </c>
      <c r="G698" t="s">
        <v>16</v>
      </c>
    </row>
    <row r="699" spans="1:7" x14ac:dyDescent="0.3">
      <c r="A699" t="s">
        <v>6</v>
      </c>
      <c r="B699" t="str">
        <f>"08/29/1987 00:00"</f>
        <v>08/29/1987 00:00</v>
      </c>
      <c r="D699" t="s">
        <v>7</v>
      </c>
      <c r="E699" s="2" t="s">
        <v>12</v>
      </c>
      <c r="F699">
        <f t="shared" si="10"/>
        <v>0</v>
      </c>
      <c r="G699" t="s">
        <v>16</v>
      </c>
    </row>
    <row r="700" spans="1:7" x14ac:dyDescent="0.3">
      <c r="A700" t="s">
        <v>6</v>
      </c>
      <c r="B700" t="str">
        <f>"08/30/1987 00:00"</f>
        <v>08/30/1987 00:00</v>
      </c>
      <c r="D700" t="s">
        <v>7</v>
      </c>
      <c r="E700" s="2" t="s">
        <v>12</v>
      </c>
      <c r="F700">
        <f t="shared" si="10"/>
        <v>0</v>
      </c>
      <c r="G700" t="s">
        <v>16</v>
      </c>
    </row>
    <row r="701" spans="1:7" x14ac:dyDescent="0.3">
      <c r="A701" t="s">
        <v>6</v>
      </c>
      <c r="B701" t="str">
        <f>"08/31/1987 00:00"</f>
        <v>08/31/1987 00:00</v>
      </c>
      <c r="D701" t="s">
        <v>7</v>
      </c>
      <c r="E701" s="2" t="s">
        <v>12</v>
      </c>
      <c r="F701">
        <f t="shared" si="10"/>
        <v>0</v>
      </c>
      <c r="G701" t="s">
        <v>16</v>
      </c>
    </row>
    <row r="702" spans="1:7" x14ac:dyDescent="0.3">
      <c r="A702" t="s">
        <v>6</v>
      </c>
      <c r="B702" t="str">
        <f>"09/01/1987 00:00"</f>
        <v>09/01/1987 00:00</v>
      </c>
      <c r="D702" t="s">
        <v>7</v>
      </c>
      <c r="E702" s="2" t="s">
        <v>12</v>
      </c>
      <c r="F702">
        <f t="shared" si="10"/>
        <v>0</v>
      </c>
      <c r="G702" t="s">
        <v>16</v>
      </c>
    </row>
    <row r="703" spans="1:7" x14ac:dyDescent="0.3">
      <c r="A703" t="s">
        <v>6</v>
      </c>
      <c r="B703" t="str">
        <f>"09/02/1987 00:00"</f>
        <v>09/02/1987 00:00</v>
      </c>
      <c r="D703" t="s">
        <v>7</v>
      </c>
      <c r="E703" s="2" t="s">
        <v>12</v>
      </c>
      <c r="F703">
        <f t="shared" si="10"/>
        <v>0</v>
      </c>
      <c r="G703" t="s">
        <v>16</v>
      </c>
    </row>
    <row r="704" spans="1:7" x14ac:dyDescent="0.3">
      <c r="A704" t="s">
        <v>6</v>
      </c>
      <c r="B704" t="str">
        <f>"09/03/1987 00:00"</f>
        <v>09/03/1987 00:00</v>
      </c>
      <c r="D704" t="s">
        <v>7</v>
      </c>
      <c r="E704" s="2" t="s">
        <v>12</v>
      </c>
      <c r="F704">
        <f t="shared" si="10"/>
        <v>0</v>
      </c>
      <c r="G704" t="s">
        <v>16</v>
      </c>
    </row>
    <row r="705" spans="1:7" x14ac:dyDescent="0.3">
      <c r="A705" t="s">
        <v>6</v>
      </c>
      <c r="B705" t="str">
        <f>"09/04/1987 00:00"</f>
        <v>09/04/1987 00:00</v>
      </c>
      <c r="D705" t="s">
        <v>7</v>
      </c>
      <c r="E705" s="2" t="s">
        <v>12</v>
      </c>
      <c r="F705">
        <f t="shared" si="10"/>
        <v>0</v>
      </c>
      <c r="G705" t="s">
        <v>16</v>
      </c>
    </row>
    <row r="706" spans="1:7" x14ac:dyDescent="0.3">
      <c r="A706" t="s">
        <v>6</v>
      </c>
      <c r="B706" t="str">
        <f>"09/05/1987 00:00"</f>
        <v>09/05/1987 00:00</v>
      </c>
      <c r="D706" t="s">
        <v>7</v>
      </c>
      <c r="E706" s="2" t="s">
        <v>12</v>
      </c>
      <c r="F706">
        <f t="shared" si="10"/>
        <v>0</v>
      </c>
      <c r="G706" t="s">
        <v>16</v>
      </c>
    </row>
    <row r="707" spans="1:7" x14ac:dyDescent="0.3">
      <c r="A707" t="s">
        <v>6</v>
      </c>
      <c r="B707" t="str">
        <f>"09/06/1987 00:00"</f>
        <v>09/06/1987 00:00</v>
      </c>
      <c r="D707" t="s">
        <v>7</v>
      </c>
      <c r="E707" s="2" t="s">
        <v>12</v>
      </c>
      <c r="F707">
        <f t="shared" ref="F707:F770" si="11">C707*1.983</f>
        <v>0</v>
      </c>
      <c r="G707" t="s">
        <v>16</v>
      </c>
    </row>
    <row r="708" spans="1:7" x14ac:dyDescent="0.3">
      <c r="A708" t="s">
        <v>6</v>
      </c>
      <c r="B708" t="str">
        <f>"09/07/1987 00:00"</f>
        <v>09/07/1987 00:00</v>
      </c>
      <c r="D708" t="s">
        <v>7</v>
      </c>
      <c r="E708" s="2" t="s">
        <v>12</v>
      </c>
      <c r="F708">
        <f t="shared" si="11"/>
        <v>0</v>
      </c>
      <c r="G708" t="s">
        <v>16</v>
      </c>
    </row>
    <row r="709" spans="1:7" x14ac:dyDescent="0.3">
      <c r="A709" t="s">
        <v>6</v>
      </c>
      <c r="B709" t="str">
        <f>"09/08/1987 00:00"</f>
        <v>09/08/1987 00:00</v>
      </c>
      <c r="D709" t="s">
        <v>7</v>
      </c>
      <c r="E709" s="2" t="s">
        <v>12</v>
      </c>
      <c r="F709">
        <f t="shared" si="11"/>
        <v>0</v>
      </c>
      <c r="G709" t="s">
        <v>16</v>
      </c>
    </row>
    <row r="710" spans="1:7" x14ac:dyDescent="0.3">
      <c r="A710" t="s">
        <v>6</v>
      </c>
      <c r="B710" t="str">
        <f>"09/09/1987 00:00"</f>
        <v>09/09/1987 00:00</v>
      </c>
      <c r="D710" t="s">
        <v>7</v>
      </c>
      <c r="E710" s="2" t="s">
        <v>12</v>
      </c>
      <c r="F710">
        <f t="shared" si="11"/>
        <v>0</v>
      </c>
      <c r="G710" t="s">
        <v>16</v>
      </c>
    </row>
    <row r="711" spans="1:7" x14ac:dyDescent="0.3">
      <c r="A711" t="s">
        <v>6</v>
      </c>
      <c r="B711" t="str">
        <f>"09/10/1987 00:00"</f>
        <v>09/10/1987 00:00</v>
      </c>
      <c r="D711" t="s">
        <v>7</v>
      </c>
      <c r="E711" s="2" t="s">
        <v>12</v>
      </c>
      <c r="F711">
        <f t="shared" si="11"/>
        <v>0</v>
      </c>
      <c r="G711" t="s">
        <v>16</v>
      </c>
    </row>
    <row r="712" spans="1:7" x14ac:dyDescent="0.3">
      <c r="A712" t="s">
        <v>6</v>
      </c>
      <c r="B712" t="str">
        <f>"09/11/1987 00:00"</f>
        <v>09/11/1987 00:00</v>
      </c>
      <c r="D712" t="s">
        <v>7</v>
      </c>
      <c r="E712" s="2" t="s">
        <v>12</v>
      </c>
      <c r="F712">
        <f t="shared" si="11"/>
        <v>0</v>
      </c>
      <c r="G712" t="s">
        <v>16</v>
      </c>
    </row>
    <row r="713" spans="1:7" x14ac:dyDescent="0.3">
      <c r="A713" t="s">
        <v>6</v>
      </c>
      <c r="B713" t="str">
        <f>"09/12/1987 00:00"</f>
        <v>09/12/1987 00:00</v>
      </c>
      <c r="D713" t="s">
        <v>7</v>
      </c>
      <c r="E713" s="2" t="s">
        <v>12</v>
      </c>
      <c r="F713">
        <f t="shared" si="11"/>
        <v>0</v>
      </c>
      <c r="G713" t="s">
        <v>16</v>
      </c>
    </row>
    <row r="714" spans="1:7" x14ac:dyDescent="0.3">
      <c r="A714" t="s">
        <v>6</v>
      </c>
      <c r="B714" t="str">
        <f>"09/13/1987 00:00"</f>
        <v>09/13/1987 00:00</v>
      </c>
      <c r="D714" t="s">
        <v>7</v>
      </c>
      <c r="E714" s="2" t="s">
        <v>12</v>
      </c>
      <c r="F714">
        <f t="shared" si="11"/>
        <v>0</v>
      </c>
      <c r="G714" t="s">
        <v>16</v>
      </c>
    </row>
    <row r="715" spans="1:7" x14ac:dyDescent="0.3">
      <c r="A715" t="s">
        <v>6</v>
      </c>
      <c r="B715" t="str">
        <f>"09/14/1987 00:00"</f>
        <v>09/14/1987 00:00</v>
      </c>
      <c r="D715" t="s">
        <v>7</v>
      </c>
      <c r="E715" s="2" t="s">
        <v>12</v>
      </c>
      <c r="F715">
        <f t="shared" si="11"/>
        <v>0</v>
      </c>
      <c r="G715" t="s">
        <v>16</v>
      </c>
    </row>
    <row r="716" spans="1:7" x14ac:dyDescent="0.3">
      <c r="A716" t="s">
        <v>6</v>
      </c>
      <c r="B716" t="str">
        <f>"09/15/1987 00:00"</f>
        <v>09/15/1987 00:00</v>
      </c>
      <c r="D716" t="s">
        <v>7</v>
      </c>
      <c r="E716" s="2" t="s">
        <v>12</v>
      </c>
      <c r="F716">
        <f t="shared" si="11"/>
        <v>0</v>
      </c>
      <c r="G716" t="s">
        <v>16</v>
      </c>
    </row>
    <row r="717" spans="1:7" x14ac:dyDescent="0.3">
      <c r="A717" t="s">
        <v>6</v>
      </c>
      <c r="B717" t="str">
        <f>"09/16/1987 00:00"</f>
        <v>09/16/1987 00:00</v>
      </c>
      <c r="D717" t="s">
        <v>7</v>
      </c>
      <c r="E717" s="2" t="s">
        <v>12</v>
      </c>
      <c r="F717">
        <f t="shared" si="11"/>
        <v>0</v>
      </c>
      <c r="G717" t="s">
        <v>16</v>
      </c>
    </row>
    <row r="718" spans="1:7" x14ac:dyDescent="0.3">
      <c r="A718" t="s">
        <v>6</v>
      </c>
      <c r="B718" t="str">
        <f>"09/17/1987 00:00"</f>
        <v>09/17/1987 00:00</v>
      </c>
      <c r="D718" t="s">
        <v>7</v>
      </c>
      <c r="E718" s="2" t="s">
        <v>12</v>
      </c>
      <c r="F718">
        <f t="shared" si="11"/>
        <v>0</v>
      </c>
      <c r="G718" t="s">
        <v>16</v>
      </c>
    </row>
    <row r="719" spans="1:7" x14ac:dyDescent="0.3">
      <c r="A719" t="s">
        <v>6</v>
      </c>
      <c r="B719" t="str">
        <f>"09/18/1987 00:00"</f>
        <v>09/18/1987 00:00</v>
      </c>
      <c r="D719" t="s">
        <v>7</v>
      </c>
      <c r="E719" s="2" t="s">
        <v>12</v>
      </c>
      <c r="F719">
        <f t="shared" si="11"/>
        <v>0</v>
      </c>
      <c r="G719" t="s">
        <v>16</v>
      </c>
    </row>
    <row r="720" spans="1:7" x14ac:dyDescent="0.3">
      <c r="A720" t="s">
        <v>6</v>
      </c>
      <c r="B720" t="str">
        <f>"09/19/1987 00:00"</f>
        <v>09/19/1987 00:00</v>
      </c>
      <c r="D720" t="s">
        <v>7</v>
      </c>
      <c r="E720" s="2" t="s">
        <v>12</v>
      </c>
      <c r="F720">
        <f t="shared" si="11"/>
        <v>0</v>
      </c>
      <c r="G720" t="s">
        <v>16</v>
      </c>
    </row>
    <row r="721" spans="1:7" x14ac:dyDescent="0.3">
      <c r="A721" t="s">
        <v>6</v>
      </c>
      <c r="B721" t="str">
        <f>"09/20/1987 00:00"</f>
        <v>09/20/1987 00:00</v>
      </c>
      <c r="D721" t="s">
        <v>7</v>
      </c>
      <c r="E721" s="2" t="s">
        <v>12</v>
      </c>
      <c r="F721">
        <f t="shared" si="11"/>
        <v>0</v>
      </c>
      <c r="G721" t="s">
        <v>16</v>
      </c>
    </row>
    <row r="722" spans="1:7" x14ac:dyDescent="0.3">
      <c r="A722" t="s">
        <v>6</v>
      </c>
      <c r="B722" t="str">
        <f>"09/21/1987 00:00"</f>
        <v>09/21/1987 00:00</v>
      </c>
      <c r="D722" t="s">
        <v>7</v>
      </c>
      <c r="E722" s="2" t="s">
        <v>12</v>
      </c>
      <c r="F722">
        <f t="shared" si="11"/>
        <v>0</v>
      </c>
      <c r="G722" t="s">
        <v>16</v>
      </c>
    </row>
    <row r="723" spans="1:7" x14ac:dyDescent="0.3">
      <c r="A723" t="s">
        <v>6</v>
      </c>
      <c r="B723" t="str">
        <f>"09/22/1987 00:00"</f>
        <v>09/22/1987 00:00</v>
      </c>
      <c r="D723" t="s">
        <v>7</v>
      </c>
      <c r="E723" s="2" t="s">
        <v>12</v>
      </c>
      <c r="F723">
        <f t="shared" si="11"/>
        <v>0</v>
      </c>
      <c r="G723" t="s">
        <v>16</v>
      </c>
    </row>
    <row r="724" spans="1:7" x14ac:dyDescent="0.3">
      <c r="A724" t="s">
        <v>6</v>
      </c>
      <c r="B724" t="str">
        <f>"09/23/1987 00:00"</f>
        <v>09/23/1987 00:00</v>
      </c>
      <c r="D724" t="s">
        <v>7</v>
      </c>
      <c r="E724" s="2" t="s">
        <v>12</v>
      </c>
      <c r="F724">
        <f t="shared" si="11"/>
        <v>0</v>
      </c>
      <c r="G724" t="s">
        <v>16</v>
      </c>
    </row>
    <row r="725" spans="1:7" x14ac:dyDescent="0.3">
      <c r="A725" t="s">
        <v>6</v>
      </c>
      <c r="B725" t="str">
        <f>"09/24/1987 00:00"</f>
        <v>09/24/1987 00:00</v>
      </c>
      <c r="D725" t="s">
        <v>7</v>
      </c>
      <c r="E725" s="2" t="s">
        <v>12</v>
      </c>
      <c r="F725">
        <f t="shared" si="11"/>
        <v>0</v>
      </c>
      <c r="G725" t="s">
        <v>16</v>
      </c>
    </row>
    <row r="726" spans="1:7" x14ac:dyDescent="0.3">
      <c r="A726" t="s">
        <v>6</v>
      </c>
      <c r="B726" t="str">
        <f>"09/25/1987 00:00"</f>
        <v>09/25/1987 00:00</v>
      </c>
      <c r="D726" t="s">
        <v>7</v>
      </c>
      <c r="E726" s="2" t="s">
        <v>12</v>
      </c>
      <c r="F726">
        <f t="shared" si="11"/>
        <v>0</v>
      </c>
      <c r="G726" t="s">
        <v>16</v>
      </c>
    </row>
    <row r="727" spans="1:7" x14ac:dyDescent="0.3">
      <c r="A727" t="s">
        <v>6</v>
      </c>
      <c r="B727" t="str">
        <f>"09/26/1987 00:00"</f>
        <v>09/26/1987 00:00</v>
      </c>
      <c r="D727" t="s">
        <v>7</v>
      </c>
      <c r="E727" s="2" t="s">
        <v>12</v>
      </c>
      <c r="F727">
        <f t="shared" si="11"/>
        <v>0</v>
      </c>
      <c r="G727" t="s">
        <v>16</v>
      </c>
    </row>
    <row r="728" spans="1:7" x14ac:dyDescent="0.3">
      <c r="A728" t="s">
        <v>6</v>
      </c>
      <c r="B728" t="str">
        <f>"09/27/1987 00:00"</f>
        <v>09/27/1987 00:00</v>
      </c>
      <c r="D728" t="s">
        <v>7</v>
      </c>
      <c r="E728" s="2" t="s">
        <v>12</v>
      </c>
      <c r="F728">
        <f t="shared" si="11"/>
        <v>0</v>
      </c>
      <c r="G728" t="s">
        <v>16</v>
      </c>
    </row>
    <row r="729" spans="1:7" x14ac:dyDescent="0.3">
      <c r="A729" t="s">
        <v>6</v>
      </c>
      <c r="B729" t="str">
        <f>"09/28/1987 00:00"</f>
        <v>09/28/1987 00:00</v>
      </c>
      <c r="D729" t="s">
        <v>7</v>
      </c>
      <c r="E729" s="2" t="s">
        <v>12</v>
      </c>
      <c r="F729">
        <f t="shared" si="11"/>
        <v>0</v>
      </c>
      <c r="G729" t="s">
        <v>16</v>
      </c>
    </row>
    <row r="730" spans="1:7" x14ac:dyDescent="0.3">
      <c r="A730" t="s">
        <v>6</v>
      </c>
      <c r="B730" t="str">
        <f>"09/29/1987 00:00"</f>
        <v>09/29/1987 00:00</v>
      </c>
      <c r="D730" t="s">
        <v>7</v>
      </c>
      <c r="E730" s="2" t="s">
        <v>12</v>
      </c>
      <c r="F730">
        <f t="shared" si="11"/>
        <v>0</v>
      </c>
      <c r="G730" t="s">
        <v>16</v>
      </c>
    </row>
    <row r="731" spans="1:7" x14ac:dyDescent="0.3">
      <c r="A731" t="s">
        <v>6</v>
      </c>
      <c r="B731" t="str">
        <f>"09/30/1987 00:00"</f>
        <v>09/30/1987 00:00</v>
      </c>
      <c r="D731" t="s">
        <v>7</v>
      </c>
      <c r="E731" s="2" t="s">
        <v>12</v>
      </c>
      <c r="F731">
        <f t="shared" si="11"/>
        <v>0</v>
      </c>
      <c r="G731" t="s">
        <v>16</v>
      </c>
    </row>
    <row r="732" spans="1:7" x14ac:dyDescent="0.3">
      <c r="A732" t="s">
        <v>6</v>
      </c>
      <c r="B732" t="str">
        <f>"10/01/1987 00:00"</f>
        <v>10/01/1987 00:00</v>
      </c>
      <c r="D732" t="s">
        <v>7</v>
      </c>
      <c r="E732" s="2" t="s">
        <v>12</v>
      </c>
      <c r="F732">
        <f t="shared" si="11"/>
        <v>0</v>
      </c>
      <c r="G732" t="s">
        <v>16</v>
      </c>
    </row>
    <row r="733" spans="1:7" x14ac:dyDescent="0.3">
      <c r="A733" t="s">
        <v>6</v>
      </c>
      <c r="B733" t="str">
        <f>"10/02/1987 00:00"</f>
        <v>10/02/1987 00:00</v>
      </c>
      <c r="D733" t="s">
        <v>7</v>
      </c>
      <c r="E733" s="2" t="s">
        <v>12</v>
      </c>
      <c r="F733">
        <f t="shared" si="11"/>
        <v>0</v>
      </c>
      <c r="G733" t="s">
        <v>16</v>
      </c>
    </row>
    <row r="734" spans="1:7" x14ac:dyDescent="0.3">
      <c r="A734" t="s">
        <v>6</v>
      </c>
      <c r="B734" t="str">
        <f>"10/03/1987 00:00"</f>
        <v>10/03/1987 00:00</v>
      </c>
      <c r="D734" t="s">
        <v>7</v>
      </c>
      <c r="E734" s="2" t="s">
        <v>12</v>
      </c>
      <c r="F734">
        <f t="shared" si="11"/>
        <v>0</v>
      </c>
      <c r="G734" t="s">
        <v>16</v>
      </c>
    </row>
    <row r="735" spans="1:7" x14ac:dyDescent="0.3">
      <c r="A735" t="s">
        <v>6</v>
      </c>
      <c r="B735" t="str">
        <f>"10/04/1987 00:00"</f>
        <v>10/04/1987 00:00</v>
      </c>
      <c r="D735" t="s">
        <v>7</v>
      </c>
      <c r="E735" s="2" t="s">
        <v>12</v>
      </c>
      <c r="F735">
        <f t="shared" si="11"/>
        <v>0</v>
      </c>
      <c r="G735" t="s">
        <v>16</v>
      </c>
    </row>
    <row r="736" spans="1:7" x14ac:dyDescent="0.3">
      <c r="A736" t="s">
        <v>6</v>
      </c>
      <c r="B736" t="str">
        <f>"10/05/1987 00:00"</f>
        <v>10/05/1987 00:00</v>
      </c>
      <c r="D736" t="s">
        <v>7</v>
      </c>
      <c r="E736" s="2" t="s">
        <v>12</v>
      </c>
      <c r="F736">
        <f t="shared" si="11"/>
        <v>0</v>
      </c>
      <c r="G736" t="s">
        <v>16</v>
      </c>
    </row>
    <row r="737" spans="1:7" x14ac:dyDescent="0.3">
      <c r="A737" t="s">
        <v>6</v>
      </c>
      <c r="B737" t="str">
        <f>"10/06/1987 00:00"</f>
        <v>10/06/1987 00:00</v>
      </c>
      <c r="D737" t="s">
        <v>7</v>
      </c>
      <c r="E737" s="2" t="s">
        <v>12</v>
      </c>
      <c r="F737">
        <f t="shared" si="11"/>
        <v>0</v>
      </c>
      <c r="G737" t="s">
        <v>16</v>
      </c>
    </row>
    <row r="738" spans="1:7" x14ac:dyDescent="0.3">
      <c r="A738" t="s">
        <v>6</v>
      </c>
      <c r="B738" t="str">
        <f>"10/07/1987 00:00"</f>
        <v>10/07/1987 00:00</v>
      </c>
      <c r="D738" t="s">
        <v>7</v>
      </c>
      <c r="E738" s="2" t="s">
        <v>12</v>
      </c>
      <c r="F738">
        <f t="shared" si="11"/>
        <v>0</v>
      </c>
      <c r="G738" t="s">
        <v>16</v>
      </c>
    </row>
    <row r="739" spans="1:7" x14ac:dyDescent="0.3">
      <c r="A739" t="s">
        <v>6</v>
      </c>
      <c r="B739" t="str">
        <f>"10/08/1987 00:00"</f>
        <v>10/08/1987 00:00</v>
      </c>
      <c r="D739" t="s">
        <v>7</v>
      </c>
      <c r="E739" s="2" t="s">
        <v>12</v>
      </c>
      <c r="F739">
        <f t="shared" si="11"/>
        <v>0</v>
      </c>
      <c r="G739" t="s">
        <v>16</v>
      </c>
    </row>
    <row r="740" spans="1:7" x14ac:dyDescent="0.3">
      <c r="A740" t="s">
        <v>6</v>
      </c>
      <c r="B740" t="str">
        <f>"10/09/1987 00:00"</f>
        <v>10/09/1987 00:00</v>
      </c>
      <c r="D740" t="s">
        <v>7</v>
      </c>
      <c r="E740" s="2" t="s">
        <v>12</v>
      </c>
      <c r="F740">
        <f t="shared" si="11"/>
        <v>0</v>
      </c>
      <c r="G740" t="s">
        <v>16</v>
      </c>
    </row>
    <row r="741" spans="1:7" x14ac:dyDescent="0.3">
      <c r="A741" t="s">
        <v>6</v>
      </c>
      <c r="B741" t="str">
        <f>"10/10/1987 00:00"</f>
        <v>10/10/1987 00:00</v>
      </c>
      <c r="D741" t="s">
        <v>7</v>
      </c>
      <c r="E741" s="2" t="s">
        <v>12</v>
      </c>
      <c r="F741">
        <f t="shared" si="11"/>
        <v>0</v>
      </c>
      <c r="G741" t="s">
        <v>16</v>
      </c>
    </row>
    <row r="742" spans="1:7" x14ac:dyDescent="0.3">
      <c r="A742" t="s">
        <v>6</v>
      </c>
      <c r="B742" t="str">
        <f>"10/11/1987 00:00"</f>
        <v>10/11/1987 00:00</v>
      </c>
      <c r="D742" t="s">
        <v>7</v>
      </c>
      <c r="E742" s="2" t="s">
        <v>12</v>
      </c>
      <c r="F742">
        <f t="shared" si="11"/>
        <v>0</v>
      </c>
      <c r="G742" t="s">
        <v>16</v>
      </c>
    </row>
    <row r="743" spans="1:7" x14ac:dyDescent="0.3">
      <c r="A743" t="s">
        <v>6</v>
      </c>
      <c r="B743" t="str">
        <f>"10/12/1987 00:00"</f>
        <v>10/12/1987 00:00</v>
      </c>
      <c r="D743" t="s">
        <v>7</v>
      </c>
      <c r="E743" s="2" t="s">
        <v>12</v>
      </c>
      <c r="F743">
        <f t="shared" si="11"/>
        <v>0</v>
      </c>
      <c r="G743" t="s">
        <v>16</v>
      </c>
    </row>
    <row r="744" spans="1:7" x14ac:dyDescent="0.3">
      <c r="A744" t="s">
        <v>6</v>
      </c>
      <c r="B744" t="str">
        <f>"10/13/1987 00:00"</f>
        <v>10/13/1987 00:00</v>
      </c>
      <c r="D744" t="s">
        <v>7</v>
      </c>
      <c r="E744" s="2" t="s">
        <v>12</v>
      </c>
      <c r="F744">
        <f t="shared" si="11"/>
        <v>0</v>
      </c>
      <c r="G744" t="s">
        <v>16</v>
      </c>
    </row>
    <row r="745" spans="1:7" x14ac:dyDescent="0.3">
      <c r="A745" t="s">
        <v>6</v>
      </c>
      <c r="B745" t="str">
        <f>"10/14/1987 00:00"</f>
        <v>10/14/1987 00:00</v>
      </c>
      <c r="D745" t="s">
        <v>7</v>
      </c>
      <c r="E745" s="2" t="s">
        <v>12</v>
      </c>
      <c r="F745">
        <f t="shared" si="11"/>
        <v>0</v>
      </c>
      <c r="G745" t="s">
        <v>16</v>
      </c>
    </row>
    <row r="746" spans="1:7" x14ac:dyDescent="0.3">
      <c r="A746" t="s">
        <v>6</v>
      </c>
      <c r="B746" t="str">
        <f>"10/15/1987 00:00"</f>
        <v>10/15/1987 00:00</v>
      </c>
      <c r="D746" t="s">
        <v>7</v>
      </c>
      <c r="E746" s="2" t="s">
        <v>12</v>
      </c>
      <c r="F746">
        <f t="shared" si="11"/>
        <v>0</v>
      </c>
      <c r="G746" t="s">
        <v>16</v>
      </c>
    </row>
    <row r="747" spans="1:7" x14ac:dyDescent="0.3">
      <c r="A747" t="s">
        <v>6</v>
      </c>
      <c r="B747" t="str">
        <f>"10/16/1987 00:00"</f>
        <v>10/16/1987 00:00</v>
      </c>
      <c r="D747" t="s">
        <v>7</v>
      </c>
      <c r="E747" s="2" t="s">
        <v>12</v>
      </c>
      <c r="F747">
        <f t="shared" si="11"/>
        <v>0</v>
      </c>
      <c r="G747" t="s">
        <v>16</v>
      </c>
    </row>
    <row r="748" spans="1:7" x14ac:dyDescent="0.3">
      <c r="A748" t="s">
        <v>6</v>
      </c>
      <c r="B748" t="str">
        <f>"10/17/1987 00:00"</f>
        <v>10/17/1987 00:00</v>
      </c>
      <c r="D748" t="s">
        <v>7</v>
      </c>
      <c r="E748" s="2" t="s">
        <v>12</v>
      </c>
      <c r="F748">
        <f t="shared" si="11"/>
        <v>0</v>
      </c>
      <c r="G748" t="s">
        <v>16</v>
      </c>
    </row>
    <row r="749" spans="1:7" x14ac:dyDescent="0.3">
      <c r="A749" t="s">
        <v>6</v>
      </c>
      <c r="B749" t="str">
        <f>"10/18/1987 00:00"</f>
        <v>10/18/1987 00:00</v>
      </c>
      <c r="D749" t="s">
        <v>7</v>
      </c>
      <c r="E749" s="2" t="s">
        <v>12</v>
      </c>
      <c r="F749">
        <f t="shared" si="11"/>
        <v>0</v>
      </c>
      <c r="G749" t="s">
        <v>16</v>
      </c>
    </row>
    <row r="750" spans="1:7" x14ac:dyDescent="0.3">
      <c r="A750" t="s">
        <v>6</v>
      </c>
      <c r="B750" t="str">
        <f>"10/19/1987 00:00"</f>
        <v>10/19/1987 00:00</v>
      </c>
      <c r="D750" t="s">
        <v>7</v>
      </c>
      <c r="E750" s="2" t="s">
        <v>12</v>
      </c>
      <c r="F750">
        <f t="shared" si="11"/>
        <v>0</v>
      </c>
      <c r="G750" t="s">
        <v>16</v>
      </c>
    </row>
    <row r="751" spans="1:7" x14ac:dyDescent="0.3">
      <c r="A751" t="s">
        <v>6</v>
      </c>
      <c r="B751" t="str">
        <f>"10/20/1987 00:00"</f>
        <v>10/20/1987 00:00</v>
      </c>
      <c r="D751" t="s">
        <v>7</v>
      </c>
      <c r="E751" s="2" t="s">
        <v>12</v>
      </c>
      <c r="F751">
        <f t="shared" si="11"/>
        <v>0</v>
      </c>
      <c r="G751" t="s">
        <v>16</v>
      </c>
    </row>
    <row r="752" spans="1:7" x14ac:dyDescent="0.3">
      <c r="A752" t="s">
        <v>6</v>
      </c>
      <c r="B752" t="str">
        <f>"10/21/1987 00:00"</f>
        <v>10/21/1987 00:00</v>
      </c>
      <c r="D752" t="s">
        <v>7</v>
      </c>
      <c r="E752" s="2" t="s">
        <v>12</v>
      </c>
      <c r="F752">
        <f t="shared" si="11"/>
        <v>0</v>
      </c>
      <c r="G752" t="s">
        <v>16</v>
      </c>
    </row>
    <row r="753" spans="1:7" x14ac:dyDescent="0.3">
      <c r="A753" t="s">
        <v>6</v>
      </c>
      <c r="B753" t="str">
        <f>"10/22/1987 00:00"</f>
        <v>10/22/1987 00:00</v>
      </c>
      <c r="D753" t="s">
        <v>7</v>
      </c>
      <c r="E753" s="2" t="s">
        <v>12</v>
      </c>
      <c r="F753">
        <f t="shared" si="11"/>
        <v>0</v>
      </c>
      <c r="G753" t="s">
        <v>16</v>
      </c>
    </row>
    <row r="754" spans="1:7" x14ac:dyDescent="0.3">
      <c r="A754" t="s">
        <v>6</v>
      </c>
      <c r="B754" t="str">
        <f>"10/23/1987 00:00"</f>
        <v>10/23/1987 00:00</v>
      </c>
      <c r="D754" t="s">
        <v>7</v>
      </c>
      <c r="E754" s="2" t="s">
        <v>12</v>
      </c>
      <c r="F754">
        <f t="shared" si="11"/>
        <v>0</v>
      </c>
      <c r="G754" t="s">
        <v>16</v>
      </c>
    </row>
    <row r="755" spans="1:7" x14ac:dyDescent="0.3">
      <c r="A755" t="s">
        <v>6</v>
      </c>
      <c r="B755" t="str">
        <f>"10/24/1987 00:00"</f>
        <v>10/24/1987 00:00</v>
      </c>
      <c r="D755" t="s">
        <v>7</v>
      </c>
      <c r="E755" s="2" t="s">
        <v>12</v>
      </c>
      <c r="F755">
        <f t="shared" si="11"/>
        <v>0</v>
      </c>
      <c r="G755" t="s">
        <v>16</v>
      </c>
    </row>
    <row r="756" spans="1:7" x14ac:dyDescent="0.3">
      <c r="A756" t="s">
        <v>6</v>
      </c>
      <c r="B756" t="str">
        <f>"10/25/1987 00:00"</f>
        <v>10/25/1987 00:00</v>
      </c>
      <c r="D756" t="s">
        <v>7</v>
      </c>
      <c r="E756" s="2" t="s">
        <v>12</v>
      </c>
      <c r="F756">
        <f t="shared" si="11"/>
        <v>0</v>
      </c>
      <c r="G756" t="s">
        <v>16</v>
      </c>
    </row>
    <row r="757" spans="1:7" x14ac:dyDescent="0.3">
      <c r="A757" t="s">
        <v>6</v>
      </c>
      <c r="B757" t="str">
        <f>"10/26/1987 00:00"</f>
        <v>10/26/1987 00:00</v>
      </c>
      <c r="D757" t="s">
        <v>7</v>
      </c>
      <c r="E757" s="2" t="s">
        <v>12</v>
      </c>
      <c r="F757">
        <f t="shared" si="11"/>
        <v>0</v>
      </c>
      <c r="G757" t="s">
        <v>16</v>
      </c>
    </row>
    <row r="758" spans="1:7" x14ac:dyDescent="0.3">
      <c r="A758" t="s">
        <v>6</v>
      </c>
      <c r="B758" t="str">
        <f>"10/27/1987 00:00"</f>
        <v>10/27/1987 00:00</v>
      </c>
      <c r="D758" t="s">
        <v>7</v>
      </c>
      <c r="E758" s="2" t="s">
        <v>12</v>
      </c>
      <c r="F758">
        <f t="shared" si="11"/>
        <v>0</v>
      </c>
      <c r="G758" t="s">
        <v>16</v>
      </c>
    </row>
    <row r="759" spans="1:7" x14ac:dyDescent="0.3">
      <c r="A759" t="s">
        <v>6</v>
      </c>
      <c r="B759" t="str">
        <f>"10/28/1987 00:00"</f>
        <v>10/28/1987 00:00</v>
      </c>
      <c r="D759" t="s">
        <v>7</v>
      </c>
      <c r="E759" s="2" t="s">
        <v>12</v>
      </c>
      <c r="F759">
        <f t="shared" si="11"/>
        <v>0</v>
      </c>
      <c r="G759" t="s">
        <v>16</v>
      </c>
    </row>
    <row r="760" spans="1:7" x14ac:dyDescent="0.3">
      <c r="A760" t="s">
        <v>6</v>
      </c>
      <c r="B760" t="str">
        <f>"10/29/1987 00:00"</f>
        <v>10/29/1987 00:00</v>
      </c>
      <c r="D760" t="s">
        <v>7</v>
      </c>
      <c r="E760" s="2" t="s">
        <v>12</v>
      </c>
      <c r="F760">
        <f t="shared" si="11"/>
        <v>0</v>
      </c>
      <c r="G760" t="s">
        <v>16</v>
      </c>
    </row>
    <row r="761" spans="1:7" x14ac:dyDescent="0.3">
      <c r="A761" t="s">
        <v>6</v>
      </c>
      <c r="B761" t="str">
        <f>"10/30/1987 00:00"</f>
        <v>10/30/1987 00:00</v>
      </c>
      <c r="D761" t="s">
        <v>7</v>
      </c>
      <c r="E761" s="2" t="s">
        <v>12</v>
      </c>
      <c r="F761">
        <f t="shared" si="11"/>
        <v>0</v>
      </c>
      <c r="G761" t="s">
        <v>16</v>
      </c>
    </row>
    <row r="762" spans="1:7" x14ac:dyDescent="0.3">
      <c r="A762" t="s">
        <v>6</v>
      </c>
      <c r="B762" t="str">
        <f>"10/31/1987 00:00"</f>
        <v>10/31/1987 00:00</v>
      </c>
      <c r="D762" t="s">
        <v>7</v>
      </c>
      <c r="E762" s="2" t="s">
        <v>12</v>
      </c>
      <c r="F762">
        <f t="shared" si="11"/>
        <v>0</v>
      </c>
      <c r="G762" t="s">
        <v>16</v>
      </c>
    </row>
    <row r="763" spans="1:7" x14ac:dyDescent="0.3">
      <c r="A763" t="s">
        <v>6</v>
      </c>
      <c r="B763" t="str">
        <f>"11/01/1987 00:00"</f>
        <v>11/01/1987 00:00</v>
      </c>
      <c r="D763" t="s">
        <v>7</v>
      </c>
      <c r="E763" s="2" t="s">
        <v>12</v>
      </c>
      <c r="F763">
        <f t="shared" si="11"/>
        <v>0</v>
      </c>
      <c r="G763" t="s">
        <v>16</v>
      </c>
    </row>
    <row r="764" spans="1:7" x14ac:dyDescent="0.3">
      <c r="A764" t="s">
        <v>6</v>
      </c>
      <c r="B764" t="str">
        <f>"11/02/1987 00:00"</f>
        <v>11/02/1987 00:00</v>
      </c>
      <c r="D764" t="s">
        <v>7</v>
      </c>
      <c r="E764" s="2" t="s">
        <v>12</v>
      </c>
      <c r="F764">
        <f t="shared" si="11"/>
        <v>0</v>
      </c>
      <c r="G764" t="s">
        <v>16</v>
      </c>
    </row>
    <row r="765" spans="1:7" x14ac:dyDescent="0.3">
      <c r="A765" t="s">
        <v>6</v>
      </c>
      <c r="B765" t="str">
        <f>"11/03/1987 00:00"</f>
        <v>11/03/1987 00:00</v>
      </c>
      <c r="D765" t="s">
        <v>7</v>
      </c>
      <c r="E765" s="2" t="s">
        <v>12</v>
      </c>
      <c r="F765">
        <f t="shared" si="11"/>
        <v>0</v>
      </c>
      <c r="G765" t="s">
        <v>16</v>
      </c>
    </row>
    <row r="766" spans="1:7" x14ac:dyDescent="0.3">
      <c r="A766" t="s">
        <v>6</v>
      </c>
      <c r="B766" t="str">
        <f>"11/04/1987 00:00"</f>
        <v>11/04/1987 00:00</v>
      </c>
      <c r="D766" t="s">
        <v>7</v>
      </c>
      <c r="E766" s="2" t="s">
        <v>12</v>
      </c>
      <c r="F766">
        <f t="shared" si="11"/>
        <v>0</v>
      </c>
      <c r="G766" t="s">
        <v>16</v>
      </c>
    </row>
    <row r="767" spans="1:7" x14ac:dyDescent="0.3">
      <c r="A767" t="s">
        <v>6</v>
      </c>
      <c r="B767" t="str">
        <f>"11/05/1987 00:00"</f>
        <v>11/05/1987 00:00</v>
      </c>
      <c r="D767" t="s">
        <v>7</v>
      </c>
      <c r="E767" s="2" t="s">
        <v>12</v>
      </c>
      <c r="F767">
        <f t="shared" si="11"/>
        <v>0</v>
      </c>
      <c r="G767" t="s">
        <v>16</v>
      </c>
    </row>
    <row r="768" spans="1:7" x14ac:dyDescent="0.3">
      <c r="A768" t="s">
        <v>6</v>
      </c>
      <c r="B768" t="str">
        <f>"11/06/1987 00:00"</f>
        <v>11/06/1987 00:00</v>
      </c>
      <c r="D768" t="s">
        <v>7</v>
      </c>
      <c r="E768" s="2" t="s">
        <v>12</v>
      </c>
      <c r="F768">
        <f t="shared" si="11"/>
        <v>0</v>
      </c>
      <c r="G768" t="s">
        <v>16</v>
      </c>
    </row>
    <row r="769" spans="1:7" x14ac:dyDescent="0.3">
      <c r="A769" t="s">
        <v>6</v>
      </c>
      <c r="B769" t="str">
        <f>"11/07/1987 00:00"</f>
        <v>11/07/1987 00:00</v>
      </c>
      <c r="D769" t="s">
        <v>7</v>
      </c>
      <c r="E769" s="2" t="s">
        <v>12</v>
      </c>
      <c r="F769">
        <f t="shared" si="11"/>
        <v>0</v>
      </c>
      <c r="G769" t="s">
        <v>16</v>
      </c>
    </row>
    <row r="770" spans="1:7" x14ac:dyDescent="0.3">
      <c r="A770" t="s">
        <v>6</v>
      </c>
      <c r="B770" t="str">
        <f>"11/08/1987 00:00"</f>
        <v>11/08/1987 00:00</v>
      </c>
      <c r="D770" t="s">
        <v>7</v>
      </c>
      <c r="E770" s="2" t="s">
        <v>12</v>
      </c>
      <c r="F770">
        <f t="shared" si="11"/>
        <v>0</v>
      </c>
      <c r="G770" t="s">
        <v>16</v>
      </c>
    </row>
    <row r="771" spans="1:7" x14ac:dyDescent="0.3">
      <c r="A771" t="s">
        <v>6</v>
      </c>
      <c r="B771" t="str">
        <f>"11/09/1987 00:00"</f>
        <v>11/09/1987 00:00</v>
      </c>
      <c r="D771" t="s">
        <v>7</v>
      </c>
      <c r="E771" s="2" t="s">
        <v>12</v>
      </c>
      <c r="F771">
        <f t="shared" ref="F771:F834" si="12">C771*1.983</f>
        <v>0</v>
      </c>
      <c r="G771" t="s">
        <v>16</v>
      </c>
    </row>
    <row r="772" spans="1:7" x14ac:dyDescent="0.3">
      <c r="A772" t="s">
        <v>6</v>
      </c>
      <c r="B772" t="str">
        <f>"11/10/1987 00:00"</f>
        <v>11/10/1987 00:00</v>
      </c>
      <c r="D772" t="s">
        <v>7</v>
      </c>
      <c r="E772" s="2" t="s">
        <v>12</v>
      </c>
      <c r="F772">
        <f t="shared" si="12"/>
        <v>0</v>
      </c>
      <c r="G772" t="s">
        <v>16</v>
      </c>
    </row>
    <row r="773" spans="1:7" x14ac:dyDescent="0.3">
      <c r="A773" t="s">
        <v>6</v>
      </c>
      <c r="B773" t="str">
        <f>"11/11/1987 00:00"</f>
        <v>11/11/1987 00:00</v>
      </c>
      <c r="D773" t="s">
        <v>7</v>
      </c>
      <c r="E773" s="2" t="s">
        <v>12</v>
      </c>
      <c r="F773">
        <f t="shared" si="12"/>
        <v>0</v>
      </c>
      <c r="G773" t="s">
        <v>16</v>
      </c>
    </row>
    <row r="774" spans="1:7" x14ac:dyDescent="0.3">
      <c r="A774" t="s">
        <v>6</v>
      </c>
      <c r="B774" t="str">
        <f>"11/12/1987 00:00"</f>
        <v>11/12/1987 00:00</v>
      </c>
      <c r="D774" t="s">
        <v>7</v>
      </c>
      <c r="E774" s="2" t="s">
        <v>12</v>
      </c>
      <c r="F774">
        <f t="shared" si="12"/>
        <v>0</v>
      </c>
      <c r="G774" t="s">
        <v>16</v>
      </c>
    </row>
    <row r="775" spans="1:7" x14ac:dyDescent="0.3">
      <c r="A775" t="s">
        <v>6</v>
      </c>
      <c r="B775" t="str">
        <f>"11/13/1987 00:00"</f>
        <v>11/13/1987 00:00</v>
      </c>
      <c r="D775" t="s">
        <v>7</v>
      </c>
      <c r="E775" s="2" t="s">
        <v>12</v>
      </c>
      <c r="F775">
        <f t="shared" si="12"/>
        <v>0</v>
      </c>
      <c r="G775" t="s">
        <v>16</v>
      </c>
    </row>
    <row r="776" spans="1:7" x14ac:dyDescent="0.3">
      <c r="A776" t="s">
        <v>6</v>
      </c>
      <c r="B776" t="str">
        <f>"11/14/1987 00:00"</f>
        <v>11/14/1987 00:00</v>
      </c>
      <c r="D776" t="s">
        <v>7</v>
      </c>
      <c r="E776" s="2" t="s">
        <v>12</v>
      </c>
      <c r="F776">
        <f t="shared" si="12"/>
        <v>0</v>
      </c>
      <c r="G776" t="s">
        <v>16</v>
      </c>
    </row>
    <row r="777" spans="1:7" x14ac:dyDescent="0.3">
      <c r="A777" t="s">
        <v>6</v>
      </c>
      <c r="B777" t="str">
        <f>"11/15/1987 00:00"</f>
        <v>11/15/1987 00:00</v>
      </c>
      <c r="D777" t="s">
        <v>7</v>
      </c>
      <c r="E777" s="2" t="s">
        <v>12</v>
      </c>
      <c r="F777">
        <f t="shared" si="12"/>
        <v>0</v>
      </c>
      <c r="G777" t="s">
        <v>16</v>
      </c>
    </row>
    <row r="778" spans="1:7" x14ac:dyDescent="0.3">
      <c r="A778" t="s">
        <v>6</v>
      </c>
      <c r="B778" t="str">
        <f>"11/16/1987 00:00"</f>
        <v>11/16/1987 00:00</v>
      </c>
      <c r="D778" t="s">
        <v>7</v>
      </c>
      <c r="E778" s="2" t="s">
        <v>12</v>
      </c>
      <c r="F778">
        <f t="shared" si="12"/>
        <v>0</v>
      </c>
      <c r="G778" t="s">
        <v>16</v>
      </c>
    </row>
    <row r="779" spans="1:7" x14ac:dyDescent="0.3">
      <c r="A779" t="s">
        <v>6</v>
      </c>
      <c r="B779" t="str">
        <f>"11/17/1987 00:00"</f>
        <v>11/17/1987 00:00</v>
      </c>
      <c r="D779" t="s">
        <v>7</v>
      </c>
      <c r="E779" s="2" t="s">
        <v>12</v>
      </c>
      <c r="F779">
        <f t="shared" si="12"/>
        <v>0</v>
      </c>
      <c r="G779" t="s">
        <v>16</v>
      </c>
    </row>
    <row r="780" spans="1:7" x14ac:dyDescent="0.3">
      <c r="A780" t="s">
        <v>6</v>
      </c>
      <c r="B780" t="str">
        <f>"11/18/1987 00:00"</f>
        <v>11/18/1987 00:00</v>
      </c>
      <c r="D780" t="s">
        <v>7</v>
      </c>
      <c r="E780" s="2" t="s">
        <v>12</v>
      </c>
      <c r="F780">
        <f t="shared" si="12"/>
        <v>0</v>
      </c>
      <c r="G780" t="s">
        <v>16</v>
      </c>
    </row>
    <row r="781" spans="1:7" x14ac:dyDescent="0.3">
      <c r="A781" t="s">
        <v>6</v>
      </c>
      <c r="B781" t="str">
        <f>"11/19/1987 00:00"</f>
        <v>11/19/1987 00:00</v>
      </c>
      <c r="D781" t="s">
        <v>7</v>
      </c>
      <c r="E781" s="2" t="s">
        <v>12</v>
      </c>
      <c r="F781">
        <f t="shared" si="12"/>
        <v>0</v>
      </c>
      <c r="G781" t="s">
        <v>16</v>
      </c>
    </row>
    <row r="782" spans="1:7" x14ac:dyDescent="0.3">
      <c r="A782" t="s">
        <v>6</v>
      </c>
      <c r="B782" t="str">
        <f>"11/20/1987 00:00"</f>
        <v>11/20/1987 00:00</v>
      </c>
      <c r="D782" t="s">
        <v>7</v>
      </c>
      <c r="E782" s="2" t="s">
        <v>12</v>
      </c>
      <c r="F782">
        <f t="shared" si="12"/>
        <v>0</v>
      </c>
      <c r="G782" t="s">
        <v>16</v>
      </c>
    </row>
    <row r="783" spans="1:7" x14ac:dyDescent="0.3">
      <c r="A783" t="s">
        <v>6</v>
      </c>
      <c r="B783" t="str">
        <f>"11/21/1987 00:00"</f>
        <v>11/21/1987 00:00</v>
      </c>
      <c r="D783" t="s">
        <v>7</v>
      </c>
      <c r="E783" s="2" t="s">
        <v>12</v>
      </c>
      <c r="F783">
        <f t="shared" si="12"/>
        <v>0</v>
      </c>
      <c r="G783" t="s">
        <v>16</v>
      </c>
    </row>
    <row r="784" spans="1:7" x14ac:dyDescent="0.3">
      <c r="A784" t="s">
        <v>6</v>
      </c>
      <c r="B784" t="str">
        <f>"11/22/1987 00:00"</f>
        <v>11/22/1987 00:00</v>
      </c>
      <c r="D784" t="s">
        <v>7</v>
      </c>
      <c r="E784" s="2" t="s">
        <v>12</v>
      </c>
      <c r="F784">
        <f t="shared" si="12"/>
        <v>0</v>
      </c>
      <c r="G784" t="s">
        <v>16</v>
      </c>
    </row>
    <row r="785" spans="1:10" x14ac:dyDescent="0.3">
      <c r="A785" t="s">
        <v>6</v>
      </c>
      <c r="B785" t="str">
        <f>"11/23/1987 00:00"</f>
        <v>11/23/1987 00:00</v>
      </c>
      <c r="D785" t="s">
        <v>7</v>
      </c>
      <c r="E785" s="2" t="s">
        <v>12</v>
      </c>
      <c r="F785">
        <f t="shared" si="12"/>
        <v>0</v>
      </c>
      <c r="G785" t="s">
        <v>16</v>
      </c>
    </row>
    <row r="786" spans="1:10" x14ac:dyDescent="0.3">
      <c r="A786" t="s">
        <v>6</v>
      </c>
      <c r="B786" t="str">
        <f>"11/24/1987 00:00"</f>
        <v>11/24/1987 00:00</v>
      </c>
      <c r="D786" t="s">
        <v>7</v>
      </c>
      <c r="E786" s="2" t="s">
        <v>12</v>
      </c>
      <c r="F786">
        <f t="shared" si="12"/>
        <v>0</v>
      </c>
      <c r="G786" t="s">
        <v>16</v>
      </c>
    </row>
    <row r="787" spans="1:10" x14ac:dyDescent="0.3">
      <c r="A787" t="s">
        <v>6</v>
      </c>
      <c r="B787" t="str">
        <f>"11/25/1987 00:00"</f>
        <v>11/25/1987 00:00</v>
      </c>
      <c r="D787" t="s">
        <v>7</v>
      </c>
      <c r="E787" s="2" t="s">
        <v>12</v>
      </c>
      <c r="F787">
        <f t="shared" si="12"/>
        <v>0</v>
      </c>
      <c r="G787" t="s">
        <v>16</v>
      </c>
    </row>
    <row r="788" spans="1:10" x14ac:dyDescent="0.3">
      <c r="A788" t="s">
        <v>6</v>
      </c>
      <c r="B788" t="str">
        <f>"11/26/1987 00:00"</f>
        <v>11/26/1987 00:00</v>
      </c>
      <c r="D788" t="s">
        <v>7</v>
      </c>
      <c r="E788" s="2" t="s">
        <v>12</v>
      </c>
      <c r="F788">
        <f t="shared" si="12"/>
        <v>0</v>
      </c>
      <c r="G788" t="s">
        <v>16</v>
      </c>
    </row>
    <row r="789" spans="1:10" x14ac:dyDescent="0.3">
      <c r="A789" t="s">
        <v>6</v>
      </c>
      <c r="B789" t="str">
        <f>"11/27/1987 00:00"</f>
        <v>11/27/1987 00:00</v>
      </c>
      <c r="D789" t="s">
        <v>7</v>
      </c>
      <c r="E789" s="2" t="s">
        <v>12</v>
      </c>
      <c r="F789">
        <f t="shared" si="12"/>
        <v>0</v>
      </c>
      <c r="G789" t="s">
        <v>16</v>
      </c>
    </row>
    <row r="790" spans="1:10" x14ac:dyDescent="0.3">
      <c r="A790" t="s">
        <v>6</v>
      </c>
      <c r="B790" t="str">
        <f>"11/28/1987 00:00"</f>
        <v>11/28/1987 00:00</v>
      </c>
      <c r="D790" t="s">
        <v>7</v>
      </c>
      <c r="E790" s="2" t="s">
        <v>12</v>
      </c>
      <c r="F790">
        <f t="shared" si="12"/>
        <v>0</v>
      </c>
      <c r="G790" t="s">
        <v>16</v>
      </c>
    </row>
    <row r="791" spans="1:10" x14ac:dyDescent="0.3">
      <c r="A791" t="s">
        <v>6</v>
      </c>
      <c r="B791" t="str">
        <f>"11/29/1987 00:00"</f>
        <v>11/29/1987 00:00</v>
      </c>
      <c r="D791" t="s">
        <v>7</v>
      </c>
      <c r="E791" s="2" t="s">
        <v>12</v>
      </c>
      <c r="F791">
        <f t="shared" si="12"/>
        <v>0</v>
      </c>
      <c r="G791" t="s">
        <v>16</v>
      </c>
    </row>
    <row r="792" spans="1:10" x14ac:dyDescent="0.3">
      <c r="A792" t="s">
        <v>6</v>
      </c>
      <c r="B792" t="str">
        <f>"11/30/1987 00:00"</f>
        <v>11/30/1987 00:00</v>
      </c>
      <c r="D792" t="s">
        <v>7</v>
      </c>
      <c r="E792" s="2" t="s">
        <v>12</v>
      </c>
      <c r="F792">
        <f t="shared" si="12"/>
        <v>0</v>
      </c>
      <c r="G792" t="s">
        <v>16</v>
      </c>
    </row>
    <row r="793" spans="1:10" x14ac:dyDescent="0.3">
      <c r="A793" t="s">
        <v>6</v>
      </c>
      <c r="B793" t="str">
        <f>"12/01/1987 00:00"</f>
        <v>12/01/1987 00:00</v>
      </c>
      <c r="D793" t="s">
        <v>7</v>
      </c>
      <c r="E793" s="2" t="s">
        <v>12</v>
      </c>
      <c r="F793">
        <f t="shared" si="12"/>
        <v>0</v>
      </c>
      <c r="G793" t="s">
        <v>16</v>
      </c>
    </row>
    <row r="794" spans="1:10" x14ac:dyDescent="0.3">
      <c r="A794" t="s">
        <v>6</v>
      </c>
      <c r="B794" t="str">
        <f>"12/02/1987 00:00"</f>
        <v>12/02/1987 00:00</v>
      </c>
      <c r="D794" t="s">
        <v>7</v>
      </c>
      <c r="E794" s="2" t="s">
        <v>12</v>
      </c>
      <c r="F794">
        <f t="shared" si="12"/>
        <v>0</v>
      </c>
      <c r="G794" t="s">
        <v>16</v>
      </c>
    </row>
    <row r="795" spans="1:10" x14ac:dyDescent="0.3">
      <c r="A795" t="s">
        <v>6</v>
      </c>
      <c r="B795" t="str">
        <f>"12/03/1987 00:00"</f>
        <v>12/03/1987 00:00</v>
      </c>
      <c r="C795">
        <v>101</v>
      </c>
      <c r="D795" t="s">
        <v>7</v>
      </c>
      <c r="E795" s="2" t="s">
        <v>12</v>
      </c>
      <c r="F795">
        <f t="shared" si="12"/>
        <v>200.28300000000002</v>
      </c>
      <c r="G795" t="s">
        <v>16</v>
      </c>
      <c r="J795" t="str">
        <f>"12/03/1987 23:45"</f>
        <v>12/03/1987 23:45</v>
      </c>
    </row>
    <row r="796" spans="1:10" x14ac:dyDescent="0.3">
      <c r="A796" t="s">
        <v>6</v>
      </c>
      <c r="B796" t="str">
        <f>"12/04/1987 00:00"</f>
        <v>12/04/1987 00:00</v>
      </c>
      <c r="C796">
        <v>101</v>
      </c>
      <c r="D796" t="s">
        <v>7</v>
      </c>
      <c r="E796" s="2" t="s">
        <v>12</v>
      </c>
      <c r="F796">
        <f t="shared" si="12"/>
        <v>200.28300000000002</v>
      </c>
      <c r="G796" t="s">
        <v>16</v>
      </c>
      <c r="J796" t="str">
        <f>"12/04/1987 23:45"</f>
        <v>12/04/1987 23:45</v>
      </c>
    </row>
    <row r="797" spans="1:10" x14ac:dyDescent="0.3">
      <c r="A797" t="s">
        <v>6</v>
      </c>
      <c r="B797" t="str">
        <f>"12/05/1987 00:00"</f>
        <v>12/05/1987 00:00</v>
      </c>
      <c r="C797">
        <v>101</v>
      </c>
      <c r="D797" t="s">
        <v>7</v>
      </c>
      <c r="E797" s="2" t="s">
        <v>12</v>
      </c>
      <c r="F797">
        <f t="shared" si="12"/>
        <v>200.28300000000002</v>
      </c>
      <c r="G797" t="s">
        <v>16</v>
      </c>
      <c r="J797" t="str">
        <f>"12/05/1987 09:45"</f>
        <v>12/05/1987 09:45</v>
      </c>
    </row>
    <row r="798" spans="1:10" x14ac:dyDescent="0.3">
      <c r="A798" t="s">
        <v>6</v>
      </c>
      <c r="B798" t="str">
        <f>"12/06/1987 00:00"</f>
        <v>12/06/1987 00:00</v>
      </c>
      <c r="D798" t="s">
        <v>7</v>
      </c>
      <c r="E798" s="2" t="s">
        <v>12</v>
      </c>
      <c r="F798">
        <f t="shared" si="12"/>
        <v>0</v>
      </c>
      <c r="G798" t="s">
        <v>16</v>
      </c>
    </row>
    <row r="799" spans="1:10" x14ac:dyDescent="0.3">
      <c r="A799" t="s">
        <v>6</v>
      </c>
      <c r="B799" t="str">
        <f>"12/07/1987 00:00"</f>
        <v>12/07/1987 00:00</v>
      </c>
      <c r="C799">
        <v>101</v>
      </c>
      <c r="D799" t="s">
        <v>7</v>
      </c>
      <c r="E799" s="2" t="s">
        <v>12</v>
      </c>
      <c r="F799">
        <f t="shared" si="12"/>
        <v>200.28300000000002</v>
      </c>
      <c r="G799" t="s">
        <v>16</v>
      </c>
      <c r="J799" t="str">
        <f>"12/07/1987 23:45"</f>
        <v>12/07/1987 23:45</v>
      </c>
    </row>
    <row r="800" spans="1:10" x14ac:dyDescent="0.3">
      <c r="A800" t="s">
        <v>6</v>
      </c>
      <c r="B800" t="str">
        <f>"12/08/1987 00:00"</f>
        <v>12/08/1987 00:00</v>
      </c>
      <c r="C800">
        <v>100</v>
      </c>
      <c r="D800" t="s">
        <v>7</v>
      </c>
      <c r="E800" s="2" t="s">
        <v>12</v>
      </c>
      <c r="F800">
        <f t="shared" si="12"/>
        <v>198.3</v>
      </c>
      <c r="G800" t="s">
        <v>16</v>
      </c>
      <c r="J800" t="str">
        <f>"12/08/1987 01:45"</f>
        <v>12/08/1987 01:45</v>
      </c>
    </row>
    <row r="801" spans="1:10" x14ac:dyDescent="0.3">
      <c r="A801" t="s">
        <v>6</v>
      </c>
      <c r="B801" t="str">
        <f>"12/09/1987 00:00"</f>
        <v>12/09/1987 00:00</v>
      </c>
      <c r="D801" t="s">
        <v>7</v>
      </c>
      <c r="E801" s="2" t="s">
        <v>12</v>
      </c>
      <c r="F801">
        <f t="shared" si="12"/>
        <v>0</v>
      </c>
      <c r="G801" t="s">
        <v>16</v>
      </c>
    </row>
    <row r="802" spans="1:10" x14ac:dyDescent="0.3">
      <c r="A802" t="s">
        <v>6</v>
      </c>
      <c r="B802" t="str">
        <f>"12/10/1987 00:00"</f>
        <v>12/10/1987 00:00</v>
      </c>
      <c r="D802" t="s">
        <v>7</v>
      </c>
      <c r="E802" s="2" t="s">
        <v>12</v>
      </c>
      <c r="F802">
        <f t="shared" si="12"/>
        <v>0</v>
      </c>
      <c r="G802" t="s">
        <v>16</v>
      </c>
    </row>
    <row r="803" spans="1:10" x14ac:dyDescent="0.3">
      <c r="A803" t="s">
        <v>6</v>
      </c>
      <c r="B803" t="str">
        <f>"12/11/1987 00:00"</f>
        <v>12/11/1987 00:00</v>
      </c>
      <c r="D803" t="s">
        <v>7</v>
      </c>
      <c r="E803" s="2" t="s">
        <v>12</v>
      </c>
      <c r="F803">
        <f t="shared" si="12"/>
        <v>0</v>
      </c>
      <c r="G803" t="s">
        <v>16</v>
      </c>
    </row>
    <row r="804" spans="1:10" x14ac:dyDescent="0.3">
      <c r="A804" t="s">
        <v>6</v>
      </c>
      <c r="B804" t="str">
        <f>"12/12/1987 00:00"</f>
        <v>12/12/1987 00:00</v>
      </c>
      <c r="D804" t="s">
        <v>7</v>
      </c>
      <c r="E804" s="2" t="s">
        <v>12</v>
      </c>
      <c r="F804">
        <f t="shared" si="12"/>
        <v>0</v>
      </c>
      <c r="G804" t="s">
        <v>16</v>
      </c>
    </row>
    <row r="805" spans="1:10" x14ac:dyDescent="0.3">
      <c r="A805" t="s">
        <v>6</v>
      </c>
      <c r="B805" t="str">
        <f>"12/13/1987 00:00"</f>
        <v>12/13/1987 00:00</v>
      </c>
      <c r="D805" t="s">
        <v>7</v>
      </c>
      <c r="E805" s="2" t="s">
        <v>12</v>
      </c>
      <c r="F805">
        <f t="shared" si="12"/>
        <v>0</v>
      </c>
      <c r="G805" t="s">
        <v>16</v>
      </c>
    </row>
    <row r="806" spans="1:10" x14ac:dyDescent="0.3">
      <c r="A806" t="s">
        <v>6</v>
      </c>
      <c r="B806" t="str">
        <f>"12/14/1987 00:00"</f>
        <v>12/14/1987 00:00</v>
      </c>
      <c r="C806">
        <v>97.6</v>
      </c>
      <c r="D806" t="s">
        <v>7</v>
      </c>
      <c r="E806" s="2" t="s">
        <v>12</v>
      </c>
      <c r="F806">
        <f t="shared" si="12"/>
        <v>193.54079999999999</v>
      </c>
      <c r="G806" t="s">
        <v>16</v>
      </c>
      <c r="I806" t="s">
        <v>8</v>
      </c>
      <c r="J806" t="str">
        <f>"12/14/1987 13:45"</f>
        <v>12/14/1987 13:45</v>
      </c>
    </row>
    <row r="807" spans="1:10" x14ac:dyDescent="0.3">
      <c r="A807" t="s">
        <v>6</v>
      </c>
      <c r="B807" t="str">
        <f>"12/15/1987 00:00"</f>
        <v>12/15/1987 00:00</v>
      </c>
      <c r="C807">
        <v>108</v>
      </c>
      <c r="D807" t="s">
        <v>7</v>
      </c>
      <c r="E807" s="2" t="s">
        <v>12</v>
      </c>
      <c r="F807">
        <f t="shared" si="12"/>
        <v>214.16400000000002</v>
      </c>
      <c r="G807" t="s">
        <v>16</v>
      </c>
      <c r="J807" t="str">
        <f>"12/15/1987 23:45"</f>
        <v>12/15/1987 23:45</v>
      </c>
    </row>
    <row r="808" spans="1:10" x14ac:dyDescent="0.3">
      <c r="A808" t="s">
        <v>6</v>
      </c>
      <c r="B808" t="str">
        <f>"12/16/1987 00:00"</f>
        <v>12/16/1987 00:00</v>
      </c>
      <c r="C808">
        <v>108</v>
      </c>
      <c r="D808" t="s">
        <v>7</v>
      </c>
      <c r="E808" s="2" t="s">
        <v>12</v>
      </c>
      <c r="F808">
        <f t="shared" si="12"/>
        <v>214.16400000000002</v>
      </c>
      <c r="G808" t="s">
        <v>16</v>
      </c>
      <c r="J808" t="str">
        <f>"12/16/1987 23:45"</f>
        <v>12/16/1987 23:45</v>
      </c>
    </row>
    <row r="809" spans="1:10" x14ac:dyDescent="0.3">
      <c r="A809" t="s">
        <v>6</v>
      </c>
      <c r="B809" t="str">
        <f>"12/17/1987 00:00"</f>
        <v>12/17/1987 00:00</v>
      </c>
      <c r="C809">
        <v>108</v>
      </c>
      <c r="D809" t="s">
        <v>7</v>
      </c>
      <c r="E809" s="2" t="s">
        <v>12</v>
      </c>
      <c r="F809">
        <f t="shared" si="12"/>
        <v>214.16400000000002</v>
      </c>
      <c r="G809" t="s">
        <v>16</v>
      </c>
      <c r="J809" t="str">
        <f>"12/17/1987 13:45"</f>
        <v>12/17/1987 13:45</v>
      </c>
    </row>
    <row r="810" spans="1:10" x14ac:dyDescent="0.3">
      <c r="A810" t="s">
        <v>6</v>
      </c>
      <c r="B810" t="str">
        <f>"12/18/1987 00:00"</f>
        <v>12/18/1987 00:00</v>
      </c>
      <c r="D810" t="s">
        <v>7</v>
      </c>
      <c r="E810" s="2" t="s">
        <v>12</v>
      </c>
      <c r="F810">
        <f t="shared" si="12"/>
        <v>0</v>
      </c>
      <c r="G810" t="s">
        <v>16</v>
      </c>
    </row>
    <row r="811" spans="1:10" x14ac:dyDescent="0.3">
      <c r="A811" t="s">
        <v>6</v>
      </c>
      <c r="B811" t="str">
        <f>"12/19/1987 00:00"</f>
        <v>12/19/1987 00:00</v>
      </c>
      <c r="D811" t="s">
        <v>7</v>
      </c>
      <c r="E811" s="2" t="s">
        <v>12</v>
      </c>
      <c r="F811">
        <f t="shared" si="12"/>
        <v>0</v>
      </c>
      <c r="G811" t="s">
        <v>16</v>
      </c>
    </row>
    <row r="812" spans="1:10" x14ac:dyDescent="0.3">
      <c r="A812" t="s">
        <v>6</v>
      </c>
      <c r="B812" t="str">
        <f>"12/20/1987 00:00"</f>
        <v>12/20/1987 00:00</v>
      </c>
      <c r="D812" t="s">
        <v>7</v>
      </c>
      <c r="E812" s="2" t="s">
        <v>12</v>
      </c>
      <c r="F812">
        <f t="shared" si="12"/>
        <v>0</v>
      </c>
      <c r="G812" t="s">
        <v>16</v>
      </c>
    </row>
    <row r="813" spans="1:10" x14ac:dyDescent="0.3">
      <c r="A813" t="s">
        <v>6</v>
      </c>
      <c r="B813" t="str">
        <f>"12/21/1987 00:00"</f>
        <v>12/21/1987 00:00</v>
      </c>
      <c r="D813" t="s">
        <v>7</v>
      </c>
      <c r="E813" s="2" t="s">
        <v>12</v>
      </c>
      <c r="F813">
        <f t="shared" si="12"/>
        <v>0</v>
      </c>
      <c r="G813" t="s">
        <v>16</v>
      </c>
    </row>
    <row r="814" spans="1:10" x14ac:dyDescent="0.3">
      <c r="A814" t="s">
        <v>6</v>
      </c>
      <c r="B814" t="str">
        <f>"12/22/1987 00:00"</f>
        <v>12/22/1987 00:00</v>
      </c>
      <c r="D814" t="s">
        <v>7</v>
      </c>
      <c r="E814" s="2" t="s">
        <v>12</v>
      </c>
      <c r="F814">
        <f t="shared" si="12"/>
        <v>0</v>
      </c>
      <c r="G814" t="s">
        <v>16</v>
      </c>
    </row>
    <row r="815" spans="1:10" x14ac:dyDescent="0.3">
      <c r="A815" t="s">
        <v>6</v>
      </c>
      <c r="B815" t="str">
        <f>"12/23/1987 00:00"</f>
        <v>12/23/1987 00:00</v>
      </c>
      <c r="D815" t="s">
        <v>7</v>
      </c>
      <c r="E815" s="2" t="s">
        <v>12</v>
      </c>
      <c r="F815">
        <f t="shared" si="12"/>
        <v>0</v>
      </c>
      <c r="G815" t="s">
        <v>16</v>
      </c>
    </row>
    <row r="816" spans="1:10" x14ac:dyDescent="0.3">
      <c r="A816" t="s">
        <v>6</v>
      </c>
      <c r="B816" t="str">
        <f>"12/24/1987 00:00"</f>
        <v>12/24/1987 00:00</v>
      </c>
      <c r="D816" t="s">
        <v>7</v>
      </c>
      <c r="E816" s="2" t="s">
        <v>12</v>
      </c>
      <c r="F816">
        <f t="shared" si="12"/>
        <v>0</v>
      </c>
      <c r="G816" t="s">
        <v>16</v>
      </c>
    </row>
    <row r="817" spans="1:10" x14ac:dyDescent="0.3">
      <c r="A817" t="s">
        <v>6</v>
      </c>
      <c r="B817" t="str">
        <f>"12/25/1987 00:00"</f>
        <v>12/25/1987 00:00</v>
      </c>
      <c r="D817" t="s">
        <v>7</v>
      </c>
      <c r="E817" s="2" t="s">
        <v>12</v>
      </c>
      <c r="F817">
        <f t="shared" si="12"/>
        <v>0</v>
      </c>
      <c r="G817" t="s">
        <v>16</v>
      </c>
    </row>
    <row r="818" spans="1:10" x14ac:dyDescent="0.3">
      <c r="A818" t="s">
        <v>6</v>
      </c>
      <c r="B818" t="str">
        <f>"12/26/1987 00:00"</f>
        <v>12/26/1987 00:00</v>
      </c>
      <c r="D818" t="s">
        <v>7</v>
      </c>
      <c r="E818" s="2" t="s">
        <v>12</v>
      </c>
      <c r="F818">
        <f t="shared" si="12"/>
        <v>0</v>
      </c>
      <c r="G818" t="s">
        <v>16</v>
      </c>
    </row>
    <row r="819" spans="1:10" x14ac:dyDescent="0.3">
      <c r="A819" t="s">
        <v>6</v>
      </c>
      <c r="B819" t="str">
        <f>"12/27/1987 00:00"</f>
        <v>12/27/1987 00:00</v>
      </c>
      <c r="D819" t="s">
        <v>7</v>
      </c>
      <c r="E819" s="2" t="s">
        <v>12</v>
      </c>
      <c r="F819">
        <f t="shared" si="12"/>
        <v>0</v>
      </c>
      <c r="G819" t="s">
        <v>16</v>
      </c>
    </row>
    <row r="820" spans="1:10" x14ac:dyDescent="0.3">
      <c r="A820" t="s">
        <v>6</v>
      </c>
      <c r="B820" t="str">
        <f>"12/28/1987 00:00"</f>
        <v>12/28/1987 00:00</v>
      </c>
      <c r="D820" t="s">
        <v>7</v>
      </c>
      <c r="E820" s="2" t="s">
        <v>12</v>
      </c>
      <c r="F820">
        <f t="shared" si="12"/>
        <v>0</v>
      </c>
      <c r="G820" t="s">
        <v>16</v>
      </c>
    </row>
    <row r="821" spans="1:10" x14ac:dyDescent="0.3">
      <c r="A821" t="s">
        <v>6</v>
      </c>
      <c r="B821" t="str">
        <f>"12/29/1987 00:00"</f>
        <v>12/29/1987 00:00</v>
      </c>
      <c r="D821" t="s">
        <v>7</v>
      </c>
      <c r="E821" s="2" t="s">
        <v>12</v>
      </c>
      <c r="F821">
        <f t="shared" si="12"/>
        <v>0</v>
      </c>
      <c r="G821" t="s">
        <v>16</v>
      </c>
    </row>
    <row r="822" spans="1:10" x14ac:dyDescent="0.3">
      <c r="A822" t="s">
        <v>6</v>
      </c>
      <c r="B822" t="str">
        <f>"12/30/1987 00:00"</f>
        <v>12/30/1987 00:00</v>
      </c>
      <c r="C822">
        <v>1.1499999999999999</v>
      </c>
      <c r="D822" t="s">
        <v>7</v>
      </c>
      <c r="E822" s="2" t="s">
        <v>12</v>
      </c>
      <c r="F822">
        <f t="shared" si="12"/>
        <v>2.2804500000000001</v>
      </c>
      <c r="G822" t="s">
        <v>16</v>
      </c>
      <c r="I822" t="s">
        <v>8</v>
      </c>
      <c r="J822" t="str">
        <f>"12/30/1987 23:45"</f>
        <v>12/30/1987 23:45</v>
      </c>
    </row>
    <row r="823" spans="1:10" x14ac:dyDescent="0.3">
      <c r="A823" t="s">
        <v>6</v>
      </c>
      <c r="B823" t="str">
        <f>"12/31/1987 00:00"</f>
        <v>12/31/1987 00:00</v>
      </c>
      <c r="C823">
        <v>1.68</v>
      </c>
      <c r="D823" t="s">
        <v>7</v>
      </c>
      <c r="E823" s="2" t="s">
        <v>12</v>
      </c>
      <c r="F823">
        <f t="shared" si="12"/>
        <v>3.3314400000000002</v>
      </c>
      <c r="G823" t="s">
        <v>16</v>
      </c>
      <c r="J823" t="str">
        <f>"12/31/1987 23:45"</f>
        <v>12/31/1987 23:45</v>
      </c>
    </row>
    <row r="824" spans="1:10" x14ac:dyDescent="0.3">
      <c r="A824" t="s">
        <v>6</v>
      </c>
      <c r="B824" t="str">
        <f>"01/01/1988 00:00"</f>
        <v>01/01/1988 00:00</v>
      </c>
      <c r="C824">
        <v>1.92</v>
      </c>
      <c r="D824" t="s">
        <v>7</v>
      </c>
      <c r="E824" s="2" t="s">
        <v>12</v>
      </c>
      <c r="F824">
        <f t="shared" si="12"/>
        <v>3.8073600000000001</v>
      </c>
      <c r="G824" t="s">
        <v>16</v>
      </c>
      <c r="J824" t="str">
        <f>"01/01/1988 23:45"</f>
        <v>01/01/1988 23:45</v>
      </c>
    </row>
    <row r="825" spans="1:10" x14ac:dyDescent="0.3">
      <c r="A825" t="s">
        <v>6</v>
      </c>
      <c r="B825" t="str">
        <f>"01/02/1988 00:00"</f>
        <v>01/02/1988 00:00</v>
      </c>
      <c r="C825">
        <v>1.92</v>
      </c>
      <c r="D825" t="s">
        <v>7</v>
      </c>
      <c r="E825" s="2" t="s">
        <v>12</v>
      </c>
      <c r="F825">
        <f t="shared" si="12"/>
        <v>3.8073600000000001</v>
      </c>
      <c r="G825" t="s">
        <v>16</v>
      </c>
      <c r="J825" t="str">
        <f>"01/02/1988 23:45"</f>
        <v>01/02/1988 23:45</v>
      </c>
    </row>
    <row r="826" spans="1:10" x14ac:dyDescent="0.3">
      <c r="A826" t="s">
        <v>6</v>
      </c>
      <c r="B826" t="str">
        <f>"01/03/1988 00:00"</f>
        <v>01/03/1988 00:00</v>
      </c>
      <c r="C826">
        <v>1.92</v>
      </c>
      <c r="D826" t="s">
        <v>7</v>
      </c>
      <c r="E826" s="2" t="s">
        <v>12</v>
      </c>
      <c r="F826">
        <f t="shared" si="12"/>
        <v>3.8073600000000001</v>
      </c>
      <c r="G826" t="s">
        <v>16</v>
      </c>
      <c r="J826" t="str">
        <f>"01/03/1988 23:45"</f>
        <v>01/03/1988 23:45</v>
      </c>
    </row>
    <row r="827" spans="1:10" x14ac:dyDescent="0.3">
      <c r="A827" t="s">
        <v>6</v>
      </c>
      <c r="B827" t="str">
        <f>"01/04/1988 00:00"</f>
        <v>01/04/1988 00:00</v>
      </c>
      <c r="C827">
        <v>1.92</v>
      </c>
      <c r="D827" t="s">
        <v>7</v>
      </c>
      <c r="E827" s="2" t="s">
        <v>12</v>
      </c>
      <c r="F827">
        <f t="shared" si="12"/>
        <v>3.8073600000000001</v>
      </c>
      <c r="G827" t="s">
        <v>16</v>
      </c>
      <c r="J827" t="str">
        <f>"01/04/1988 09:45"</f>
        <v>01/04/1988 09:45</v>
      </c>
    </row>
    <row r="828" spans="1:10" x14ac:dyDescent="0.3">
      <c r="A828" t="s">
        <v>6</v>
      </c>
      <c r="B828" t="str">
        <f>"01/05/1988 00:00"</f>
        <v>01/05/1988 00:00</v>
      </c>
      <c r="D828" t="s">
        <v>7</v>
      </c>
      <c r="E828" s="2" t="s">
        <v>12</v>
      </c>
      <c r="F828">
        <f t="shared" si="12"/>
        <v>0</v>
      </c>
      <c r="G828" t="s">
        <v>16</v>
      </c>
    </row>
    <row r="829" spans="1:10" x14ac:dyDescent="0.3">
      <c r="A829" t="s">
        <v>6</v>
      </c>
      <c r="B829" t="str">
        <f>"01/06/1988 00:00"</f>
        <v>01/06/1988 00:00</v>
      </c>
      <c r="C829">
        <v>0.1</v>
      </c>
      <c r="D829" t="s">
        <v>7</v>
      </c>
      <c r="E829" s="2" t="s">
        <v>12</v>
      </c>
      <c r="F829">
        <f t="shared" si="12"/>
        <v>0.19830000000000003</v>
      </c>
      <c r="G829" t="s">
        <v>16</v>
      </c>
      <c r="I829" t="s">
        <v>8</v>
      </c>
      <c r="J829" t="str">
        <f>"01/06/1988 23:45"</f>
        <v>01/06/1988 23:45</v>
      </c>
    </row>
    <row r="830" spans="1:10" x14ac:dyDescent="0.3">
      <c r="A830" t="s">
        <v>6</v>
      </c>
      <c r="B830" t="str">
        <f>"01/07/1988 00:00"</f>
        <v>01/07/1988 00:00</v>
      </c>
      <c r="C830">
        <v>0</v>
      </c>
      <c r="D830" t="s">
        <v>7</v>
      </c>
      <c r="E830" s="2" t="s">
        <v>12</v>
      </c>
      <c r="F830">
        <f t="shared" si="12"/>
        <v>0</v>
      </c>
      <c r="G830" t="s">
        <v>16</v>
      </c>
      <c r="I830" t="s">
        <v>38</v>
      </c>
      <c r="J830" t="str">
        <f>"01/07/1988 23:30"</f>
        <v>01/07/1988 23:30</v>
      </c>
    </row>
    <row r="831" spans="1:10" x14ac:dyDescent="0.3">
      <c r="A831" t="s">
        <v>6</v>
      </c>
      <c r="B831" t="str">
        <f>"01/08/1988 00:00"</f>
        <v>01/08/1988 00:00</v>
      </c>
      <c r="D831" t="s">
        <v>7</v>
      </c>
      <c r="E831" s="2" t="s">
        <v>12</v>
      </c>
      <c r="F831">
        <f t="shared" si="12"/>
        <v>0</v>
      </c>
      <c r="G831" t="s">
        <v>16</v>
      </c>
    </row>
    <row r="832" spans="1:10" x14ac:dyDescent="0.3">
      <c r="A832" t="s">
        <v>6</v>
      </c>
      <c r="B832" t="str">
        <f>"01/09/1988 00:00"</f>
        <v>01/09/1988 00:00</v>
      </c>
      <c r="D832" t="s">
        <v>7</v>
      </c>
      <c r="E832" s="2" t="s">
        <v>12</v>
      </c>
      <c r="F832">
        <f t="shared" si="12"/>
        <v>0</v>
      </c>
      <c r="G832" t="s">
        <v>16</v>
      </c>
    </row>
    <row r="833" spans="1:10" x14ac:dyDescent="0.3">
      <c r="A833" t="s">
        <v>6</v>
      </c>
      <c r="B833" t="str">
        <f>"01/10/1988 00:00"</f>
        <v>01/10/1988 00:00</v>
      </c>
      <c r="D833" t="s">
        <v>7</v>
      </c>
      <c r="E833" s="2" t="s">
        <v>12</v>
      </c>
      <c r="F833">
        <f t="shared" si="12"/>
        <v>0</v>
      </c>
      <c r="G833" t="s">
        <v>16</v>
      </c>
    </row>
    <row r="834" spans="1:10" x14ac:dyDescent="0.3">
      <c r="A834" t="s">
        <v>6</v>
      </c>
      <c r="B834" t="str">
        <f>"01/11/1988 00:00"</f>
        <v>01/11/1988 00:00</v>
      </c>
      <c r="C834">
        <v>7.77</v>
      </c>
      <c r="D834" t="s">
        <v>7</v>
      </c>
      <c r="E834" s="2" t="s">
        <v>12</v>
      </c>
      <c r="F834">
        <f t="shared" si="12"/>
        <v>15.407909999999999</v>
      </c>
      <c r="G834" t="s">
        <v>16</v>
      </c>
      <c r="J834" t="str">
        <f>"01/11/1988 17:45"</f>
        <v>01/11/1988 17:45</v>
      </c>
    </row>
    <row r="835" spans="1:10" x14ac:dyDescent="0.3">
      <c r="A835" t="s">
        <v>6</v>
      </c>
      <c r="B835" t="str">
        <f>"01/12/1988 00:00"</f>
        <v>01/12/1988 00:00</v>
      </c>
      <c r="D835" t="s">
        <v>7</v>
      </c>
      <c r="E835" s="2" t="s">
        <v>12</v>
      </c>
      <c r="F835">
        <f t="shared" ref="F835:F898" si="13">C835*1.983</f>
        <v>0</v>
      </c>
      <c r="G835" t="s">
        <v>16</v>
      </c>
    </row>
    <row r="836" spans="1:10" x14ac:dyDescent="0.3">
      <c r="A836" t="s">
        <v>6</v>
      </c>
      <c r="B836" t="str">
        <f>"01/13/1988 00:00"</f>
        <v>01/13/1988 00:00</v>
      </c>
      <c r="D836" t="s">
        <v>7</v>
      </c>
      <c r="E836" s="2" t="s">
        <v>12</v>
      </c>
      <c r="F836">
        <f t="shared" si="13"/>
        <v>0</v>
      </c>
      <c r="G836" t="s">
        <v>16</v>
      </c>
    </row>
    <row r="837" spans="1:10" x14ac:dyDescent="0.3">
      <c r="A837" t="s">
        <v>6</v>
      </c>
      <c r="B837" t="str">
        <f>"01/14/1988 00:00"</f>
        <v>01/14/1988 00:00</v>
      </c>
      <c r="D837" t="s">
        <v>7</v>
      </c>
      <c r="E837" s="2" t="s">
        <v>12</v>
      </c>
      <c r="F837">
        <f t="shared" si="13"/>
        <v>0</v>
      </c>
      <c r="G837" t="s">
        <v>16</v>
      </c>
    </row>
    <row r="838" spans="1:10" x14ac:dyDescent="0.3">
      <c r="A838" t="s">
        <v>6</v>
      </c>
      <c r="B838" t="str">
        <f>"01/15/1988 00:00"</f>
        <v>01/15/1988 00:00</v>
      </c>
      <c r="D838" t="s">
        <v>7</v>
      </c>
      <c r="E838" s="2" t="s">
        <v>12</v>
      </c>
      <c r="F838">
        <f t="shared" si="13"/>
        <v>0</v>
      </c>
      <c r="G838" t="s">
        <v>16</v>
      </c>
    </row>
    <row r="839" spans="1:10" x14ac:dyDescent="0.3">
      <c r="A839" t="s">
        <v>6</v>
      </c>
      <c r="B839" t="str">
        <f>"01/16/1988 00:00"</f>
        <v>01/16/1988 00:00</v>
      </c>
      <c r="D839" t="s">
        <v>7</v>
      </c>
      <c r="E839" s="2" t="s">
        <v>12</v>
      </c>
      <c r="F839">
        <f t="shared" si="13"/>
        <v>0</v>
      </c>
      <c r="G839" t="s">
        <v>16</v>
      </c>
    </row>
    <row r="840" spans="1:10" x14ac:dyDescent="0.3">
      <c r="A840" t="s">
        <v>6</v>
      </c>
      <c r="B840" t="str">
        <f>"01/17/1988 00:00"</f>
        <v>01/17/1988 00:00</v>
      </c>
      <c r="D840" t="s">
        <v>7</v>
      </c>
      <c r="E840" s="2" t="s">
        <v>12</v>
      </c>
      <c r="F840">
        <f t="shared" si="13"/>
        <v>0</v>
      </c>
      <c r="G840" t="s">
        <v>16</v>
      </c>
    </row>
    <row r="841" spans="1:10" x14ac:dyDescent="0.3">
      <c r="A841" t="s">
        <v>6</v>
      </c>
      <c r="B841" t="str">
        <f>"01/18/1988 00:00"</f>
        <v>01/18/1988 00:00</v>
      </c>
      <c r="C841">
        <v>82.4</v>
      </c>
      <c r="D841" t="s">
        <v>7</v>
      </c>
      <c r="E841" s="2" t="s">
        <v>12</v>
      </c>
      <c r="F841">
        <f t="shared" si="13"/>
        <v>163.39920000000001</v>
      </c>
      <c r="G841" t="s">
        <v>16</v>
      </c>
      <c r="J841" t="str">
        <f>"01/18/1988 23:45"</f>
        <v>01/18/1988 23:45</v>
      </c>
    </row>
    <row r="842" spans="1:10" x14ac:dyDescent="0.3">
      <c r="A842" t="s">
        <v>6</v>
      </c>
      <c r="B842" t="str">
        <f>"01/19/1988 00:00"</f>
        <v>01/19/1988 00:00</v>
      </c>
      <c r="C842">
        <v>82.5</v>
      </c>
      <c r="D842" t="s">
        <v>7</v>
      </c>
      <c r="E842" s="2" t="s">
        <v>12</v>
      </c>
      <c r="F842">
        <f t="shared" si="13"/>
        <v>163.5975</v>
      </c>
      <c r="G842" t="s">
        <v>16</v>
      </c>
      <c r="J842" t="str">
        <f>"01/19/1988 23:45"</f>
        <v>01/19/1988 23:45</v>
      </c>
    </row>
    <row r="843" spans="1:10" x14ac:dyDescent="0.3">
      <c r="A843" t="s">
        <v>6</v>
      </c>
      <c r="B843" t="str">
        <f>"01/20/1988 00:00"</f>
        <v>01/20/1988 00:00</v>
      </c>
      <c r="C843">
        <v>81.400000000000006</v>
      </c>
      <c r="D843" t="s">
        <v>7</v>
      </c>
      <c r="E843" s="2" t="s">
        <v>12</v>
      </c>
      <c r="F843">
        <f t="shared" si="13"/>
        <v>161.41620000000003</v>
      </c>
      <c r="G843" t="s">
        <v>16</v>
      </c>
      <c r="J843" t="str">
        <f>"01/20/1988 23:45"</f>
        <v>01/20/1988 23:45</v>
      </c>
    </row>
    <row r="844" spans="1:10" x14ac:dyDescent="0.3">
      <c r="A844" t="s">
        <v>6</v>
      </c>
      <c r="B844" t="str">
        <f>"01/21/1988 00:00"</f>
        <v>01/21/1988 00:00</v>
      </c>
      <c r="C844">
        <v>81.2</v>
      </c>
      <c r="D844" t="s">
        <v>7</v>
      </c>
      <c r="E844" s="2" t="s">
        <v>12</v>
      </c>
      <c r="F844">
        <f t="shared" si="13"/>
        <v>161.01960000000003</v>
      </c>
      <c r="G844" t="s">
        <v>16</v>
      </c>
      <c r="I844" t="s">
        <v>8</v>
      </c>
      <c r="J844" t="str">
        <f>"01/21/1988 23:45"</f>
        <v>01/21/1988 23:45</v>
      </c>
    </row>
    <row r="845" spans="1:10" x14ac:dyDescent="0.3">
      <c r="A845" t="s">
        <v>6</v>
      </c>
      <c r="B845" t="str">
        <f>"01/22/1988 00:00"</f>
        <v>01/22/1988 00:00</v>
      </c>
      <c r="C845">
        <v>81.3</v>
      </c>
      <c r="D845" t="s">
        <v>7</v>
      </c>
      <c r="E845" s="2" t="s">
        <v>12</v>
      </c>
      <c r="F845">
        <f t="shared" si="13"/>
        <v>161.21790000000001</v>
      </c>
      <c r="G845" t="s">
        <v>16</v>
      </c>
      <c r="J845" t="str">
        <f>"01/22/1988 21:45"</f>
        <v>01/22/1988 21:45</v>
      </c>
    </row>
    <row r="846" spans="1:10" x14ac:dyDescent="0.3">
      <c r="A846" t="s">
        <v>6</v>
      </c>
      <c r="B846" t="str">
        <f>"01/23/1988 00:00"</f>
        <v>01/23/1988 00:00</v>
      </c>
      <c r="C846">
        <v>81.2</v>
      </c>
      <c r="D846" t="s">
        <v>7</v>
      </c>
      <c r="E846" s="2" t="s">
        <v>12</v>
      </c>
      <c r="F846">
        <f t="shared" si="13"/>
        <v>161.01960000000003</v>
      </c>
      <c r="G846" t="s">
        <v>16</v>
      </c>
      <c r="J846" t="str">
        <f>"01/23/1988 23:45"</f>
        <v>01/23/1988 23:45</v>
      </c>
    </row>
    <row r="847" spans="1:10" x14ac:dyDescent="0.3">
      <c r="A847" t="s">
        <v>6</v>
      </c>
      <c r="B847" t="str">
        <f>"01/24/1988 00:00"</f>
        <v>01/24/1988 00:00</v>
      </c>
      <c r="C847">
        <v>81.3</v>
      </c>
      <c r="D847" t="s">
        <v>7</v>
      </c>
      <c r="E847" s="2" t="s">
        <v>12</v>
      </c>
      <c r="F847">
        <f t="shared" si="13"/>
        <v>161.21790000000001</v>
      </c>
      <c r="G847" t="s">
        <v>16</v>
      </c>
      <c r="J847" t="str">
        <f>"01/24/1988 23:45"</f>
        <v>01/24/1988 23:45</v>
      </c>
    </row>
    <row r="848" spans="1:10" x14ac:dyDescent="0.3">
      <c r="A848" t="s">
        <v>6</v>
      </c>
      <c r="B848" t="str">
        <f>"01/25/1988 00:00"</f>
        <v>01/25/1988 00:00</v>
      </c>
      <c r="C848">
        <v>81.3</v>
      </c>
      <c r="D848" t="s">
        <v>7</v>
      </c>
      <c r="E848" s="2" t="s">
        <v>12</v>
      </c>
      <c r="F848">
        <f t="shared" si="13"/>
        <v>161.21790000000001</v>
      </c>
      <c r="G848" t="s">
        <v>16</v>
      </c>
      <c r="J848" t="str">
        <f>"01/25/1988 17:45"</f>
        <v>01/25/1988 17:45</v>
      </c>
    </row>
    <row r="849" spans="1:7" x14ac:dyDescent="0.3">
      <c r="A849" t="s">
        <v>6</v>
      </c>
      <c r="B849" t="str">
        <f>"01/26/1988 00:00"</f>
        <v>01/26/1988 00:00</v>
      </c>
      <c r="D849" t="s">
        <v>7</v>
      </c>
      <c r="E849" s="2" t="s">
        <v>12</v>
      </c>
      <c r="F849">
        <f t="shared" si="13"/>
        <v>0</v>
      </c>
      <c r="G849" t="s">
        <v>16</v>
      </c>
    </row>
    <row r="850" spans="1:7" x14ac:dyDescent="0.3">
      <c r="A850" t="s">
        <v>6</v>
      </c>
      <c r="B850" t="str">
        <f>"01/27/1988 00:00"</f>
        <v>01/27/1988 00:00</v>
      </c>
      <c r="D850" t="s">
        <v>7</v>
      </c>
      <c r="E850" s="2" t="s">
        <v>12</v>
      </c>
      <c r="F850">
        <f t="shared" si="13"/>
        <v>0</v>
      </c>
      <c r="G850" t="s">
        <v>16</v>
      </c>
    </row>
    <row r="851" spans="1:7" x14ac:dyDescent="0.3">
      <c r="A851" t="s">
        <v>6</v>
      </c>
      <c r="B851" t="str">
        <f>"01/28/1988 00:00"</f>
        <v>01/28/1988 00:00</v>
      </c>
      <c r="D851" t="s">
        <v>7</v>
      </c>
      <c r="E851" s="2" t="s">
        <v>12</v>
      </c>
      <c r="F851">
        <f t="shared" si="13"/>
        <v>0</v>
      </c>
      <c r="G851" t="s">
        <v>16</v>
      </c>
    </row>
    <row r="852" spans="1:7" x14ac:dyDescent="0.3">
      <c r="A852" t="s">
        <v>6</v>
      </c>
      <c r="B852" t="str">
        <f>"01/29/1988 00:00"</f>
        <v>01/29/1988 00:00</v>
      </c>
      <c r="D852" t="s">
        <v>7</v>
      </c>
      <c r="E852" s="2" t="s">
        <v>12</v>
      </c>
      <c r="F852">
        <f t="shared" si="13"/>
        <v>0</v>
      </c>
      <c r="G852" t="s">
        <v>16</v>
      </c>
    </row>
    <row r="853" spans="1:7" x14ac:dyDescent="0.3">
      <c r="A853" t="s">
        <v>6</v>
      </c>
      <c r="B853" t="str">
        <f>"01/30/1988 00:00"</f>
        <v>01/30/1988 00:00</v>
      </c>
      <c r="D853" t="s">
        <v>7</v>
      </c>
      <c r="E853" s="2" t="s">
        <v>12</v>
      </c>
      <c r="F853">
        <f t="shared" si="13"/>
        <v>0</v>
      </c>
      <c r="G853" t="s">
        <v>16</v>
      </c>
    </row>
    <row r="854" spans="1:7" x14ac:dyDescent="0.3">
      <c r="A854" t="s">
        <v>6</v>
      </c>
      <c r="B854" t="str">
        <f>"01/31/1988 00:00"</f>
        <v>01/31/1988 00:00</v>
      </c>
      <c r="D854" t="s">
        <v>7</v>
      </c>
      <c r="E854" s="2" t="s">
        <v>12</v>
      </c>
      <c r="F854">
        <f t="shared" si="13"/>
        <v>0</v>
      </c>
      <c r="G854" t="s">
        <v>16</v>
      </c>
    </row>
    <row r="855" spans="1:7" x14ac:dyDescent="0.3">
      <c r="A855" t="s">
        <v>6</v>
      </c>
      <c r="B855" t="str">
        <f>"02/01/1988 00:00"</f>
        <v>02/01/1988 00:00</v>
      </c>
      <c r="D855" t="s">
        <v>7</v>
      </c>
      <c r="E855" s="2" t="s">
        <v>12</v>
      </c>
      <c r="F855">
        <f t="shared" si="13"/>
        <v>0</v>
      </c>
      <c r="G855" t="s">
        <v>16</v>
      </c>
    </row>
    <row r="856" spans="1:7" x14ac:dyDescent="0.3">
      <c r="A856" t="s">
        <v>6</v>
      </c>
      <c r="B856" t="str">
        <f>"02/02/1988 00:00"</f>
        <v>02/02/1988 00:00</v>
      </c>
      <c r="D856" t="s">
        <v>7</v>
      </c>
      <c r="E856" s="2" t="s">
        <v>12</v>
      </c>
      <c r="F856">
        <f t="shared" si="13"/>
        <v>0</v>
      </c>
      <c r="G856" t="s">
        <v>16</v>
      </c>
    </row>
    <row r="857" spans="1:7" x14ac:dyDescent="0.3">
      <c r="A857" t="s">
        <v>6</v>
      </c>
      <c r="B857" t="str">
        <f>"02/03/1988 00:00"</f>
        <v>02/03/1988 00:00</v>
      </c>
      <c r="D857" t="s">
        <v>7</v>
      </c>
      <c r="E857" s="2" t="s">
        <v>12</v>
      </c>
      <c r="F857">
        <f t="shared" si="13"/>
        <v>0</v>
      </c>
      <c r="G857" t="s">
        <v>16</v>
      </c>
    </row>
    <row r="858" spans="1:7" x14ac:dyDescent="0.3">
      <c r="A858" t="s">
        <v>6</v>
      </c>
      <c r="B858" t="str">
        <f>"02/04/1988 00:00"</f>
        <v>02/04/1988 00:00</v>
      </c>
      <c r="D858" t="s">
        <v>7</v>
      </c>
      <c r="E858" s="2" t="s">
        <v>12</v>
      </c>
      <c r="F858">
        <f t="shared" si="13"/>
        <v>0</v>
      </c>
      <c r="G858" t="s">
        <v>16</v>
      </c>
    </row>
    <row r="859" spans="1:7" x14ac:dyDescent="0.3">
      <c r="A859" t="s">
        <v>6</v>
      </c>
      <c r="B859" t="str">
        <f>"02/05/1988 00:00"</f>
        <v>02/05/1988 00:00</v>
      </c>
      <c r="D859" t="s">
        <v>7</v>
      </c>
      <c r="E859" s="2" t="s">
        <v>12</v>
      </c>
      <c r="F859">
        <f t="shared" si="13"/>
        <v>0</v>
      </c>
      <c r="G859" t="s">
        <v>16</v>
      </c>
    </row>
    <row r="860" spans="1:7" x14ac:dyDescent="0.3">
      <c r="A860" t="s">
        <v>6</v>
      </c>
      <c r="B860" t="str">
        <f>"02/06/1988 00:00"</f>
        <v>02/06/1988 00:00</v>
      </c>
      <c r="D860" t="s">
        <v>7</v>
      </c>
      <c r="E860" s="2" t="s">
        <v>12</v>
      </c>
      <c r="F860">
        <f t="shared" si="13"/>
        <v>0</v>
      </c>
      <c r="G860" t="s">
        <v>16</v>
      </c>
    </row>
    <row r="861" spans="1:7" x14ac:dyDescent="0.3">
      <c r="A861" t="s">
        <v>6</v>
      </c>
      <c r="B861" t="str">
        <f>"02/07/1988 00:00"</f>
        <v>02/07/1988 00:00</v>
      </c>
      <c r="D861" t="s">
        <v>7</v>
      </c>
      <c r="E861" s="2" t="s">
        <v>12</v>
      </c>
      <c r="F861">
        <f t="shared" si="13"/>
        <v>0</v>
      </c>
      <c r="G861" t="s">
        <v>16</v>
      </c>
    </row>
    <row r="862" spans="1:7" x14ac:dyDescent="0.3">
      <c r="A862" t="s">
        <v>6</v>
      </c>
      <c r="B862" t="str">
        <f>"02/08/1988 00:00"</f>
        <v>02/08/1988 00:00</v>
      </c>
      <c r="D862" t="s">
        <v>7</v>
      </c>
      <c r="E862" s="2" t="s">
        <v>12</v>
      </c>
      <c r="F862">
        <f t="shared" si="13"/>
        <v>0</v>
      </c>
      <c r="G862" t="s">
        <v>16</v>
      </c>
    </row>
    <row r="863" spans="1:7" x14ac:dyDescent="0.3">
      <c r="A863" t="s">
        <v>6</v>
      </c>
      <c r="B863" t="str">
        <f>"02/09/1988 00:00"</f>
        <v>02/09/1988 00:00</v>
      </c>
      <c r="D863" t="s">
        <v>7</v>
      </c>
      <c r="E863" s="2" t="s">
        <v>12</v>
      </c>
      <c r="F863">
        <f t="shared" si="13"/>
        <v>0</v>
      </c>
      <c r="G863" t="s">
        <v>16</v>
      </c>
    </row>
    <row r="864" spans="1:7" x14ac:dyDescent="0.3">
      <c r="A864" t="s">
        <v>6</v>
      </c>
      <c r="B864" t="str">
        <f>"02/10/1988 00:00"</f>
        <v>02/10/1988 00:00</v>
      </c>
      <c r="D864" t="s">
        <v>7</v>
      </c>
      <c r="E864" s="2" t="s">
        <v>12</v>
      </c>
      <c r="F864">
        <f t="shared" si="13"/>
        <v>0</v>
      </c>
      <c r="G864" t="s">
        <v>16</v>
      </c>
    </row>
    <row r="865" spans="1:7" x14ac:dyDescent="0.3">
      <c r="A865" t="s">
        <v>6</v>
      </c>
      <c r="B865" t="str">
        <f>"02/11/1988 00:00"</f>
        <v>02/11/1988 00:00</v>
      </c>
      <c r="D865" t="s">
        <v>7</v>
      </c>
      <c r="E865" s="2" t="s">
        <v>12</v>
      </c>
      <c r="F865">
        <f t="shared" si="13"/>
        <v>0</v>
      </c>
      <c r="G865" t="s">
        <v>16</v>
      </c>
    </row>
    <row r="866" spans="1:7" x14ac:dyDescent="0.3">
      <c r="A866" t="s">
        <v>6</v>
      </c>
      <c r="B866" t="str">
        <f>"02/12/1988 00:00"</f>
        <v>02/12/1988 00:00</v>
      </c>
      <c r="D866" t="s">
        <v>7</v>
      </c>
      <c r="E866" s="2" t="s">
        <v>12</v>
      </c>
      <c r="F866">
        <f t="shared" si="13"/>
        <v>0</v>
      </c>
      <c r="G866" t="s">
        <v>16</v>
      </c>
    </row>
    <row r="867" spans="1:7" x14ac:dyDescent="0.3">
      <c r="A867" t="s">
        <v>6</v>
      </c>
      <c r="B867" t="str">
        <f>"02/13/1988 00:00"</f>
        <v>02/13/1988 00:00</v>
      </c>
      <c r="D867" t="s">
        <v>7</v>
      </c>
      <c r="E867" s="2" t="s">
        <v>12</v>
      </c>
      <c r="F867">
        <f t="shared" si="13"/>
        <v>0</v>
      </c>
      <c r="G867" t="s">
        <v>16</v>
      </c>
    </row>
    <row r="868" spans="1:7" x14ac:dyDescent="0.3">
      <c r="A868" t="s">
        <v>6</v>
      </c>
      <c r="B868" t="str">
        <f>"02/14/1988 00:00"</f>
        <v>02/14/1988 00:00</v>
      </c>
      <c r="D868" t="s">
        <v>7</v>
      </c>
      <c r="E868" s="2" t="s">
        <v>12</v>
      </c>
      <c r="F868">
        <f t="shared" si="13"/>
        <v>0</v>
      </c>
      <c r="G868" t="s">
        <v>16</v>
      </c>
    </row>
    <row r="869" spans="1:7" x14ac:dyDescent="0.3">
      <c r="A869" t="s">
        <v>6</v>
      </c>
      <c r="B869" t="str">
        <f>"02/15/1988 00:00"</f>
        <v>02/15/1988 00:00</v>
      </c>
      <c r="D869" t="s">
        <v>7</v>
      </c>
      <c r="E869" s="2" t="s">
        <v>12</v>
      </c>
      <c r="F869">
        <f t="shared" si="13"/>
        <v>0</v>
      </c>
      <c r="G869" t="s">
        <v>16</v>
      </c>
    </row>
    <row r="870" spans="1:7" x14ac:dyDescent="0.3">
      <c r="A870" t="s">
        <v>6</v>
      </c>
      <c r="B870" t="str">
        <f>"02/16/1988 00:00"</f>
        <v>02/16/1988 00:00</v>
      </c>
      <c r="D870" t="s">
        <v>7</v>
      </c>
      <c r="E870" s="2" t="s">
        <v>12</v>
      </c>
      <c r="F870">
        <f t="shared" si="13"/>
        <v>0</v>
      </c>
      <c r="G870" t="s">
        <v>16</v>
      </c>
    </row>
    <row r="871" spans="1:7" x14ac:dyDescent="0.3">
      <c r="A871" t="s">
        <v>6</v>
      </c>
      <c r="B871" t="str">
        <f>"02/17/1988 00:00"</f>
        <v>02/17/1988 00:00</v>
      </c>
      <c r="D871" t="s">
        <v>7</v>
      </c>
      <c r="E871" s="2" t="s">
        <v>12</v>
      </c>
      <c r="F871">
        <f t="shared" si="13"/>
        <v>0</v>
      </c>
      <c r="G871" t="s">
        <v>16</v>
      </c>
    </row>
    <row r="872" spans="1:7" x14ac:dyDescent="0.3">
      <c r="A872" t="s">
        <v>6</v>
      </c>
      <c r="B872" t="str">
        <f>"02/18/1988 00:00"</f>
        <v>02/18/1988 00:00</v>
      </c>
      <c r="D872" t="s">
        <v>7</v>
      </c>
      <c r="E872" s="2" t="s">
        <v>12</v>
      </c>
      <c r="F872">
        <f t="shared" si="13"/>
        <v>0</v>
      </c>
      <c r="G872" t="s">
        <v>16</v>
      </c>
    </row>
    <row r="873" spans="1:7" x14ac:dyDescent="0.3">
      <c r="A873" t="s">
        <v>6</v>
      </c>
      <c r="B873" t="str">
        <f>"02/19/1988 00:00"</f>
        <v>02/19/1988 00:00</v>
      </c>
      <c r="D873" t="s">
        <v>7</v>
      </c>
      <c r="E873" s="2" t="s">
        <v>12</v>
      </c>
      <c r="F873">
        <f t="shared" si="13"/>
        <v>0</v>
      </c>
      <c r="G873" t="s">
        <v>16</v>
      </c>
    </row>
    <row r="874" spans="1:7" x14ac:dyDescent="0.3">
      <c r="A874" t="s">
        <v>6</v>
      </c>
      <c r="B874" t="str">
        <f>"02/20/1988 00:00"</f>
        <v>02/20/1988 00:00</v>
      </c>
      <c r="D874" t="s">
        <v>7</v>
      </c>
      <c r="E874" s="2" t="s">
        <v>12</v>
      </c>
      <c r="F874">
        <f t="shared" si="13"/>
        <v>0</v>
      </c>
      <c r="G874" t="s">
        <v>16</v>
      </c>
    </row>
    <row r="875" spans="1:7" x14ac:dyDescent="0.3">
      <c r="A875" t="s">
        <v>6</v>
      </c>
      <c r="B875" t="str">
        <f>"02/21/1988 00:00"</f>
        <v>02/21/1988 00:00</v>
      </c>
      <c r="D875" t="s">
        <v>7</v>
      </c>
      <c r="E875" s="2" t="s">
        <v>12</v>
      </c>
      <c r="F875">
        <f t="shared" si="13"/>
        <v>0</v>
      </c>
      <c r="G875" t="s">
        <v>16</v>
      </c>
    </row>
    <row r="876" spans="1:7" x14ac:dyDescent="0.3">
      <c r="A876" t="s">
        <v>6</v>
      </c>
      <c r="B876" t="str">
        <f>"02/22/1988 00:00"</f>
        <v>02/22/1988 00:00</v>
      </c>
      <c r="D876" t="s">
        <v>7</v>
      </c>
      <c r="E876" s="2" t="s">
        <v>12</v>
      </c>
      <c r="F876">
        <f t="shared" si="13"/>
        <v>0</v>
      </c>
      <c r="G876" t="s">
        <v>16</v>
      </c>
    </row>
    <row r="877" spans="1:7" x14ac:dyDescent="0.3">
      <c r="A877" t="s">
        <v>6</v>
      </c>
      <c r="B877" t="str">
        <f>"02/23/1988 00:00"</f>
        <v>02/23/1988 00:00</v>
      </c>
      <c r="D877" t="s">
        <v>7</v>
      </c>
      <c r="E877" s="2" t="s">
        <v>12</v>
      </c>
      <c r="F877">
        <f t="shared" si="13"/>
        <v>0</v>
      </c>
      <c r="G877" t="s">
        <v>16</v>
      </c>
    </row>
    <row r="878" spans="1:7" x14ac:dyDescent="0.3">
      <c r="A878" t="s">
        <v>6</v>
      </c>
      <c r="B878" t="str">
        <f>"02/24/1988 00:00"</f>
        <v>02/24/1988 00:00</v>
      </c>
      <c r="D878" t="s">
        <v>7</v>
      </c>
      <c r="E878" s="2" t="s">
        <v>12</v>
      </c>
      <c r="F878">
        <f t="shared" si="13"/>
        <v>0</v>
      </c>
      <c r="G878" t="s">
        <v>16</v>
      </c>
    </row>
    <row r="879" spans="1:7" x14ac:dyDescent="0.3">
      <c r="A879" t="s">
        <v>6</v>
      </c>
      <c r="B879" t="str">
        <f>"02/25/1988 00:00"</f>
        <v>02/25/1988 00:00</v>
      </c>
      <c r="D879" t="s">
        <v>7</v>
      </c>
      <c r="E879" s="2" t="s">
        <v>12</v>
      </c>
      <c r="F879">
        <f t="shared" si="13"/>
        <v>0</v>
      </c>
      <c r="G879" t="s">
        <v>16</v>
      </c>
    </row>
    <row r="880" spans="1:7" x14ac:dyDescent="0.3">
      <c r="A880" t="s">
        <v>6</v>
      </c>
      <c r="B880" t="str">
        <f>"02/26/1988 00:00"</f>
        <v>02/26/1988 00:00</v>
      </c>
      <c r="D880" t="s">
        <v>7</v>
      </c>
      <c r="E880" s="2" t="s">
        <v>12</v>
      </c>
      <c r="F880">
        <f t="shared" si="13"/>
        <v>0</v>
      </c>
      <c r="G880" t="s">
        <v>16</v>
      </c>
    </row>
    <row r="881" spans="1:7" x14ac:dyDescent="0.3">
      <c r="A881" t="s">
        <v>6</v>
      </c>
      <c r="B881" t="str">
        <f>"02/27/1988 00:00"</f>
        <v>02/27/1988 00:00</v>
      </c>
      <c r="D881" t="s">
        <v>7</v>
      </c>
      <c r="E881" s="2" t="s">
        <v>12</v>
      </c>
      <c r="F881">
        <f t="shared" si="13"/>
        <v>0</v>
      </c>
      <c r="G881" t="s">
        <v>16</v>
      </c>
    </row>
    <row r="882" spans="1:7" x14ac:dyDescent="0.3">
      <c r="A882" t="s">
        <v>6</v>
      </c>
      <c r="B882" t="str">
        <f>"02/28/1988 00:00"</f>
        <v>02/28/1988 00:00</v>
      </c>
      <c r="D882" t="s">
        <v>7</v>
      </c>
      <c r="E882" s="2" t="s">
        <v>12</v>
      </c>
      <c r="F882">
        <f t="shared" si="13"/>
        <v>0</v>
      </c>
      <c r="G882" t="s">
        <v>16</v>
      </c>
    </row>
    <row r="883" spans="1:7" x14ac:dyDescent="0.3">
      <c r="A883" t="s">
        <v>6</v>
      </c>
      <c r="B883" t="str">
        <f>"02/29/1988 00:00"</f>
        <v>02/29/1988 00:00</v>
      </c>
      <c r="D883" t="s">
        <v>7</v>
      </c>
      <c r="E883" s="2" t="s">
        <v>12</v>
      </c>
      <c r="F883">
        <f t="shared" si="13"/>
        <v>0</v>
      </c>
      <c r="G883" t="s">
        <v>16</v>
      </c>
    </row>
    <row r="884" spans="1:7" x14ac:dyDescent="0.3">
      <c r="A884" t="s">
        <v>6</v>
      </c>
      <c r="B884" t="str">
        <f>"03/01/1988 00:00"</f>
        <v>03/01/1988 00:00</v>
      </c>
      <c r="D884" t="s">
        <v>7</v>
      </c>
      <c r="E884" s="2" t="s">
        <v>12</v>
      </c>
      <c r="F884">
        <f t="shared" si="13"/>
        <v>0</v>
      </c>
      <c r="G884" t="s">
        <v>16</v>
      </c>
    </row>
    <row r="885" spans="1:7" x14ac:dyDescent="0.3">
      <c r="A885" t="s">
        <v>6</v>
      </c>
      <c r="B885" t="str">
        <f>"03/02/1988 00:00"</f>
        <v>03/02/1988 00:00</v>
      </c>
      <c r="D885" t="s">
        <v>7</v>
      </c>
      <c r="E885" s="2" t="s">
        <v>12</v>
      </c>
      <c r="F885">
        <f t="shared" si="13"/>
        <v>0</v>
      </c>
      <c r="G885" t="s">
        <v>16</v>
      </c>
    </row>
    <row r="886" spans="1:7" x14ac:dyDescent="0.3">
      <c r="A886" t="s">
        <v>6</v>
      </c>
      <c r="B886" t="str">
        <f>"03/03/1988 00:00"</f>
        <v>03/03/1988 00:00</v>
      </c>
      <c r="D886" t="s">
        <v>7</v>
      </c>
      <c r="E886" s="2" t="s">
        <v>12</v>
      </c>
      <c r="F886">
        <f t="shared" si="13"/>
        <v>0</v>
      </c>
      <c r="G886" t="s">
        <v>16</v>
      </c>
    </row>
    <row r="887" spans="1:7" x14ac:dyDescent="0.3">
      <c r="A887" t="s">
        <v>6</v>
      </c>
      <c r="B887" t="str">
        <f>"03/04/1988 00:00"</f>
        <v>03/04/1988 00:00</v>
      </c>
      <c r="D887" t="s">
        <v>7</v>
      </c>
      <c r="E887" s="2" t="s">
        <v>12</v>
      </c>
      <c r="F887">
        <f t="shared" si="13"/>
        <v>0</v>
      </c>
      <c r="G887" t="s">
        <v>16</v>
      </c>
    </row>
    <row r="888" spans="1:7" x14ac:dyDescent="0.3">
      <c r="A888" t="s">
        <v>6</v>
      </c>
      <c r="B888" t="str">
        <f>"03/05/1988 00:00"</f>
        <v>03/05/1988 00:00</v>
      </c>
      <c r="D888" t="s">
        <v>7</v>
      </c>
      <c r="E888" s="2" t="s">
        <v>12</v>
      </c>
      <c r="F888">
        <f t="shared" si="13"/>
        <v>0</v>
      </c>
      <c r="G888" t="s">
        <v>16</v>
      </c>
    </row>
    <row r="889" spans="1:7" x14ac:dyDescent="0.3">
      <c r="A889" t="s">
        <v>6</v>
      </c>
      <c r="B889" t="str">
        <f>"03/06/1988 00:00"</f>
        <v>03/06/1988 00:00</v>
      </c>
      <c r="D889" t="s">
        <v>7</v>
      </c>
      <c r="E889" s="2" t="s">
        <v>12</v>
      </c>
      <c r="F889">
        <f t="shared" si="13"/>
        <v>0</v>
      </c>
      <c r="G889" t="s">
        <v>16</v>
      </c>
    </row>
    <row r="890" spans="1:7" x14ac:dyDescent="0.3">
      <c r="A890" t="s">
        <v>6</v>
      </c>
      <c r="B890" t="str">
        <f>"03/07/1988 00:00"</f>
        <v>03/07/1988 00:00</v>
      </c>
      <c r="D890" t="s">
        <v>7</v>
      </c>
      <c r="E890" s="2" t="s">
        <v>12</v>
      </c>
      <c r="F890">
        <f t="shared" si="13"/>
        <v>0</v>
      </c>
      <c r="G890" t="s">
        <v>16</v>
      </c>
    </row>
    <row r="891" spans="1:7" x14ac:dyDescent="0.3">
      <c r="A891" t="s">
        <v>6</v>
      </c>
      <c r="B891" t="str">
        <f>"03/08/1988 00:00"</f>
        <v>03/08/1988 00:00</v>
      </c>
      <c r="D891" t="s">
        <v>7</v>
      </c>
      <c r="E891" s="2" t="s">
        <v>12</v>
      </c>
      <c r="F891">
        <f t="shared" si="13"/>
        <v>0</v>
      </c>
      <c r="G891" t="s">
        <v>16</v>
      </c>
    </row>
    <row r="892" spans="1:7" x14ac:dyDescent="0.3">
      <c r="A892" t="s">
        <v>6</v>
      </c>
      <c r="B892" t="str">
        <f>"03/09/1988 00:00"</f>
        <v>03/09/1988 00:00</v>
      </c>
      <c r="D892" t="s">
        <v>7</v>
      </c>
      <c r="E892" s="2" t="s">
        <v>12</v>
      </c>
      <c r="F892">
        <f t="shared" si="13"/>
        <v>0</v>
      </c>
      <c r="G892" t="s">
        <v>16</v>
      </c>
    </row>
    <row r="893" spans="1:7" x14ac:dyDescent="0.3">
      <c r="A893" t="s">
        <v>6</v>
      </c>
      <c r="B893" t="str">
        <f>"03/10/1988 00:00"</f>
        <v>03/10/1988 00:00</v>
      </c>
      <c r="D893" t="s">
        <v>7</v>
      </c>
      <c r="E893" s="2" t="s">
        <v>12</v>
      </c>
      <c r="F893">
        <f t="shared" si="13"/>
        <v>0</v>
      </c>
      <c r="G893" t="s">
        <v>16</v>
      </c>
    </row>
    <row r="894" spans="1:7" x14ac:dyDescent="0.3">
      <c r="A894" t="s">
        <v>6</v>
      </c>
      <c r="B894" t="str">
        <f>"03/11/1988 00:00"</f>
        <v>03/11/1988 00:00</v>
      </c>
      <c r="D894" t="s">
        <v>7</v>
      </c>
      <c r="E894" s="2" t="s">
        <v>12</v>
      </c>
      <c r="F894">
        <f t="shared" si="13"/>
        <v>0</v>
      </c>
      <c r="G894" t="s">
        <v>16</v>
      </c>
    </row>
    <row r="895" spans="1:7" x14ac:dyDescent="0.3">
      <c r="A895" t="s">
        <v>6</v>
      </c>
      <c r="B895" t="str">
        <f>"03/12/1988 00:00"</f>
        <v>03/12/1988 00:00</v>
      </c>
      <c r="D895" t="s">
        <v>7</v>
      </c>
      <c r="E895" s="2" t="s">
        <v>12</v>
      </c>
      <c r="F895">
        <f t="shared" si="13"/>
        <v>0</v>
      </c>
      <c r="G895" t="s">
        <v>16</v>
      </c>
    </row>
    <row r="896" spans="1:7" x14ac:dyDescent="0.3">
      <c r="A896" t="s">
        <v>6</v>
      </c>
      <c r="B896" t="str">
        <f>"03/13/1988 00:00"</f>
        <v>03/13/1988 00:00</v>
      </c>
      <c r="D896" t="s">
        <v>7</v>
      </c>
      <c r="E896" s="2" t="s">
        <v>12</v>
      </c>
      <c r="F896">
        <f t="shared" si="13"/>
        <v>0</v>
      </c>
      <c r="G896" t="s">
        <v>16</v>
      </c>
    </row>
    <row r="897" spans="1:7" x14ac:dyDescent="0.3">
      <c r="A897" t="s">
        <v>6</v>
      </c>
      <c r="B897" t="str">
        <f>"03/14/1988 00:00"</f>
        <v>03/14/1988 00:00</v>
      </c>
      <c r="D897" t="s">
        <v>7</v>
      </c>
      <c r="E897" s="2" t="s">
        <v>12</v>
      </c>
      <c r="F897">
        <f t="shared" si="13"/>
        <v>0</v>
      </c>
      <c r="G897" t="s">
        <v>16</v>
      </c>
    </row>
    <row r="898" spans="1:7" x14ac:dyDescent="0.3">
      <c r="A898" t="s">
        <v>6</v>
      </c>
      <c r="B898" t="str">
        <f>"03/15/1988 00:00"</f>
        <v>03/15/1988 00:00</v>
      </c>
      <c r="D898" t="s">
        <v>7</v>
      </c>
      <c r="E898" s="2" t="s">
        <v>12</v>
      </c>
      <c r="F898">
        <f t="shared" si="13"/>
        <v>0</v>
      </c>
      <c r="G898" t="s">
        <v>16</v>
      </c>
    </row>
    <row r="899" spans="1:7" x14ac:dyDescent="0.3">
      <c r="A899" t="s">
        <v>6</v>
      </c>
      <c r="B899" t="str">
        <f>"03/16/1988 00:00"</f>
        <v>03/16/1988 00:00</v>
      </c>
      <c r="D899" t="s">
        <v>7</v>
      </c>
      <c r="E899" s="2" t="s">
        <v>12</v>
      </c>
      <c r="F899">
        <f t="shared" ref="F899:F962" si="14">C899*1.983</f>
        <v>0</v>
      </c>
      <c r="G899" t="s">
        <v>16</v>
      </c>
    </row>
    <row r="900" spans="1:7" x14ac:dyDescent="0.3">
      <c r="A900" t="s">
        <v>6</v>
      </c>
      <c r="B900" t="str">
        <f>"03/17/1988 00:00"</f>
        <v>03/17/1988 00:00</v>
      </c>
      <c r="D900" t="s">
        <v>7</v>
      </c>
      <c r="E900" s="2" t="s">
        <v>12</v>
      </c>
      <c r="F900">
        <f t="shared" si="14"/>
        <v>0</v>
      </c>
      <c r="G900" t="s">
        <v>16</v>
      </c>
    </row>
    <row r="901" spans="1:7" x14ac:dyDescent="0.3">
      <c r="A901" t="s">
        <v>6</v>
      </c>
      <c r="B901" t="str">
        <f>"03/18/1988 00:00"</f>
        <v>03/18/1988 00:00</v>
      </c>
      <c r="D901" t="s">
        <v>7</v>
      </c>
      <c r="E901" s="2" t="s">
        <v>12</v>
      </c>
      <c r="F901">
        <f t="shared" si="14"/>
        <v>0</v>
      </c>
      <c r="G901" t="s">
        <v>16</v>
      </c>
    </row>
    <row r="902" spans="1:7" x14ac:dyDescent="0.3">
      <c r="A902" t="s">
        <v>6</v>
      </c>
      <c r="B902" t="str">
        <f>"03/19/1988 00:00"</f>
        <v>03/19/1988 00:00</v>
      </c>
      <c r="D902" t="s">
        <v>7</v>
      </c>
      <c r="E902" s="2" t="s">
        <v>12</v>
      </c>
      <c r="F902">
        <f t="shared" si="14"/>
        <v>0</v>
      </c>
      <c r="G902" t="s">
        <v>16</v>
      </c>
    </row>
    <row r="903" spans="1:7" x14ac:dyDescent="0.3">
      <c r="A903" t="s">
        <v>6</v>
      </c>
      <c r="B903" t="str">
        <f>"03/20/1988 00:00"</f>
        <v>03/20/1988 00:00</v>
      </c>
      <c r="D903" t="s">
        <v>7</v>
      </c>
      <c r="E903" s="2" t="s">
        <v>12</v>
      </c>
      <c r="F903">
        <f t="shared" si="14"/>
        <v>0</v>
      </c>
      <c r="G903" t="s">
        <v>16</v>
      </c>
    </row>
    <row r="904" spans="1:7" x14ac:dyDescent="0.3">
      <c r="A904" t="s">
        <v>6</v>
      </c>
      <c r="B904" t="str">
        <f>"03/21/1988 00:00"</f>
        <v>03/21/1988 00:00</v>
      </c>
      <c r="D904" t="s">
        <v>7</v>
      </c>
      <c r="E904" s="2" t="s">
        <v>12</v>
      </c>
      <c r="F904">
        <f t="shared" si="14"/>
        <v>0</v>
      </c>
      <c r="G904" t="s">
        <v>16</v>
      </c>
    </row>
    <row r="905" spans="1:7" x14ac:dyDescent="0.3">
      <c r="A905" t="s">
        <v>6</v>
      </c>
      <c r="B905" t="str">
        <f>"03/22/1988 00:00"</f>
        <v>03/22/1988 00:00</v>
      </c>
      <c r="D905" t="s">
        <v>7</v>
      </c>
      <c r="E905" s="2" t="s">
        <v>12</v>
      </c>
      <c r="F905">
        <f t="shared" si="14"/>
        <v>0</v>
      </c>
      <c r="G905" t="s">
        <v>16</v>
      </c>
    </row>
    <row r="906" spans="1:7" x14ac:dyDescent="0.3">
      <c r="A906" t="s">
        <v>6</v>
      </c>
      <c r="B906" t="str">
        <f>"03/23/1988 00:00"</f>
        <v>03/23/1988 00:00</v>
      </c>
      <c r="D906" t="s">
        <v>7</v>
      </c>
      <c r="E906" s="2" t="s">
        <v>12</v>
      </c>
      <c r="F906">
        <f t="shared" si="14"/>
        <v>0</v>
      </c>
      <c r="G906" t="s">
        <v>16</v>
      </c>
    </row>
    <row r="907" spans="1:7" x14ac:dyDescent="0.3">
      <c r="A907" t="s">
        <v>6</v>
      </c>
      <c r="B907" t="str">
        <f>"03/24/1988 00:00"</f>
        <v>03/24/1988 00:00</v>
      </c>
      <c r="D907" t="s">
        <v>7</v>
      </c>
      <c r="E907" s="2" t="s">
        <v>12</v>
      </c>
      <c r="F907">
        <f t="shared" si="14"/>
        <v>0</v>
      </c>
      <c r="G907" t="s">
        <v>16</v>
      </c>
    </row>
    <row r="908" spans="1:7" x14ac:dyDescent="0.3">
      <c r="A908" t="s">
        <v>6</v>
      </c>
      <c r="B908" t="str">
        <f>"03/25/1988 00:00"</f>
        <v>03/25/1988 00:00</v>
      </c>
      <c r="D908" t="s">
        <v>7</v>
      </c>
      <c r="E908" s="2" t="s">
        <v>12</v>
      </c>
      <c r="F908">
        <f t="shared" si="14"/>
        <v>0</v>
      </c>
      <c r="G908" t="s">
        <v>16</v>
      </c>
    </row>
    <row r="909" spans="1:7" x14ac:dyDescent="0.3">
      <c r="A909" t="s">
        <v>6</v>
      </c>
      <c r="B909" t="str">
        <f>"03/26/1988 00:00"</f>
        <v>03/26/1988 00:00</v>
      </c>
      <c r="D909" t="s">
        <v>7</v>
      </c>
      <c r="E909" s="2" t="s">
        <v>12</v>
      </c>
      <c r="F909">
        <f t="shared" si="14"/>
        <v>0</v>
      </c>
      <c r="G909" t="s">
        <v>16</v>
      </c>
    </row>
    <row r="910" spans="1:7" x14ac:dyDescent="0.3">
      <c r="A910" t="s">
        <v>6</v>
      </c>
      <c r="B910" t="str">
        <f>"03/27/1988 00:00"</f>
        <v>03/27/1988 00:00</v>
      </c>
      <c r="D910" t="s">
        <v>7</v>
      </c>
      <c r="E910" s="2" t="s">
        <v>12</v>
      </c>
      <c r="F910">
        <f t="shared" si="14"/>
        <v>0</v>
      </c>
      <c r="G910" t="s">
        <v>16</v>
      </c>
    </row>
    <row r="911" spans="1:7" x14ac:dyDescent="0.3">
      <c r="A911" t="s">
        <v>6</v>
      </c>
      <c r="B911" t="str">
        <f>"03/28/1988 00:00"</f>
        <v>03/28/1988 00:00</v>
      </c>
      <c r="D911" t="s">
        <v>7</v>
      </c>
      <c r="E911" s="2" t="s">
        <v>12</v>
      </c>
      <c r="F911">
        <f t="shared" si="14"/>
        <v>0</v>
      </c>
      <c r="G911" t="s">
        <v>16</v>
      </c>
    </row>
    <row r="912" spans="1:7" x14ac:dyDescent="0.3">
      <c r="A912" t="s">
        <v>6</v>
      </c>
      <c r="B912" t="str">
        <f>"03/29/1988 00:00"</f>
        <v>03/29/1988 00:00</v>
      </c>
      <c r="D912" t="s">
        <v>7</v>
      </c>
      <c r="E912" s="2" t="s">
        <v>12</v>
      </c>
      <c r="F912">
        <f t="shared" si="14"/>
        <v>0</v>
      </c>
      <c r="G912" t="s">
        <v>16</v>
      </c>
    </row>
    <row r="913" spans="1:7" x14ac:dyDescent="0.3">
      <c r="A913" t="s">
        <v>6</v>
      </c>
      <c r="B913" t="str">
        <f>"03/30/1988 00:00"</f>
        <v>03/30/1988 00:00</v>
      </c>
      <c r="D913" t="s">
        <v>7</v>
      </c>
      <c r="E913" s="2" t="s">
        <v>12</v>
      </c>
      <c r="F913">
        <f t="shared" si="14"/>
        <v>0</v>
      </c>
      <c r="G913" t="s">
        <v>16</v>
      </c>
    </row>
    <row r="914" spans="1:7" x14ac:dyDescent="0.3">
      <c r="A914" t="s">
        <v>6</v>
      </c>
      <c r="B914" t="str">
        <f>"03/31/1988 00:00"</f>
        <v>03/31/1988 00:00</v>
      </c>
      <c r="D914" t="s">
        <v>7</v>
      </c>
      <c r="E914" s="2" t="s">
        <v>12</v>
      </c>
      <c r="F914">
        <f t="shared" si="14"/>
        <v>0</v>
      </c>
      <c r="G914" t="s">
        <v>16</v>
      </c>
    </row>
    <row r="915" spans="1:7" x14ac:dyDescent="0.3">
      <c r="A915" t="s">
        <v>6</v>
      </c>
      <c r="B915" t="str">
        <f>"04/01/1988 00:00"</f>
        <v>04/01/1988 00:00</v>
      </c>
      <c r="D915" t="s">
        <v>7</v>
      </c>
      <c r="E915" s="2" t="s">
        <v>12</v>
      </c>
      <c r="F915">
        <f t="shared" si="14"/>
        <v>0</v>
      </c>
      <c r="G915" t="s">
        <v>16</v>
      </c>
    </row>
    <row r="916" spans="1:7" x14ac:dyDescent="0.3">
      <c r="A916" t="s">
        <v>6</v>
      </c>
      <c r="B916" t="str">
        <f>"04/02/1988 00:00"</f>
        <v>04/02/1988 00:00</v>
      </c>
      <c r="D916" t="s">
        <v>7</v>
      </c>
      <c r="E916" s="2" t="s">
        <v>12</v>
      </c>
      <c r="F916">
        <f t="shared" si="14"/>
        <v>0</v>
      </c>
      <c r="G916" t="s">
        <v>16</v>
      </c>
    </row>
    <row r="917" spans="1:7" x14ac:dyDescent="0.3">
      <c r="A917" t="s">
        <v>6</v>
      </c>
      <c r="B917" t="str">
        <f>"04/03/1988 00:00"</f>
        <v>04/03/1988 00:00</v>
      </c>
      <c r="D917" t="s">
        <v>7</v>
      </c>
      <c r="E917" s="2" t="s">
        <v>12</v>
      </c>
      <c r="F917">
        <f t="shared" si="14"/>
        <v>0</v>
      </c>
      <c r="G917" t="s">
        <v>16</v>
      </c>
    </row>
    <row r="918" spans="1:7" x14ac:dyDescent="0.3">
      <c r="A918" t="s">
        <v>6</v>
      </c>
      <c r="B918" t="str">
        <f>"04/04/1988 00:00"</f>
        <v>04/04/1988 00:00</v>
      </c>
      <c r="D918" t="s">
        <v>7</v>
      </c>
      <c r="E918" s="2" t="s">
        <v>12</v>
      </c>
      <c r="F918">
        <f t="shared" si="14"/>
        <v>0</v>
      </c>
      <c r="G918" t="s">
        <v>16</v>
      </c>
    </row>
    <row r="919" spans="1:7" x14ac:dyDescent="0.3">
      <c r="A919" t="s">
        <v>6</v>
      </c>
      <c r="B919" t="str">
        <f>"04/05/1988 00:00"</f>
        <v>04/05/1988 00:00</v>
      </c>
      <c r="D919" t="s">
        <v>7</v>
      </c>
      <c r="E919" s="2" t="s">
        <v>12</v>
      </c>
      <c r="F919">
        <f t="shared" si="14"/>
        <v>0</v>
      </c>
      <c r="G919" t="s">
        <v>16</v>
      </c>
    </row>
    <row r="920" spans="1:7" x14ac:dyDescent="0.3">
      <c r="A920" t="s">
        <v>6</v>
      </c>
      <c r="B920" t="str">
        <f>"04/06/1988 00:00"</f>
        <v>04/06/1988 00:00</v>
      </c>
      <c r="D920" t="s">
        <v>7</v>
      </c>
      <c r="E920" s="2" t="s">
        <v>12</v>
      </c>
      <c r="F920">
        <f t="shared" si="14"/>
        <v>0</v>
      </c>
      <c r="G920" t="s">
        <v>16</v>
      </c>
    </row>
    <row r="921" spans="1:7" x14ac:dyDescent="0.3">
      <c r="A921" t="s">
        <v>6</v>
      </c>
      <c r="B921" t="str">
        <f>"04/07/1988 00:00"</f>
        <v>04/07/1988 00:00</v>
      </c>
      <c r="D921" t="s">
        <v>7</v>
      </c>
      <c r="E921" s="2" t="s">
        <v>12</v>
      </c>
      <c r="F921">
        <f t="shared" si="14"/>
        <v>0</v>
      </c>
      <c r="G921" t="s">
        <v>16</v>
      </c>
    </row>
    <row r="922" spans="1:7" x14ac:dyDescent="0.3">
      <c r="A922" t="s">
        <v>6</v>
      </c>
      <c r="B922" t="str">
        <f>"04/08/1988 00:00"</f>
        <v>04/08/1988 00:00</v>
      </c>
      <c r="D922" t="s">
        <v>7</v>
      </c>
      <c r="E922" s="2" t="s">
        <v>12</v>
      </c>
      <c r="F922">
        <f t="shared" si="14"/>
        <v>0</v>
      </c>
      <c r="G922" t="s">
        <v>16</v>
      </c>
    </row>
    <row r="923" spans="1:7" x14ac:dyDescent="0.3">
      <c r="A923" t="s">
        <v>6</v>
      </c>
      <c r="B923" t="str">
        <f>"04/09/1988 00:00"</f>
        <v>04/09/1988 00:00</v>
      </c>
      <c r="D923" t="s">
        <v>7</v>
      </c>
      <c r="E923" s="2" t="s">
        <v>12</v>
      </c>
      <c r="F923">
        <f t="shared" si="14"/>
        <v>0</v>
      </c>
      <c r="G923" t="s">
        <v>16</v>
      </c>
    </row>
    <row r="924" spans="1:7" x14ac:dyDescent="0.3">
      <c r="A924" t="s">
        <v>6</v>
      </c>
      <c r="B924" t="str">
        <f>"04/10/1988 00:00"</f>
        <v>04/10/1988 00:00</v>
      </c>
      <c r="D924" t="s">
        <v>7</v>
      </c>
      <c r="E924" s="2" t="s">
        <v>12</v>
      </c>
      <c r="F924">
        <f t="shared" si="14"/>
        <v>0</v>
      </c>
      <c r="G924" t="s">
        <v>16</v>
      </c>
    </row>
    <row r="925" spans="1:7" x14ac:dyDescent="0.3">
      <c r="A925" t="s">
        <v>6</v>
      </c>
      <c r="B925" t="str">
        <f>"04/11/1988 00:00"</f>
        <v>04/11/1988 00:00</v>
      </c>
      <c r="D925" t="s">
        <v>7</v>
      </c>
      <c r="E925" s="2" t="s">
        <v>12</v>
      </c>
      <c r="F925">
        <f t="shared" si="14"/>
        <v>0</v>
      </c>
      <c r="G925" t="s">
        <v>16</v>
      </c>
    </row>
    <row r="926" spans="1:7" x14ac:dyDescent="0.3">
      <c r="A926" t="s">
        <v>6</v>
      </c>
      <c r="B926" t="str">
        <f>"04/12/1988 00:00"</f>
        <v>04/12/1988 00:00</v>
      </c>
      <c r="D926" t="s">
        <v>7</v>
      </c>
      <c r="E926" s="2" t="s">
        <v>12</v>
      </c>
      <c r="F926">
        <f t="shared" si="14"/>
        <v>0</v>
      </c>
      <c r="G926" t="s">
        <v>16</v>
      </c>
    </row>
    <row r="927" spans="1:7" x14ac:dyDescent="0.3">
      <c r="A927" t="s">
        <v>6</v>
      </c>
      <c r="B927" t="str">
        <f>"04/13/1988 00:00"</f>
        <v>04/13/1988 00:00</v>
      </c>
      <c r="D927" t="s">
        <v>7</v>
      </c>
      <c r="E927" s="2" t="s">
        <v>12</v>
      </c>
      <c r="F927">
        <f t="shared" si="14"/>
        <v>0</v>
      </c>
      <c r="G927" t="s">
        <v>16</v>
      </c>
    </row>
    <row r="928" spans="1:7" x14ac:dyDescent="0.3">
      <c r="A928" t="s">
        <v>6</v>
      </c>
      <c r="B928" t="str">
        <f>"04/14/1988 00:00"</f>
        <v>04/14/1988 00:00</v>
      </c>
      <c r="D928" t="s">
        <v>7</v>
      </c>
      <c r="E928" s="2" t="s">
        <v>12</v>
      </c>
      <c r="F928">
        <f t="shared" si="14"/>
        <v>0</v>
      </c>
      <c r="G928" t="s">
        <v>16</v>
      </c>
    </row>
    <row r="929" spans="1:7" x14ac:dyDescent="0.3">
      <c r="A929" t="s">
        <v>6</v>
      </c>
      <c r="B929" t="str">
        <f>"04/15/1988 00:00"</f>
        <v>04/15/1988 00:00</v>
      </c>
      <c r="D929" t="s">
        <v>7</v>
      </c>
      <c r="E929" s="2" t="s">
        <v>12</v>
      </c>
      <c r="F929">
        <f t="shared" si="14"/>
        <v>0</v>
      </c>
      <c r="G929" t="s">
        <v>16</v>
      </c>
    </row>
    <row r="930" spans="1:7" x14ac:dyDescent="0.3">
      <c r="A930" t="s">
        <v>6</v>
      </c>
      <c r="B930" t="str">
        <f>"04/16/1988 00:00"</f>
        <v>04/16/1988 00:00</v>
      </c>
      <c r="D930" t="s">
        <v>7</v>
      </c>
      <c r="E930" s="2" t="s">
        <v>12</v>
      </c>
      <c r="F930">
        <f t="shared" si="14"/>
        <v>0</v>
      </c>
      <c r="G930" t="s">
        <v>16</v>
      </c>
    </row>
    <row r="931" spans="1:7" x14ac:dyDescent="0.3">
      <c r="A931" t="s">
        <v>6</v>
      </c>
      <c r="B931" t="str">
        <f>"04/17/1988 00:00"</f>
        <v>04/17/1988 00:00</v>
      </c>
      <c r="D931" t="s">
        <v>7</v>
      </c>
      <c r="E931" s="2" t="s">
        <v>12</v>
      </c>
      <c r="F931">
        <f t="shared" si="14"/>
        <v>0</v>
      </c>
      <c r="G931" t="s">
        <v>16</v>
      </c>
    </row>
    <row r="932" spans="1:7" x14ac:dyDescent="0.3">
      <c r="A932" t="s">
        <v>6</v>
      </c>
      <c r="B932" t="str">
        <f>"04/18/1988 00:00"</f>
        <v>04/18/1988 00:00</v>
      </c>
      <c r="D932" t="s">
        <v>7</v>
      </c>
      <c r="E932" s="2" t="s">
        <v>12</v>
      </c>
      <c r="F932">
        <f t="shared" si="14"/>
        <v>0</v>
      </c>
      <c r="G932" t="s">
        <v>16</v>
      </c>
    </row>
    <row r="933" spans="1:7" x14ac:dyDescent="0.3">
      <c r="A933" t="s">
        <v>6</v>
      </c>
      <c r="B933" t="str">
        <f>"04/19/1988 00:00"</f>
        <v>04/19/1988 00:00</v>
      </c>
      <c r="D933" t="s">
        <v>7</v>
      </c>
      <c r="E933" s="2" t="s">
        <v>12</v>
      </c>
      <c r="F933">
        <f t="shared" si="14"/>
        <v>0</v>
      </c>
      <c r="G933" t="s">
        <v>16</v>
      </c>
    </row>
    <row r="934" spans="1:7" x14ac:dyDescent="0.3">
      <c r="A934" t="s">
        <v>6</v>
      </c>
      <c r="B934" t="str">
        <f>"04/20/1988 00:00"</f>
        <v>04/20/1988 00:00</v>
      </c>
      <c r="D934" t="s">
        <v>7</v>
      </c>
      <c r="E934" s="2" t="s">
        <v>12</v>
      </c>
      <c r="F934">
        <f t="shared" si="14"/>
        <v>0</v>
      </c>
      <c r="G934" t="s">
        <v>16</v>
      </c>
    </row>
    <row r="935" spans="1:7" x14ac:dyDescent="0.3">
      <c r="A935" t="s">
        <v>6</v>
      </c>
      <c r="B935" t="str">
        <f>"04/21/1988 00:00"</f>
        <v>04/21/1988 00:00</v>
      </c>
      <c r="D935" t="s">
        <v>7</v>
      </c>
      <c r="E935" s="2" t="s">
        <v>12</v>
      </c>
      <c r="F935">
        <f t="shared" si="14"/>
        <v>0</v>
      </c>
      <c r="G935" t="s">
        <v>16</v>
      </c>
    </row>
    <row r="936" spans="1:7" x14ac:dyDescent="0.3">
      <c r="A936" t="s">
        <v>6</v>
      </c>
      <c r="B936" t="str">
        <f>"04/22/1988 00:00"</f>
        <v>04/22/1988 00:00</v>
      </c>
      <c r="D936" t="s">
        <v>7</v>
      </c>
      <c r="E936" s="2" t="s">
        <v>12</v>
      </c>
      <c r="F936">
        <f t="shared" si="14"/>
        <v>0</v>
      </c>
      <c r="G936" t="s">
        <v>16</v>
      </c>
    </row>
    <row r="937" spans="1:7" x14ac:dyDescent="0.3">
      <c r="A937" t="s">
        <v>6</v>
      </c>
      <c r="B937" t="str">
        <f>"04/23/1988 00:00"</f>
        <v>04/23/1988 00:00</v>
      </c>
      <c r="D937" t="s">
        <v>7</v>
      </c>
      <c r="E937" s="2" t="s">
        <v>12</v>
      </c>
      <c r="F937">
        <f t="shared" si="14"/>
        <v>0</v>
      </c>
      <c r="G937" t="s">
        <v>16</v>
      </c>
    </row>
    <row r="938" spans="1:7" x14ac:dyDescent="0.3">
      <c r="A938" t="s">
        <v>6</v>
      </c>
      <c r="B938" t="str">
        <f>"04/24/1988 00:00"</f>
        <v>04/24/1988 00:00</v>
      </c>
      <c r="D938" t="s">
        <v>7</v>
      </c>
      <c r="E938" s="2" t="s">
        <v>12</v>
      </c>
      <c r="F938">
        <f t="shared" si="14"/>
        <v>0</v>
      </c>
      <c r="G938" t="s">
        <v>16</v>
      </c>
    </row>
    <row r="939" spans="1:7" x14ac:dyDescent="0.3">
      <c r="A939" t="s">
        <v>6</v>
      </c>
      <c r="B939" t="str">
        <f>"04/25/1988 00:00"</f>
        <v>04/25/1988 00:00</v>
      </c>
      <c r="D939" t="s">
        <v>7</v>
      </c>
      <c r="E939" s="2" t="s">
        <v>12</v>
      </c>
      <c r="F939">
        <f t="shared" si="14"/>
        <v>0</v>
      </c>
      <c r="G939" t="s">
        <v>16</v>
      </c>
    </row>
    <row r="940" spans="1:7" x14ac:dyDescent="0.3">
      <c r="A940" t="s">
        <v>6</v>
      </c>
      <c r="B940" t="str">
        <f>"04/26/1988 00:00"</f>
        <v>04/26/1988 00:00</v>
      </c>
      <c r="D940" t="s">
        <v>7</v>
      </c>
      <c r="E940" s="2" t="s">
        <v>12</v>
      </c>
      <c r="F940">
        <f t="shared" si="14"/>
        <v>0</v>
      </c>
      <c r="G940" t="s">
        <v>16</v>
      </c>
    </row>
    <row r="941" spans="1:7" x14ac:dyDescent="0.3">
      <c r="A941" t="s">
        <v>6</v>
      </c>
      <c r="B941" t="str">
        <f>"04/27/1988 00:00"</f>
        <v>04/27/1988 00:00</v>
      </c>
      <c r="D941" t="s">
        <v>7</v>
      </c>
      <c r="E941" s="2" t="s">
        <v>12</v>
      </c>
      <c r="F941">
        <f t="shared" si="14"/>
        <v>0</v>
      </c>
      <c r="G941" t="s">
        <v>16</v>
      </c>
    </row>
    <row r="942" spans="1:7" x14ac:dyDescent="0.3">
      <c r="A942" t="s">
        <v>6</v>
      </c>
      <c r="B942" t="str">
        <f>"04/28/1988 00:00"</f>
        <v>04/28/1988 00:00</v>
      </c>
      <c r="D942" t="s">
        <v>7</v>
      </c>
      <c r="E942" s="2" t="s">
        <v>12</v>
      </c>
      <c r="F942">
        <f t="shared" si="14"/>
        <v>0</v>
      </c>
      <c r="G942" t="s">
        <v>16</v>
      </c>
    </row>
    <row r="943" spans="1:7" x14ac:dyDescent="0.3">
      <c r="A943" t="s">
        <v>6</v>
      </c>
      <c r="B943" t="str">
        <f>"04/29/1988 00:00"</f>
        <v>04/29/1988 00:00</v>
      </c>
      <c r="D943" t="s">
        <v>7</v>
      </c>
      <c r="E943" s="2" t="s">
        <v>12</v>
      </c>
      <c r="F943">
        <f t="shared" si="14"/>
        <v>0</v>
      </c>
      <c r="G943" t="s">
        <v>16</v>
      </c>
    </row>
    <row r="944" spans="1:7" x14ac:dyDescent="0.3">
      <c r="A944" t="s">
        <v>6</v>
      </c>
      <c r="B944" t="str">
        <f>"04/30/1988 00:00"</f>
        <v>04/30/1988 00:00</v>
      </c>
      <c r="D944" t="s">
        <v>7</v>
      </c>
      <c r="E944" s="2" t="s">
        <v>12</v>
      </c>
      <c r="F944">
        <f t="shared" si="14"/>
        <v>0</v>
      </c>
      <c r="G944" t="s">
        <v>16</v>
      </c>
    </row>
    <row r="945" spans="1:7" x14ac:dyDescent="0.3">
      <c r="A945" t="s">
        <v>6</v>
      </c>
      <c r="B945" t="str">
        <f>"05/01/1988 00:00"</f>
        <v>05/01/1988 00:00</v>
      </c>
      <c r="D945" t="s">
        <v>7</v>
      </c>
      <c r="E945" s="2" t="s">
        <v>12</v>
      </c>
      <c r="F945">
        <f t="shared" si="14"/>
        <v>0</v>
      </c>
      <c r="G945" t="s">
        <v>16</v>
      </c>
    </row>
    <row r="946" spans="1:7" x14ac:dyDescent="0.3">
      <c r="A946" t="s">
        <v>6</v>
      </c>
      <c r="B946" t="str">
        <f>"05/02/1988 00:00"</f>
        <v>05/02/1988 00:00</v>
      </c>
      <c r="D946" t="s">
        <v>7</v>
      </c>
      <c r="E946" s="2" t="s">
        <v>12</v>
      </c>
      <c r="F946">
        <f t="shared" si="14"/>
        <v>0</v>
      </c>
      <c r="G946" t="s">
        <v>16</v>
      </c>
    </row>
    <row r="947" spans="1:7" x14ac:dyDescent="0.3">
      <c r="A947" t="s">
        <v>6</v>
      </c>
      <c r="B947" t="str">
        <f>"05/03/1988 00:00"</f>
        <v>05/03/1988 00:00</v>
      </c>
      <c r="D947" t="s">
        <v>7</v>
      </c>
      <c r="E947" s="2" t="s">
        <v>12</v>
      </c>
      <c r="F947">
        <f t="shared" si="14"/>
        <v>0</v>
      </c>
      <c r="G947" t="s">
        <v>16</v>
      </c>
    </row>
    <row r="948" spans="1:7" x14ac:dyDescent="0.3">
      <c r="A948" t="s">
        <v>6</v>
      </c>
      <c r="B948" t="str">
        <f>"05/04/1988 00:00"</f>
        <v>05/04/1988 00:00</v>
      </c>
      <c r="D948" t="s">
        <v>7</v>
      </c>
      <c r="E948" s="2" t="s">
        <v>12</v>
      </c>
      <c r="F948">
        <f t="shared" si="14"/>
        <v>0</v>
      </c>
      <c r="G948" t="s">
        <v>16</v>
      </c>
    </row>
    <row r="949" spans="1:7" x14ac:dyDescent="0.3">
      <c r="A949" t="s">
        <v>6</v>
      </c>
      <c r="B949" t="str">
        <f>"05/05/1988 00:00"</f>
        <v>05/05/1988 00:00</v>
      </c>
      <c r="D949" t="s">
        <v>7</v>
      </c>
      <c r="E949" s="2" t="s">
        <v>12</v>
      </c>
      <c r="F949">
        <f t="shared" si="14"/>
        <v>0</v>
      </c>
      <c r="G949" t="s">
        <v>16</v>
      </c>
    </row>
    <row r="950" spans="1:7" x14ac:dyDescent="0.3">
      <c r="A950" t="s">
        <v>6</v>
      </c>
      <c r="B950" t="str">
        <f>"05/06/1988 00:00"</f>
        <v>05/06/1988 00:00</v>
      </c>
      <c r="D950" t="s">
        <v>7</v>
      </c>
      <c r="E950" s="2" t="s">
        <v>12</v>
      </c>
      <c r="F950">
        <f t="shared" si="14"/>
        <v>0</v>
      </c>
      <c r="G950" t="s">
        <v>16</v>
      </c>
    </row>
    <row r="951" spans="1:7" x14ac:dyDescent="0.3">
      <c r="A951" t="s">
        <v>6</v>
      </c>
      <c r="B951" t="str">
        <f>"05/07/1988 00:00"</f>
        <v>05/07/1988 00:00</v>
      </c>
      <c r="D951" t="s">
        <v>7</v>
      </c>
      <c r="E951" s="2" t="s">
        <v>12</v>
      </c>
      <c r="F951">
        <f t="shared" si="14"/>
        <v>0</v>
      </c>
      <c r="G951" t="s">
        <v>16</v>
      </c>
    </row>
    <row r="952" spans="1:7" x14ac:dyDescent="0.3">
      <c r="A952" t="s">
        <v>6</v>
      </c>
      <c r="B952" t="str">
        <f>"05/08/1988 00:00"</f>
        <v>05/08/1988 00:00</v>
      </c>
      <c r="D952" t="s">
        <v>7</v>
      </c>
      <c r="E952" s="2" t="s">
        <v>12</v>
      </c>
      <c r="F952">
        <f t="shared" si="14"/>
        <v>0</v>
      </c>
      <c r="G952" t="s">
        <v>16</v>
      </c>
    </row>
    <row r="953" spans="1:7" x14ac:dyDescent="0.3">
      <c r="A953" t="s">
        <v>6</v>
      </c>
      <c r="B953" t="str">
        <f>"05/09/1988 00:00"</f>
        <v>05/09/1988 00:00</v>
      </c>
      <c r="D953" t="s">
        <v>7</v>
      </c>
      <c r="E953" s="2" t="s">
        <v>12</v>
      </c>
      <c r="F953">
        <f t="shared" si="14"/>
        <v>0</v>
      </c>
      <c r="G953" t="s">
        <v>16</v>
      </c>
    </row>
    <row r="954" spans="1:7" x14ac:dyDescent="0.3">
      <c r="A954" t="s">
        <v>6</v>
      </c>
      <c r="B954" t="str">
        <f>"05/10/1988 00:00"</f>
        <v>05/10/1988 00:00</v>
      </c>
      <c r="D954" t="s">
        <v>7</v>
      </c>
      <c r="E954" s="2" t="s">
        <v>12</v>
      </c>
      <c r="F954">
        <f t="shared" si="14"/>
        <v>0</v>
      </c>
      <c r="G954" t="s">
        <v>16</v>
      </c>
    </row>
    <row r="955" spans="1:7" x14ac:dyDescent="0.3">
      <c r="A955" t="s">
        <v>6</v>
      </c>
      <c r="B955" t="str">
        <f>"05/11/1988 00:00"</f>
        <v>05/11/1988 00:00</v>
      </c>
      <c r="D955" t="s">
        <v>7</v>
      </c>
      <c r="E955" s="2" t="s">
        <v>12</v>
      </c>
      <c r="F955">
        <f t="shared" si="14"/>
        <v>0</v>
      </c>
      <c r="G955" t="s">
        <v>16</v>
      </c>
    </row>
    <row r="956" spans="1:7" x14ac:dyDescent="0.3">
      <c r="A956" t="s">
        <v>6</v>
      </c>
      <c r="B956" t="str">
        <f>"05/12/1988 00:00"</f>
        <v>05/12/1988 00:00</v>
      </c>
      <c r="D956" t="s">
        <v>7</v>
      </c>
      <c r="E956" s="2" t="s">
        <v>12</v>
      </c>
      <c r="F956">
        <f t="shared" si="14"/>
        <v>0</v>
      </c>
      <c r="G956" t="s">
        <v>16</v>
      </c>
    </row>
    <row r="957" spans="1:7" x14ac:dyDescent="0.3">
      <c r="A957" t="s">
        <v>6</v>
      </c>
      <c r="B957" t="str">
        <f>"05/13/1988 00:00"</f>
        <v>05/13/1988 00:00</v>
      </c>
      <c r="D957" t="s">
        <v>7</v>
      </c>
      <c r="E957" s="2" t="s">
        <v>12</v>
      </c>
      <c r="F957">
        <f t="shared" si="14"/>
        <v>0</v>
      </c>
      <c r="G957" t="s">
        <v>16</v>
      </c>
    </row>
    <row r="958" spans="1:7" x14ac:dyDescent="0.3">
      <c r="A958" t="s">
        <v>6</v>
      </c>
      <c r="B958" t="str">
        <f>"05/14/1988 00:00"</f>
        <v>05/14/1988 00:00</v>
      </c>
      <c r="D958" t="s">
        <v>7</v>
      </c>
      <c r="E958" s="2" t="s">
        <v>12</v>
      </c>
      <c r="F958">
        <f t="shared" si="14"/>
        <v>0</v>
      </c>
      <c r="G958" t="s">
        <v>16</v>
      </c>
    </row>
    <row r="959" spans="1:7" x14ac:dyDescent="0.3">
      <c r="A959" t="s">
        <v>6</v>
      </c>
      <c r="B959" t="str">
        <f>"05/15/1988 00:00"</f>
        <v>05/15/1988 00:00</v>
      </c>
      <c r="D959" t="s">
        <v>7</v>
      </c>
      <c r="E959" s="2" t="s">
        <v>12</v>
      </c>
      <c r="F959">
        <f t="shared" si="14"/>
        <v>0</v>
      </c>
      <c r="G959" t="s">
        <v>16</v>
      </c>
    </row>
    <row r="960" spans="1:7" x14ac:dyDescent="0.3">
      <c r="A960" t="s">
        <v>6</v>
      </c>
      <c r="B960" t="str">
        <f>"05/16/1988 00:00"</f>
        <v>05/16/1988 00:00</v>
      </c>
      <c r="D960" t="s">
        <v>7</v>
      </c>
      <c r="E960" s="2" t="s">
        <v>12</v>
      </c>
      <c r="F960">
        <f t="shared" si="14"/>
        <v>0</v>
      </c>
      <c r="G960" t="s">
        <v>16</v>
      </c>
    </row>
    <row r="961" spans="1:7" x14ac:dyDescent="0.3">
      <c r="A961" t="s">
        <v>6</v>
      </c>
      <c r="B961" t="str">
        <f>"05/17/1988 00:00"</f>
        <v>05/17/1988 00:00</v>
      </c>
      <c r="D961" t="s">
        <v>7</v>
      </c>
      <c r="E961" s="2" t="s">
        <v>12</v>
      </c>
      <c r="F961">
        <f t="shared" si="14"/>
        <v>0</v>
      </c>
      <c r="G961" t="s">
        <v>16</v>
      </c>
    </row>
    <row r="962" spans="1:7" x14ac:dyDescent="0.3">
      <c r="A962" t="s">
        <v>6</v>
      </c>
      <c r="B962" t="str">
        <f>"05/18/1988 00:00"</f>
        <v>05/18/1988 00:00</v>
      </c>
      <c r="D962" t="s">
        <v>7</v>
      </c>
      <c r="E962" s="2" t="s">
        <v>12</v>
      </c>
      <c r="F962">
        <f t="shared" si="14"/>
        <v>0</v>
      </c>
      <c r="G962" t="s">
        <v>16</v>
      </c>
    </row>
    <row r="963" spans="1:7" x14ac:dyDescent="0.3">
      <c r="A963" t="s">
        <v>6</v>
      </c>
      <c r="B963" t="str">
        <f>"05/19/1988 00:00"</f>
        <v>05/19/1988 00:00</v>
      </c>
      <c r="D963" t="s">
        <v>7</v>
      </c>
      <c r="E963" s="2" t="s">
        <v>12</v>
      </c>
      <c r="F963">
        <f t="shared" ref="F963:F1026" si="15">C963*1.983</f>
        <v>0</v>
      </c>
      <c r="G963" t="s">
        <v>16</v>
      </c>
    </row>
    <row r="964" spans="1:7" x14ac:dyDescent="0.3">
      <c r="A964" t="s">
        <v>6</v>
      </c>
      <c r="B964" t="str">
        <f>"05/20/1988 00:00"</f>
        <v>05/20/1988 00:00</v>
      </c>
      <c r="D964" t="s">
        <v>7</v>
      </c>
      <c r="E964" s="2" t="s">
        <v>12</v>
      </c>
      <c r="F964">
        <f t="shared" si="15"/>
        <v>0</v>
      </c>
      <c r="G964" t="s">
        <v>16</v>
      </c>
    </row>
    <row r="965" spans="1:7" x14ac:dyDescent="0.3">
      <c r="A965" t="s">
        <v>6</v>
      </c>
      <c r="B965" t="str">
        <f>"05/21/1988 00:00"</f>
        <v>05/21/1988 00:00</v>
      </c>
      <c r="D965" t="s">
        <v>7</v>
      </c>
      <c r="E965" s="2" t="s">
        <v>12</v>
      </c>
      <c r="F965">
        <f t="shared" si="15"/>
        <v>0</v>
      </c>
      <c r="G965" t="s">
        <v>16</v>
      </c>
    </row>
    <row r="966" spans="1:7" x14ac:dyDescent="0.3">
      <c r="A966" t="s">
        <v>6</v>
      </c>
      <c r="B966" t="str">
        <f>"05/22/1988 00:00"</f>
        <v>05/22/1988 00:00</v>
      </c>
      <c r="D966" t="s">
        <v>7</v>
      </c>
      <c r="E966" s="2" t="s">
        <v>12</v>
      </c>
      <c r="F966">
        <f t="shared" si="15"/>
        <v>0</v>
      </c>
      <c r="G966" t="s">
        <v>16</v>
      </c>
    </row>
    <row r="967" spans="1:7" x14ac:dyDescent="0.3">
      <c r="A967" t="s">
        <v>6</v>
      </c>
      <c r="B967" t="str">
        <f>"05/23/1988 00:00"</f>
        <v>05/23/1988 00:00</v>
      </c>
      <c r="D967" t="s">
        <v>7</v>
      </c>
      <c r="E967" s="2" t="s">
        <v>12</v>
      </c>
      <c r="F967">
        <f t="shared" si="15"/>
        <v>0</v>
      </c>
      <c r="G967" t="s">
        <v>16</v>
      </c>
    </row>
    <row r="968" spans="1:7" x14ac:dyDescent="0.3">
      <c r="A968" t="s">
        <v>6</v>
      </c>
      <c r="B968" t="str">
        <f>"05/24/1988 00:00"</f>
        <v>05/24/1988 00:00</v>
      </c>
      <c r="D968" t="s">
        <v>7</v>
      </c>
      <c r="E968" s="2" t="s">
        <v>12</v>
      </c>
      <c r="F968">
        <f t="shared" si="15"/>
        <v>0</v>
      </c>
      <c r="G968" t="s">
        <v>16</v>
      </c>
    </row>
    <row r="969" spans="1:7" x14ac:dyDescent="0.3">
      <c r="A969" t="s">
        <v>6</v>
      </c>
      <c r="B969" t="str">
        <f>"05/25/1988 00:00"</f>
        <v>05/25/1988 00:00</v>
      </c>
      <c r="D969" t="s">
        <v>7</v>
      </c>
      <c r="E969" s="2" t="s">
        <v>12</v>
      </c>
      <c r="F969">
        <f t="shared" si="15"/>
        <v>0</v>
      </c>
      <c r="G969" t="s">
        <v>16</v>
      </c>
    </row>
    <row r="970" spans="1:7" x14ac:dyDescent="0.3">
      <c r="A970" t="s">
        <v>6</v>
      </c>
      <c r="B970" t="str">
        <f>"05/26/1988 00:00"</f>
        <v>05/26/1988 00:00</v>
      </c>
      <c r="D970" t="s">
        <v>7</v>
      </c>
      <c r="E970" s="2" t="s">
        <v>12</v>
      </c>
      <c r="F970">
        <f t="shared" si="15"/>
        <v>0</v>
      </c>
      <c r="G970" t="s">
        <v>16</v>
      </c>
    </row>
    <row r="971" spans="1:7" x14ac:dyDescent="0.3">
      <c r="A971" t="s">
        <v>6</v>
      </c>
      <c r="B971" t="str">
        <f>"05/27/1988 00:00"</f>
        <v>05/27/1988 00:00</v>
      </c>
      <c r="D971" t="s">
        <v>7</v>
      </c>
      <c r="E971" s="2" t="s">
        <v>12</v>
      </c>
      <c r="F971">
        <f t="shared" si="15"/>
        <v>0</v>
      </c>
      <c r="G971" t="s">
        <v>16</v>
      </c>
    </row>
    <row r="972" spans="1:7" x14ac:dyDescent="0.3">
      <c r="A972" t="s">
        <v>6</v>
      </c>
      <c r="B972" t="str">
        <f>"05/28/1988 00:00"</f>
        <v>05/28/1988 00:00</v>
      </c>
      <c r="D972" t="s">
        <v>7</v>
      </c>
      <c r="E972" s="2" t="s">
        <v>12</v>
      </c>
      <c r="F972">
        <f t="shared" si="15"/>
        <v>0</v>
      </c>
      <c r="G972" t="s">
        <v>16</v>
      </c>
    </row>
    <row r="973" spans="1:7" x14ac:dyDescent="0.3">
      <c r="A973" t="s">
        <v>6</v>
      </c>
      <c r="B973" t="str">
        <f>"05/29/1988 00:00"</f>
        <v>05/29/1988 00:00</v>
      </c>
      <c r="D973" t="s">
        <v>7</v>
      </c>
      <c r="E973" s="2" t="s">
        <v>12</v>
      </c>
      <c r="F973">
        <f t="shared" si="15"/>
        <v>0</v>
      </c>
      <c r="G973" t="s">
        <v>16</v>
      </c>
    </row>
    <row r="974" spans="1:7" x14ac:dyDescent="0.3">
      <c r="A974" t="s">
        <v>6</v>
      </c>
      <c r="B974" t="str">
        <f>"05/30/1988 00:00"</f>
        <v>05/30/1988 00:00</v>
      </c>
      <c r="D974" t="s">
        <v>7</v>
      </c>
      <c r="E974" s="2" t="s">
        <v>12</v>
      </c>
      <c r="F974">
        <f t="shared" si="15"/>
        <v>0</v>
      </c>
      <c r="G974" t="s">
        <v>16</v>
      </c>
    </row>
    <row r="975" spans="1:7" x14ac:dyDescent="0.3">
      <c r="A975" t="s">
        <v>6</v>
      </c>
      <c r="B975" t="str">
        <f>"05/31/1988 00:00"</f>
        <v>05/31/1988 00:00</v>
      </c>
      <c r="D975" t="s">
        <v>7</v>
      </c>
      <c r="E975" s="2" t="s">
        <v>12</v>
      </c>
      <c r="F975">
        <f t="shared" si="15"/>
        <v>0</v>
      </c>
      <c r="G975" t="s">
        <v>16</v>
      </c>
    </row>
    <row r="976" spans="1:7" x14ac:dyDescent="0.3">
      <c r="A976" t="s">
        <v>6</v>
      </c>
      <c r="B976" t="str">
        <f>"06/01/1988 00:00"</f>
        <v>06/01/1988 00:00</v>
      </c>
      <c r="D976" t="s">
        <v>7</v>
      </c>
      <c r="E976" s="2" t="s">
        <v>12</v>
      </c>
      <c r="F976">
        <f t="shared" si="15"/>
        <v>0</v>
      </c>
      <c r="G976" t="s">
        <v>16</v>
      </c>
    </row>
    <row r="977" spans="1:7" x14ac:dyDescent="0.3">
      <c r="A977" t="s">
        <v>6</v>
      </c>
      <c r="B977" t="str">
        <f>"06/02/1988 00:00"</f>
        <v>06/02/1988 00:00</v>
      </c>
      <c r="D977" t="s">
        <v>7</v>
      </c>
      <c r="E977" s="2" t="s">
        <v>12</v>
      </c>
      <c r="F977">
        <f t="shared" si="15"/>
        <v>0</v>
      </c>
      <c r="G977" t="s">
        <v>16</v>
      </c>
    </row>
    <row r="978" spans="1:7" x14ac:dyDescent="0.3">
      <c r="A978" t="s">
        <v>6</v>
      </c>
      <c r="B978" t="str">
        <f>"06/03/1988 00:00"</f>
        <v>06/03/1988 00:00</v>
      </c>
      <c r="D978" t="s">
        <v>7</v>
      </c>
      <c r="E978" s="2" t="s">
        <v>12</v>
      </c>
      <c r="F978">
        <f t="shared" si="15"/>
        <v>0</v>
      </c>
      <c r="G978" t="s">
        <v>16</v>
      </c>
    </row>
    <row r="979" spans="1:7" x14ac:dyDescent="0.3">
      <c r="A979" t="s">
        <v>6</v>
      </c>
      <c r="B979" t="str">
        <f>"06/04/1988 00:00"</f>
        <v>06/04/1988 00:00</v>
      </c>
      <c r="D979" t="s">
        <v>7</v>
      </c>
      <c r="E979" s="2" t="s">
        <v>12</v>
      </c>
      <c r="F979">
        <f t="shared" si="15"/>
        <v>0</v>
      </c>
      <c r="G979" t="s">
        <v>16</v>
      </c>
    </row>
    <row r="980" spans="1:7" x14ac:dyDescent="0.3">
      <c r="A980" t="s">
        <v>6</v>
      </c>
      <c r="B980" t="str">
        <f>"06/05/1988 00:00"</f>
        <v>06/05/1988 00:00</v>
      </c>
      <c r="D980" t="s">
        <v>7</v>
      </c>
      <c r="E980" s="2" t="s">
        <v>12</v>
      </c>
      <c r="F980">
        <f t="shared" si="15"/>
        <v>0</v>
      </c>
      <c r="G980" t="s">
        <v>16</v>
      </c>
    </row>
    <row r="981" spans="1:7" x14ac:dyDescent="0.3">
      <c r="A981" t="s">
        <v>6</v>
      </c>
      <c r="B981" t="str">
        <f>"06/06/1988 00:00"</f>
        <v>06/06/1988 00:00</v>
      </c>
      <c r="D981" t="s">
        <v>7</v>
      </c>
      <c r="E981" s="2" t="s">
        <v>12</v>
      </c>
      <c r="F981">
        <f t="shared" si="15"/>
        <v>0</v>
      </c>
      <c r="G981" t="s">
        <v>16</v>
      </c>
    </row>
    <row r="982" spans="1:7" x14ac:dyDescent="0.3">
      <c r="A982" t="s">
        <v>6</v>
      </c>
      <c r="B982" t="str">
        <f>"06/07/1988 00:00"</f>
        <v>06/07/1988 00:00</v>
      </c>
      <c r="D982" t="s">
        <v>7</v>
      </c>
      <c r="E982" s="2" t="s">
        <v>12</v>
      </c>
      <c r="F982">
        <f t="shared" si="15"/>
        <v>0</v>
      </c>
      <c r="G982" t="s">
        <v>16</v>
      </c>
    </row>
    <row r="983" spans="1:7" x14ac:dyDescent="0.3">
      <c r="A983" t="s">
        <v>6</v>
      </c>
      <c r="B983" t="str">
        <f>"06/08/1988 00:00"</f>
        <v>06/08/1988 00:00</v>
      </c>
      <c r="D983" t="s">
        <v>7</v>
      </c>
      <c r="E983" s="2" t="s">
        <v>12</v>
      </c>
      <c r="F983">
        <f t="shared" si="15"/>
        <v>0</v>
      </c>
      <c r="G983" t="s">
        <v>16</v>
      </c>
    </row>
    <row r="984" spans="1:7" x14ac:dyDescent="0.3">
      <c r="A984" t="s">
        <v>6</v>
      </c>
      <c r="B984" t="str">
        <f>"06/09/1988 00:00"</f>
        <v>06/09/1988 00:00</v>
      </c>
      <c r="D984" t="s">
        <v>7</v>
      </c>
      <c r="E984" s="2" t="s">
        <v>12</v>
      </c>
      <c r="F984">
        <f t="shared" si="15"/>
        <v>0</v>
      </c>
      <c r="G984" t="s">
        <v>16</v>
      </c>
    </row>
    <row r="985" spans="1:7" x14ac:dyDescent="0.3">
      <c r="A985" t="s">
        <v>6</v>
      </c>
      <c r="B985" t="str">
        <f>"06/10/1988 00:00"</f>
        <v>06/10/1988 00:00</v>
      </c>
      <c r="D985" t="s">
        <v>7</v>
      </c>
      <c r="E985" s="2" t="s">
        <v>12</v>
      </c>
      <c r="F985">
        <f t="shared" si="15"/>
        <v>0</v>
      </c>
      <c r="G985" t="s">
        <v>16</v>
      </c>
    </row>
    <row r="986" spans="1:7" x14ac:dyDescent="0.3">
      <c r="A986" t="s">
        <v>6</v>
      </c>
      <c r="B986" t="str">
        <f>"06/11/1988 00:00"</f>
        <v>06/11/1988 00:00</v>
      </c>
      <c r="D986" t="s">
        <v>7</v>
      </c>
      <c r="E986" s="2" t="s">
        <v>12</v>
      </c>
      <c r="F986">
        <f t="shared" si="15"/>
        <v>0</v>
      </c>
      <c r="G986" t="s">
        <v>16</v>
      </c>
    </row>
    <row r="987" spans="1:7" x14ac:dyDescent="0.3">
      <c r="A987" t="s">
        <v>6</v>
      </c>
      <c r="B987" t="str">
        <f>"06/12/1988 00:00"</f>
        <v>06/12/1988 00:00</v>
      </c>
      <c r="D987" t="s">
        <v>7</v>
      </c>
      <c r="E987" s="2" t="s">
        <v>12</v>
      </c>
      <c r="F987">
        <f t="shared" si="15"/>
        <v>0</v>
      </c>
      <c r="G987" t="s">
        <v>16</v>
      </c>
    </row>
    <row r="988" spans="1:7" x14ac:dyDescent="0.3">
      <c r="A988" t="s">
        <v>6</v>
      </c>
      <c r="B988" t="str">
        <f>"06/13/1988 00:00"</f>
        <v>06/13/1988 00:00</v>
      </c>
      <c r="D988" t="s">
        <v>7</v>
      </c>
      <c r="E988" s="2" t="s">
        <v>12</v>
      </c>
      <c r="F988">
        <f t="shared" si="15"/>
        <v>0</v>
      </c>
      <c r="G988" t="s">
        <v>16</v>
      </c>
    </row>
    <row r="989" spans="1:7" x14ac:dyDescent="0.3">
      <c r="A989" t="s">
        <v>6</v>
      </c>
      <c r="B989" t="str">
        <f>"06/14/1988 00:00"</f>
        <v>06/14/1988 00:00</v>
      </c>
      <c r="D989" t="s">
        <v>7</v>
      </c>
      <c r="E989" s="2" t="s">
        <v>12</v>
      </c>
      <c r="F989">
        <f t="shared" si="15"/>
        <v>0</v>
      </c>
      <c r="G989" t="s">
        <v>16</v>
      </c>
    </row>
    <row r="990" spans="1:7" x14ac:dyDescent="0.3">
      <c r="A990" t="s">
        <v>6</v>
      </c>
      <c r="B990" t="str">
        <f>"06/15/1988 00:00"</f>
        <v>06/15/1988 00:00</v>
      </c>
      <c r="D990" t="s">
        <v>7</v>
      </c>
      <c r="E990" s="2" t="s">
        <v>12</v>
      </c>
      <c r="F990">
        <f t="shared" si="15"/>
        <v>0</v>
      </c>
      <c r="G990" t="s">
        <v>16</v>
      </c>
    </row>
    <row r="991" spans="1:7" x14ac:dyDescent="0.3">
      <c r="A991" t="s">
        <v>6</v>
      </c>
      <c r="B991" t="str">
        <f>"06/16/1988 00:00"</f>
        <v>06/16/1988 00:00</v>
      </c>
      <c r="D991" t="s">
        <v>7</v>
      </c>
      <c r="E991" s="2" t="s">
        <v>12</v>
      </c>
      <c r="F991">
        <f t="shared" si="15"/>
        <v>0</v>
      </c>
      <c r="G991" t="s">
        <v>16</v>
      </c>
    </row>
    <row r="992" spans="1:7" x14ac:dyDescent="0.3">
      <c r="A992" t="s">
        <v>6</v>
      </c>
      <c r="B992" t="str">
        <f>"06/17/1988 00:00"</f>
        <v>06/17/1988 00:00</v>
      </c>
      <c r="D992" t="s">
        <v>7</v>
      </c>
      <c r="E992" s="2" t="s">
        <v>12</v>
      </c>
      <c r="F992">
        <f t="shared" si="15"/>
        <v>0</v>
      </c>
      <c r="G992" t="s">
        <v>16</v>
      </c>
    </row>
    <row r="993" spans="1:7" x14ac:dyDescent="0.3">
      <c r="A993" t="s">
        <v>6</v>
      </c>
      <c r="B993" t="str">
        <f>"06/18/1988 00:00"</f>
        <v>06/18/1988 00:00</v>
      </c>
      <c r="D993" t="s">
        <v>7</v>
      </c>
      <c r="E993" s="2" t="s">
        <v>12</v>
      </c>
      <c r="F993">
        <f t="shared" si="15"/>
        <v>0</v>
      </c>
      <c r="G993" t="s">
        <v>16</v>
      </c>
    </row>
    <row r="994" spans="1:7" x14ac:dyDescent="0.3">
      <c r="A994" t="s">
        <v>6</v>
      </c>
      <c r="B994" t="str">
        <f>"06/19/1988 00:00"</f>
        <v>06/19/1988 00:00</v>
      </c>
      <c r="D994" t="s">
        <v>7</v>
      </c>
      <c r="E994" s="2" t="s">
        <v>12</v>
      </c>
      <c r="F994">
        <f t="shared" si="15"/>
        <v>0</v>
      </c>
      <c r="G994" t="s">
        <v>16</v>
      </c>
    </row>
    <row r="995" spans="1:7" x14ac:dyDescent="0.3">
      <c r="A995" t="s">
        <v>6</v>
      </c>
      <c r="B995" t="str">
        <f>"06/20/1988 00:00"</f>
        <v>06/20/1988 00:00</v>
      </c>
      <c r="D995" t="s">
        <v>7</v>
      </c>
      <c r="E995" s="2" t="s">
        <v>12</v>
      </c>
      <c r="F995">
        <f t="shared" si="15"/>
        <v>0</v>
      </c>
      <c r="G995" t="s">
        <v>16</v>
      </c>
    </row>
    <row r="996" spans="1:7" x14ac:dyDescent="0.3">
      <c r="A996" t="s">
        <v>6</v>
      </c>
      <c r="B996" t="str">
        <f>"06/21/1988 00:00"</f>
        <v>06/21/1988 00:00</v>
      </c>
      <c r="D996" t="s">
        <v>7</v>
      </c>
      <c r="E996" s="2" t="s">
        <v>12</v>
      </c>
      <c r="F996">
        <f t="shared" si="15"/>
        <v>0</v>
      </c>
      <c r="G996" t="s">
        <v>16</v>
      </c>
    </row>
    <row r="997" spans="1:7" x14ac:dyDescent="0.3">
      <c r="A997" t="s">
        <v>6</v>
      </c>
      <c r="B997" t="str">
        <f>"06/22/1988 00:00"</f>
        <v>06/22/1988 00:00</v>
      </c>
      <c r="D997" t="s">
        <v>7</v>
      </c>
      <c r="E997" s="2" t="s">
        <v>12</v>
      </c>
      <c r="F997">
        <f t="shared" si="15"/>
        <v>0</v>
      </c>
      <c r="G997" t="s">
        <v>16</v>
      </c>
    </row>
    <row r="998" spans="1:7" x14ac:dyDescent="0.3">
      <c r="A998" t="s">
        <v>6</v>
      </c>
      <c r="B998" t="str">
        <f>"06/23/1988 00:00"</f>
        <v>06/23/1988 00:00</v>
      </c>
      <c r="D998" t="s">
        <v>7</v>
      </c>
      <c r="E998" s="2" t="s">
        <v>12</v>
      </c>
      <c r="F998">
        <f t="shared" si="15"/>
        <v>0</v>
      </c>
      <c r="G998" t="s">
        <v>16</v>
      </c>
    </row>
    <row r="999" spans="1:7" x14ac:dyDescent="0.3">
      <c r="A999" t="s">
        <v>6</v>
      </c>
      <c r="B999" t="str">
        <f>"06/24/1988 00:00"</f>
        <v>06/24/1988 00:00</v>
      </c>
      <c r="D999" t="s">
        <v>7</v>
      </c>
      <c r="E999" s="2" t="s">
        <v>12</v>
      </c>
      <c r="F999">
        <f t="shared" si="15"/>
        <v>0</v>
      </c>
      <c r="G999" t="s">
        <v>16</v>
      </c>
    </row>
    <row r="1000" spans="1:7" x14ac:dyDescent="0.3">
      <c r="A1000" t="s">
        <v>6</v>
      </c>
      <c r="B1000" t="str">
        <f>"06/25/1988 00:00"</f>
        <v>06/25/1988 00:00</v>
      </c>
      <c r="D1000" t="s">
        <v>7</v>
      </c>
      <c r="E1000" s="2" t="s">
        <v>12</v>
      </c>
      <c r="F1000">
        <f t="shared" si="15"/>
        <v>0</v>
      </c>
      <c r="G1000" t="s">
        <v>16</v>
      </c>
    </row>
    <row r="1001" spans="1:7" x14ac:dyDescent="0.3">
      <c r="A1001" t="s">
        <v>6</v>
      </c>
      <c r="B1001" t="str">
        <f>"06/26/1988 00:00"</f>
        <v>06/26/1988 00:00</v>
      </c>
      <c r="D1001" t="s">
        <v>7</v>
      </c>
      <c r="E1001" s="2" t="s">
        <v>12</v>
      </c>
      <c r="F1001">
        <f t="shared" si="15"/>
        <v>0</v>
      </c>
      <c r="G1001" t="s">
        <v>16</v>
      </c>
    </row>
    <row r="1002" spans="1:7" x14ac:dyDescent="0.3">
      <c r="A1002" t="s">
        <v>6</v>
      </c>
      <c r="B1002" t="str">
        <f>"06/27/1988 00:00"</f>
        <v>06/27/1988 00:00</v>
      </c>
      <c r="D1002" t="s">
        <v>7</v>
      </c>
      <c r="E1002" s="2" t="s">
        <v>12</v>
      </c>
      <c r="F1002">
        <f t="shared" si="15"/>
        <v>0</v>
      </c>
      <c r="G1002" t="s">
        <v>16</v>
      </c>
    </row>
    <row r="1003" spans="1:7" x14ac:dyDescent="0.3">
      <c r="A1003" t="s">
        <v>6</v>
      </c>
      <c r="B1003" t="str">
        <f>"06/28/1988 00:00"</f>
        <v>06/28/1988 00:00</v>
      </c>
      <c r="D1003" t="s">
        <v>7</v>
      </c>
      <c r="E1003" s="2" t="s">
        <v>12</v>
      </c>
      <c r="F1003">
        <f t="shared" si="15"/>
        <v>0</v>
      </c>
      <c r="G1003" t="s">
        <v>16</v>
      </c>
    </row>
    <row r="1004" spans="1:7" x14ac:dyDescent="0.3">
      <c r="A1004" t="s">
        <v>6</v>
      </c>
      <c r="B1004" t="str">
        <f>"06/29/1988 00:00"</f>
        <v>06/29/1988 00:00</v>
      </c>
      <c r="D1004" t="s">
        <v>7</v>
      </c>
      <c r="E1004" s="2" t="s">
        <v>12</v>
      </c>
      <c r="F1004">
        <f t="shared" si="15"/>
        <v>0</v>
      </c>
      <c r="G1004" t="s">
        <v>16</v>
      </c>
    </row>
    <row r="1005" spans="1:7" x14ac:dyDescent="0.3">
      <c r="A1005" t="s">
        <v>6</v>
      </c>
      <c r="B1005" t="str">
        <f>"06/30/1988 00:00"</f>
        <v>06/30/1988 00:00</v>
      </c>
      <c r="D1005" t="s">
        <v>7</v>
      </c>
      <c r="E1005" s="2" t="s">
        <v>12</v>
      </c>
      <c r="F1005">
        <f t="shared" si="15"/>
        <v>0</v>
      </c>
      <c r="G1005" t="s">
        <v>16</v>
      </c>
    </row>
    <row r="1006" spans="1:7" x14ac:dyDescent="0.3">
      <c r="A1006" t="s">
        <v>6</v>
      </c>
      <c r="B1006" t="str">
        <f>"07/01/1988 00:00"</f>
        <v>07/01/1988 00:00</v>
      </c>
      <c r="D1006" t="s">
        <v>7</v>
      </c>
      <c r="E1006" s="2" t="s">
        <v>12</v>
      </c>
      <c r="F1006">
        <f t="shared" si="15"/>
        <v>0</v>
      </c>
      <c r="G1006" t="s">
        <v>16</v>
      </c>
    </row>
    <row r="1007" spans="1:7" x14ac:dyDescent="0.3">
      <c r="A1007" t="s">
        <v>6</v>
      </c>
      <c r="B1007" t="str">
        <f>"07/02/1988 00:00"</f>
        <v>07/02/1988 00:00</v>
      </c>
      <c r="D1007" t="s">
        <v>7</v>
      </c>
      <c r="E1007" s="2" t="s">
        <v>12</v>
      </c>
      <c r="F1007">
        <f t="shared" si="15"/>
        <v>0</v>
      </c>
      <c r="G1007" t="s">
        <v>16</v>
      </c>
    </row>
    <row r="1008" spans="1:7" x14ac:dyDescent="0.3">
      <c r="A1008" t="s">
        <v>6</v>
      </c>
      <c r="B1008" t="str">
        <f>"07/03/1988 00:00"</f>
        <v>07/03/1988 00:00</v>
      </c>
      <c r="D1008" t="s">
        <v>7</v>
      </c>
      <c r="E1008" s="2" t="s">
        <v>12</v>
      </c>
      <c r="F1008">
        <f t="shared" si="15"/>
        <v>0</v>
      </c>
      <c r="G1008" t="s">
        <v>16</v>
      </c>
    </row>
    <row r="1009" spans="1:10" x14ac:dyDescent="0.3">
      <c r="A1009" t="s">
        <v>6</v>
      </c>
      <c r="B1009" t="str">
        <f>"07/04/1988 00:00"</f>
        <v>07/04/1988 00:00</v>
      </c>
      <c r="D1009" t="s">
        <v>7</v>
      </c>
      <c r="E1009" s="2" t="s">
        <v>12</v>
      </c>
      <c r="F1009">
        <f t="shared" si="15"/>
        <v>0</v>
      </c>
      <c r="G1009" t="s">
        <v>16</v>
      </c>
    </row>
    <row r="1010" spans="1:10" x14ac:dyDescent="0.3">
      <c r="A1010" t="s">
        <v>6</v>
      </c>
      <c r="B1010" t="str">
        <f>"07/05/1988 00:00"</f>
        <v>07/05/1988 00:00</v>
      </c>
      <c r="D1010" t="s">
        <v>7</v>
      </c>
      <c r="E1010" s="2" t="s">
        <v>12</v>
      </c>
      <c r="F1010">
        <f t="shared" si="15"/>
        <v>0</v>
      </c>
      <c r="G1010" t="s">
        <v>16</v>
      </c>
    </row>
    <row r="1011" spans="1:10" x14ac:dyDescent="0.3">
      <c r="A1011" t="s">
        <v>6</v>
      </c>
      <c r="B1011" t="str">
        <f>"07/06/1988 00:00"</f>
        <v>07/06/1988 00:00</v>
      </c>
      <c r="D1011" t="s">
        <v>7</v>
      </c>
      <c r="E1011" s="2" t="s">
        <v>12</v>
      </c>
      <c r="F1011">
        <f t="shared" si="15"/>
        <v>0</v>
      </c>
      <c r="G1011" t="s">
        <v>16</v>
      </c>
    </row>
    <row r="1012" spans="1:10" x14ac:dyDescent="0.3">
      <c r="A1012" t="s">
        <v>6</v>
      </c>
      <c r="B1012" t="str">
        <f>"07/07/1988 00:00"</f>
        <v>07/07/1988 00:00</v>
      </c>
      <c r="D1012" t="s">
        <v>7</v>
      </c>
      <c r="E1012" s="2" t="s">
        <v>12</v>
      </c>
      <c r="F1012">
        <f t="shared" si="15"/>
        <v>0</v>
      </c>
      <c r="G1012" t="s">
        <v>16</v>
      </c>
    </row>
    <row r="1013" spans="1:10" x14ac:dyDescent="0.3">
      <c r="A1013" t="s">
        <v>6</v>
      </c>
      <c r="B1013" t="str">
        <f>"07/08/1988 00:00"</f>
        <v>07/08/1988 00:00</v>
      </c>
      <c r="D1013" t="s">
        <v>7</v>
      </c>
      <c r="E1013" s="2" t="s">
        <v>12</v>
      </c>
      <c r="F1013">
        <f t="shared" si="15"/>
        <v>0</v>
      </c>
      <c r="G1013" t="s">
        <v>16</v>
      </c>
    </row>
    <row r="1014" spans="1:10" x14ac:dyDescent="0.3">
      <c r="A1014" t="s">
        <v>6</v>
      </c>
      <c r="B1014" t="str">
        <f>"07/09/1988 00:00"</f>
        <v>07/09/1988 00:00</v>
      </c>
      <c r="D1014" t="s">
        <v>7</v>
      </c>
      <c r="E1014" s="2" t="s">
        <v>12</v>
      </c>
      <c r="F1014">
        <f t="shared" si="15"/>
        <v>0</v>
      </c>
      <c r="G1014" t="s">
        <v>16</v>
      </c>
    </row>
    <row r="1015" spans="1:10" x14ac:dyDescent="0.3">
      <c r="A1015" t="s">
        <v>6</v>
      </c>
      <c r="B1015" t="str">
        <f>"07/10/1988 00:00"</f>
        <v>07/10/1988 00:00</v>
      </c>
      <c r="D1015" t="s">
        <v>7</v>
      </c>
      <c r="E1015" s="2" t="s">
        <v>12</v>
      </c>
      <c r="F1015">
        <f t="shared" si="15"/>
        <v>0</v>
      </c>
      <c r="G1015" t="s">
        <v>16</v>
      </c>
    </row>
    <row r="1016" spans="1:10" x14ac:dyDescent="0.3">
      <c r="A1016" t="s">
        <v>6</v>
      </c>
      <c r="B1016" t="str">
        <f>"07/11/1988 00:00"</f>
        <v>07/11/1988 00:00</v>
      </c>
      <c r="C1016">
        <v>267</v>
      </c>
      <c r="D1016" t="s">
        <v>7</v>
      </c>
      <c r="E1016" s="2" t="s">
        <v>12</v>
      </c>
      <c r="F1016">
        <f t="shared" si="15"/>
        <v>529.46100000000001</v>
      </c>
      <c r="G1016" t="s">
        <v>16</v>
      </c>
      <c r="J1016" t="str">
        <f>"07/11/1988 23:45"</f>
        <v>07/11/1988 23:45</v>
      </c>
    </row>
    <row r="1017" spans="1:10" x14ac:dyDescent="0.3">
      <c r="A1017" t="s">
        <v>6</v>
      </c>
      <c r="B1017" t="str">
        <f>"07/12/1988 00:00"</f>
        <v>07/12/1988 00:00</v>
      </c>
      <c r="C1017">
        <v>422</v>
      </c>
      <c r="D1017" t="s">
        <v>7</v>
      </c>
      <c r="E1017" s="2" t="s">
        <v>12</v>
      </c>
      <c r="F1017">
        <f t="shared" si="15"/>
        <v>836.82600000000002</v>
      </c>
      <c r="G1017" t="s">
        <v>16</v>
      </c>
      <c r="J1017" t="str">
        <f>"07/12/1988 23:45"</f>
        <v>07/12/1988 23:45</v>
      </c>
    </row>
    <row r="1018" spans="1:10" x14ac:dyDescent="0.3">
      <c r="A1018" t="s">
        <v>6</v>
      </c>
      <c r="B1018" t="str">
        <f>"07/13/1988 00:00"</f>
        <v>07/13/1988 00:00</v>
      </c>
      <c r="C1018">
        <v>422</v>
      </c>
      <c r="D1018" t="s">
        <v>7</v>
      </c>
      <c r="E1018" s="2" t="s">
        <v>12</v>
      </c>
      <c r="F1018">
        <f t="shared" si="15"/>
        <v>836.82600000000002</v>
      </c>
      <c r="G1018" t="s">
        <v>16</v>
      </c>
      <c r="J1018" t="str">
        <f>"07/13/1988 23:45"</f>
        <v>07/13/1988 23:45</v>
      </c>
    </row>
    <row r="1019" spans="1:10" x14ac:dyDescent="0.3">
      <c r="A1019" t="s">
        <v>6</v>
      </c>
      <c r="B1019" t="str">
        <f>"07/14/1988 00:00"</f>
        <v>07/14/1988 00:00</v>
      </c>
      <c r="C1019">
        <v>422</v>
      </c>
      <c r="D1019" t="s">
        <v>7</v>
      </c>
      <c r="E1019" s="2" t="s">
        <v>12</v>
      </c>
      <c r="F1019">
        <f t="shared" si="15"/>
        <v>836.82600000000002</v>
      </c>
      <c r="G1019" t="s">
        <v>16</v>
      </c>
      <c r="J1019" t="str">
        <f>"07/14/1988 23:45"</f>
        <v>07/14/1988 23:45</v>
      </c>
    </row>
    <row r="1020" spans="1:10" x14ac:dyDescent="0.3">
      <c r="A1020" t="s">
        <v>6</v>
      </c>
      <c r="B1020" t="str">
        <f>"07/15/1988 00:00"</f>
        <v>07/15/1988 00:00</v>
      </c>
      <c r="C1020">
        <v>422</v>
      </c>
      <c r="D1020" t="s">
        <v>7</v>
      </c>
      <c r="E1020" s="2" t="s">
        <v>12</v>
      </c>
      <c r="F1020">
        <f t="shared" si="15"/>
        <v>836.82600000000002</v>
      </c>
      <c r="G1020" t="s">
        <v>16</v>
      </c>
      <c r="J1020" t="str">
        <f>"07/15/1988 23:45"</f>
        <v>07/15/1988 23:45</v>
      </c>
    </row>
    <row r="1021" spans="1:10" x14ac:dyDescent="0.3">
      <c r="A1021" t="s">
        <v>6</v>
      </c>
      <c r="B1021" t="str">
        <f>"07/16/1988 00:00"</f>
        <v>07/16/1988 00:00</v>
      </c>
      <c r="C1021">
        <v>422</v>
      </c>
      <c r="D1021" t="s">
        <v>7</v>
      </c>
      <c r="E1021" s="2" t="s">
        <v>12</v>
      </c>
      <c r="F1021">
        <f t="shared" si="15"/>
        <v>836.82600000000002</v>
      </c>
      <c r="G1021" t="s">
        <v>16</v>
      </c>
      <c r="J1021" t="str">
        <f>"07/16/1988 23:45"</f>
        <v>07/16/1988 23:45</v>
      </c>
    </row>
    <row r="1022" spans="1:10" x14ac:dyDescent="0.3">
      <c r="A1022" t="s">
        <v>6</v>
      </c>
      <c r="B1022" t="str">
        <f>"07/17/1988 00:00"</f>
        <v>07/17/1988 00:00</v>
      </c>
      <c r="C1022">
        <v>421</v>
      </c>
      <c r="D1022" t="s">
        <v>7</v>
      </c>
      <c r="E1022" s="2" t="s">
        <v>12</v>
      </c>
      <c r="F1022">
        <f t="shared" si="15"/>
        <v>834.84300000000007</v>
      </c>
      <c r="G1022" t="s">
        <v>16</v>
      </c>
      <c r="J1022" t="str">
        <f>"07/17/1988 23:45"</f>
        <v>07/17/1988 23:45</v>
      </c>
    </row>
    <row r="1023" spans="1:10" x14ac:dyDescent="0.3">
      <c r="A1023" t="s">
        <v>6</v>
      </c>
      <c r="B1023" t="str">
        <f>"07/18/1988 00:00"</f>
        <v>07/18/1988 00:00</v>
      </c>
      <c r="C1023">
        <v>332</v>
      </c>
      <c r="D1023" t="s">
        <v>7</v>
      </c>
      <c r="E1023" s="2" t="s">
        <v>12</v>
      </c>
      <c r="F1023">
        <f t="shared" si="15"/>
        <v>658.35599999999999</v>
      </c>
      <c r="G1023" t="s">
        <v>16</v>
      </c>
      <c r="J1023" t="str">
        <f>"07/18/1988 23:45"</f>
        <v>07/18/1988 23:45</v>
      </c>
    </row>
    <row r="1024" spans="1:10" x14ac:dyDescent="0.3">
      <c r="A1024" t="s">
        <v>6</v>
      </c>
      <c r="B1024" t="str">
        <f>"07/19/1988 00:00"</f>
        <v>07/19/1988 00:00</v>
      </c>
      <c r="C1024">
        <v>222</v>
      </c>
      <c r="D1024" t="s">
        <v>7</v>
      </c>
      <c r="E1024" s="2" t="s">
        <v>12</v>
      </c>
      <c r="F1024">
        <f t="shared" si="15"/>
        <v>440.226</v>
      </c>
      <c r="G1024" t="s">
        <v>16</v>
      </c>
      <c r="I1024" t="s">
        <v>8</v>
      </c>
      <c r="J1024" t="str">
        <f>"07/19/1988 23:45"</f>
        <v>07/19/1988 23:45</v>
      </c>
    </row>
    <row r="1025" spans="1:10" x14ac:dyDescent="0.3">
      <c r="A1025" t="s">
        <v>6</v>
      </c>
      <c r="B1025" t="str">
        <f>"07/20/1988 00:00"</f>
        <v>07/20/1988 00:00</v>
      </c>
      <c r="C1025">
        <v>216</v>
      </c>
      <c r="D1025" t="s">
        <v>7</v>
      </c>
      <c r="E1025" s="2" t="s">
        <v>12</v>
      </c>
      <c r="F1025">
        <f t="shared" si="15"/>
        <v>428.32800000000003</v>
      </c>
      <c r="G1025" t="s">
        <v>16</v>
      </c>
      <c r="I1025" t="s">
        <v>8</v>
      </c>
      <c r="J1025" t="str">
        <f>"07/20/1988 23:45"</f>
        <v>07/20/1988 23:45</v>
      </c>
    </row>
    <row r="1026" spans="1:10" x14ac:dyDescent="0.3">
      <c r="A1026" t="s">
        <v>6</v>
      </c>
      <c r="B1026" t="str">
        <f>"07/21/1988 00:00"</f>
        <v>07/21/1988 00:00</v>
      </c>
      <c r="C1026">
        <v>217</v>
      </c>
      <c r="D1026" t="s">
        <v>7</v>
      </c>
      <c r="E1026" s="2" t="s">
        <v>12</v>
      </c>
      <c r="F1026">
        <f t="shared" si="15"/>
        <v>430.31100000000004</v>
      </c>
      <c r="G1026" t="s">
        <v>16</v>
      </c>
      <c r="J1026" t="str">
        <f>"07/21/1988 23:45"</f>
        <v>07/21/1988 23:45</v>
      </c>
    </row>
    <row r="1027" spans="1:10" x14ac:dyDescent="0.3">
      <c r="A1027" t="s">
        <v>6</v>
      </c>
      <c r="B1027" t="str">
        <f>"07/22/1988 00:00"</f>
        <v>07/22/1988 00:00</v>
      </c>
      <c r="C1027">
        <v>217</v>
      </c>
      <c r="D1027" t="s">
        <v>7</v>
      </c>
      <c r="E1027" s="2" t="s">
        <v>12</v>
      </c>
      <c r="F1027">
        <f t="shared" ref="F1027:F1090" si="16">C1027*1.983</f>
        <v>430.31100000000004</v>
      </c>
      <c r="G1027" t="s">
        <v>16</v>
      </c>
      <c r="I1027" t="s">
        <v>8</v>
      </c>
      <c r="J1027" t="str">
        <f>"07/22/1988 23:45"</f>
        <v>07/22/1988 23:45</v>
      </c>
    </row>
    <row r="1028" spans="1:10" x14ac:dyDescent="0.3">
      <c r="A1028" t="s">
        <v>6</v>
      </c>
      <c r="B1028" t="str">
        <f>"07/23/1988 00:00"</f>
        <v>07/23/1988 00:00</v>
      </c>
      <c r="C1028">
        <v>217</v>
      </c>
      <c r="D1028" t="s">
        <v>7</v>
      </c>
      <c r="E1028" s="2" t="s">
        <v>12</v>
      </c>
      <c r="F1028">
        <f t="shared" si="16"/>
        <v>430.31100000000004</v>
      </c>
      <c r="G1028" t="s">
        <v>16</v>
      </c>
      <c r="I1028" t="s">
        <v>35</v>
      </c>
      <c r="J1028" t="str">
        <f>"07/23/1988 23:45"</f>
        <v>07/23/1988 23:45</v>
      </c>
    </row>
    <row r="1029" spans="1:10" x14ac:dyDescent="0.3">
      <c r="A1029" t="s">
        <v>6</v>
      </c>
      <c r="B1029" t="str">
        <f>"07/24/1988 00:00"</f>
        <v>07/24/1988 00:00</v>
      </c>
      <c r="C1029">
        <v>217</v>
      </c>
      <c r="D1029" t="s">
        <v>7</v>
      </c>
      <c r="E1029" s="2" t="s">
        <v>12</v>
      </c>
      <c r="F1029">
        <f t="shared" si="16"/>
        <v>430.31100000000004</v>
      </c>
      <c r="G1029" t="s">
        <v>16</v>
      </c>
      <c r="I1029" t="s">
        <v>8</v>
      </c>
      <c r="J1029" t="str">
        <f>"07/24/1988 22:45"</f>
        <v>07/24/1988 22:45</v>
      </c>
    </row>
    <row r="1030" spans="1:10" x14ac:dyDescent="0.3">
      <c r="A1030" t="s">
        <v>6</v>
      </c>
      <c r="B1030" t="str">
        <f>"07/25/1988 00:00"</f>
        <v>07/25/1988 00:00</v>
      </c>
      <c r="C1030">
        <v>217</v>
      </c>
      <c r="D1030" t="s">
        <v>7</v>
      </c>
      <c r="E1030" s="2" t="s">
        <v>12</v>
      </c>
      <c r="F1030">
        <f t="shared" si="16"/>
        <v>430.31100000000004</v>
      </c>
      <c r="G1030" t="s">
        <v>16</v>
      </c>
      <c r="I1030" t="s">
        <v>8</v>
      </c>
      <c r="J1030" t="str">
        <f>"07/25/1988 23:45"</f>
        <v>07/25/1988 23:45</v>
      </c>
    </row>
    <row r="1031" spans="1:10" x14ac:dyDescent="0.3">
      <c r="A1031" t="s">
        <v>6</v>
      </c>
      <c r="B1031" t="str">
        <f>"07/26/1988 00:00"</f>
        <v>07/26/1988 00:00</v>
      </c>
      <c r="C1031">
        <v>216</v>
      </c>
      <c r="D1031" t="s">
        <v>7</v>
      </c>
      <c r="E1031" s="2" t="s">
        <v>12</v>
      </c>
      <c r="F1031">
        <f t="shared" si="16"/>
        <v>428.32800000000003</v>
      </c>
      <c r="G1031" t="s">
        <v>16</v>
      </c>
      <c r="I1031" t="s">
        <v>8</v>
      </c>
      <c r="J1031" t="str">
        <f>"07/26/1988 23:45"</f>
        <v>07/26/1988 23:45</v>
      </c>
    </row>
    <row r="1032" spans="1:10" x14ac:dyDescent="0.3">
      <c r="A1032" t="s">
        <v>6</v>
      </c>
      <c r="B1032" t="str">
        <f>"07/27/1988 00:00"</f>
        <v>07/27/1988 00:00</v>
      </c>
      <c r="C1032">
        <v>213</v>
      </c>
      <c r="D1032" t="s">
        <v>7</v>
      </c>
      <c r="E1032" s="2" t="s">
        <v>12</v>
      </c>
      <c r="F1032">
        <f t="shared" si="16"/>
        <v>422.37900000000002</v>
      </c>
      <c r="G1032" t="s">
        <v>16</v>
      </c>
      <c r="J1032" t="str">
        <f>"07/27/1988 23:45"</f>
        <v>07/27/1988 23:45</v>
      </c>
    </row>
    <row r="1033" spans="1:10" x14ac:dyDescent="0.3">
      <c r="A1033" t="s">
        <v>6</v>
      </c>
      <c r="B1033" t="str">
        <f>"07/28/1988 00:00"</f>
        <v>07/28/1988 00:00</v>
      </c>
      <c r="C1033">
        <v>215</v>
      </c>
      <c r="D1033" t="s">
        <v>7</v>
      </c>
      <c r="E1033" s="2" t="s">
        <v>12</v>
      </c>
      <c r="F1033">
        <f t="shared" si="16"/>
        <v>426.34500000000003</v>
      </c>
      <c r="G1033" t="s">
        <v>16</v>
      </c>
      <c r="I1033" t="s">
        <v>8</v>
      </c>
      <c r="J1033" t="str">
        <f>"07/28/1988 23:45"</f>
        <v>07/28/1988 23:45</v>
      </c>
    </row>
    <row r="1034" spans="1:10" x14ac:dyDescent="0.3">
      <c r="A1034" t="s">
        <v>6</v>
      </c>
      <c r="B1034" t="str">
        <f>"07/29/1988 00:00"</f>
        <v>07/29/1988 00:00</v>
      </c>
      <c r="C1034">
        <v>214</v>
      </c>
      <c r="D1034" t="s">
        <v>7</v>
      </c>
      <c r="E1034" s="2" t="s">
        <v>12</v>
      </c>
      <c r="F1034">
        <f t="shared" si="16"/>
        <v>424.36200000000002</v>
      </c>
      <c r="G1034" t="s">
        <v>16</v>
      </c>
      <c r="I1034" t="s">
        <v>8</v>
      </c>
      <c r="J1034" t="str">
        <f>"07/29/1988 23:45"</f>
        <v>07/29/1988 23:45</v>
      </c>
    </row>
    <row r="1035" spans="1:10" x14ac:dyDescent="0.3">
      <c r="A1035" t="s">
        <v>6</v>
      </c>
      <c r="B1035" t="str">
        <f>"07/30/1988 00:00"</f>
        <v>07/30/1988 00:00</v>
      </c>
      <c r="C1035">
        <v>217</v>
      </c>
      <c r="D1035" t="s">
        <v>7</v>
      </c>
      <c r="E1035" s="2" t="s">
        <v>12</v>
      </c>
      <c r="F1035">
        <f t="shared" si="16"/>
        <v>430.31100000000004</v>
      </c>
      <c r="G1035" t="s">
        <v>16</v>
      </c>
      <c r="I1035" t="s">
        <v>8</v>
      </c>
      <c r="J1035" t="str">
        <f>"07/30/1988 23:45"</f>
        <v>07/30/1988 23:45</v>
      </c>
    </row>
    <row r="1036" spans="1:10" x14ac:dyDescent="0.3">
      <c r="A1036" t="s">
        <v>6</v>
      </c>
      <c r="B1036" t="str">
        <f>"07/31/1988 00:00"</f>
        <v>07/31/1988 00:00</v>
      </c>
      <c r="C1036">
        <v>216</v>
      </c>
      <c r="D1036" t="s">
        <v>7</v>
      </c>
      <c r="E1036" s="2" t="s">
        <v>12</v>
      </c>
      <c r="F1036">
        <f t="shared" si="16"/>
        <v>428.32800000000003</v>
      </c>
      <c r="G1036" t="s">
        <v>16</v>
      </c>
      <c r="J1036" t="str">
        <f>"07/31/1988 23:45"</f>
        <v>07/31/1988 23:45</v>
      </c>
    </row>
    <row r="1037" spans="1:10" x14ac:dyDescent="0.3">
      <c r="A1037" t="s">
        <v>6</v>
      </c>
      <c r="B1037" t="str">
        <f>"08/01/1988 00:00"</f>
        <v>08/01/1988 00:00</v>
      </c>
      <c r="C1037">
        <v>215</v>
      </c>
      <c r="D1037" t="s">
        <v>7</v>
      </c>
      <c r="E1037" s="2" t="s">
        <v>12</v>
      </c>
      <c r="F1037">
        <f t="shared" si="16"/>
        <v>426.34500000000003</v>
      </c>
      <c r="G1037" t="s">
        <v>16</v>
      </c>
      <c r="I1037" t="s">
        <v>8</v>
      </c>
      <c r="J1037" t="str">
        <f>"08/01/1988 18:45"</f>
        <v>08/01/1988 18:45</v>
      </c>
    </row>
    <row r="1038" spans="1:10" x14ac:dyDescent="0.3">
      <c r="A1038" t="s">
        <v>6</v>
      </c>
      <c r="B1038" t="str">
        <f>"08/02/1988 00:00"</f>
        <v>08/02/1988 00:00</v>
      </c>
      <c r="C1038">
        <v>215</v>
      </c>
      <c r="D1038" t="s">
        <v>7</v>
      </c>
      <c r="E1038" s="2" t="s">
        <v>12</v>
      </c>
      <c r="F1038">
        <f t="shared" si="16"/>
        <v>426.34500000000003</v>
      </c>
      <c r="G1038" t="s">
        <v>16</v>
      </c>
      <c r="I1038" t="s">
        <v>35</v>
      </c>
      <c r="J1038" t="str">
        <f>"08/02/1988 23:45"</f>
        <v>08/02/1988 23:45</v>
      </c>
    </row>
    <row r="1039" spans="1:10" x14ac:dyDescent="0.3">
      <c r="A1039" t="s">
        <v>6</v>
      </c>
      <c r="B1039" t="str">
        <f>"08/03/1988 00:00"</f>
        <v>08/03/1988 00:00</v>
      </c>
      <c r="C1039">
        <v>213</v>
      </c>
      <c r="D1039" t="s">
        <v>7</v>
      </c>
      <c r="E1039" s="2" t="s">
        <v>12</v>
      </c>
      <c r="F1039">
        <f t="shared" si="16"/>
        <v>422.37900000000002</v>
      </c>
      <c r="G1039" t="s">
        <v>16</v>
      </c>
      <c r="I1039" t="s">
        <v>8</v>
      </c>
      <c r="J1039" t="str">
        <f>"08/03/1988 23:45"</f>
        <v>08/03/1988 23:45</v>
      </c>
    </row>
    <row r="1040" spans="1:10" x14ac:dyDescent="0.3">
      <c r="A1040" t="s">
        <v>6</v>
      </c>
      <c r="B1040" t="str">
        <f>"08/04/1988 00:00"</f>
        <v>08/04/1988 00:00</v>
      </c>
      <c r="C1040">
        <v>217</v>
      </c>
      <c r="D1040" t="s">
        <v>7</v>
      </c>
      <c r="E1040" s="2" t="s">
        <v>12</v>
      </c>
      <c r="F1040">
        <f t="shared" si="16"/>
        <v>430.31100000000004</v>
      </c>
      <c r="G1040" t="s">
        <v>16</v>
      </c>
      <c r="J1040" t="str">
        <f>"08/04/1988 23:45"</f>
        <v>08/04/1988 23:45</v>
      </c>
    </row>
    <row r="1041" spans="1:10" x14ac:dyDescent="0.3">
      <c r="A1041" t="s">
        <v>6</v>
      </c>
      <c r="B1041" t="str">
        <f>"08/05/1988 00:00"</f>
        <v>08/05/1988 00:00</v>
      </c>
      <c r="C1041">
        <v>217</v>
      </c>
      <c r="D1041" t="s">
        <v>7</v>
      </c>
      <c r="E1041" s="2" t="s">
        <v>12</v>
      </c>
      <c r="F1041">
        <f t="shared" si="16"/>
        <v>430.31100000000004</v>
      </c>
      <c r="G1041" t="s">
        <v>16</v>
      </c>
      <c r="J1041" t="str">
        <f>"08/05/1988 23:45"</f>
        <v>08/05/1988 23:45</v>
      </c>
    </row>
    <row r="1042" spans="1:10" x14ac:dyDescent="0.3">
      <c r="A1042" t="s">
        <v>6</v>
      </c>
      <c r="B1042" t="str">
        <f>"08/06/1988 00:00"</f>
        <v>08/06/1988 00:00</v>
      </c>
      <c r="C1042">
        <v>218</v>
      </c>
      <c r="D1042" t="s">
        <v>7</v>
      </c>
      <c r="E1042" s="2" t="s">
        <v>12</v>
      </c>
      <c r="F1042">
        <f t="shared" si="16"/>
        <v>432.29400000000004</v>
      </c>
      <c r="G1042" t="s">
        <v>16</v>
      </c>
      <c r="J1042" t="str">
        <f>"08/06/1988 23:45"</f>
        <v>08/06/1988 23:45</v>
      </c>
    </row>
    <row r="1043" spans="1:10" x14ac:dyDescent="0.3">
      <c r="A1043" t="s">
        <v>6</v>
      </c>
      <c r="B1043" t="str">
        <f>"08/07/1988 00:00"</f>
        <v>08/07/1988 00:00</v>
      </c>
      <c r="C1043">
        <v>223</v>
      </c>
      <c r="D1043" t="s">
        <v>7</v>
      </c>
      <c r="E1043" s="2" t="s">
        <v>12</v>
      </c>
      <c r="F1043">
        <f t="shared" si="16"/>
        <v>442.209</v>
      </c>
      <c r="G1043" t="s">
        <v>16</v>
      </c>
      <c r="J1043" t="str">
        <f>"08/07/1988 23:45"</f>
        <v>08/07/1988 23:45</v>
      </c>
    </row>
    <row r="1044" spans="1:10" x14ac:dyDescent="0.3">
      <c r="A1044" t="s">
        <v>6</v>
      </c>
      <c r="B1044" t="str">
        <f>"08/08/1988 00:00"</f>
        <v>08/08/1988 00:00</v>
      </c>
      <c r="C1044">
        <v>223</v>
      </c>
      <c r="D1044" t="s">
        <v>7</v>
      </c>
      <c r="E1044" s="2" t="s">
        <v>12</v>
      </c>
      <c r="F1044">
        <f t="shared" si="16"/>
        <v>442.209</v>
      </c>
      <c r="G1044" t="s">
        <v>16</v>
      </c>
      <c r="I1044" t="s">
        <v>8</v>
      </c>
      <c r="J1044" t="str">
        <f>"08/08/1988 23:45"</f>
        <v>08/08/1988 23:45</v>
      </c>
    </row>
    <row r="1045" spans="1:10" x14ac:dyDescent="0.3">
      <c r="A1045" t="s">
        <v>6</v>
      </c>
      <c r="B1045" t="str">
        <f>"08/09/1988 00:00"</f>
        <v>08/09/1988 00:00</v>
      </c>
      <c r="C1045">
        <v>224</v>
      </c>
      <c r="D1045" t="s">
        <v>7</v>
      </c>
      <c r="E1045" s="2" t="s">
        <v>12</v>
      </c>
      <c r="F1045">
        <f t="shared" si="16"/>
        <v>444.19200000000001</v>
      </c>
      <c r="G1045" t="s">
        <v>16</v>
      </c>
      <c r="I1045" t="s">
        <v>35</v>
      </c>
      <c r="J1045" t="str">
        <f>"08/09/1988 23:45"</f>
        <v>08/09/1988 23:45</v>
      </c>
    </row>
    <row r="1046" spans="1:10" x14ac:dyDescent="0.3">
      <c r="A1046" t="s">
        <v>6</v>
      </c>
      <c r="B1046" t="str">
        <f>"08/10/1988 00:00"</f>
        <v>08/10/1988 00:00</v>
      </c>
      <c r="C1046">
        <v>224</v>
      </c>
      <c r="D1046" t="s">
        <v>7</v>
      </c>
      <c r="E1046" s="2" t="s">
        <v>12</v>
      </c>
      <c r="F1046">
        <f t="shared" si="16"/>
        <v>444.19200000000001</v>
      </c>
      <c r="G1046" t="s">
        <v>16</v>
      </c>
      <c r="I1046" t="s">
        <v>35</v>
      </c>
      <c r="J1046" t="str">
        <f>"08/10/1988 23:45"</f>
        <v>08/10/1988 23:45</v>
      </c>
    </row>
    <row r="1047" spans="1:10" x14ac:dyDescent="0.3">
      <c r="A1047" t="s">
        <v>6</v>
      </c>
      <c r="B1047" t="str">
        <f>"08/11/1988 00:00"</f>
        <v>08/11/1988 00:00</v>
      </c>
      <c r="C1047">
        <v>221</v>
      </c>
      <c r="D1047" t="s">
        <v>7</v>
      </c>
      <c r="E1047" s="2" t="s">
        <v>12</v>
      </c>
      <c r="F1047">
        <f t="shared" si="16"/>
        <v>438.24299999999999</v>
      </c>
      <c r="G1047" t="s">
        <v>16</v>
      </c>
      <c r="I1047" t="s">
        <v>8</v>
      </c>
      <c r="J1047" t="str">
        <f>"08/11/1988 18:45"</f>
        <v>08/11/1988 18:45</v>
      </c>
    </row>
    <row r="1048" spans="1:10" x14ac:dyDescent="0.3">
      <c r="A1048" t="s">
        <v>6</v>
      </c>
      <c r="B1048" t="str">
        <f>"08/12/1988 00:00"</f>
        <v>08/12/1988 00:00</v>
      </c>
      <c r="D1048" t="s">
        <v>7</v>
      </c>
      <c r="E1048" s="2" t="s">
        <v>12</v>
      </c>
      <c r="F1048">
        <f t="shared" si="16"/>
        <v>0</v>
      </c>
      <c r="G1048" t="s">
        <v>16</v>
      </c>
    </row>
    <row r="1049" spans="1:10" x14ac:dyDescent="0.3">
      <c r="A1049" t="s">
        <v>6</v>
      </c>
      <c r="B1049" t="str">
        <f>"08/13/1988 00:00"</f>
        <v>08/13/1988 00:00</v>
      </c>
      <c r="C1049">
        <v>226</v>
      </c>
      <c r="D1049" t="s">
        <v>7</v>
      </c>
      <c r="E1049" s="2" t="s">
        <v>12</v>
      </c>
      <c r="F1049">
        <f t="shared" si="16"/>
        <v>448.15800000000002</v>
      </c>
      <c r="G1049" t="s">
        <v>16</v>
      </c>
      <c r="I1049" t="s">
        <v>8</v>
      </c>
      <c r="J1049" t="str">
        <f>"08/13/1988 23:45"</f>
        <v>08/13/1988 23:45</v>
      </c>
    </row>
    <row r="1050" spans="1:10" x14ac:dyDescent="0.3">
      <c r="A1050" t="s">
        <v>6</v>
      </c>
      <c r="B1050" t="str">
        <f>"08/14/1988 00:00"</f>
        <v>08/14/1988 00:00</v>
      </c>
      <c r="C1050">
        <v>225</v>
      </c>
      <c r="D1050" t="s">
        <v>7</v>
      </c>
      <c r="E1050" s="2" t="s">
        <v>12</v>
      </c>
      <c r="F1050">
        <f t="shared" si="16"/>
        <v>446.17500000000001</v>
      </c>
      <c r="G1050" t="s">
        <v>16</v>
      </c>
      <c r="J1050" t="str">
        <f>"08/14/1988 23:45"</f>
        <v>08/14/1988 23:45</v>
      </c>
    </row>
    <row r="1051" spans="1:10" x14ac:dyDescent="0.3">
      <c r="A1051" t="s">
        <v>6</v>
      </c>
      <c r="B1051" t="str">
        <f>"08/15/1988 00:00"</f>
        <v>08/15/1988 00:00</v>
      </c>
      <c r="C1051">
        <v>224</v>
      </c>
      <c r="D1051" t="s">
        <v>7</v>
      </c>
      <c r="E1051" s="2" t="s">
        <v>12</v>
      </c>
      <c r="F1051">
        <f t="shared" si="16"/>
        <v>444.19200000000001</v>
      </c>
      <c r="G1051" t="s">
        <v>16</v>
      </c>
      <c r="I1051" t="s">
        <v>8</v>
      </c>
      <c r="J1051" t="str">
        <f>"08/15/1988 23:45"</f>
        <v>08/15/1988 23:45</v>
      </c>
    </row>
    <row r="1052" spans="1:10" x14ac:dyDescent="0.3">
      <c r="A1052" t="s">
        <v>6</v>
      </c>
      <c r="B1052" t="str">
        <f>"08/16/1988 00:00"</f>
        <v>08/16/1988 00:00</v>
      </c>
      <c r="C1052">
        <v>224</v>
      </c>
      <c r="D1052" t="s">
        <v>7</v>
      </c>
      <c r="E1052" s="2" t="s">
        <v>12</v>
      </c>
      <c r="F1052">
        <f t="shared" si="16"/>
        <v>444.19200000000001</v>
      </c>
      <c r="G1052" t="s">
        <v>16</v>
      </c>
      <c r="I1052" t="s">
        <v>35</v>
      </c>
      <c r="J1052" t="str">
        <f>"08/16/1988 23:45"</f>
        <v>08/16/1988 23:45</v>
      </c>
    </row>
    <row r="1053" spans="1:10" x14ac:dyDescent="0.3">
      <c r="A1053" t="s">
        <v>6</v>
      </c>
      <c r="B1053" t="str">
        <f>"08/17/1988 00:00"</f>
        <v>08/17/1988 00:00</v>
      </c>
      <c r="C1053">
        <v>224</v>
      </c>
      <c r="D1053" t="s">
        <v>7</v>
      </c>
      <c r="E1053" s="2" t="s">
        <v>12</v>
      </c>
      <c r="F1053">
        <f t="shared" si="16"/>
        <v>444.19200000000001</v>
      </c>
      <c r="G1053" t="s">
        <v>16</v>
      </c>
      <c r="I1053" t="s">
        <v>35</v>
      </c>
      <c r="J1053" t="str">
        <f>"08/17/1988 23:45"</f>
        <v>08/17/1988 23:45</v>
      </c>
    </row>
    <row r="1054" spans="1:10" x14ac:dyDescent="0.3">
      <c r="A1054" t="s">
        <v>6</v>
      </c>
      <c r="B1054" t="str">
        <f>"08/18/1988 00:00"</f>
        <v>08/18/1988 00:00</v>
      </c>
      <c r="C1054">
        <v>224</v>
      </c>
      <c r="D1054" t="s">
        <v>7</v>
      </c>
      <c r="E1054" s="2" t="s">
        <v>12</v>
      </c>
      <c r="F1054">
        <f t="shared" si="16"/>
        <v>444.19200000000001</v>
      </c>
      <c r="G1054" t="s">
        <v>16</v>
      </c>
      <c r="I1054" t="s">
        <v>8</v>
      </c>
      <c r="J1054" t="str">
        <f>"08/18/1988 23:45"</f>
        <v>08/18/1988 23:45</v>
      </c>
    </row>
    <row r="1055" spans="1:10" x14ac:dyDescent="0.3">
      <c r="A1055" t="s">
        <v>6</v>
      </c>
      <c r="B1055" t="str">
        <f>"08/19/1988 00:00"</f>
        <v>08/19/1988 00:00</v>
      </c>
      <c r="C1055">
        <v>224</v>
      </c>
      <c r="D1055" t="s">
        <v>7</v>
      </c>
      <c r="E1055" s="2" t="s">
        <v>12</v>
      </c>
      <c r="F1055">
        <f t="shared" si="16"/>
        <v>444.19200000000001</v>
      </c>
      <c r="G1055" t="s">
        <v>16</v>
      </c>
      <c r="I1055" t="s">
        <v>8</v>
      </c>
      <c r="J1055" t="str">
        <f>"08/19/1988 23:45"</f>
        <v>08/19/1988 23:45</v>
      </c>
    </row>
    <row r="1056" spans="1:10" x14ac:dyDescent="0.3">
      <c r="A1056" t="s">
        <v>6</v>
      </c>
      <c r="B1056" t="str">
        <f>"08/20/1988 00:00"</f>
        <v>08/20/1988 00:00</v>
      </c>
      <c r="C1056">
        <v>224</v>
      </c>
      <c r="D1056" t="s">
        <v>7</v>
      </c>
      <c r="E1056" s="2" t="s">
        <v>12</v>
      </c>
      <c r="F1056">
        <f t="shared" si="16"/>
        <v>444.19200000000001</v>
      </c>
      <c r="G1056" t="s">
        <v>16</v>
      </c>
      <c r="I1056" t="s">
        <v>35</v>
      </c>
      <c r="J1056" t="str">
        <f>"08/20/1988 23:45"</f>
        <v>08/20/1988 23:45</v>
      </c>
    </row>
    <row r="1057" spans="1:10" x14ac:dyDescent="0.3">
      <c r="A1057" t="s">
        <v>6</v>
      </c>
      <c r="B1057" t="str">
        <f>"08/21/1988 00:00"</f>
        <v>08/21/1988 00:00</v>
      </c>
      <c r="C1057">
        <v>224</v>
      </c>
      <c r="D1057" t="s">
        <v>7</v>
      </c>
      <c r="E1057" s="2" t="s">
        <v>12</v>
      </c>
      <c r="F1057">
        <f t="shared" si="16"/>
        <v>444.19200000000001</v>
      </c>
      <c r="G1057" t="s">
        <v>16</v>
      </c>
      <c r="I1057" t="s">
        <v>35</v>
      </c>
      <c r="J1057" t="str">
        <f>"08/21/1988 23:45"</f>
        <v>08/21/1988 23:45</v>
      </c>
    </row>
    <row r="1058" spans="1:10" x14ac:dyDescent="0.3">
      <c r="A1058" t="s">
        <v>6</v>
      </c>
      <c r="B1058" t="str">
        <f>"08/22/1988 00:00"</f>
        <v>08/22/1988 00:00</v>
      </c>
      <c r="C1058">
        <v>224</v>
      </c>
      <c r="D1058" t="s">
        <v>7</v>
      </c>
      <c r="E1058" s="2" t="s">
        <v>12</v>
      </c>
      <c r="F1058">
        <f t="shared" si="16"/>
        <v>444.19200000000001</v>
      </c>
      <c r="G1058" t="s">
        <v>16</v>
      </c>
      <c r="I1058" t="s">
        <v>35</v>
      </c>
      <c r="J1058" t="str">
        <f>"08/22/1988 23:45"</f>
        <v>08/22/1988 23:45</v>
      </c>
    </row>
    <row r="1059" spans="1:10" x14ac:dyDescent="0.3">
      <c r="A1059" t="s">
        <v>6</v>
      </c>
      <c r="B1059" t="str">
        <f>"08/23/1988 00:00"</f>
        <v>08/23/1988 00:00</v>
      </c>
      <c r="C1059">
        <v>224</v>
      </c>
      <c r="D1059" t="s">
        <v>7</v>
      </c>
      <c r="E1059" s="2" t="s">
        <v>12</v>
      </c>
      <c r="F1059">
        <f t="shared" si="16"/>
        <v>444.19200000000001</v>
      </c>
      <c r="G1059" t="s">
        <v>16</v>
      </c>
      <c r="I1059" t="s">
        <v>35</v>
      </c>
      <c r="J1059" t="str">
        <f>"08/23/1988 23:45"</f>
        <v>08/23/1988 23:45</v>
      </c>
    </row>
    <row r="1060" spans="1:10" x14ac:dyDescent="0.3">
      <c r="A1060" t="s">
        <v>6</v>
      </c>
      <c r="B1060" t="str">
        <f>"08/24/1988 00:00"</f>
        <v>08/24/1988 00:00</v>
      </c>
      <c r="C1060">
        <v>224</v>
      </c>
      <c r="D1060" t="s">
        <v>7</v>
      </c>
      <c r="E1060" s="2" t="s">
        <v>12</v>
      </c>
      <c r="F1060">
        <f t="shared" si="16"/>
        <v>444.19200000000001</v>
      </c>
      <c r="G1060" t="s">
        <v>16</v>
      </c>
      <c r="I1060" t="s">
        <v>35</v>
      </c>
      <c r="J1060" t="str">
        <f>"08/24/1988 23:45"</f>
        <v>08/24/1988 23:45</v>
      </c>
    </row>
    <row r="1061" spans="1:10" x14ac:dyDescent="0.3">
      <c r="A1061" t="s">
        <v>6</v>
      </c>
      <c r="B1061" t="str">
        <f>"08/25/1988 00:00"</f>
        <v>08/25/1988 00:00</v>
      </c>
      <c r="C1061">
        <v>224</v>
      </c>
      <c r="D1061" t="s">
        <v>7</v>
      </c>
      <c r="E1061" s="2" t="s">
        <v>12</v>
      </c>
      <c r="F1061">
        <f t="shared" si="16"/>
        <v>444.19200000000001</v>
      </c>
      <c r="G1061" t="s">
        <v>16</v>
      </c>
      <c r="I1061" t="s">
        <v>35</v>
      </c>
      <c r="J1061" t="str">
        <f>"08/25/1988 23:45"</f>
        <v>08/25/1988 23:45</v>
      </c>
    </row>
    <row r="1062" spans="1:10" x14ac:dyDescent="0.3">
      <c r="A1062" t="s">
        <v>6</v>
      </c>
      <c r="B1062" t="str">
        <f>"08/26/1988 00:00"</f>
        <v>08/26/1988 00:00</v>
      </c>
      <c r="C1062">
        <v>217</v>
      </c>
      <c r="D1062" t="s">
        <v>7</v>
      </c>
      <c r="E1062" s="2" t="s">
        <v>12</v>
      </c>
      <c r="F1062">
        <f t="shared" si="16"/>
        <v>430.31100000000004</v>
      </c>
      <c r="G1062" t="s">
        <v>16</v>
      </c>
      <c r="I1062" t="s">
        <v>8</v>
      </c>
      <c r="J1062" t="str">
        <f>"08/26/1988 23:45"</f>
        <v>08/26/1988 23:45</v>
      </c>
    </row>
    <row r="1063" spans="1:10" x14ac:dyDescent="0.3">
      <c r="A1063" t="s">
        <v>6</v>
      </c>
      <c r="B1063" t="str">
        <f>"08/27/1988 00:00"</f>
        <v>08/27/1988 00:00</v>
      </c>
      <c r="C1063">
        <v>225</v>
      </c>
      <c r="D1063" t="s">
        <v>7</v>
      </c>
      <c r="E1063" s="2" t="s">
        <v>12</v>
      </c>
      <c r="F1063">
        <f t="shared" si="16"/>
        <v>446.17500000000001</v>
      </c>
      <c r="G1063" t="s">
        <v>16</v>
      </c>
      <c r="I1063" t="s">
        <v>8</v>
      </c>
      <c r="J1063" t="str">
        <f>"08/27/1988 23:45"</f>
        <v>08/27/1988 23:45</v>
      </c>
    </row>
    <row r="1064" spans="1:10" x14ac:dyDescent="0.3">
      <c r="A1064" t="s">
        <v>6</v>
      </c>
      <c r="B1064" t="str">
        <f>"08/28/1988 00:00"</f>
        <v>08/28/1988 00:00</v>
      </c>
      <c r="C1064">
        <v>226</v>
      </c>
      <c r="D1064" t="s">
        <v>7</v>
      </c>
      <c r="E1064" s="2" t="s">
        <v>12</v>
      </c>
      <c r="F1064">
        <f t="shared" si="16"/>
        <v>448.15800000000002</v>
      </c>
      <c r="G1064" t="s">
        <v>16</v>
      </c>
      <c r="I1064" t="s">
        <v>8</v>
      </c>
      <c r="J1064" t="str">
        <f>"08/28/1988 22:45"</f>
        <v>08/28/1988 22:45</v>
      </c>
    </row>
    <row r="1065" spans="1:10" x14ac:dyDescent="0.3">
      <c r="A1065" t="s">
        <v>6</v>
      </c>
      <c r="B1065" t="str">
        <f>"08/29/1988 00:00"</f>
        <v>08/29/1988 00:00</v>
      </c>
      <c r="C1065">
        <v>225</v>
      </c>
      <c r="D1065" t="s">
        <v>7</v>
      </c>
      <c r="E1065" s="2" t="s">
        <v>12</v>
      </c>
      <c r="F1065">
        <f t="shared" si="16"/>
        <v>446.17500000000001</v>
      </c>
      <c r="G1065" t="s">
        <v>16</v>
      </c>
      <c r="J1065" t="str">
        <f>"08/29/1988 23:45"</f>
        <v>08/29/1988 23:45</v>
      </c>
    </row>
    <row r="1066" spans="1:10" x14ac:dyDescent="0.3">
      <c r="A1066" t="s">
        <v>6</v>
      </c>
      <c r="B1066" t="str">
        <f>"08/30/1988 00:00"</f>
        <v>08/30/1988 00:00</v>
      </c>
      <c r="C1066">
        <v>225</v>
      </c>
      <c r="D1066" t="s">
        <v>7</v>
      </c>
      <c r="E1066" s="2" t="s">
        <v>12</v>
      </c>
      <c r="F1066">
        <f t="shared" si="16"/>
        <v>446.17500000000001</v>
      </c>
      <c r="G1066" t="s">
        <v>16</v>
      </c>
      <c r="J1066" t="str">
        <f>"08/30/1988 23:45"</f>
        <v>08/30/1988 23:45</v>
      </c>
    </row>
    <row r="1067" spans="1:10" x14ac:dyDescent="0.3">
      <c r="A1067" t="s">
        <v>6</v>
      </c>
      <c r="B1067" t="str">
        <f>"08/31/1988 00:00"</f>
        <v>08/31/1988 00:00</v>
      </c>
      <c r="C1067">
        <v>224</v>
      </c>
      <c r="D1067" t="s">
        <v>7</v>
      </c>
      <c r="E1067" s="2" t="s">
        <v>12</v>
      </c>
      <c r="F1067">
        <f t="shared" si="16"/>
        <v>444.19200000000001</v>
      </c>
      <c r="G1067" t="s">
        <v>16</v>
      </c>
      <c r="J1067" t="str">
        <f>"08/31/1988 06:45"</f>
        <v>08/31/1988 06:45</v>
      </c>
    </row>
    <row r="1068" spans="1:10" x14ac:dyDescent="0.3">
      <c r="A1068" t="s">
        <v>6</v>
      </c>
      <c r="B1068" t="str">
        <f>"09/01/1988 00:00"</f>
        <v>09/01/1988 00:00</v>
      </c>
      <c r="D1068" t="s">
        <v>7</v>
      </c>
      <c r="E1068" s="2" t="s">
        <v>12</v>
      </c>
      <c r="F1068">
        <f t="shared" si="16"/>
        <v>0</v>
      </c>
      <c r="G1068" t="s">
        <v>16</v>
      </c>
    </row>
    <row r="1069" spans="1:10" x14ac:dyDescent="0.3">
      <c r="A1069" t="s">
        <v>6</v>
      </c>
      <c r="B1069" t="str">
        <f>"09/02/1988 00:00"</f>
        <v>09/02/1988 00:00</v>
      </c>
      <c r="D1069" t="s">
        <v>7</v>
      </c>
      <c r="E1069" s="2" t="s">
        <v>12</v>
      </c>
      <c r="F1069">
        <f t="shared" si="16"/>
        <v>0</v>
      </c>
      <c r="G1069" t="s">
        <v>16</v>
      </c>
    </row>
    <row r="1070" spans="1:10" x14ac:dyDescent="0.3">
      <c r="A1070" t="s">
        <v>6</v>
      </c>
      <c r="B1070" t="str">
        <f>"09/03/1988 00:00"</f>
        <v>09/03/1988 00:00</v>
      </c>
      <c r="D1070" t="s">
        <v>7</v>
      </c>
      <c r="E1070" s="2" t="s">
        <v>12</v>
      </c>
      <c r="F1070">
        <f t="shared" si="16"/>
        <v>0</v>
      </c>
      <c r="G1070" t="s">
        <v>16</v>
      </c>
    </row>
    <row r="1071" spans="1:10" x14ac:dyDescent="0.3">
      <c r="A1071" t="s">
        <v>6</v>
      </c>
      <c r="B1071" t="str">
        <f>"09/04/1988 00:00"</f>
        <v>09/04/1988 00:00</v>
      </c>
      <c r="D1071" t="s">
        <v>7</v>
      </c>
      <c r="E1071" s="2" t="s">
        <v>12</v>
      </c>
      <c r="F1071">
        <f t="shared" si="16"/>
        <v>0</v>
      </c>
      <c r="G1071" t="s">
        <v>16</v>
      </c>
    </row>
    <row r="1072" spans="1:10" x14ac:dyDescent="0.3">
      <c r="A1072" t="s">
        <v>6</v>
      </c>
      <c r="B1072" t="str">
        <f>"09/05/1988 00:00"</f>
        <v>09/05/1988 00:00</v>
      </c>
      <c r="D1072" t="s">
        <v>7</v>
      </c>
      <c r="E1072" s="2" t="s">
        <v>12</v>
      </c>
      <c r="F1072">
        <f t="shared" si="16"/>
        <v>0</v>
      </c>
      <c r="G1072" t="s">
        <v>16</v>
      </c>
    </row>
    <row r="1073" spans="1:10" x14ac:dyDescent="0.3">
      <c r="A1073" t="s">
        <v>6</v>
      </c>
      <c r="B1073" t="str">
        <f>"09/06/1988 00:00"</f>
        <v>09/06/1988 00:00</v>
      </c>
      <c r="D1073" t="s">
        <v>7</v>
      </c>
      <c r="E1073" s="2" t="s">
        <v>12</v>
      </c>
      <c r="F1073">
        <f t="shared" si="16"/>
        <v>0</v>
      </c>
      <c r="G1073" t="s">
        <v>16</v>
      </c>
    </row>
    <row r="1074" spans="1:10" x14ac:dyDescent="0.3">
      <c r="A1074" t="s">
        <v>6</v>
      </c>
      <c r="B1074" t="str">
        <f>"09/07/1988 00:00"</f>
        <v>09/07/1988 00:00</v>
      </c>
      <c r="D1074" t="s">
        <v>7</v>
      </c>
      <c r="E1074" s="2" t="s">
        <v>12</v>
      </c>
      <c r="F1074">
        <f t="shared" si="16"/>
        <v>0</v>
      </c>
      <c r="G1074" t="s">
        <v>16</v>
      </c>
    </row>
    <row r="1075" spans="1:10" x14ac:dyDescent="0.3">
      <c r="A1075" t="s">
        <v>6</v>
      </c>
      <c r="B1075" t="str">
        <f>"09/08/1988 00:00"</f>
        <v>09/08/1988 00:00</v>
      </c>
      <c r="D1075" t="s">
        <v>7</v>
      </c>
      <c r="E1075" s="2" t="s">
        <v>12</v>
      </c>
      <c r="F1075">
        <f t="shared" si="16"/>
        <v>0</v>
      </c>
      <c r="G1075" t="s">
        <v>16</v>
      </c>
    </row>
    <row r="1076" spans="1:10" x14ac:dyDescent="0.3">
      <c r="A1076" t="s">
        <v>6</v>
      </c>
      <c r="B1076" t="str">
        <f>"09/09/1988 00:00"</f>
        <v>09/09/1988 00:00</v>
      </c>
      <c r="D1076" t="s">
        <v>7</v>
      </c>
      <c r="E1076" s="2" t="s">
        <v>12</v>
      </c>
      <c r="F1076">
        <f t="shared" si="16"/>
        <v>0</v>
      </c>
      <c r="G1076" t="s">
        <v>16</v>
      </c>
    </row>
    <row r="1077" spans="1:10" x14ac:dyDescent="0.3">
      <c r="A1077" t="s">
        <v>6</v>
      </c>
      <c r="B1077" t="str">
        <f>"09/10/1988 00:00"</f>
        <v>09/10/1988 00:00</v>
      </c>
      <c r="D1077" t="s">
        <v>7</v>
      </c>
      <c r="E1077" s="2" t="s">
        <v>12</v>
      </c>
      <c r="F1077">
        <f t="shared" si="16"/>
        <v>0</v>
      </c>
      <c r="G1077" t="s">
        <v>16</v>
      </c>
    </row>
    <row r="1078" spans="1:10" x14ac:dyDescent="0.3">
      <c r="A1078" t="s">
        <v>6</v>
      </c>
      <c r="B1078" t="str">
        <f>"09/11/1988 00:00"</f>
        <v>09/11/1988 00:00</v>
      </c>
      <c r="D1078" t="s">
        <v>7</v>
      </c>
      <c r="E1078" s="2" t="s">
        <v>12</v>
      </c>
      <c r="F1078">
        <f t="shared" si="16"/>
        <v>0</v>
      </c>
      <c r="G1078" t="s">
        <v>16</v>
      </c>
    </row>
    <row r="1079" spans="1:10" x14ac:dyDescent="0.3">
      <c r="A1079" t="s">
        <v>6</v>
      </c>
      <c r="B1079" t="str">
        <f>"09/12/1988 00:00"</f>
        <v>09/12/1988 00:00</v>
      </c>
      <c r="D1079" t="s">
        <v>7</v>
      </c>
      <c r="E1079" s="2" t="s">
        <v>12</v>
      </c>
      <c r="F1079">
        <f t="shared" si="16"/>
        <v>0</v>
      </c>
      <c r="G1079" t="s">
        <v>16</v>
      </c>
    </row>
    <row r="1080" spans="1:10" x14ac:dyDescent="0.3">
      <c r="A1080" t="s">
        <v>6</v>
      </c>
      <c r="B1080" t="str">
        <f>"09/13/1988 00:00"</f>
        <v>09/13/1988 00:00</v>
      </c>
      <c r="C1080">
        <v>0.85</v>
      </c>
      <c r="D1080" t="s">
        <v>7</v>
      </c>
      <c r="E1080" s="2" t="s">
        <v>12</v>
      </c>
      <c r="F1080">
        <f t="shared" si="16"/>
        <v>1.6855500000000001</v>
      </c>
      <c r="G1080" t="s">
        <v>16</v>
      </c>
      <c r="I1080" t="s">
        <v>8</v>
      </c>
      <c r="J1080" t="str">
        <f>"09/13/1988 23:45"</f>
        <v>09/13/1988 23:45</v>
      </c>
    </row>
    <row r="1081" spans="1:10" x14ac:dyDescent="0.3">
      <c r="A1081" t="s">
        <v>6</v>
      </c>
      <c r="B1081" t="str">
        <f>"09/14/1988 00:00"</f>
        <v>09/14/1988 00:00</v>
      </c>
      <c r="C1081">
        <v>0.85</v>
      </c>
      <c r="D1081" t="s">
        <v>7</v>
      </c>
      <c r="E1081" s="2" t="s">
        <v>12</v>
      </c>
      <c r="F1081">
        <f t="shared" si="16"/>
        <v>1.6855500000000001</v>
      </c>
      <c r="G1081" t="s">
        <v>16</v>
      </c>
      <c r="I1081" t="s">
        <v>8</v>
      </c>
      <c r="J1081" t="str">
        <f>"09/14/1988 23:45"</f>
        <v>09/14/1988 23:45</v>
      </c>
    </row>
    <row r="1082" spans="1:10" x14ac:dyDescent="0.3">
      <c r="A1082" t="s">
        <v>6</v>
      </c>
      <c r="B1082" t="str">
        <f>"09/15/1988 00:00"</f>
        <v>09/15/1988 00:00</v>
      </c>
      <c r="C1082">
        <v>0.248</v>
      </c>
      <c r="D1082" t="s">
        <v>7</v>
      </c>
      <c r="E1082" s="2" t="s">
        <v>12</v>
      </c>
      <c r="F1082">
        <f t="shared" si="16"/>
        <v>0.491784</v>
      </c>
      <c r="G1082" t="s">
        <v>16</v>
      </c>
      <c r="I1082" t="s">
        <v>35</v>
      </c>
      <c r="J1082" t="str">
        <f>"09/15/1988 23:45"</f>
        <v>09/15/1988 23:45</v>
      </c>
    </row>
    <row r="1083" spans="1:10" x14ac:dyDescent="0.3">
      <c r="A1083" t="s">
        <v>6</v>
      </c>
      <c r="B1083" t="str">
        <f>"09/16/1988 00:00"</f>
        <v>09/16/1988 00:00</v>
      </c>
      <c r="C1083">
        <v>0</v>
      </c>
      <c r="D1083" t="s">
        <v>7</v>
      </c>
      <c r="E1083" s="2" t="s">
        <v>12</v>
      </c>
      <c r="F1083">
        <f t="shared" si="16"/>
        <v>0</v>
      </c>
      <c r="G1083" t="s">
        <v>16</v>
      </c>
      <c r="I1083" t="s">
        <v>35</v>
      </c>
      <c r="J1083" t="str">
        <f>"09/16/1988 23:45"</f>
        <v>09/16/1988 23:45</v>
      </c>
    </row>
    <row r="1084" spans="1:10" x14ac:dyDescent="0.3">
      <c r="A1084" t="s">
        <v>6</v>
      </c>
      <c r="B1084" t="str">
        <f>"09/17/1988 00:00"</f>
        <v>09/17/1988 00:00</v>
      </c>
      <c r="C1084">
        <v>0</v>
      </c>
      <c r="D1084" t="s">
        <v>7</v>
      </c>
      <c r="E1084" s="2" t="s">
        <v>12</v>
      </c>
      <c r="F1084">
        <f t="shared" si="16"/>
        <v>0</v>
      </c>
      <c r="G1084" t="s">
        <v>16</v>
      </c>
      <c r="I1084" t="s">
        <v>35</v>
      </c>
      <c r="J1084" t="str">
        <f>"09/17/1988 23:45"</f>
        <v>09/17/1988 23:45</v>
      </c>
    </row>
    <row r="1085" spans="1:10" x14ac:dyDescent="0.3">
      <c r="A1085" t="s">
        <v>6</v>
      </c>
      <c r="B1085" t="str">
        <f>"09/18/1988 00:00"</f>
        <v>09/18/1988 00:00</v>
      </c>
      <c r="C1085">
        <v>0</v>
      </c>
      <c r="D1085" t="s">
        <v>7</v>
      </c>
      <c r="E1085" s="2" t="s">
        <v>12</v>
      </c>
      <c r="F1085">
        <f t="shared" si="16"/>
        <v>0</v>
      </c>
      <c r="G1085" t="s">
        <v>16</v>
      </c>
      <c r="I1085" t="s">
        <v>35</v>
      </c>
      <c r="J1085" t="str">
        <f>"09/18/1988 23:45"</f>
        <v>09/18/1988 23:45</v>
      </c>
    </row>
    <row r="1086" spans="1:10" x14ac:dyDescent="0.3">
      <c r="A1086" t="s">
        <v>6</v>
      </c>
      <c r="B1086" t="str">
        <f>"09/19/1988 00:00"</f>
        <v>09/19/1988 00:00</v>
      </c>
      <c r="C1086">
        <v>0</v>
      </c>
      <c r="D1086" t="s">
        <v>7</v>
      </c>
      <c r="E1086" s="2" t="s">
        <v>12</v>
      </c>
      <c r="F1086">
        <f t="shared" si="16"/>
        <v>0</v>
      </c>
      <c r="G1086" t="s">
        <v>16</v>
      </c>
      <c r="I1086" t="s">
        <v>35</v>
      </c>
      <c r="J1086" t="str">
        <f>"09/19/1988 23:45"</f>
        <v>09/19/1988 23:45</v>
      </c>
    </row>
    <row r="1087" spans="1:10" x14ac:dyDescent="0.3">
      <c r="A1087" t="s">
        <v>6</v>
      </c>
      <c r="B1087" t="str">
        <f>"09/20/1988 00:00"</f>
        <v>09/20/1988 00:00</v>
      </c>
      <c r="C1087">
        <v>0</v>
      </c>
      <c r="D1087" t="s">
        <v>7</v>
      </c>
      <c r="E1087" s="2" t="s">
        <v>12</v>
      </c>
      <c r="F1087">
        <f t="shared" si="16"/>
        <v>0</v>
      </c>
      <c r="G1087" t="s">
        <v>16</v>
      </c>
      <c r="I1087" t="s">
        <v>35</v>
      </c>
      <c r="J1087" t="str">
        <f>"09/20/1988 23:45"</f>
        <v>09/20/1988 23:45</v>
      </c>
    </row>
    <row r="1088" spans="1:10" x14ac:dyDescent="0.3">
      <c r="A1088" t="s">
        <v>6</v>
      </c>
      <c r="B1088" t="str">
        <f>"09/21/1988 00:00"</f>
        <v>09/21/1988 00:00</v>
      </c>
      <c r="C1088">
        <v>0</v>
      </c>
      <c r="D1088" t="s">
        <v>7</v>
      </c>
      <c r="E1088" s="2" t="s">
        <v>12</v>
      </c>
      <c r="F1088">
        <f t="shared" si="16"/>
        <v>0</v>
      </c>
      <c r="G1088" t="s">
        <v>16</v>
      </c>
      <c r="I1088" t="s">
        <v>35</v>
      </c>
      <c r="J1088" t="str">
        <f>"09/21/1988 23:45"</f>
        <v>09/21/1988 23:45</v>
      </c>
    </row>
    <row r="1089" spans="1:10" x14ac:dyDescent="0.3">
      <c r="A1089" t="s">
        <v>6</v>
      </c>
      <c r="B1089" t="str">
        <f>"09/22/1988 00:00"</f>
        <v>09/22/1988 00:00</v>
      </c>
      <c r="C1089">
        <v>0</v>
      </c>
      <c r="D1089" t="s">
        <v>7</v>
      </c>
      <c r="E1089" s="2" t="s">
        <v>12</v>
      </c>
      <c r="F1089">
        <f t="shared" si="16"/>
        <v>0</v>
      </c>
      <c r="G1089" t="s">
        <v>16</v>
      </c>
      <c r="I1089" t="s">
        <v>35</v>
      </c>
      <c r="J1089" t="str">
        <f>"09/22/1988 23:45"</f>
        <v>09/22/1988 23:45</v>
      </c>
    </row>
    <row r="1090" spans="1:10" x14ac:dyDescent="0.3">
      <c r="A1090" t="s">
        <v>6</v>
      </c>
      <c r="B1090" t="str">
        <f>"09/23/1988 00:00"</f>
        <v>09/23/1988 00:00</v>
      </c>
      <c r="C1090">
        <v>0</v>
      </c>
      <c r="D1090" t="s">
        <v>7</v>
      </c>
      <c r="E1090" s="2" t="s">
        <v>12</v>
      </c>
      <c r="F1090">
        <f t="shared" si="16"/>
        <v>0</v>
      </c>
      <c r="G1090" t="s">
        <v>16</v>
      </c>
      <c r="I1090" t="s">
        <v>35</v>
      </c>
      <c r="J1090" t="str">
        <f>"09/23/1988 23:45"</f>
        <v>09/23/1988 23:45</v>
      </c>
    </row>
    <row r="1091" spans="1:10" x14ac:dyDescent="0.3">
      <c r="A1091" t="s">
        <v>6</v>
      </c>
      <c r="B1091" t="str">
        <f>"09/24/1988 00:00"</f>
        <v>09/24/1988 00:00</v>
      </c>
      <c r="C1091">
        <v>0</v>
      </c>
      <c r="D1091" t="s">
        <v>7</v>
      </c>
      <c r="E1091" s="2" t="s">
        <v>12</v>
      </c>
      <c r="F1091">
        <f t="shared" ref="F1091:F1154" si="17">C1091*1.983</f>
        <v>0</v>
      </c>
      <c r="G1091" t="s">
        <v>16</v>
      </c>
      <c r="I1091" t="s">
        <v>35</v>
      </c>
      <c r="J1091" t="str">
        <f>"09/24/1988 23:45"</f>
        <v>09/24/1988 23:45</v>
      </c>
    </row>
    <row r="1092" spans="1:10" x14ac:dyDescent="0.3">
      <c r="A1092" t="s">
        <v>6</v>
      </c>
      <c r="B1092" t="str">
        <f>"09/25/1988 00:00"</f>
        <v>09/25/1988 00:00</v>
      </c>
      <c r="C1092">
        <v>0</v>
      </c>
      <c r="D1092" t="s">
        <v>7</v>
      </c>
      <c r="E1092" s="2" t="s">
        <v>12</v>
      </c>
      <c r="F1092">
        <f t="shared" si="17"/>
        <v>0</v>
      </c>
      <c r="G1092" t="s">
        <v>16</v>
      </c>
      <c r="I1092" t="s">
        <v>8</v>
      </c>
      <c r="J1092" t="str">
        <f>"09/25/1988 12:15"</f>
        <v>09/25/1988 12:15</v>
      </c>
    </row>
    <row r="1093" spans="1:10" x14ac:dyDescent="0.3">
      <c r="A1093" t="s">
        <v>6</v>
      </c>
      <c r="B1093" t="str">
        <f>"09/26/1988 00:00"</f>
        <v>09/26/1988 00:00</v>
      </c>
      <c r="D1093" t="s">
        <v>7</v>
      </c>
      <c r="E1093" s="2" t="s">
        <v>12</v>
      </c>
      <c r="F1093">
        <f t="shared" si="17"/>
        <v>0</v>
      </c>
      <c r="G1093" t="s">
        <v>16</v>
      </c>
    </row>
    <row r="1094" spans="1:10" x14ac:dyDescent="0.3">
      <c r="A1094" t="s">
        <v>6</v>
      </c>
      <c r="B1094" t="str">
        <f>"09/27/1988 00:00"</f>
        <v>09/27/1988 00:00</v>
      </c>
      <c r="D1094" t="s">
        <v>7</v>
      </c>
      <c r="E1094" s="2" t="s">
        <v>12</v>
      </c>
      <c r="F1094">
        <f t="shared" si="17"/>
        <v>0</v>
      </c>
      <c r="G1094" t="s">
        <v>16</v>
      </c>
    </row>
    <row r="1095" spans="1:10" x14ac:dyDescent="0.3">
      <c r="A1095" t="s">
        <v>6</v>
      </c>
      <c r="B1095" t="str">
        <f>"09/28/1988 00:00"</f>
        <v>09/28/1988 00:00</v>
      </c>
      <c r="D1095" t="s">
        <v>7</v>
      </c>
      <c r="E1095" s="2" t="s">
        <v>12</v>
      </c>
      <c r="F1095">
        <f t="shared" si="17"/>
        <v>0</v>
      </c>
      <c r="G1095" t="s">
        <v>16</v>
      </c>
    </row>
    <row r="1096" spans="1:10" x14ac:dyDescent="0.3">
      <c r="A1096" t="s">
        <v>6</v>
      </c>
      <c r="B1096" t="str">
        <f>"09/29/1988 00:00"</f>
        <v>09/29/1988 00:00</v>
      </c>
      <c r="D1096" t="s">
        <v>7</v>
      </c>
      <c r="E1096" s="2" t="s">
        <v>12</v>
      </c>
      <c r="F1096">
        <f t="shared" si="17"/>
        <v>0</v>
      </c>
      <c r="G1096" t="s">
        <v>16</v>
      </c>
    </row>
    <row r="1097" spans="1:10" x14ac:dyDescent="0.3">
      <c r="A1097" t="s">
        <v>6</v>
      </c>
      <c r="B1097" t="str">
        <f>"09/30/1988 00:00"</f>
        <v>09/30/1988 00:00</v>
      </c>
      <c r="D1097" t="s">
        <v>7</v>
      </c>
      <c r="E1097" s="2" t="s">
        <v>12</v>
      </c>
      <c r="F1097">
        <f t="shared" si="17"/>
        <v>0</v>
      </c>
      <c r="G1097" t="s">
        <v>16</v>
      </c>
    </row>
    <row r="1098" spans="1:10" x14ac:dyDescent="0.3">
      <c r="A1098" t="s">
        <v>6</v>
      </c>
      <c r="B1098" t="str">
        <f>"10/01/1988 00:00"</f>
        <v>10/01/1988 00:00</v>
      </c>
      <c r="D1098" t="s">
        <v>7</v>
      </c>
      <c r="E1098" s="2" t="s">
        <v>12</v>
      </c>
      <c r="F1098">
        <f t="shared" si="17"/>
        <v>0</v>
      </c>
      <c r="G1098" t="s">
        <v>16</v>
      </c>
    </row>
    <row r="1099" spans="1:10" x14ac:dyDescent="0.3">
      <c r="A1099" t="s">
        <v>6</v>
      </c>
      <c r="B1099" t="str">
        <f>"10/02/1988 00:00"</f>
        <v>10/02/1988 00:00</v>
      </c>
      <c r="D1099" t="s">
        <v>7</v>
      </c>
      <c r="E1099" s="2" t="s">
        <v>12</v>
      </c>
      <c r="F1099">
        <f t="shared" si="17"/>
        <v>0</v>
      </c>
      <c r="G1099" t="s">
        <v>16</v>
      </c>
    </row>
    <row r="1100" spans="1:10" x14ac:dyDescent="0.3">
      <c r="A1100" t="s">
        <v>6</v>
      </c>
      <c r="B1100" t="str">
        <f>"10/03/1988 00:00"</f>
        <v>10/03/1988 00:00</v>
      </c>
      <c r="D1100" t="s">
        <v>7</v>
      </c>
      <c r="E1100" s="2" t="s">
        <v>12</v>
      </c>
      <c r="F1100">
        <f t="shared" si="17"/>
        <v>0</v>
      </c>
      <c r="G1100" t="s">
        <v>16</v>
      </c>
    </row>
    <row r="1101" spans="1:10" x14ac:dyDescent="0.3">
      <c r="A1101" t="s">
        <v>6</v>
      </c>
      <c r="B1101" t="str">
        <f>"10/04/1988 00:00"</f>
        <v>10/04/1988 00:00</v>
      </c>
      <c r="D1101" t="s">
        <v>7</v>
      </c>
      <c r="E1101" s="2" t="s">
        <v>12</v>
      </c>
      <c r="F1101">
        <f t="shared" si="17"/>
        <v>0</v>
      </c>
      <c r="G1101" t="s">
        <v>16</v>
      </c>
    </row>
    <row r="1102" spans="1:10" x14ac:dyDescent="0.3">
      <c r="A1102" t="s">
        <v>6</v>
      </c>
      <c r="B1102" t="str">
        <f>"10/05/1988 00:00"</f>
        <v>10/05/1988 00:00</v>
      </c>
      <c r="D1102" t="s">
        <v>7</v>
      </c>
      <c r="E1102" s="2" t="s">
        <v>12</v>
      </c>
      <c r="F1102">
        <f t="shared" si="17"/>
        <v>0</v>
      </c>
      <c r="G1102" t="s">
        <v>16</v>
      </c>
    </row>
    <row r="1103" spans="1:10" x14ac:dyDescent="0.3">
      <c r="A1103" t="s">
        <v>6</v>
      </c>
      <c r="B1103" t="str">
        <f>"10/06/1988 00:00"</f>
        <v>10/06/1988 00:00</v>
      </c>
      <c r="D1103" t="s">
        <v>7</v>
      </c>
      <c r="E1103" s="2" t="s">
        <v>12</v>
      </c>
      <c r="F1103">
        <f t="shared" si="17"/>
        <v>0</v>
      </c>
      <c r="G1103" t="s">
        <v>16</v>
      </c>
    </row>
    <row r="1104" spans="1:10" x14ac:dyDescent="0.3">
      <c r="A1104" t="s">
        <v>6</v>
      </c>
      <c r="B1104" t="str">
        <f>"10/07/1988 00:00"</f>
        <v>10/07/1988 00:00</v>
      </c>
      <c r="D1104" t="s">
        <v>7</v>
      </c>
      <c r="E1104" s="2" t="s">
        <v>12</v>
      </c>
      <c r="F1104">
        <f t="shared" si="17"/>
        <v>0</v>
      </c>
      <c r="G1104" t="s">
        <v>16</v>
      </c>
    </row>
    <row r="1105" spans="1:7" x14ac:dyDescent="0.3">
      <c r="A1105" t="s">
        <v>6</v>
      </c>
      <c r="B1105" t="str">
        <f>"10/08/1988 00:00"</f>
        <v>10/08/1988 00:00</v>
      </c>
      <c r="D1105" t="s">
        <v>7</v>
      </c>
      <c r="E1105" s="2" t="s">
        <v>12</v>
      </c>
      <c r="F1105">
        <f t="shared" si="17"/>
        <v>0</v>
      </c>
      <c r="G1105" t="s">
        <v>16</v>
      </c>
    </row>
    <row r="1106" spans="1:7" x14ac:dyDescent="0.3">
      <c r="A1106" t="s">
        <v>6</v>
      </c>
      <c r="B1106" t="str">
        <f>"10/09/1988 00:00"</f>
        <v>10/09/1988 00:00</v>
      </c>
      <c r="D1106" t="s">
        <v>7</v>
      </c>
      <c r="E1106" s="2" t="s">
        <v>12</v>
      </c>
      <c r="F1106">
        <f t="shared" si="17"/>
        <v>0</v>
      </c>
      <c r="G1106" t="s">
        <v>16</v>
      </c>
    </row>
    <row r="1107" spans="1:7" x14ac:dyDescent="0.3">
      <c r="A1107" t="s">
        <v>6</v>
      </c>
      <c r="B1107" t="str">
        <f>"10/10/1988 00:00"</f>
        <v>10/10/1988 00:00</v>
      </c>
      <c r="D1107" t="s">
        <v>7</v>
      </c>
      <c r="E1107" s="2" t="s">
        <v>12</v>
      </c>
      <c r="F1107">
        <f t="shared" si="17"/>
        <v>0</v>
      </c>
      <c r="G1107" t="s">
        <v>16</v>
      </c>
    </row>
    <row r="1108" spans="1:7" x14ac:dyDescent="0.3">
      <c r="A1108" t="s">
        <v>6</v>
      </c>
      <c r="B1108" t="str">
        <f>"10/11/1988 00:00"</f>
        <v>10/11/1988 00:00</v>
      </c>
      <c r="D1108" t="s">
        <v>7</v>
      </c>
      <c r="E1108" s="2" t="s">
        <v>12</v>
      </c>
      <c r="F1108">
        <f t="shared" si="17"/>
        <v>0</v>
      </c>
      <c r="G1108" t="s">
        <v>16</v>
      </c>
    </row>
    <row r="1109" spans="1:7" x14ac:dyDescent="0.3">
      <c r="A1109" t="s">
        <v>6</v>
      </c>
      <c r="B1109" t="str">
        <f>"10/12/1988 00:00"</f>
        <v>10/12/1988 00:00</v>
      </c>
      <c r="D1109" t="s">
        <v>7</v>
      </c>
      <c r="E1109" s="2" t="s">
        <v>12</v>
      </c>
      <c r="F1109">
        <f t="shared" si="17"/>
        <v>0</v>
      </c>
      <c r="G1109" t="s">
        <v>16</v>
      </c>
    </row>
    <row r="1110" spans="1:7" x14ac:dyDescent="0.3">
      <c r="A1110" t="s">
        <v>6</v>
      </c>
      <c r="B1110" t="str">
        <f>"10/13/1988 00:00"</f>
        <v>10/13/1988 00:00</v>
      </c>
      <c r="D1110" t="s">
        <v>7</v>
      </c>
      <c r="E1110" s="2" t="s">
        <v>12</v>
      </c>
      <c r="F1110">
        <f t="shared" si="17"/>
        <v>0</v>
      </c>
      <c r="G1110" t="s">
        <v>16</v>
      </c>
    </row>
    <row r="1111" spans="1:7" x14ac:dyDescent="0.3">
      <c r="A1111" t="s">
        <v>6</v>
      </c>
      <c r="B1111" t="str">
        <f>"10/14/1988 00:00"</f>
        <v>10/14/1988 00:00</v>
      </c>
      <c r="D1111" t="s">
        <v>7</v>
      </c>
      <c r="E1111" s="2" t="s">
        <v>12</v>
      </c>
      <c r="F1111">
        <f t="shared" si="17"/>
        <v>0</v>
      </c>
      <c r="G1111" t="s">
        <v>16</v>
      </c>
    </row>
    <row r="1112" spans="1:7" x14ac:dyDescent="0.3">
      <c r="A1112" t="s">
        <v>6</v>
      </c>
      <c r="B1112" t="str">
        <f>"10/15/1988 00:00"</f>
        <v>10/15/1988 00:00</v>
      </c>
      <c r="D1112" t="s">
        <v>7</v>
      </c>
      <c r="E1112" s="2" t="s">
        <v>12</v>
      </c>
      <c r="F1112">
        <f t="shared" si="17"/>
        <v>0</v>
      </c>
      <c r="G1112" t="s">
        <v>16</v>
      </c>
    </row>
    <row r="1113" spans="1:7" x14ac:dyDescent="0.3">
      <c r="A1113" t="s">
        <v>6</v>
      </c>
      <c r="B1113" t="str">
        <f>"10/16/1988 00:00"</f>
        <v>10/16/1988 00:00</v>
      </c>
      <c r="D1113" t="s">
        <v>7</v>
      </c>
      <c r="E1113" s="2" t="s">
        <v>12</v>
      </c>
      <c r="F1113">
        <f t="shared" si="17"/>
        <v>0</v>
      </c>
      <c r="G1113" t="s">
        <v>16</v>
      </c>
    </row>
    <row r="1114" spans="1:7" x14ac:dyDescent="0.3">
      <c r="A1114" t="s">
        <v>6</v>
      </c>
      <c r="B1114" t="str">
        <f>"10/17/1988 00:00"</f>
        <v>10/17/1988 00:00</v>
      </c>
      <c r="D1114" t="s">
        <v>7</v>
      </c>
      <c r="E1114" s="2" t="s">
        <v>12</v>
      </c>
      <c r="F1114">
        <f t="shared" si="17"/>
        <v>0</v>
      </c>
      <c r="G1114" t="s">
        <v>16</v>
      </c>
    </row>
    <row r="1115" spans="1:7" x14ac:dyDescent="0.3">
      <c r="A1115" t="s">
        <v>6</v>
      </c>
      <c r="B1115" t="str">
        <f>"10/18/1988 00:00"</f>
        <v>10/18/1988 00:00</v>
      </c>
      <c r="D1115" t="s">
        <v>7</v>
      </c>
      <c r="E1115" s="2" t="s">
        <v>12</v>
      </c>
      <c r="F1115">
        <f t="shared" si="17"/>
        <v>0</v>
      </c>
      <c r="G1115" t="s">
        <v>16</v>
      </c>
    </row>
    <row r="1116" spans="1:7" x14ac:dyDescent="0.3">
      <c r="A1116" t="s">
        <v>6</v>
      </c>
      <c r="B1116" t="str">
        <f>"10/19/1988 00:00"</f>
        <v>10/19/1988 00:00</v>
      </c>
      <c r="D1116" t="s">
        <v>7</v>
      </c>
      <c r="E1116" s="2" t="s">
        <v>12</v>
      </c>
      <c r="F1116">
        <f t="shared" si="17"/>
        <v>0</v>
      </c>
      <c r="G1116" t="s">
        <v>16</v>
      </c>
    </row>
    <row r="1117" spans="1:7" x14ac:dyDescent="0.3">
      <c r="A1117" t="s">
        <v>6</v>
      </c>
      <c r="B1117" t="str">
        <f>"10/20/1988 00:00"</f>
        <v>10/20/1988 00:00</v>
      </c>
      <c r="D1117" t="s">
        <v>7</v>
      </c>
      <c r="E1117" s="2" t="s">
        <v>12</v>
      </c>
      <c r="F1117">
        <f t="shared" si="17"/>
        <v>0</v>
      </c>
      <c r="G1117" t="s">
        <v>16</v>
      </c>
    </row>
    <row r="1118" spans="1:7" x14ac:dyDescent="0.3">
      <c r="A1118" t="s">
        <v>6</v>
      </c>
      <c r="B1118" t="str">
        <f>"10/21/1988 00:00"</f>
        <v>10/21/1988 00:00</v>
      </c>
      <c r="D1118" t="s">
        <v>7</v>
      </c>
      <c r="E1118" s="2" t="s">
        <v>12</v>
      </c>
      <c r="F1118">
        <f t="shared" si="17"/>
        <v>0</v>
      </c>
      <c r="G1118" t="s">
        <v>16</v>
      </c>
    </row>
    <row r="1119" spans="1:7" x14ac:dyDescent="0.3">
      <c r="A1119" t="s">
        <v>6</v>
      </c>
      <c r="B1119" t="str">
        <f>"10/22/1988 00:00"</f>
        <v>10/22/1988 00:00</v>
      </c>
      <c r="D1119" t="s">
        <v>7</v>
      </c>
      <c r="E1119" s="2" t="s">
        <v>12</v>
      </c>
      <c r="F1119">
        <f t="shared" si="17"/>
        <v>0</v>
      </c>
      <c r="G1119" t="s">
        <v>16</v>
      </c>
    </row>
    <row r="1120" spans="1:7" x14ac:dyDescent="0.3">
      <c r="A1120" t="s">
        <v>6</v>
      </c>
      <c r="B1120" t="str">
        <f>"10/23/1988 00:00"</f>
        <v>10/23/1988 00:00</v>
      </c>
      <c r="D1120" t="s">
        <v>7</v>
      </c>
      <c r="E1120" s="2" t="s">
        <v>12</v>
      </c>
      <c r="F1120">
        <f t="shared" si="17"/>
        <v>0</v>
      </c>
      <c r="G1120" t="s">
        <v>16</v>
      </c>
    </row>
    <row r="1121" spans="1:7" x14ac:dyDescent="0.3">
      <c r="A1121" t="s">
        <v>6</v>
      </c>
      <c r="B1121" t="str">
        <f>"10/24/1988 00:00"</f>
        <v>10/24/1988 00:00</v>
      </c>
      <c r="D1121" t="s">
        <v>7</v>
      </c>
      <c r="E1121" s="2" t="s">
        <v>12</v>
      </c>
      <c r="F1121">
        <f t="shared" si="17"/>
        <v>0</v>
      </c>
      <c r="G1121" t="s">
        <v>16</v>
      </c>
    </row>
    <row r="1122" spans="1:7" x14ac:dyDescent="0.3">
      <c r="A1122" t="s">
        <v>6</v>
      </c>
      <c r="B1122" t="str">
        <f>"10/25/1988 00:00"</f>
        <v>10/25/1988 00:00</v>
      </c>
      <c r="D1122" t="s">
        <v>7</v>
      </c>
      <c r="E1122" s="2" t="s">
        <v>12</v>
      </c>
      <c r="F1122">
        <f t="shared" si="17"/>
        <v>0</v>
      </c>
      <c r="G1122" t="s">
        <v>16</v>
      </c>
    </row>
    <row r="1123" spans="1:7" x14ac:dyDescent="0.3">
      <c r="A1123" t="s">
        <v>6</v>
      </c>
      <c r="B1123" t="str">
        <f>"10/26/1988 00:00"</f>
        <v>10/26/1988 00:00</v>
      </c>
      <c r="D1123" t="s">
        <v>7</v>
      </c>
      <c r="E1123" s="2" t="s">
        <v>12</v>
      </c>
      <c r="F1123">
        <f t="shared" si="17"/>
        <v>0</v>
      </c>
      <c r="G1123" t="s">
        <v>16</v>
      </c>
    </row>
    <row r="1124" spans="1:7" x14ac:dyDescent="0.3">
      <c r="A1124" t="s">
        <v>6</v>
      </c>
      <c r="B1124" t="str">
        <f>"10/27/1988 00:00"</f>
        <v>10/27/1988 00:00</v>
      </c>
      <c r="D1124" t="s">
        <v>7</v>
      </c>
      <c r="E1124" s="2" t="s">
        <v>12</v>
      </c>
      <c r="F1124">
        <f t="shared" si="17"/>
        <v>0</v>
      </c>
      <c r="G1124" t="s">
        <v>16</v>
      </c>
    </row>
    <row r="1125" spans="1:7" x14ac:dyDescent="0.3">
      <c r="A1125" t="s">
        <v>6</v>
      </c>
      <c r="B1125" t="str">
        <f>"10/28/1988 00:00"</f>
        <v>10/28/1988 00:00</v>
      </c>
      <c r="D1125" t="s">
        <v>7</v>
      </c>
      <c r="E1125" s="2" t="s">
        <v>12</v>
      </c>
      <c r="F1125">
        <f t="shared" si="17"/>
        <v>0</v>
      </c>
      <c r="G1125" t="s">
        <v>16</v>
      </c>
    </row>
    <row r="1126" spans="1:7" x14ac:dyDescent="0.3">
      <c r="A1126" t="s">
        <v>6</v>
      </c>
      <c r="B1126" t="str">
        <f>"10/29/1988 00:00"</f>
        <v>10/29/1988 00:00</v>
      </c>
      <c r="D1126" t="s">
        <v>7</v>
      </c>
      <c r="E1126" s="2" t="s">
        <v>12</v>
      </c>
      <c r="F1126">
        <f t="shared" si="17"/>
        <v>0</v>
      </c>
      <c r="G1126" t="s">
        <v>16</v>
      </c>
    </row>
    <row r="1127" spans="1:7" x14ac:dyDescent="0.3">
      <c r="A1127" t="s">
        <v>6</v>
      </c>
      <c r="B1127" t="str">
        <f>"10/30/1988 00:00"</f>
        <v>10/30/1988 00:00</v>
      </c>
      <c r="D1127" t="s">
        <v>7</v>
      </c>
      <c r="E1127" s="2" t="s">
        <v>12</v>
      </c>
      <c r="F1127">
        <f t="shared" si="17"/>
        <v>0</v>
      </c>
      <c r="G1127" t="s">
        <v>16</v>
      </c>
    </row>
    <row r="1128" spans="1:7" x14ac:dyDescent="0.3">
      <c r="A1128" t="s">
        <v>6</v>
      </c>
      <c r="B1128" t="str">
        <f>"10/31/1988 00:00"</f>
        <v>10/31/1988 00:00</v>
      </c>
      <c r="D1128" t="s">
        <v>7</v>
      </c>
      <c r="E1128" s="2" t="s">
        <v>12</v>
      </c>
      <c r="F1128">
        <f t="shared" si="17"/>
        <v>0</v>
      </c>
      <c r="G1128" t="s">
        <v>16</v>
      </c>
    </row>
    <row r="1129" spans="1:7" x14ac:dyDescent="0.3">
      <c r="A1129" t="s">
        <v>6</v>
      </c>
      <c r="B1129" t="str">
        <f>"11/01/1988 00:00"</f>
        <v>11/01/1988 00:00</v>
      </c>
      <c r="D1129" t="s">
        <v>7</v>
      </c>
      <c r="E1129" s="2" t="s">
        <v>12</v>
      </c>
      <c r="F1129">
        <f t="shared" si="17"/>
        <v>0</v>
      </c>
      <c r="G1129" t="s">
        <v>16</v>
      </c>
    </row>
    <row r="1130" spans="1:7" x14ac:dyDescent="0.3">
      <c r="A1130" t="s">
        <v>6</v>
      </c>
      <c r="B1130" t="str">
        <f>"11/02/1988 00:00"</f>
        <v>11/02/1988 00:00</v>
      </c>
      <c r="D1130" t="s">
        <v>7</v>
      </c>
      <c r="E1130" s="2" t="s">
        <v>12</v>
      </c>
      <c r="F1130">
        <f t="shared" si="17"/>
        <v>0</v>
      </c>
      <c r="G1130" t="s">
        <v>16</v>
      </c>
    </row>
    <row r="1131" spans="1:7" x14ac:dyDescent="0.3">
      <c r="A1131" t="s">
        <v>6</v>
      </c>
      <c r="B1131" t="str">
        <f>"11/03/1988 00:00"</f>
        <v>11/03/1988 00:00</v>
      </c>
      <c r="D1131" t="s">
        <v>7</v>
      </c>
      <c r="E1131" s="2" t="s">
        <v>12</v>
      </c>
      <c r="F1131">
        <f t="shared" si="17"/>
        <v>0</v>
      </c>
      <c r="G1131" t="s">
        <v>16</v>
      </c>
    </row>
    <row r="1132" spans="1:7" x14ac:dyDescent="0.3">
      <c r="A1132" t="s">
        <v>6</v>
      </c>
      <c r="B1132" t="str">
        <f>"11/04/1988 00:00"</f>
        <v>11/04/1988 00:00</v>
      </c>
      <c r="D1132" t="s">
        <v>7</v>
      </c>
      <c r="E1132" s="2" t="s">
        <v>12</v>
      </c>
      <c r="F1132">
        <f t="shared" si="17"/>
        <v>0</v>
      </c>
      <c r="G1132" t="s">
        <v>16</v>
      </c>
    </row>
    <row r="1133" spans="1:7" x14ac:dyDescent="0.3">
      <c r="A1133" t="s">
        <v>6</v>
      </c>
      <c r="B1133" t="str">
        <f>"11/05/1988 00:00"</f>
        <v>11/05/1988 00:00</v>
      </c>
      <c r="D1133" t="s">
        <v>7</v>
      </c>
      <c r="E1133" s="2" t="s">
        <v>12</v>
      </c>
      <c r="F1133">
        <f t="shared" si="17"/>
        <v>0</v>
      </c>
      <c r="G1133" t="s">
        <v>16</v>
      </c>
    </row>
    <row r="1134" spans="1:7" x14ac:dyDescent="0.3">
      <c r="A1134" t="s">
        <v>6</v>
      </c>
      <c r="B1134" t="str">
        <f>"11/06/1988 00:00"</f>
        <v>11/06/1988 00:00</v>
      </c>
      <c r="D1134" t="s">
        <v>7</v>
      </c>
      <c r="E1134" s="2" t="s">
        <v>12</v>
      </c>
      <c r="F1134">
        <f t="shared" si="17"/>
        <v>0</v>
      </c>
      <c r="G1134" t="s">
        <v>16</v>
      </c>
    </row>
    <row r="1135" spans="1:7" x14ac:dyDescent="0.3">
      <c r="A1135" t="s">
        <v>6</v>
      </c>
      <c r="B1135" t="str">
        <f>"11/07/1988 00:00"</f>
        <v>11/07/1988 00:00</v>
      </c>
      <c r="D1135" t="s">
        <v>7</v>
      </c>
      <c r="E1135" s="2" t="s">
        <v>12</v>
      </c>
      <c r="F1135">
        <f t="shared" si="17"/>
        <v>0</v>
      </c>
      <c r="G1135" t="s">
        <v>16</v>
      </c>
    </row>
    <row r="1136" spans="1:7" x14ac:dyDescent="0.3">
      <c r="A1136" t="s">
        <v>6</v>
      </c>
      <c r="B1136" t="str">
        <f>"11/08/1988 00:00"</f>
        <v>11/08/1988 00:00</v>
      </c>
      <c r="D1136" t="s">
        <v>7</v>
      </c>
      <c r="E1136" s="2" t="s">
        <v>12</v>
      </c>
      <c r="F1136">
        <f t="shared" si="17"/>
        <v>0</v>
      </c>
      <c r="G1136" t="s">
        <v>16</v>
      </c>
    </row>
    <row r="1137" spans="1:10" x14ac:dyDescent="0.3">
      <c r="A1137" t="s">
        <v>6</v>
      </c>
      <c r="B1137" t="str">
        <f>"11/09/1988 00:00"</f>
        <v>11/09/1988 00:00</v>
      </c>
      <c r="D1137" t="s">
        <v>7</v>
      </c>
      <c r="E1137" s="2" t="s">
        <v>12</v>
      </c>
      <c r="F1137">
        <f t="shared" si="17"/>
        <v>0</v>
      </c>
      <c r="G1137" t="s">
        <v>16</v>
      </c>
    </row>
    <row r="1138" spans="1:10" x14ac:dyDescent="0.3">
      <c r="A1138" t="s">
        <v>6</v>
      </c>
      <c r="B1138" t="str">
        <f>"11/10/1988 00:00"</f>
        <v>11/10/1988 00:00</v>
      </c>
      <c r="D1138" t="s">
        <v>7</v>
      </c>
      <c r="E1138" s="2" t="s">
        <v>12</v>
      </c>
      <c r="F1138">
        <f t="shared" si="17"/>
        <v>0</v>
      </c>
      <c r="G1138" t="s">
        <v>16</v>
      </c>
    </row>
    <row r="1139" spans="1:10" x14ac:dyDescent="0.3">
      <c r="A1139" t="s">
        <v>6</v>
      </c>
      <c r="B1139" t="str">
        <f>"11/11/1988 00:00"</f>
        <v>11/11/1988 00:00</v>
      </c>
      <c r="D1139" t="s">
        <v>7</v>
      </c>
      <c r="E1139" s="2" t="s">
        <v>12</v>
      </c>
      <c r="F1139">
        <f t="shared" si="17"/>
        <v>0</v>
      </c>
      <c r="G1139" t="s">
        <v>16</v>
      </c>
    </row>
    <row r="1140" spans="1:10" x14ac:dyDescent="0.3">
      <c r="A1140" t="s">
        <v>6</v>
      </c>
      <c r="B1140" t="str">
        <f>"11/12/1988 00:00"</f>
        <v>11/12/1988 00:00</v>
      </c>
      <c r="D1140" t="s">
        <v>7</v>
      </c>
      <c r="E1140" s="2" t="s">
        <v>12</v>
      </c>
      <c r="F1140">
        <f t="shared" si="17"/>
        <v>0</v>
      </c>
      <c r="G1140" t="s">
        <v>16</v>
      </c>
    </row>
    <row r="1141" spans="1:10" x14ac:dyDescent="0.3">
      <c r="A1141" t="s">
        <v>6</v>
      </c>
      <c r="B1141" t="str">
        <f>"11/13/1988 00:00"</f>
        <v>11/13/1988 00:00</v>
      </c>
      <c r="D1141" t="s">
        <v>7</v>
      </c>
      <c r="E1141" s="2" t="s">
        <v>12</v>
      </c>
      <c r="F1141">
        <f t="shared" si="17"/>
        <v>0</v>
      </c>
      <c r="G1141" t="s">
        <v>16</v>
      </c>
    </row>
    <row r="1142" spans="1:10" x14ac:dyDescent="0.3">
      <c r="A1142" t="s">
        <v>6</v>
      </c>
      <c r="B1142" t="str">
        <f>"11/14/1988 00:00"</f>
        <v>11/14/1988 00:00</v>
      </c>
      <c r="D1142" t="s">
        <v>7</v>
      </c>
      <c r="E1142" s="2" t="s">
        <v>12</v>
      </c>
      <c r="F1142">
        <f t="shared" si="17"/>
        <v>0</v>
      </c>
      <c r="G1142" t="s">
        <v>16</v>
      </c>
    </row>
    <row r="1143" spans="1:10" x14ac:dyDescent="0.3">
      <c r="A1143" t="s">
        <v>6</v>
      </c>
      <c r="B1143" t="str">
        <f>"11/15/1988 00:00"</f>
        <v>11/15/1988 00:00</v>
      </c>
      <c r="D1143" t="s">
        <v>7</v>
      </c>
      <c r="E1143" s="2" t="s">
        <v>12</v>
      </c>
      <c r="F1143">
        <f t="shared" si="17"/>
        <v>0</v>
      </c>
      <c r="G1143" t="s">
        <v>16</v>
      </c>
    </row>
    <row r="1144" spans="1:10" x14ac:dyDescent="0.3">
      <c r="A1144" t="s">
        <v>6</v>
      </c>
      <c r="B1144" t="str">
        <f>"11/16/1988 00:00"</f>
        <v>11/16/1988 00:00</v>
      </c>
      <c r="D1144" t="s">
        <v>7</v>
      </c>
      <c r="E1144" s="2" t="s">
        <v>12</v>
      </c>
      <c r="F1144">
        <f t="shared" si="17"/>
        <v>0</v>
      </c>
      <c r="G1144" t="s">
        <v>16</v>
      </c>
    </row>
    <row r="1145" spans="1:10" x14ac:dyDescent="0.3">
      <c r="A1145" t="s">
        <v>6</v>
      </c>
      <c r="B1145" t="str">
        <f>"11/17/1988 00:00"</f>
        <v>11/17/1988 00:00</v>
      </c>
      <c r="C1145">
        <v>49.2</v>
      </c>
      <c r="D1145" t="s">
        <v>7</v>
      </c>
      <c r="E1145" s="2" t="s">
        <v>12</v>
      </c>
      <c r="F1145">
        <f t="shared" si="17"/>
        <v>97.563600000000008</v>
      </c>
      <c r="G1145" t="s">
        <v>16</v>
      </c>
      <c r="J1145" t="str">
        <f>"11/17/1988 23:45"</f>
        <v>11/17/1988 23:45</v>
      </c>
    </row>
    <row r="1146" spans="1:10" x14ac:dyDescent="0.3">
      <c r="A1146" t="s">
        <v>6</v>
      </c>
      <c r="B1146" t="str">
        <f>"11/18/1988 00:00"</f>
        <v>11/18/1988 00:00</v>
      </c>
      <c r="C1146">
        <v>50.2</v>
      </c>
      <c r="D1146" t="s">
        <v>7</v>
      </c>
      <c r="E1146" s="2" t="s">
        <v>12</v>
      </c>
      <c r="F1146">
        <f t="shared" si="17"/>
        <v>99.546600000000012</v>
      </c>
      <c r="G1146" t="s">
        <v>16</v>
      </c>
      <c r="I1146" t="s">
        <v>8</v>
      </c>
      <c r="J1146" t="str">
        <f>"11/18/1988 23:45"</f>
        <v>11/18/1988 23:45</v>
      </c>
    </row>
    <row r="1147" spans="1:10" x14ac:dyDescent="0.3">
      <c r="A1147" t="s">
        <v>6</v>
      </c>
      <c r="B1147" t="str">
        <f>"11/19/1988 00:00"</f>
        <v>11/19/1988 00:00</v>
      </c>
      <c r="C1147">
        <v>50.2</v>
      </c>
      <c r="D1147" t="s">
        <v>7</v>
      </c>
      <c r="E1147" s="2" t="s">
        <v>12</v>
      </c>
      <c r="F1147">
        <f t="shared" si="17"/>
        <v>99.546600000000012</v>
      </c>
      <c r="G1147" t="s">
        <v>16</v>
      </c>
      <c r="I1147" t="s">
        <v>35</v>
      </c>
      <c r="J1147" t="str">
        <f>"11/19/1988 23:45"</f>
        <v>11/19/1988 23:45</v>
      </c>
    </row>
    <row r="1148" spans="1:10" x14ac:dyDescent="0.3">
      <c r="A1148" t="s">
        <v>6</v>
      </c>
      <c r="B1148" t="str">
        <f>"11/20/1988 00:00"</f>
        <v>11/20/1988 00:00</v>
      </c>
      <c r="C1148">
        <v>50.2</v>
      </c>
      <c r="D1148" t="s">
        <v>7</v>
      </c>
      <c r="E1148" s="2" t="s">
        <v>12</v>
      </c>
      <c r="F1148">
        <f t="shared" si="17"/>
        <v>99.546600000000012</v>
      </c>
      <c r="G1148" t="s">
        <v>16</v>
      </c>
      <c r="I1148" t="s">
        <v>8</v>
      </c>
      <c r="J1148" t="str">
        <f>"11/20/1988 23:45"</f>
        <v>11/20/1988 23:45</v>
      </c>
    </row>
    <row r="1149" spans="1:10" x14ac:dyDescent="0.3">
      <c r="A1149" t="s">
        <v>6</v>
      </c>
      <c r="B1149" t="str">
        <f>"11/21/1988 00:00"</f>
        <v>11/21/1988 00:00</v>
      </c>
      <c r="C1149">
        <v>79.900000000000006</v>
      </c>
      <c r="D1149" t="s">
        <v>7</v>
      </c>
      <c r="E1149" s="2" t="s">
        <v>12</v>
      </c>
      <c r="F1149">
        <f t="shared" si="17"/>
        <v>158.44170000000003</v>
      </c>
      <c r="G1149" t="s">
        <v>16</v>
      </c>
      <c r="I1149" t="s">
        <v>8</v>
      </c>
      <c r="J1149" t="str">
        <f>"11/21/1988 23:45"</f>
        <v>11/21/1988 23:45</v>
      </c>
    </row>
    <row r="1150" spans="1:10" x14ac:dyDescent="0.3">
      <c r="A1150" t="s">
        <v>6</v>
      </c>
      <c r="B1150" t="str">
        <f>"11/22/1988 00:00"</f>
        <v>11/22/1988 00:00</v>
      </c>
      <c r="C1150">
        <v>105</v>
      </c>
      <c r="D1150" t="s">
        <v>7</v>
      </c>
      <c r="E1150" s="2" t="s">
        <v>12</v>
      </c>
      <c r="F1150">
        <f t="shared" si="17"/>
        <v>208.215</v>
      </c>
      <c r="G1150" t="s">
        <v>16</v>
      </c>
      <c r="I1150" t="s">
        <v>8</v>
      </c>
      <c r="J1150" t="str">
        <f>"11/22/1988 23:45"</f>
        <v>11/22/1988 23:45</v>
      </c>
    </row>
    <row r="1151" spans="1:10" x14ac:dyDescent="0.3">
      <c r="A1151" t="s">
        <v>6</v>
      </c>
      <c r="B1151" t="str">
        <f>"11/23/1988 00:00"</f>
        <v>11/23/1988 00:00</v>
      </c>
      <c r="C1151">
        <v>106</v>
      </c>
      <c r="D1151" t="s">
        <v>7</v>
      </c>
      <c r="E1151" s="2" t="s">
        <v>12</v>
      </c>
      <c r="F1151">
        <f t="shared" si="17"/>
        <v>210.19800000000001</v>
      </c>
      <c r="G1151" t="s">
        <v>16</v>
      </c>
      <c r="I1151" t="s">
        <v>8</v>
      </c>
      <c r="J1151" t="str">
        <f>"11/23/1988 23:45"</f>
        <v>11/23/1988 23:45</v>
      </c>
    </row>
    <row r="1152" spans="1:10" x14ac:dyDescent="0.3">
      <c r="A1152" t="s">
        <v>6</v>
      </c>
      <c r="B1152" t="str">
        <f>"11/24/1988 00:00"</f>
        <v>11/24/1988 00:00</v>
      </c>
      <c r="C1152">
        <v>106</v>
      </c>
      <c r="D1152" t="s">
        <v>7</v>
      </c>
      <c r="E1152" s="2" t="s">
        <v>12</v>
      </c>
      <c r="F1152">
        <f t="shared" si="17"/>
        <v>210.19800000000001</v>
      </c>
      <c r="G1152" t="s">
        <v>16</v>
      </c>
      <c r="I1152" t="s">
        <v>8</v>
      </c>
      <c r="J1152" t="str">
        <f>"11/24/1988 23:45"</f>
        <v>11/24/1988 23:45</v>
      </c>
    </row>
    <row r="1153" spans="1:10" x14ac:dyDescent="0.3">
      <c r="A1153" t="s">
        <v>6</v>
      </c>
      <c r="B1153" t="str">
        <f>"11/25/1988 00:00"</f>
        <v>11/25/1988 00:00</v>
      </c>
      <c r="C1153">
        <v>106</v>
      </c>
      <c r="D1153" t="s">
        <v>7</v>
      </c>
      <c r="E1153" s="2" t="s">
        <v>12</v>
      </c>
      <c r="F1153">
        <f t="shared" si="17"/>
        <v>210.19800000000001</v>
      </c>
      <c r="G1153" t="s">
        <v>16</v>
      </c>
      <c r="I1153" t="s">
        <v>8</v>
      </c>
      <c r="J1153" t="str">
        <f>"11/25/1988 23:45"</f>
        <v>11/25/1988 23:45</v>
      </c>
    </row>
    <row r="1154" spans="1:10" x14ac:dyDescent="0.3">
      <c r="A1154" t="s">
        <v>6</v>
      </c>
      <c r="B1154" t="str">
        <f>"11/26/1988 00:00"</f>
        <v>11/26/1988 00:00</v>
      </c>
      <c r="C1154">
        <v>106</v>
      </c>
      <c r="D1154" t="s">
        <v>7</v>
      </c>
      <c r="E1154" s="2" t="s">
        <v>12</v>
      </c>
      <c r="F1154">
        <f t="shared" si="17"/>
        <v>210.19800000000001</v>
      </c>
      <c r="G1154" t="s">
        <v>16</v>
      </c>
      <c r="J1154" t="str">
        <f>"11/26/1988 23:45"</f>
        <v>11/26/1988 23:45</v>
      </c>
    </row>
    <row r="1155" spans="1:10" x14ac:dyDescent="0.3">
      <c r="A1155" t="s">
        <v>6</v>
      </c>
      <c r="B1155" t="str">
        <f>"11/27/1988 00:00"</f>
        <v>11/27/1988 00:00</v>
      </c>
      <c r="C1155">
        <v>105</v>
      </c>
      <c r="D1155" t="s">
        <v>7</v>
      </c>
      <c r="E1155" s="2" t="s">
        <v>12</v>
      </c>
      <c r="F1155">
        <f t="shared" ref="F1155:F1218" si="18">C1155*1.983</f>
        <v>208.215</v>
      </c>
      <c r="G1155" t="s">
        <v>16</v>
      </c>
      <c r="I1155" t="s">
        <v>8</v>
      </c>
      <c r="J1155" t="str">
        <f>"11/27/1988 23:45"</f>
        <v>11/27/1988 23:45</v>
      </c>
    </row>
    <row r="1156" spans="1:10" x14ac:dyDescent="0.3">
      <c r="A1156" t="s">
        <v>6</v>
      </c>
      <c r="B1156" t="str">
        <f>"11/28/1988 00:00"</f>
        <v>11/28/1988 00:00</v>
      </c>
      <c r="C1156">
        <v>106</v>
      </c>
      <c r="D1156" t="s">
        <v>7</v>
      </c>
      <c r="E1156" s="2" t="s">
        <v>12</v>
      </c>
      <c r="F1156">
        <f t="shared" si="18"/>
        <v>210.19800000000001</v>
      </c>
      <c r="G1156" t="s">
        <v>16</v>
      </c>
      <c r="J1156" t="str">
        <f>"11/28/1988 23:45"</f>
        <v>11/28/1988 23:45</v>
      </c>
    </row>
    <row r="1157" spans="1:10" x14ac:dyDescent="0.3">
      <c r="A1157" t="s">
        <v>6</v>
      </c>
      <c r="B1157" t="str">
        <f>"11/29/1988 00:00"</f>
        <v>11/29/1988 00:00</v>
      </c>
      <c r="C1157">
        <v>98.5</v>
      </c>
      <c r="D1157" t="s">
        <v>7</v>
      </c>
      <c r="E1157" s="2" t="s">
        <v>12</v>
      </c>
      <c r="F1157">
        <f t="shared" si="18"/>
        <v>195.32550000000001</v>
      </c>
      <c r="G1157" t="s">
        <v>16</v>
      </c>
      <c r="I1157" t="s">
        <v>8</v>
      </c>
      <c r="J1157" t="str">
        <f>"11/29/1988 23:45"</f>
        <v>11/29/1988 23:45</v>
      </c>
    </row>
    <row r="1158" spans="1:10" x14ac:dyDescent="0.3">
      <c r="A1158" t="s">
        <v>6</v>
      </c>
      <c r="B1158" t="str">
        <f>"11/30/1988 00:00"</f>
        <v>11/30/1988 00:00</v>
      </c>
      <c r="C1158">
        <v>87.4</v>
      </c>
      <c r="D1158" t="s">
        <v>7</v>
      </c>
      <c r="E1158" s="2" t="s">
        <v>12</v>
      </c>
      <c r="F1158">
        <f t="shared" si="18"/>
        <v>173.31420000000003</v>
      </c>
      <c r="G1158" t="s">
        <v>16</v>
      </c>
      <c r="J1158" t="str">
        <f>"11/30/1988 23:45"</f>
        <v>11/30/1988 23:45</v>
      </c>
    </row>
    <row r="1159" spans="1:10" x14ac:dyDescent="0.3">
      <c r="A1159" t="s">
        <v>6</v>
      </c>
      <c r="B1159" t="str">
        <f>"12/01/1988 00:00"</f>
        <v>12/01/1988 00:00</v>
      </c>
      <c r="C1159">
        <v>87.8</v>
      </c>
      <c r="D1159" t="s">
        <v>7</v>
      </c>
      <c r="E1159" s="2" t="s">
        <v>12</v>
      </c>
      <c r="F1159">
        <f t="shared" si="18"/>
        <v>174.10740000000001</v>
      </c>
      <c r="G1159" t="s">
        <v>16</v>
      </c>
      <c r="J1159" t="str">
        <f>"12/01/1988 23:45"</f>
        <v>12/01/1988 23:45</v>
      </c>
    </row>
    <row r="1160" spans="1:10" x14ac:dyDescent="0.3">
      <c r="A1160" t="s">
        <v>6</v>
      </c>
      <c r="B1160" t="str">
        <f>"12/02/1988 00:00"</f>
        <v>12/02/1988 00:00</v>
      </c>
      <c r="C1160">
        <v>88.8</v>
      </c>
      <c r="D1160" t="s">
        <v>7</v>
      </c>
      <c r="E1160" s="2" t="s">
        <v>12</v>
      </c>
      <c r="F1160">
        <f t="shared" si="18"/>
        <v>176.09040000000002</v>
      </c>
      <c r="G1160" t="s">
        <v>16</v>
      </c>
      <c r="I1160" t="s">
        <v>8</v>
      </c>
      <c r="J1160" t="str">
        <f>"12/02/1988 23:45"</f>
        <v>12/02/1988 23:45</v>
      </c>
    </row>
    <row r="1161" spans="1:10" x14ac:dyDescent="0.3">
      <c r="A1161" t="s">
        <v>6</v>
      </c>
      <c r="B1161" t="str">
        <f>"12/03/1988 00:00"</f>
        <v>12/03/1988 00:00</v>
      </c>
      <c r="C1161">
        <v>88.8</v>
      </c>
      <c r="D1161" t="s">
        <v>7</v>
      </c>
      <c r="E1161" s="2" t="s">
        <v>12</v>
      </c>
      <c r="F1161">
        <f t="shared" si="18"/>
        <v>176.09040000000002</v>
      </c>
      <c r="G1161" t="s">
        <v>16</v>
      </c>
      <c r="I1161" t="s">
        <v>35</v>
      </c>
      <c r="J1161" t="str">
        <f>"12/03/1988 23:45"</f>
        <v>12/03/1988 23:45</v>
      </c>
    </row>
    <row r="1162" spans="1:10" x14ac:dyDescent="0.3">
      <c r="A1162" t="s">
        <v>6</v>
      </c>
      <c r="B1162" t="str">
        <f>"12/04/1988 00:00"</f>
        <v>12/04/1988 00:00</v>
      </c>
      <c r="C1162">
        <v>88.8</v>
      </c>
      <c r="D1162" t="s">
        <v>7</v>
      </c>
      <c r="E1162" s="2" t="s">
        <v>12</v>
      </c>
      <c r="F1162">
        <f t="shared" si="18"/>
        <v>176.09040000000002</v>
      </c>
      <c r="G1162" t="s">
        <v>16</v>
      </c>
      <c r="I1162" t="s">
        <v>35</v>
      </c>
      <c r="J1162" t="str">
        <f>"12/04/1988 23:45"</f>
        <v>12/04/1988 23:45</v>
      </c>
    </row>
    <row r="1163" spans="1:10" x14ac:dyDescent="0.3">
      <c r="A1163" t="s">
        <v>6</v>
      </c>
      <c r="B1163" t="str">
        <f>"12/05/1988 00:00"</f>
        <v>12/05/1988 00:00</v>
      </c>
      <c r="C1163">
        <v>86.3</v>
      </c>
      <c r="D1163" t="s">
        <v>7</v>
      </c>
      <c r="E1163" s="2" t="s">
        <v>12</v>
      </c>
      <c r="F1163">
        <f t="shared" si="18"/>
        <v>171.13290000000001</v>
      </c>
      <c r="G1163" t="s">
        <v>16</v>
      </c>
      <c r="I1163" t="s">
        <v>8</v>
      </c>
      <c r="J1163" t="str">
        <f>"12/05/1988 23:45"</f>
        <v>12/05/1988 23:45</v>
      </c>
    </row>
    <row r="1164" spans="1:10" x14ac:dyDescent="0.3">
      <c r="A1164" t="s">
        <v>6</v>
      </c>
      <c r="B1164" t="str">
        <f>"12/06/1988 00:00"</f>
        <v>12/06/1988 00:00</v>
      </c>
      <c r="C1164">
        <v>88.8</v>
      </c>
      <c r="D1164" t="s">
        <v>7</v>
      </c>
      <c r="E1164" s="2" t="s">
        <v>12</v>
      </c>
      <c r="F1164">
        <f t="shared" si="18"/>
        <v>176.09040000000002</v>
      </c>
      <c r="G1164" t="s">
        <v>16</v>
      </c>
      <c r="I1164" t="s">
        <v>8</v>
      </c>
      <c r="J1164" t="str">
        <f>"12/06/1988 23:45"</f>
        <v>12/06/1988 23:45</v>
      </c>
    </row>
    <row r="1165" spans="1:10" x14ac:dyDescent="0.3">
      <c r="A1165" t="s">
        <v>6</v>
      </c>
      <c r="B1165" t="str">
        <f>"12/07/1988 00:00"</f>
        <v>12/07/1988 00:00</v>
      </c>
      <c r="C1165">
        <v>88.8</v>
      </c>
      <c r="D1165" t="s">
        <v>7</v>
      </c>
      <c r="E1165" s="2" t="s">
        <v>12</v>
      </c>
      <c r="F1165">
        <f t="shared" si="18"/>
        <v>176.09040000000002</v>
      </c>
      <c r="G1165" t="s">
        <v>16</v>
      </c>
      <c r="I1165" t="s">
        <v>35</v>
      </c>
      <c r="J1165" t="str">
        <f>"12/07/1988 23:45"</f>
        <v>12/07/1988 23:45</v>
      </c>
    </row>
    <row r="1166" spans="1:10" x14ac:dyDescent="0.3">
      <c r="A1166" t="s">
        <v>6</v>
      </c>
      <c r="B1166" t="str">
        <f>"12/08/1988 00:00"</f>
        <v>12/08/1988 00:00</v>
      </c>
      <c r="C1166">
        <v>88.8</v>
      </c>
      <c r="D1166" t="s">
        <v>7</v>
      </c>
      <c r="E1166" s="2" t="s">
        <v>12</v>
      </c>
      <c r="F1166">
        <f t="shared" si="18"/>
        <v>176.09040000000002</v>
      </c>
      <c r="G1166" t="s">
        <v>16</v>
      </c>
      <c r="I1166" t="s">
        <v>35</v>
      </c>
      <c r="J1166" t="str">
        <f>"12/08/1988 23:45"</f>
        <v>12/08/1988 23:45</v>
      </c>
    </row>
    <row r="1167" spans="1:10" x14ac:dyDescent="0.3">
      <c r="A1167" t="s">
        <v>6</v>
      </c>
      <c r="B1167" t="str">
        <f>"12/09/1988 00:00"</f>
        <v>12/09/1988 00:00</v>
      </c>
      <c r="C1167">
        <v>89</v>
      </c>
      <c r="D1167" t="s">
        <v>7</v>
      </c>
      <c r="E1167" s="2" t="s">
        <v>12</v>
      </c>
      <c r="F1167">
        <f t="shared" si="18"/>
        <v>176.48699999999999</v>
      </c>
      <c r="G1167" t="s">
        <v>16</v>
      </c>
      <c r="I1167" t="s">
        <v>8</v>
      </c>
      <c r="J1167" t="str">
        <f>"12/09/1988 23:45"</f>
        <v>12/09/1988 23:45</v>
      </c>
    </row>
    <row r="1168" spans="1:10" x14ac:dyDescent="0.3">
      <c r="A1168" t="s">
        <v>6</v>
      </c>
      <c r="B1168" t="str">
        <f>"12/10/1988 00:00"</f>
        <v>12/10/1988 00:00</v>
      </c>
      <c r="C1168">
        <v>87.5</v>
      </c>
      <c r="D1168" t="s">
        <v>7</v>
      </c>
      <c r="E1168" s="2" t="s">
        <v>12</v>
      </c>
      <c r="F1168">
        <f t="shared" si="18"/>
        <v>173.51250000000002</v>
      </c>
      <c r="G1168" t="s">
        <v>16</v>
      </c>
      <c r="I1168" t="s">
        <v>8</v>
      </c>
      <c r="J1168" t="str">
        <f>"12/10/1988 23:45"</f>
        <v>12/10/1988 23:45</v>
      </c>
    </row>
    <row r="1169" spans="1:10" x14ac:dyDescent="0.3">
      <c r="A1169" t="s">
        <v>6</v>
      </c>
      <c r="B1169" t="str">
        <f>"12/11/1988 00:00"</f>
        <v>12/11/1988 00:00</v>
      </c>
      <c r="C1169">
        <v>87.6</v>
      </c>
      <c r="D1169" t="s">
        <v>7</v>
      </c>
      <c r="E1169" s="2" t="s">
        <v>12</v>
      </c>
      <c r="F1169">
        <f t="shared" si="18"/>
        <v>173.71080000000001</v>
      </c>
      <c r="G1169" t="s">
        <v>16</v>
      </c>
      <c r="I1169" t="s">
        <v>8</v>
      </c>
      <c r="J1169" t="str">
        <f>"12/11/1988 23:45"</f>
        <v>12/11/1988 23:45</v>
      </c>
    </row>
    <row r="1170" spans="1:10" x14ac:dyDescent="0.3">
      <c r="A1170" t="s">
        <v>6</v>
      </c>
      <c r="B1170" t="str">
        <f>"12/12/1988 00:00"</f>
        <v>12/12/1988 00:00</v>
      </c>
      <c r="C1170">
        <v>88.1</v>
      </c>
      <c r="D1170" t="s">
        <v>7</v>
      </c>
      <c r="E1170" s="2" t="s">
        <v>12</v>
      </c>
      <c r="F1170">
        <f t="shared" si="18"/>
        <v>174.70230000000001</v>
      </c>
      <c r="G1170" t="s">
        <v>16</v>
      </c>
      <c r="J1170" t="str">
        <f>"12/12/1988 23:45"</f>
        <v>12/12/1988 23:45</v>
      </c>
    </row>
    <row r="1171" spans="1:10" x14ac:dyDescent="0.3">
      <c r="A1171" t="s">
        <v>6</v>
      </c>
      <c r="B1171" t="str">
        <f>"12/13/1988 00:00"</f>
        <v>12/13/1988 00:00</v>
      </c>
      <c r="C1171">
        <v>88.2</v>
      </c>
      <c r="D1171" t="s">
        <v>7</v>
      </c>
      <c r="E1171" s="2" t="s">
        <v>12</v>
      </c>
      <c r="F1171">
        <f t="shared" si="18"/>
        <v>174.90060000000003</v>
      </c>
      <c r="G1171" t="s">
        <v>16</v>
      </c>
      <c r="I1171" t="s">
        <v>8</v>
      </c>
      <c r="J1171" t="str">
        <f>"12/13/1988 23:45"</f>
        <v>12/13/1988 23:45</v>
      </c>
    </row>
    <row r="1172" spans="1:10" x14ac:dyDescent="0.3">
      <c r="A1172" t="s">
        <v>6</v>
      </c>
      <c r="B1172" t="str">
        <f>"12/14/1988 00:00"</f>
        <v>12/14/1988 00:00</v>
      </c>
      <c r="C1172">
        <v>88</v>
      </c>
      <c r="D1172" t="s">
        <v>7</v>
      </c>
      <c r="E1172" s="2" t="s">
        <v>12</v>
      </c>
      <c r="F1172">
        <f t="shared" si="18"/>
        <v>174.50400000000002</v>
      </c>
      <c r="G1172" t="s">
        <v>16</v>
      </c>
      <c r="I1172" t="s">
        <v>8</v>
      </c>
      <c r="J1172" t="str">
        <f>"12/14/1988 23:45"</f>
        <v>12/14/1988 23:45</v>
      </c>
    </row>
    <row r="1173" spans="1:10" x14ac:dyDescent="0.3">
      <c r="A1173" t="s">
        <v>6</v>
      </c>
      <c r="B1173" t="str">
        <f>"12/15/1988 00:00"</f>
        <v>12/15/1988 00:00</v>
      </c>
      <c r="C1173">
        <v>92.3</v>
      </c>
      <c r="D1173" t="s">
        <v>7</v>
      </c>
      <c r="E1173" s="2" t="s">
        <v>12</v>
      </c>
      <c r="F1173">
        <f t="shared" si="18"/>
        <v>183.0309</v>
      </c>
      <c r="G1173" t="s">
        <v>16</v>
      </c>
      <c r="I1173" t="s">
        <v>8</v>
      </c>
      <c r="J1173" t="str">
        <f>"12/15/1988 23:45"</f>
        <v>12/15/1988 23:45</v>
      </c>
    </row>
    <row r="1174" spans="1:10" x14ac:dyDescent="0.3">
      <c r="A1174" t="s">
        <v>6</v>
      </c>
      <c r="B1174" t="str">
        <f>"12/16/1988 00:00"</f>
        <v>12/16/1988 00:00</v>
      </c>
      <c r="C1174">
        <v>94</v>
      </c>
      <c r="D1174" t="s">
        <v>7</v>
      </c>
      <c r="E1174" s="2" t="s">
        <v>12</v>
      </c>
      <c r="F1174">
        <f t="shared" si="18"/>
        <v>186.40200000000002</v>
      </c>
      <c r="G1174" t="s">
        <v>16</v>
      </c>
      <c r="I1174" t="s">
        <v>8</v>
      </c>
      <c r="J1174" t="str">
        <f>"12/16/1988 23:45"</f>
        <v>12/16/1988 23:45</v>
      </c>
    </row>
    <row r="1175" spans="1:10" x14ac:dyDescent="0.3">
      <c r="A1175" t="s">
        <v>6</v>
      </c>
      <c r="B1175" t="str">
        <f>"12/17/1988 00:00"</f>
        <v>12/17/1988 00:00</v>
      </c>
      <c r="C1175">
        <v>93.5</v>
      </c>
      <c r="D1175" t="s">
        <v>7</v>
      </c>
      <c r="E1175" s="2" t="s">
        <v>12</v>
      </c>
      <c r="F1175">
        <f t="shared" si="18"/>
        <v>185.41050000000001</v>
      </c>
      <c r="G1175" t="s">
        <v>16</v>
      </c>
      <c r="I1175" t="s">
        <v>8</v>
      </c>
      <c r="J1175" t="str">
        <f>"12/17/1988 23:45"</f>
        <v>12/17/1988 23:45</v>
      </c>
    </row>
    <row r="1176" spans="1:10" x14ac:dyDescent="0.3">
      <c r="A1176" t="s">
        <v>6</v>
      </c>
      <c r="B1176" t="str">
        <f>"12/18/1988 00:00"</f>
        <v>12/18/1988 00:00</v>
      </c>
      <c r="C1176">
        <v>94.8</v>
      </c>
      <c r="D1176" t="s">
        <v>7</v>
      </c>
      <c r="E1176" s="2" t="s">
        <v>12</v>
      </c>
      <c r="F1176">
        <f t="shared" si="18"/>
        <v>187.98840000000001</v>
      </c>
      <c r="G1176" t="s">
        <v>16</v>
      </c>
      <c r="I1176" t="s">
        <v>8</v>
      </c>
      <c r="J1176" t="str">
        <f>"12/18/1988 23:45"</f>
        <v>12/18/1988 23:45</v>
      </c>
    </row>
    <row r="1177" spans="1:10" x14ac:dyDescent="0.3">
      <c r="A1177" t="s">
        <v>6</v>
      </c>
      <c r="B1177" t="str">
        <f>"12/19/1988 00:00"</f>
        <v>12/19/1988 00:00</v>
      </c>
      <c r="C1177">
        <v>94</v>
      </c>
      <c r="D1177" t="s">
        <v>7</v>
      </c>
      <c r="E1177" s="2" t="s">
        <v>12</v>
      </c>
      <c r="F1177">
        <f t="shared" si="18"/>
        <v>186.40200000000002</v>
      </c>
      <c r="G1177" t="s">
        <v>16</v>
      </c>
      <c r="I1177" t="s">
        <v>8</v>
      </c>
      <c r="J1177" t="str">
        <f>"12/19/1988 23:45"</f>
        <v>12/19/1988 23:45</v>
      </c>
    </row>
    <row r="1178" spans="1:10" x14ac:dyDescent="0.3">
      <c r="A1178" t="s">
        <v>6</v>
      </c>
      <c r="B1178" t="str">
        <f>"12/20/1988 00:00"</f>
        <v>12/20/1988 00:00</v>
      </c>
      <c r="C1178">
        <v>94</v>
      </c>
      <c r="D1178" t="s">
        <v>7</v>
      </c>
      <c r="E1178" s="2" t="s">
        <v>12</v>
      </c>
      <c r="F1178">
        <f t="shared" si="18"/>
        <v>186.40200000000002</v>
      </c>
      <c r="G1178" t="s">
        <v>16</v>
      </c>
      <c r="I1178" t="s">
        <v>35</v>
      </c>
      <c r="J1178" t="str">
        <f>"12/20/1988 23:45"</f>
        <v>12/20/1988 23:45</v>
      </c>
    </row>
    <row r="1179" spans="1:10" x14ac:dyDescent="0.3">
      <c r="A1179" t="s">
        <v>6</v>
      </c>
      <c r="B1179" t="str">
        <f>"12/21/1988 00:00"</f>
        <v>12/21/1988 00:00</v>
      </c>
      <c r="C1179">
        <v>94</v>
      </c>
      <c r="D1179" t="s">
        <v>7</v>
      </c>
      <c r="E1179" s="2" t="s">
        <v>12</v>
      </c>
      <c r="F1179">
        <f t="shared" si="18"/>
        <v>186.40200000000002</v>
      </c>
      <c r="G1179" t="s">
        <v>16</v>
      </c>
      <c r="I1179" t="s">
        <v>35</v>
      </c>
      <c r="J1179" t="str">
        <f>"12/21/1988 23:45"</f>
        <v>12/21/1988 23:45</v>
      </c>
    </row>
    <row r="1180" spans="1:10" x14ac:dyDescent="0.3">
      <c r="A1180" t="s">
        <v>6</v>
      </c>
      <c r="B1180" t="str">
        <f>"12/22/1988 00:00"</f>
        <v>12/22/1988 00:00</v>
      </c>
      <c r="C1180">
        <v>94</v>
      </c>
      <c r="D1180" t="s">
        <v>7</v>
      </c>
      <c r="E1180" s="2" t="s">
        <v>12</v>
      </c>
      <c r="F1180">
        <f t="shared" si="18"/>
        <v>186.40200000000002</v>
      </c>
      <c r="G1180" t="s">
        <v>16</v>
      </c>
      <c r="I1180" t="s">
        <v>35</v>
      </c>
      <c r="J1180" t="str">
        <f>"12/22/1988 23:45"</f>
        <v>12/22/1988 23:45</v>
      </c>
    </row>
    <row r="1181" spans="1:10" x14ac:dyDescent="0.3">
      <c r="A1181" t="s">
        <v>6</v>
      </c>
      <c r="B1181" t="str">
        <f>"12/23/1988 00:00"</f>
        <v>12/23/1988 00:00</v>
      </c>
      <c r="C1181">
        <v>94</v>
      </c>
      <c r="D1181" t="s">
        <v>7</v>
      </c>
      <c r="E1181" s="2" t="s">
        <v>12</v>
      </c>
      <c r="F1181">
        <f t="shared" si="18"/>
        <v>186.40200000000002</v>
      </c>
      <c r="G1181" t="s">
        <v>16</v>
      </c>
      <c r="I1181" t="s">
        <v>35</v>
      </c>
      <c r="J1181" t="str">
        <f>"12/23/1988 23:45"</f>
        <v>12/23/1988 23:45</v>
      </c>
    </row>
    <row r="1182" spans="1:10" x14ac:dyDescent="0.3">
      <c r="A1182" t="s">
        <v>6</v>
      </c>
      <c r="B1182" t="str">
        <f>"12/24/1988 00:00"</f>
        <v>12/24/1988 00:00</v>
      </c>
      <c r="C1182">
        <v>94</v>
      </c>
      <c r="D1182" t="s">
        <v>7</v>
      </c>
      <c r="E1182" s="2" t="s">
        <v>12</v>
      </c>
      <c r="F1182">
        <f t="shared" si="18"/>
        <v>186.40200000000002</v>
      </c>
      <c r="G1182" t="s">
        <v>16</v>
      </c>
      <c r="I1182" t="s">
        <v>35</v>
      </c>
      <c r="J1182" t="str">
        <f>"12/24/1988 23:45"</f>
        <v>12/24/1988 23:45</v>
      </c>
    </row>
    <row r="1183" spans="1:10" x14ac:dyDescent="0.3">
      <c r="A1183" t="s">
        <v>6</v>
      </c>
      <c r="B1183" t="str">
        <f>"12/25/1988 00:00"</f>
        <v>12/25/1988 00:00</v>
      </c>
      <c r="C1183">
        <v>94</v>
      </c>
      <c r="D1183" t="s">
        <v>7</v>
      </c>
      <c r="E1183" s="2" t="s">
        <v>12</v>
      </c>
      <c r="F1183">
        <f t="shared" si="18"/>
        <v>186.40200000000002</v>
      </c>
      <c r="G1183" t="s">
        <v>16</v>
      </c>
      <c r="I1183" t="s">
        <v>35</v>
      </c>
      <c r="J1183" t="str">
        <f>"12/25/1988 23:45"</f>
        <v>12/25/1988 23:45</v>
      </c>
    </row>
    <row r="1184" spans="1:10" x14ac:dyDescent="0.3">
      <c r="A1184" t="s">
        <v>6</v>
      </c>
      <c r="B1184" t="str">
        <f>"12/26/1988 00:00"</f>
        <v>12/26/1988 00:00</v>
      </c>
      <c r="C1184">
        <v>94</v>
      </c>
      <c r="D1184" t="s">
        <v>7</v>
      </c>
      <c r="E1184" s="2" t="s">
        <v>12</v>
      </c>
      <c r="F1184">
        <f t="shared" si="18"/>
        <v>186.40200000000002</v>
      </c>
      <c r="G1184" t="s">
        <v>16</v>
      </c>
      <c r="I1184" t="s">
        <v>35</v>
      </c>
      <c r="J1184" t="str">
        <f>"12/26/1988 23:45"</f>
        <v>12/26/1988 23:45</v>
      </c>
    </row>
    <row r="1185" spans="1:10" x14ac:dyDescent="0.3">
      <c r="A1185" t="s">
        <v>6</v>
      </c>
      <c r="B1185" t="str">
        <f>"12/27/1988 00:00"</f>
        <v>12/27/1988 00:00</v>
      </c>
      <c r="C1185">
        <v>94</v>
      </c>
      <c r="D1185" t="s">
        <v>7</v>
      </c>
      <c r="E1185" s="2" t="s">
        <v>12</v>
      </c>
      <c r="F1185">
        <f t="shared" si="18"/>
        <v>186.40200000000002</v>
      </c>
      <c r="G1185" t="s">
        <v>16</v>
      </c>
      <c r="I1185" t="s">
        <v>35</v>
      </c>
      <c r="J1185" t="str">
        <f>"12/27/1988 23:45"</f>
        <v>12/27/1988 23:45</v>
      </c>
    </row>
    <row r="1186" spans="1:10" x14ac:dyDescent="0.3">
      <c r="A1186" t="s">
        <v>6</v>
      </c>
      <c r="B1186" t="str">
        <f>"12/28/1988 00:00"</f>
        <v>12/28/1988 00:00</v>
      </c>
      <c r="C1186">
        <v>94</v>
      </c>
      <c r="D1186" t="s">
        <v>7</v>
      </c>
      <c r="E1186" s="2" t="s">
        <v>12</v>
      </c>
      <c r="F1186">
        <f t="shared" si="18"/>
        <v>186.40200000000002</v>
      </c>
      <c r="G1186" t="s">
        <v>16</v>
      </c>
      <c r="I1186" t="s">
        <v>35</v>
      </c>
      <c r="J1186" t="str">
        <f>"12/28/1988 23:45"</f>
        <v>12/28/1988 23:45</v>
      </c>
    </row>
    <row r="1187" spans="1:10" x14ac:dyDescent="0.3">
      <c r="A1187" t="s">
        <v>6</v>
      </c>
      <c r="B1187" t="str">
        <f>"12/29/1988 00:00"</f>
        <v>12/29/1988 00:00</v>
      </c>
      <c r="C1187">
        <v>94</v>
      </c>
      <c r="D1187" t="s">
        <v>7</v>
      </c>
      <c r="E1187" s="2" t="s">
        <v>12</v>
      </c>
      <c r="F1187">
        <f t="shared" si="18"/>
        <v>186.40200000000002</v>
      </c>
      <c r="G1187" t="s">
        <v>16</v>
      </c>
      <c r="I1187" t="s">
        <v>35</v>
      </c>
      <c r="J1187" t="str">
        <f>"12/29/1988 23:45"</f>
        <v>12/29/1988 23:45</v>
      </c>
    </row>
    <row r="1188" spans="1:10" x14ac:dyDescent="0.3">
      <c r="A1188" t="s">
        <v>6</v>
      </c>
      <c r="B1188" t="str">
        <f>"12/30/1988 00:00"</f>
        <v>12/30/1988 00:00</v>
      </c>
      <c r="C1188">
        <v>94</v>
      </c>
      <c r="D1188" t="s">
        <v>7</v>
      </c>
      <c r="E1188" s="2" t="s">
        <v>12</v>
      </c>
      <c r="F1188">
        <f t="shared" si="18"/>
        <v>186.40200000000002</v>
      </c>
      <c r="G1188" t="s">
        <v>16</v>
      </c>
      <c r="I1188" t="s">
        <v>8</v>
      </c>
      <c r="J1188" t="str">
        <f>"12/30/1988 23:45"</f>
        <v>12/30/1988 23:45</v>
      </c>
    </row>
    <row r="1189" spans="1:10" x14ac:dyDescent="0.3">
      <c r="A1189" t="s">
        <v>6</v>
      </c>
      <c r="B1189" t="str">
        <f>"12/31/1988 00:00"</f>
        <v>12/31/1988 00:00</v>
      </c>
      <c r="C1189">
        <v>94</v>
      </c>
      <c r="D1189" t="s">
        <v>7</v>
      </c>
      <c r="E1189" s="2" t="s">
        <v>12</v>
      </c>
      <c r="F1189">
        <f t="shared" si="18"/>
        <v>186.40200000000002</v>
      </c>
      <c r="G1189" t="s">
        <v>16</v>
      </c>
      <c r="I1189" t="s">
        <v>8</v>
      </c>
      <c r="J1189" t="str">
        <f>"12/31/1988 23:45"</f>
        <v>12/31/1988 23:45</v>
      </c>
    </row>
    <row r="1190" spans="1:10" x14ac:dyDescent="0.3">
      <c r="A1190" t="s">
        <v>6</v>
      </c>
      <c r="B1190" t="str">
        <f>"01/01/1989 00:00"</f>
        <v>01/01/1989 00:00</v>
      </c>
      <c r="C1190">
        <v>94.9</v>
      </c>
      <c r="D1190" t="s">
        <v>7</v>
      </c>
      <c r="E1190" s="2" t="s">
        <v>12</v>
      </c>
      <c r="F1190">
        <f t="shared" si="18"/>
        <v>188.18670000000003</v>
      </c>
      <c r="G1190" t="s">
        <v>16</v>
      </c>
      <c r="I1190" t="s">
        <v>8</v>
      </c>
      <c r="J1190" t="str">
        <f>"01/01/1989 23:45"</f>
        <v>01/01/1989 23:45</v>
      </c>
    </row>
    <row r="1191" spans="1:10" x14ac:dyDescent="0.3">
      <c r="A1191" t="s">
        <v>6</v>
      </c>
      <c r="B1191" t="str">
        <f>"01/02/1989 00:00"</f>
        <v>01/02/1989 00:00</v>
      </c>
      <c r="C1191">
        <v>95.4</v>
      </c>
      <c r="D1191" t="s">
        <v>7</v>
      </c>
      <c r="E1191" s="2" t="s">
        <v>12</v>
      </c>
      <c r="F1191">
        <f t="shared" si="18"/>
        <v>189.17820000000003</v>
      </c>
      <c r="G1191" t="s">
        <v>16</v>
      </c>
      <c r="I1191" t="s">
        <v>35</v>
      </c>
      <c r="J1191" t="str">
        <f>"01/02/1989 23:45"</f>
        <v>01/02/1989 23:45</v>
      </c>
    </row>
    <row r="1192" spans="1:10" x14ac:dyDescent="0.3">
      <c r="A1192" t="s">
        <v>6</v>
      </c>
      <c r="B1192" t="str">
        <f>"01/03/1989 00:00"</f>
        <v>01/03/1989 00:00</v>
      </c>
      <c r="C1192">
        <v>95.4</v>
      </c>
      <c r="D1192" t="s">
        <v>7</v>
      </c>
      <c r="E1192" s="2" t="s">
        <v>12</v>
      </c>
      <c r="F1192">
        <f t="shared" si="18"/>
        <v>189.17820000000003</v>
      </c>
      <c r="G1192" t="s">
        <v>16</v>
      </c>
      <c r="I1192" t="s">
        <v>8</v>
      </c>
      <c r="J1192" t="str">
        <f>"01/03/1989 23:45"</f>
        <v>01/03/1989 23:45</v>
      </c>
    </row>
    <row r="1193" spans="1:10" x14ac:dyDescent="0.3">
      <c r="A1193" t="s">
        <v>6</v>
      </c>
      <c r="B1193" t="str">
        <f>"01/04/1989 00:00"</f>
        <v>01/04/1989 00:00</v>
      </c>
      <c r="C1193">
        <v>96.1</v>
      </c>
      <c r="D1193" t="s">
        <v>7</v>
      </c>
      <c r="E1193" s="2" t="s">
        <v>12</v>
      </c>
      <c r="F1193">
        <f t="shared" si="18"/>
        <v>190.56629999999998</v>
      </c>
      <c r="G1193" t="s">
        <v>16</v>
      </c>
      <c r="I1193" t="s">
        <v>8</v>
      </c>
      <c r="J1193" t="str">
        <f>"01/04/1989 23:45"</f>
        <v>01/04/1989 23:45</v>
      </c>
    </row>
    <row r="1194" spans="1:10" x14ac:dyDescent="0.3">
      <c r="A1194" t="s">
        <v>6</v>
      </c>
      <c r="B1194" t="str">
        <f>"01/05/1989 00:00"</f>
        <v>01/05/1989 00:00</v>
      </c>
      <c r="C1194">
        <v>95.7</v>
      </c>
      <c r="D1194" t="s">
        <v>7</v>
      </c>
      <c r="E1194" s="2" t="s">
        <v>12</v>
      </c>
      <c r="F1194">
        <f t="shared" si="18"/>
        <v>189.77310000000003</v>
      </c>
      <c r="G1194" t="s">
        <v>16</v>
      </c>
      <c r="J1194" t="str">
        <f>"01/05/1989 23:45"</f>
        <v>01/05/1989 23:45</v>
      </c>
    </row>
    <row r="1195" spans="1:10" x14ac:dyDescent="0.3">
      <c r="A1195" t="s">
        <v>6</v>
      </c>
      <c r="B1195" t="str">
        <f>"01/06/1989 00:00"</f>
        <v>01/06/1989 00:00</v>
      </c>
      <c r="C1195">
        <v>96.7</v>
      </c>
      <c r="D1195" t="s">
        <v>7</v>
      </c>
      <c r="E1195" s="2" t="s">
        <v>12</v>
      </c>
      <c r="F1195">
        <f t="shared" si="18"/>
        <v>191.7561</v>
      </c>
      <c r="G1195" t="s">
        <v>16</v>
      </c>
      <c r="I1195" t="s">
        <v>8</v>
      </c>
      <c r="J1195" t="str">
        <f>"01/06/1989 23:45"</f>
        <v>01/06/1989 23:45</v>
      </c>
    </row>
    <row r="1196" spans="1:10" x14ac:dyDescent="0.3">
      <c r="A1196" t="s">
        <v>6</v>
      </c>
      <c r="B1196" t="str">
        <f>"01/07/1989 00:00"</f>
        <v>01/07/1989 00:00</v>
      </c>
      <c r="C1196">
        <v>96.7</v>
      </c>
      <c r="D1196" t="s">
        <v>7</v>
      </c>
      <c r="E1196" s="2" t="s">
        <v>12</v>
      </c>
      <c r="F1196">
        <f t="shared" si="18"/>
        <v>191.7561</v>
      </c>
      <c r="G1196" t="s">
        <v>16</v>
      </c>
      <c r="I1196" t="s">
        <v>8</v>
      </c>
      <c r="J1196" t="str">
        <f>"01/07/1989 23:45"</f>
        <v>01/07/1989 23:45</v>
      </c>
    </row>
    <row r="1197" spans="1:10" x14ac:dyDescent="0.3">
      <c r="A1197" t="s">
        <v>6</v>
      </c>
      <c r="B1197" t="str">
        <f>"01/08/1989 00:00"</f>
        <v>01/08/1989 00:00</v>
      </c>
      <c r="C1197">
        <v>96.7</v>
      </c>
      <c r="D1197" t="s">
        <v>7</v>
      </c>
      <c r="E1197" s="2" t="s">
        <v>12</v>
      </c>
      <c r="F1197">
        <f t="shared" si="18"/>
        <v>191.7561</v>
      </c>
      <c r="G1197" t="s">
        <v>16</v>
      </c>
      <c r="I1197" t="s">
        <v>35</v>
      </c>
      <c r="J1197" t="str">
        <f>"01/08/1989 23:45"</f>
        <v>01/08/1989 23:45</v>
      </c>
    </row>
    <row r="1198" spans="1:10" x14ac:dyDescent="0.3">
      <c r="A1198" t="s">
        <v>6</v>
      </c>
      <c r="B1198" t="str">
        <f>"01/09/1989 00:00"</f>
        <v>01/09/1989 00:00</v>
      </c>
      <c r="C1198">
        <v>96.7</v>
      </c>
      <c r="D1198" t="s">
        <v>7</v>
      </c>
      <c r="E1198" s="2" t="s">
        <v>12</v>
      </c>
      <c r="F1198">
        <f t="shared" si="18"/>
        <v>191.7561</v>
      </c>
      <c r="G1198" t="s">
        <v>16</v>
      </c>
      <c r="I1198" t="s">
        <v>35</v>
      </c>
      <c r="J1198" t="str">
        <f>"01/09/1989 23:45"</f>
        <v>01/09/1989 23:45</v>
      </c>
    </row>
    <row r="1199" spans="1:10" x14ac:dyDescent="0.3">
      <c r="A1199" t="s">
        <v>6</v>
      </c>
      <c r="B1199" t="str">
        <f>"01/10/1989 00:00"</f>
        <v>01/10/1989 00:00</v>
      </c>
      <c r="C1199">
        <v>95.7</v>
      </c>
      <c r="D1199" t="s">
        <v>7</v>
      </c>
      <c r="E1199" s="2" t="s">
        <v>12</v>
      </c>
      <c r="F1199">
        <f t="shared" si="18"/>
        <v>189.77310000000003</v>
      </c>
      <c r="G1199" t="s">
        <v>16</v>
      </c>
      <c r="I1199" t="s">
        <v>8</v>
      </c>
      <c r="J1199" t="str">
        <f>"01/10/1989 23:45"</f>
        <v>01/10/1989 23:45</v>
      </c>
    </row>
    <row r="1200" spans="1:10" x14ac:dyDescent="0.3">
      <c r="A1200" t="s">
        <v>6</v>
      </c>
      <c r="B1200" t="str">
        <f>"01/11/1989 00:00"</f>
        <v>01/11/1989 00:00</v>
      </c>
      <c r="C1200">
        <v>96.6</v>
      </c>
      <c r="D1200" t="s">
        <v>7</v>
      </c>
      <c r="E1200" s="2" t="s">
        <v>12</v>
      </c>
      <c r="F1200">
        <f t="shared" si="18"/>
        <v>191.55779999999999</v>
      </c>
      <c r="G1200" t="s">
        <v>16</v>
      </c>
      <c r="J1200" t="str">
        <f>"01/11/1989 23:45"</f>
        <v>01/11/1989 23:45</v>
      </c>
    </row>
    <row r="1201" spans="1:10" x14ac:dyDescent="0.3">
      <c r="A1201" t="s">
        <v>6</v>
      </c>
      <c r="B1201" t="str">
        <f>"01/12/1989 00:00"</f>
        <v>01/12/1989 00:00</v>
      </c>
      <c r="C1201">
        <v>95.4</v>
      </c>
      <c r="D1201" t="s">
        <v>7</v>
      </c>
      <c r="E1201" s="2" t="s">
        <v>12</v>
      </c>
      <c r="F1201">
        <f t="shared" si="18"/>
        <v>189.17820000000003</v>
      </c>
      <c r="G1201" t="s">
        <v>16</v>
      </c>
      <c r="I1201" t="s">
        <v>8</v>
      </c>
      <c r="J1201" t="str">
        <f>"01/12/1989 23:45"</f>
        <v>01/12/1989 23:45</v>
      </c>
    </row>
    <row r="1202" spans="1:10" x14ac:dyDescent="0.3">
      <c r="A1202" t="s">
        <v>6</v>
      </c>
      <c r="B1202" t="str">
        <f>"01/13/1989 00:00"</f>
        <v>01/13/1989 00:00</v>
      </c>
      <c r="C1202">
        <v>95.4</v>
      </c>
      <c r="D1202" t="s">
        <v>7</v>
      </c>
      <c r="E1202" s="2" t="s">
        <v>12</v>
      </c>
      <c r="F1202">
        <f t="shared" si="18"/>
        <v>189.17820000000003</v>
      </c>
      <c r="G1202" t="s">
        <v>16</v>
      </c>
      <c r="I1202" t="s">
        <v>8</v>
      </c>
      <c r="J1202" t="str">
        <f>"01/13/1989 23:45"</f>
        <v>01/13/1989 23:45</v>
      </c>
    </row>
    <row r="1203" spans="1:10" x14ac:dyDescent="0.3">
      <c r="A1203" t="s">
        <v>6</v>
      </c>
      <c r="B1203" t="str">
        <f>"01/14/1989 00:00"</f>
        <v>01/14/1989 00:00</v>
      </c>
      <c r="C1203">
        <v>95.4</v>
      </c>
      <c r="D1203" t="s">
        <v>7</v>
      </c>
      <c r="E1203" s="2" t="s">
        <v>12</v>
      </c>
      <c r="F1203">
        <f t="shared" si="18"/>
        <v>189.17820000000003</v>
      </c>
      <c r="G1203" t="s">
        <v>16</v>
      </c>
      <c r="I1203" t="s">
        <v>8</v>
      </c>
      <c r="J1203" t="str">
        <f>"01/14/1989 23:45"</f>
        <v>01/14/1989 23:45</v>
      </c>
    </row>
    <row r="1204" spans="1:10" x14ac:dyDescent="0.3">
      <c r="A1204" t="s">
        <v>6</v>
      </c>
      <c r="B1204" t="str">
        <f>"01/15/1989 00:00"</f>
        <v>01/15/1989 00:00</v>
      </c>
      <c r="C1204">
        <v>95.4</v>
      </c>
      <c r="D1204" t="s">
        <v>7</v>
      </c>
      <c r="E1204" s="2" t="s">
        <v>12</v>
      </c>
      <c r="F1204">
        <f t="shared" si="18"/>
        <v>189.17820000000003</v>
      </c>
      <c r="G1204" t="s">
        <v>16</v>
      </c>
      <c r="I1204" t="s">
        <v>8</v>
      </c>
      <c r="J1204" t="str">
        <f>"01/15/1989 23:45"</f>
        <v>01/15/1989 23:45</v>
      </c>
    </row>
    <row r="1205" spans="1:10" x14ac:dyDescent="0.3">
      <c r="A1205" t="s">
        <v>6</v>
      </c>
      <c r="B1205" t="str">
        <f>"01/16/1989 00:00"</f>
        <v>01/16/1989 00:00</v>
      </c>
      <c r="C1205">
        <v>95.4</v>
      </c>
      <c r="D1205" t="s">
        <v>7</v>
      </c>
      <c r="E1205" s="2" t="s">
        <v>12</v>
      </c>
      <c r="F1205">
        <f t="shared" si="18"/>
        <v>189.17820000000003</v>
      </c>
      <c r="G1205" t="s">
        <v>16</v>
      </c>
      <c r="I1205" t="s">
        <v>35</v>
      </c>
      <c r="J1205" t="str">
        <f>"01/16/1989 23:45"</f>
        <v>01/16/1989 23:45</v>
      </c>
    </row>
    <row r="1206" spans="1:10" x14ac:dyDescent="0.3">
      <c r="A1206" t="s">
        <v>6</v>
      </c>
      <c r="B1206" t="str">
        <f>"01/17/1989 00:00"</f>
        <v>01/17/1989 00:00</v>
      </c>
      <c r="C1206">
        <v>95.5</v>
      </c>
      <c r="D1206" t="s">
        <v>7</v>
      </c>
      <c r="E1206" s="2" t="s">
        <v>12</v>
      </c>
      <c r="F1206">
        <f t="shared" si="18"/>
        <v>189.37650000000002</v>
      </c>
      <c r="G1206" t="s">
        <v>16</v>
      </c>
      <c r="I1206" t="s">
        <v>8</v>
      </c>
      <c r="J1206" t="str">
        <f>"01/17/1989 23:45"</f>
        <v>01/17/1989 23:45</v>
      </c>
    </row>
    <row r="1207" spans="1:10" x14ac:dyDescent="0.3">
      <c r="A1207" t="s">
        <v>6</v>
      </c>
      <c r="B1207" t="str">
        <f>"01/18/1989 00:00"</f>
        <v>01/18/1989 00:00</v>
      </c>
      <c r="C1207">
        <v>95.8</v>
      </c>
      <c r="D1207" t="s">
        <v>7</v>
      </c>
      <c r="E1207" s="2" t="s">
        <v>12</v>
      </c>
      <c r="F1207">
        <f t="shared" si="18"/>
        <v>189.97140000000002</v>
      </c>
      <c r="G1207" t="s">
        <v>16</v>
      </c>
      <c r="J1207" t="str">
        <f>"01/18/1989 23:45"</f>
        <v>01/18/1989 23:45</v>
      </c>
    </row>
    <row r="1208" spans="1:10" x14ac:dyDescent="0.3">
      <c r="A1208" t="s">
        <v>6</v>
      </c>
      <c r="B1208" t="str">
        <f>"01/19/1989 00:00"</f>
        <v>01/19/1989 00:00</v>
      </c>
      <c r="C1208">
        <v>95.6</v>
      </c>
      <c r="D1208" t="s">
        <v>7</v>
      </c>
      <c r="E1208" s="2" t="s">
        <v>12</v>
      </c>
      <c r="F1208">
        <f t="shared" si="18"/>
        <v>189.57480000000001</v>
      </c>
      <c r="G1208" t="s">
        <v>16</v>
      </c>
      <c r="J1208" t="str">
        <f>"01/19/1989 23:45"</f>
        <v>01/19/1989 23:45</v>
      </c>
    </row>
    <row r="1209" spans="1:10" x14ac:dyDescent="0.3">
      <c r="A1209" t="s">
        <v>6</v>
      </c>
      <c r="B1209" t="str">
        <f>"01/20/1989 00:00"</f>
        <v>01/20/1989 00:00</v>
      </c>
      <c r="C1209">
        <v>95.5</v>
      </c>
      <c r="D1209" t="s">
        <v>7</v>
      </c>
      <c r="E1209" s="2" t="s">
        <v>12</v>
      </c>
      <c r="F1209">
        <f t="shared" si="18"/>
        <v>189.37650000000002</v>
      </c>
      <c r="G1209" t="s">
        <v>16</v>
      </c>
      <c r="I1209" t="s">
        <v>8</v>
      </c>
      <c r="J1209" t="str">
        <f>"01/20/1989 23:45"</f>
        <v>01/20/1989 23:45</v>
      </c>
    </row>
    <row r="1210" spans="1:10" x14ac:dyDescent="0.3">
      <c r="A1210" t="s">
        <v>6</v>
      </c>
      <c r="B1210" t="str">
        <f>"01/21/1989 00:00"</f>
        <v>01/21/1989 00:00</v>
      </c>
      <c r="C1210">
        <v>95.4</v>
      </c>
      <c r="D1210" t="s">
        <v>7</v>
      </c>
      <c r="E1210" s="2" t="s">
        <v>12</v>
      </c>
      <c r="F1210">
        <f t="shared" si="18"/>
        <v>189.17820000000003</v>
      </c>
      <c r="G1210" t="s">
        <v>16</v>
      </c>
      <c r="I1210" t="s">
        <v>8</v>
      </c>
      <c r="J1210" t="str">
        <f>"01/21/1989 23:45"</f>
        <v>01/21/1989 23:45</v>
      </c>
    </row>
    <row r="1211" spans="1:10" x14ac:dyDescent="0.3">
      <c r="A1211" t="s">
        <v>6</v>
      </c>
      <c r="B1211" t="str">
        <f>"01/22/1989 00:00"</f>
        <v>01/22/1989 00:00</v>
      </c>
      <c r="C1211">
        <v>95.4</v>
      </c>
      <c r="D1211" t="s">
        <v>7</v>
      </c>
      <c r="E1211" s="2" t="s">
        <v>12</v>
      </c>
      <c r="F1211">
        <f t="shared" si="18"/>
        <v>189.17820000000003</v>
      </c>
      <c r="G1211" t="s">
        <v>16</v>
      </c>
      <c r="I1211" t="s">
        <v>35</v>
      </c>
      <c r="J1211" t="str">
        <f>"01/22/1989 23:45"</f>
        <v>01/22/1989 23:45</v>
      </c>
    </row>
    <row r="1212" spans="1:10" x14ac:dyDescent="0.3">
      <c r="A1212" t="s">
        <v>6</v>
      </c>
      <c r="B1212" t="str">
        <f>"01/23/1989 00:00"</f>
        <v>01/23/1989 00:00</v>
      </c>
      <c r="C1212">
        <v>95.4</v>
      </c>
      <c r="D1212" t="s">
        <v>7</v>
      </c>
      <c r="E1212" s="2" t="s">
        <v>12</v>
      </c>
      <c r="F1212">
        <f t="shared" si="18"/>
        <v>189.17820000000003</v>
      </c>
      <c r="G1212" t="s">
        <v>16</v>
      </c>
      <c r="I1212" t="s">
        <v>35</v>
      </c>
      <c r="J1212" t="str">
        <f>"01/23/1989 23:45"</f>
        <v>01/23/1989 23:45</v>
      </c>
    </row>
    <row r="1213" spans="1:10" x14ac:dyDescent="0.3">
      <c r="A1213" t="s">
        <v>6</v>
      </c>
      <c r="B1213" t="str">
        <f>"01/24/1989 00:00"</f>
        <v>01/24/1989 00:00</v>
      </c>
      <c r="C1213">
        <v>95.4</v>
      </c>
      <c r="D1213" t="s">
        <v>7</v>
      </c>
      <c r="E1213" s="2" t="s">
        <v>12</v>
      </c>
      <c r="F1213">
        <f t="shared" si="18"/>
        <v>189.17820000000003</v>
      </c>
      <c r="G1213" t="s">
        <v>16</v>
      </c>
      <c r="I1213" t="s">
        <v>35</v>
      </c>
      <c r="J1213" t="str">
        <f>"01/24/1989 23:45"</f>
        <v>01/24/1989 23:45</v>
      </c>
    </row>
    <row r="1214" spans="1:10" x14ac:dyDescent="0.3">
      <c r="A1214" t="s">
        <v>6</v>
      </c>
      <c r="B1214" t="str">
        <f>"01/25/1989 00:00"</f>
        <v>01/25/1989 00:00</v>
      </c>
      <c r="C1214">
        <v>95.9</v>
      </c>
      <c r="D1214" t="s">
        <v>7</v>
      </c>
      <c r="E1214" s="2" t="s">
        <v>12</v>
      </c>
      <c r="F1214">
        <f t="shared" si="18"/>
        <v>190.16970000000003</v>
      </c>
      <c r="G1214" t="s">
        <v>16</v>
      </c>
      <c r="I1214" t="s">
        <v>8</v>
      </c>
      <c r="J1214" t="str">
        <f>"01/25/1989 23:45"</f>
        <v>01/25/1989 23:45</v>
      </c>
    </row>
    <row r="1215" spans="1:10" x14ac:dyDescent="0.3">
      <c r="A1215" t="s">
        <v>6</v>
      </c>
      <c r="B1215" t="str">
        <f>"01/26/1989 00:00"</f>
        <v>01/26/1989 00:00</v>
      </c>
      <c r="C1215">
        <v>97.2</v>
      </c>
      <c r="D1215" t="s">
        <v>7</v>
      </c>
      <c r="E1215" s="2" t="s">
        <v>12</v>
      </c>
      <c r="F1215">
        <f t="shared" si="18"/>
        <v>192.74760000000001</v>
      </c>
      <c r="G1215" t="s">
        <v>16</v>
      </c>
      <c r="I1215" t="s">
        <v>8</v>
      </c>
      <c r="J1215" t="str">
        <f>"01/26/1989 23:45"</f>
        <v>01/26/1989 23:45</v>
      </c>
    </row>
    <row r="1216" spans="1:10" x14ac:dyDescent="0.3">
      <c r="A1216" t="s">
        <v>6</v>
      </c>
      <c r="B1216" t="str">
        <f>"01/27/1989 00:00"</f>
        <v>01/27/1989 00:00</v>
      </c>
      <c r="C1216">
        <v>98</v>
      </c>
      <c r="D1216" t="s">
        <v>7</v>
      </c>
      <c r="E1216" s="2" t="s">
        <v>12</v>
      </c>
      <c r="F1216">
        <f t="shared" si="18"/>
        <v>194.334</v>
      </c>
      <c r="G1216" t="s">
        <v>16</v>
      </c>
      <c r="I1216" t="s">
        <v>8</v>
      </c>
      <c r="J1216" t="str">
        <f>"01/27/1989 23:45"</f>
        <v>01/27/1989 23:45</v>
      </c>
    </row>
    <row r="1217" spans="1:10" x14ac:dyDescent="0.3">
      <c r="A1217" t="s">
        <v>6</v>
      </c>
      <c r="B1217" t="str">
        <f>"01/28/1989 00:00"</f>
        <v>01/28/1989 00:00</v>
      </c>
      <c r="C1217">
        <v>99</v>
      </c>
      <c r="D1217" t="s">
        <v>7</v>
      </c>
      <c r="E1217" s="2" t="s">
        <v>12</v>
      </c>
      <c r="F1217">
        <f t="shared" si="18"/>
        <v>196.31700000000001</v>
      </c>
      <c r="G1217" t="s">
        <v>16</v>
      </c>
      <c r="I1217" t="s">
        <v>8</v>
      </c>
      <c r="J1217" t="str">
        <f>"01/28/1989 23:45"</f>
        <v>01/28/1989 23:45</v>
      </c>
    </row>
    <row r="1218" spans="1:10" x14ac:dyDescent="0.3">
      <c r="A1218" t="s">
        <v>6</v>
      </c>
      <c r="B1218" t="str">
        <f>"01/29/1989 00:00"</f>
        <v>01/29/1989 00:00</v>
      </c>
      <c r="C1218">
        <v>98.2</v>
      </c>
      <c r="D1218" t="s">
        <v>7</v>
      </c>
      <c r="E1218" s="2" t="s">
        <v>12</v>
      </c>
      <c r="F1218">
        <f t="shared" si="18"/>
        <v>194.73060000000001</v>
      </c>
      <c r="G1218" t="s">
        <v>16</v>
      </c>
      <c r="J1218" t="str">
        <f>"01/29/1989 23:45"</f>
        <v>01/29/1989 23:45</v>
      </c>
    </row>
    <row r="1219" spans="1:10" x14ac:dyDescent="0.3">
      <c r="A1219" t="s">
        <v>6</v>
      </c>
      <c r="B1219" t="str">
        <f>"01/30/1989 00:00"</f>
        <v>01/30/1989 00:00</v>
      </c>
      <c r="C1219">
        <v>98</v>
      </c>
      <c r="D1219" t="s">
        <v>7</v>
      </c>
      <c r="E1219" s="2" t="s">
        <v>12</v>
      </c>
      <c r="F1219">
        <f t="shared" ref="F1219:F1282" si="19">C1219*1.983</f>
        <v>194.334</v>
      </c>
      <c r="G1219" t="s">
        <v>16</v>
      </c>
      <c r="I1219" t="s">
        <v>35</v>
      </c>
      <c r="J1219" t="str">
        <f>"01/30/1989 23:45"</f>
        <v>01/30/1989 23:45</v>
      </c>
    </row>
    <row r="1220" spans="1:10" x14ac:dyDescent="0.3">
      <c r="A1220" t="s">
        <v>6</v>
      </c>
      <c r="B1220" t="str">
        <f>"01/31/1989 00:00"</f>
        <v>01/31/1989 00:00</v>
      </c>
      <c r="C1220">
        <v>97.4</v>
      </c>
      <c r="D1220" t="s">
        <v>7</v>
      </c>
      <c r="E1220" s="2" t="s">
        <v>12</v>
      </c>
      <c r="F1220">
        <f t="shared" si="19"/>
        <v>193.14420000000001</v>
      </c>
      <c r="G1220" t="s">
        <v>16</v>
      </c>
      <c r="I1220" t="s">
        <v>8</v>
      </c>
      <c r="J1220" t="str">
        <f>"01/31/1989 09:45"</f>
        <v>01/31/1989 09:45</v>
      </c>
    </row>
    <row r="1221" spans="1:10" x14ac:dyDescent="0.3">
      <c r="A1221" t="s">
        <v>6</v>
      </c>
      <c r="B1221" t="str">
        <f>"02/01/1989 00:00"</f>
        <v>02/01/1989 00:00</v>
      </c>
      <c r="D1221" t="s">
        <v>7</v>
      </c>
      <c r="E1221" s="2" t="s">
        <v>12</v>
      </c>
      <c r="F1221">
        <f t="shared" si="19"/>
        <v>0</v>
      </c>
      <c r="G1221" t="s">
        <v>16</v>
      </c>
    </row>
    <row r="1222" spans="1:10" x14ac:dyDescent="0.3">
      <c r="A1222" t="s">
        <v>6</v>
      </c>
      <c r="B1222" t="str">
        <f>"02/02/1989 00:00"</f>
        <v>02/02/1989 00:00</v>
      </c>
      <c r="D1222" t="s">
        <v>7</v>
      </c>
      <c r="E1222" s="2" t="s">
        <v>12</v>
      </c>
      <c r="F1222">
        <f t="shared" si="19"/>
        <v>0</v>
      </c>
      <c r="G1222" t="s">
        <v>16</v>
      </c>
    </row>
    <row r="1223" spans="1:10" x14ac:dyDescent="0.3">
      <c r="A1223" t="s">
        <v>6</v>
      </c>
      <c r="B1223" t="str">
        <f>"02/03/1989 00:00"</f>
        <v>02/03/1989 00:00</v>
      </c>
      <c r="C1223">
        <v>95.4</v>
      </c>
      <c r="D1223" t="s">
        <v>7</v>
      </c>
      <c r="E1223" s="2" t="s">
        <v>12</v>
      </c>
      <c r="F1223">
        <f t="shared" si="19"/>
        <v>189.17820000000003</v>
      </c>
      <c r="G1223" t="s">
        <v>16</v>
      </c>
      <c r="I1223" t="s">
        <v>8</v>
      </c>
      <c r="J1223" t="str">
        <f>"02/03/1989 21:45"</f>
        <v>02/03/1989 21:45</v>
      </c>
    </row>
    <row r="1224" spans="1:10" x14ac:dyDescent="0.3">
      <c r="A1224" t="s">
        <v>6</v>
      </c>
      <c r="B1224" t="str">
        <f>"02/04/1989 00:00"</f>
        <v>02/04/1989 00:00</v>
      </c>
      <c r="D1224" t="s">
        <v>7</v>
      </c>
      <c r="E1224" s="2" t="s">
        <v>12</v>
      </c>
      <c r="F1224">
        <f t="shared" si="19"/>
        <v>0</v>
      </c>
      <c r="G1224" t="s">
        <v>16</v>
      </c>
    </row>
    <row r="1225" spans="1:10" x14ac:dyDescent="0.3">
      <c r="A1225" t="s">
        <v>6</v>
      </c>
      <c r="B1225" t="str">
        <f>"02/05/1989 00:00"</f>
        <v>02/05/1989 00:00</v>
      </c>
      <c r="D1225" t="s">
        <v>7</v>
      </c>
      <c r="E1225" s="2" t="s">
        <v>12</v>
      </c>
      <c r="F1225">
        <f t="shared" si="19"/>
        <v>0</v>
      </c>
      <c r="G1225" t="s">
        <v>16</v>
      </c>
    </row>
    <row r="1226" spans="1:10" x14ac:dyDescent="0.3">
      <c r="A1226" t="s">
        <v>6</v>
      </c>
      <c r="B1226" t="str">
        <f>"02/06/1989 00:00"</f>
        <v>02/06/1989 00:00</v>
      </c>
      <c r="D1226" t="s">
        <v>7</v>
      </c>
      <c r="E1226" s="2" t="s">
        <v>12</v>
      </c>
      <c r="F1226">
        <f t="shared" si="19"/>
        <v>0</v>
      </c>
      <c r="G1226" t="s">
        <v>16</v>
      </c>
    </row>
    <row r="1227" spans="1:10" x14ac:dyDescent="0.3">
      <c r="A1227" t="s">
        <v>6</v>
      </c>
      <c r="B1227" t="str">
        <f>"02/07/1989 00:00"</f>
        <v>02/07/1989 00:00</v>
      </c>
      <c r="D1227" t="s">
        <v>7</v>
      </c>
      <c r="E1227" s="2" t="s">
        <v>12</v>
      </c>
      <c r="F1227">
        <f t="shared" si="19"/>
        <v>0</v>
      </c>
      <c r="G1227" t="s">
        <v>16</v>
      </c>
    </row>
    <row r="1228" spans="1:10" x14ac:dyDescent="0.3">
      <c r="A1228" t="s">
        <v>6</v>
      </c>
      <c r="B1228" t="str">
        <f>"02/08/1989 00:00"</f>
        <v>02/08/1989 00:00</v>
      </c>
      <c r="D1228" t="s">
        <v>7</v>
      </c>
      <c r="E1228" s="2" t="s">
        <v>12</v>
      </c>
      <c r="F1228">
        <f t="shared" si="19"/>
        <v>0</v>
      </c>
      <c r="G1228" t="s">
        <v>16</v>
      </c>
    </row>
    <row r="1229" spans="1:10" x14ac:dyDescent="0.3">
      <c r="A1229" t="s">
        <v>6</v>
      </c>
      <c r="B1229" t="str">
        <f>"02/09/1989 00:00"</f>
        <v>02/09/1989 00:00</v>
      </c>
      <c r="D1229" t="s">
        <v>7</v>
      </c>
      <c r="E1229" s="2" t="s">
        <v>12</v>
      </c>
      <c r="F1229">
        <f t="shared" si="19"/>
        <v>0</v>
      </c>
      <c r="G1229" t="s">
        <v>16</v>
      </c>
    </row>
    <row r="1230" spans="1:10" x14ac:dyDescent="0.3">
      <c r="A1230" t="s">
        <v>6</v>
      </c>
      <c r="B1230" t="str">
        <f>"02/10/1989 00:00"</f>
        <v>02/10/1989 00:00</v>
      </c>
      <c r="D1230" t="s">
        <v>7</v>
      </c>
      <c r="E1230" s="2" t="s">
        <v>12</v>
      </c>
      <c r="F1230">
        <f t="shared" si="19"/>
        <v>0</v>
      </c>
      <c r="G1230" t="s">
        <v>16</v>
      </c>
    </row>
    <row r="1231" spans="1:10" x14ac:dyDescent="0.3">
      <c r="A1231" t="s">
        <v>6</v>
      </c>
      <c r="B1231" t="str">
        <f>"02/11/1989 00:00"</f>
        <v>02/11/1989 00:00</v>
      </c>
      <c r="D1231" t="s">
        <v>7</v>
      </c>
      <c r="E1231" s="2" t="s">
        <v>12</v>
      </c>
      <c r="F1231">
        <f t="shared" si="19"/>
        <v>0</v>
      </c>
      <c r="G1231" t="s">
        <v>16</v>
      </c>
    </row>
    <row r="1232" spans="1:10" x14ac:dyDescent="0.3">
      <c r="A1232" t="s">
        <v>6</v>
      </c>
      <c r="B1232" t="str">
        <f>"02/12/1989 00:00"</f>
        <v>02/12/1989 00:00</v>
      </c>
      <c r="D1232" t="s">
        <v>7</v>
      </c>
      <c r="E1232" s="2" t="s">
        <v>12</v>
      </c>
      <c r="F1232">
        <f t="shared" si="19"/>
        <v>0</v>
      </c>
      <c r="G1232" t="s">
        <v>16</v>
      </c>
    </row>
    <row r="1233" spans="1:7" x14ac:dyDescent="0.3">
      <c r="A1233" t="s">
        <v>6</v>
      </c>
      <c r="B1233" t="str">
        <f>"02/13/1989 00:00"</f>
        <v>02/13/1989 00:00</v>
      </c>
      <c r="D1233" t="s">
        <v>7</v>
      </c>
      <c r="E1233" s="2" t="s">
        <v>12</v>
      </c>
      <c r="F1233">
        <f t="shared" si="19"/>
        <v>0</v>
      </c>
      <c r="G1233" t="s">
        <v>16</v>
      </c>
    </row>
    <row r="1234" spans="1:7" x14ac:dyDescent="0.3">
      <c r="A1234" t="s">
        <v>6</v>
      </c>
      <c r="B1234" t="str">
        <f>"02/14/1989 00:00"</f>
        <v>02/14/1989 00:00</v>
      </c>
      <c r="D1234" t="s">
        <v>7</v>
      </c>
      <c r="E1234" s="2" t="s">
        <v>12</v>
      </c>
      <c r="F1234">
        <f t="shared" si="19"/>
        <v>0</v>
      </c>
      <c r="G1234" t="s">
        <v>16</v>
      </c>
    </row>
    <row r="1235" spans="1:7" x14ac:dyDescent="0.3">
      <c r="A1235" t="s">
        <v>6</v>
      </c>
      <c r="B1235" t="str">
        <f>"02/15/1989 00:00"</f>
        <v>02/15/1989 00:00</v>
      </c>
      <c r="D1235" t="s">
        <v>7</v>
      </c>
      <c r="E1235" s="2" t="s">
        <v>12</v>
      </c>
      <c r="F1235">
        <f t="shared" si="19"/>
        <v>0</v>
      </c>
      <c r="G1235" t="s">
        <v>16</v>
      </c>
    </row>
    <row r="1236" spans="1:7" x14ac:dyDescent="0.3">
      <c r="A1236" t="s">
        <v>6</v>
      </c>
      <c r="B1236" t="str">
        <f>"02/16/1989 00:00"</f>
        <v>02/16/1989 00:00</v>
      </c>
      <c r="D1236" t="s">
        <v>7</v>
      </c>
      <c r="E1236" s="2" t="s">
        <v>12</v>
      </c>
      <c r="F1236">
        <f t="shared" si="19"/>
        <v>0</v>
      </c>
      <c r="G1236" t="s">
        <v>16</v>
      </c>
    </row>
    <row r="1237" spans="1:7" x14ac:dyDescent="0.3">
      <c r="A1237" t="s">
        <v>6</v>
      </c>
      <c r="B1237" t="str">
        <f>"02/17/1989 00:00"</f>
        <v>02/17/1989 00:00</v>
      </c>
      <c r="D1237" t="s">
        <v>7</v>
      </c>
      <c r="E1237" s="2" t="s">
        <v>12</v>
      </c>
      <c r="F1237">
        <f t="shared" si="19"/>
        <v>0</v>
      </c>
      <c r="G1237" t="s">
        <v>16</v>
      </c>
    </row>
    <row r="1238" spans="1:7" x14ac:dyDescent="0.3">
      <c r="A1238" t="s">
        <v>6</v>
      </c>
      <c r="B1238" t="str">
        <f>"02/18/1989 00:00"</f>
        <v>02/18/1989 00:00</v>
      </c>
      <c r="D1238" t="s">
        <v>7</v>
      </c>
      <c r="E1238" s="2" t="s">
        <v>12</v>
      </c>
      <c r="F1238">
        <f t="shared" si="19"/>
        <v>0</v>
      </c>
      <c r="G1238" t="s">
        <v>16</v>
      </c>
    </row>
    <row r="1239" spans="1:7" x14ac:dyDescent="0.3">
      <c r="A1239" t="s">
        <v>6</v>
      </c>
      <c r="B1239" t="str">
        <f>"02/19/1989 00:00"</f>
        <v>02/19/1989 00:00</v>
      </c>
      <c r="D1239" t="s">
        <v>7</v>
      </c>
      <c r="E1239" s="2" t="s">
        <v>12</v>
      </c>
      <c r="F1239">
        <f t="shared" si="19"/>
        <v>0</v>
      </c>
      <c r="G1239" t="s">
        <v>16</v>
      </c>
    </row>
    <row r="1240" spans="1:7" x14ac:dyDescent="0.3">
      <c r="A1240" t="s">
        <v>6</v>
      </c>
      <c r="B1240" t="str">
        <f>"02/20/1989 00:00"</f>
        <v>02/20/1989 00:00</v>
      </c>
      <c r="D1240" t="s">
        <v>7</v>
      </c>
      <c r="E1240" s="2" t="s">
        <v>12</v>
      </c>
      <c r="F1240">
        <f t="shared" si="19"/>
        <v>0</v>
      </c>
      <c r="G1240" t="s">
        <v>16</v>
      </c>
    </row>
    <row r="1241" spans="1:7" x14ac:dyDescent="0.3">
      <c r="A1241" t="s">
        <v>6</v>
      </c>
      <c r="B1241" t="str">
        <f>"02/21/1989 00:00"</f>
        <v>02/21/1989 00:00</v>
      </c>
      <c r="D1241" t="s">
        <v>7</v>
      </c>
      <c r="E1241" s="2" t="s">
        <v>12</v>
      </c>
      <c r="F1241">
        <f t="shared" si="19"/>
        <v>0</v>
      </c>
      <c r="G1241" t="s">
        <v>16</v>
      </c>
    </row>
    <row r="1242" spans="1:7" x14ac:dyDescent="0.3">
      <c r="A1242" t="s">
        <v>6</v>
      </c>
      <c r="B1242" t="str">
        <f>"02/22/1989 00:00"</f>
        <v>02/22/1989 00:00</v>
      </c>
      <c r="D1242" t="s">
        <v>7</v>
      </c>
      <c r="E1242" s="2" t="s">
        <v>12</v>
      </c>
      <c r="F1242">
        <f t="shared" si="19"/>
        <v>0</v>
      </c>
      <c r="G1242" t="s">
        <v>16</v>
      </c>
    </row>
    <row r="1243" spans="1:7" x14ac:dyDescent="0.3">
      <c r="A1243" t="s">
        <v>6</v>
      </c>
      <c r="B1243" t="str">
        <f>"02/23/1989 00:00"</f>
        <v>02/23/1989 00:00</v>
      </c>
      <c r="D1243" t="s">
        <v>7</v>
      </c>
      <c r="E1243" s="2" t="s">
        <v>12</v>
      </c>
      <c r="F1243">
        <f t="shared" si="19"/>
        <v>0</v>
      </c>
      <c r="G1243" t="s">
        <v>16</v>
      </c>
    </row>
    <row r="1244" spans="1:7" x14ac:dyDescent="0.3">
      <c r="A1244" t="s">
        <v>6</v>
      </c>
      <c r="B1244" t="str">
        <f>"02/24/1989 00:00"</f>
        <v>02/24/1989 00:00</v>
      </c>
      <c r="D1244" t="s">
        <v>7</v>
      </c>
      <c r="E1244" s="2" t="s">
        <v>12</v>
      </c>
      <c r="F1244">
        <f t="shared" si="19"/>
        <v>0</v>
      </c>
      <c r="G1244" t="s">
        <v>16</v>
      </c>
    </row>
    <row r="1245" spans="1:7" x14ac:dyDescent="0.3">
      <c r="A1245" t="s">
        <v>6</v>
      </c>
      <c r="B1245" t="str">
        <f>"02/25/1989 00:00"</f>
        <v>02/25/1989 00:00</v>
      </c>
      <c r="D1245" t="s">
        <v>7</v>
      </c>
      <c r="E1245" s="2" t="s">
        <v>12</v>
      </c>
      <c r="F1245">
        <f t="shared" si="19"/>
        <v>0</v>
      </c>
      <c r="G1245" t="s">
        <v>16</v>
      </c>
    </row>
    <row r="1246" spans="1:7" x14ac:dyDescent="0.3">
      <c r="A1246" t="s">
        <v>6</v>
      </c>
      <c r="B1246" t="str">
        <f>"02/26/1989 00:00"</f>
        <v>02/26/1989 00:00</v>
      </c>
      <c r="D1246" t="s">
        <v>7</v>
      </c>
      <c r="E1246" s="2" t="s">
        <v>12</v>
      </c>
      <c r="F1246">
        <f t="shared" si="19"/>
        <v>0</v>
      </c>
      <c r="G1246" t="s">
        <v>16</v>
      </c>
    </row>
    <row r="1247" spans="1:7" x14ac:dyDescent="0.3">
      <c r="A1247" t="s">
        <v>6</v>
      </c>
      <c r="B1247" t="str">
        <f>"02/27/1989 00:00"</f>
        <v>02/27/1989 00:00</v>
      </c>
      <c r="D1247" t="s">
        <v>7</v>
      </c>
      <c r="E1247" s="2" t="s">
        <v>12</v>
      </c>
      <c r="F1247">
        <f t="shared" si="19"/>
        <v>0</v>
      </c>
      <c r="G1247" t="s">
        <v>16</v>
      </c>
    </row>
    <row r="1248" spans="1:7" x14ac:dyDescent="0.3">
      <c r="A1248" t="s">
        <v>6</v>
      </c>
      <c r="B1248" t="str">
        <f>"02/28/1989 00:00"</f>
        <v>02/28/1989 00:00</v>
      </c>
      <c r="D1248" t="s">
        <v>7</v>
      </c>
      <c r="E1248" s="2" t="s">
        <v>12</v>
      </c>
      <c r="F1248">
        <f t="shared" si="19"/>
        <v>0</v>
      </c>
      <c r="G1248" t="s">
        <v>16</v>
      </c>
    </row>
    <row r="1249" spans="1:7" x14ac:dyDescent="0.3">
      <c r="A1249" t="s">
        <v>6</v>
      </c>
      <c r="B1249" t="str">
        <f>"03/01/1989 00:00"</f>
        <v>03/01/1989 00:00</v>
      </c>
      <c r="D1249" t="s">
        <v>7</v>
      </c>
      <c r="E1249" s="2" t="s">
        <v>12</v>
      </c>
      <c r="F1249">
        <f t="shared" si="19"/>
        <v>0</v>
      </c>
      <c r="G1249" t="s">
        <v>16</v>
      </c>
    </row>
    <row r="1250" spans="1:7" x14ac:dyDescent="0.3">
      <c r="A1250" t="s">
        <v>6</v>
      </c>
      <c r="B1250" t="str">
        <f>"03/02/1989 00:00"</f>
        <v>03/02/1989 00:00</v>
      </c>
      <c r="D1250" t="s">
        <v>7</v>
      </c>
      <c r="E1250" s="2" t="s">
        <v>12</v>
      </c>
      <c r="F1250">
        <f t="shared" si="19"/>
        <v>0</v>
      </c>
      <c r="G1250" t="s">
        <v>16</v>
      </c>
    </row>
    <row r="1251" spans="1:7" x14ac:dyDescent="0.3">
      <c r="A1251" t="s">
        <v>6</v>
      </c>
      <c r="B1251" t="str">
        <f>"03/03/1989 00:00"</f>
        <v>03/03/1989 00:00</v>
      </c>
      <c r="D1251" t="s">
        <v>7</v>
      </c>
      <c r="E1251" s="2" t="s">
        <v>12</v>
      </c>
      <c r="F1251">
        <f t="shared" si="19"/>
        <v>0</v>
      </c>
      <c r="G1251" t="s">
        <v>16</v>
      </c>
    </row>
    <row r="1252" spans="1:7" x14ac:dyDescent="0.3">
      <c r="A1252" t="s">
        <v>6</v>
      </c>
      <c r="B1252" t="str">
        <f>"03/04/1989 00:00"</f>
        <v>03/04/1989 00:00</v>
      </c>
      <c r="D1252" t="s">
        <v>7</v>
      </c>
      <c r="E1252" s="2" t="s">
        <v>12</v>
      </c>
      <c r="F1252">
        <f t="shared" si="19"/>
        <v>0</v>
      </c>
      <c r="G1252" t="s">
        <v>16</v>
      </c>
    </row>
    <row r="1253" spans="1:7" x14ac:dyDescent="0.3">
      <c r="A1253" t="s">
        <v>6</v>
      </c>
      <c r="B1253" t="str">
        <f>"03/05/1989 00:00"</f>
        <v>03/05/1989 00:00</v>
      </c>
      <c r="D1253" t="s">
        <v>7</v>
      </c>
      <c r="E1253" s="2" t="s">
        <v>12</v>
      </c>
      <c r="F1253">
        <f t="shared" si="19"/>
        <v>0</v>
      </c>
      <c r="G1253" t="s">
        <v>16</v>
      </c>
    </row>
    <row r="1254" spans="1:7" x14ac:dyDescent="0.3">
      <c r="A1254" t="s">
        <v>6</v>
      </c>
      <c r="B1254" t="str">
        <f>"03/06/1989 00:00"</f>
        <v>03/06/1989 00:00</v>
      </c>
      <c r="D1254" t="s">
        <v>7</v>
      </c>
      <c r="E1254" s="2" t="s">
        <v>12</v>
      </c>
      <c r="F1254">
        <f t="shared" si="19"/>
        <v>0</v>
      </c>
      <c r="G1254" t="s">
        <v>16</v>
      </c>
    </row>
    <row r="1255" spans="1:7" x14ac:dyDescent="0.3">
      <c r="A1255" t="s">
        <v>6</v>
      </c>
      <c r="B1255" t="str">
        <f>"03/07/1989 00:00"</f>
        <v>03/07/1989 00:00</v>
      </c>
      <c r="D1255" t="s">
        <v>7</v>
      </c>
      <c r="E1255" s="2" t="s">
        <v>12</v>
      </c>
      <c r="F1255">
        <f t="shared" si="19"/>
        <v>0</v>
      </c>
      <c r="G1255" t="s">
        <v>16</v>
      </c>
    </row>
    <row r="1256" spans="1:7" x14ac:dyDescent="0.3">
      <c r="A1256" t="s">
        <v>6</v>
      </c>
      <c r="B1256" t="str">
        <f>"03/08/1989 00:00"</f>
        <v>03/08/1989 00:00</v>
      </c>
      <c r="D1256" t="s">
        <v>7</v>
      </c>
      <c r="E1256" s="2" t="s">
        <v>12</v>
      </c>
      <c r="F1256">
        <f t="shared" si="19"/>
        <v>0</v>
      </c>
      <c r="G1256" t="s">
        <v>16</v>
      </c>
    </row>
    <row r="1257" spans="1:7" x14ac:dyDescent="0.3">
      <c r="A1257" t="s">
        <v>6</v>
      </c>
      <c r="B1257" t="str">
        <f>"03/09/1989 00:00"</f>
        <v>03/09/1989 00:00</v>
      </c>
      <c r="D1257" t="s">
        <v>7</v>
      </c>
      <c r="E1257" s="2" t="s">
        <v>12</v>
      </c>
      <c r="F1257">
        <f t="shared" si="19"/>
        <v>0</v>
      </c>
      <c r="G1257" t="s">
        <v>16</v>
      </c>
    </row>
    <row r="1258" spans="1:7" x14ac:dyDescent="0.3">
      <c r="A1258" t="s">
        <v>6</v>
      </c>
      <c r="B1258" t="str">
        <f>"03/10/1989 00:00"</f>
        <v>03/10/1989 00:00</v>
      </c>
      <c r="D1258" t="s">
        <v>7</v>
      </c>
      <c r="E1258" s="2" t="s">
        <v>12</v>
      </c>
      <c r="F1258">
        <f t="shared" si="19"/>
        <v>0</v>
      </c>
      <c r="G1258" t="s">
        <v>16</v>
      </c>
    </row>
    <row r="1259" spans="1:7" x14ac:dyDescent="0.3">
      <c r="A1259" t="s">
        <v>6</v>
      </c>
      <c r="B1259" t="str">
        <f>"03/11/1989 00:00"</f>
        <v>03/11/1989 00:00</v>
      </c>
      <c r="D1259" t="s">
        <v>7</v>
      </c>
      <c r="E1259" s="2" t="s">
        <v>12</v>
      </c>
      <c r="F1259">
        <f t="shared" si="19"/>
        <v>0</v>
      </c>
      <c r="G1259" t="s">
        <v>16</v>
      </c>
    </row>
    <row r="1260" spans="1:7" x14ac:dyDescent="0.3">
      <c r="A1260" t="s">
        <v>6</v>
      </c>
      <c r="B1260" t="str">
        <f>"03/12/1989 00:00"</f>
        <v>03/12/1989 00:00</v>
      </c>
      <c r="D1260" t="s">
        <v>7</v>
      </c>
      <c r="E1260" s="2" t="s">
        <v>12</v>
      </c>
      <c r="F1260">
        <f t="shared" si="19"/>
        <v>0</v>
      </c>
      <c r="G1260" t="s">
        <v>16</v>
      </c>
    </row>
    <row r="1261" spans="1:7" x14ac:dyDescent="0.3">
      <c r="A1261" t="s">
        <v>6</v>
      </c>
      <c r="B1261" t="str">
        <f>"03/13/1989 00:00"</f>
        <v>03/13/1989 00:00</v>
      </c>
      <c r="D1261" t="s">
        <v>7</v>
      </c>
      <c r="E1261" s="2" t="s">
        <v>12</v>
      </c>
      <c r="F1261">
        <f t="shared" si="19"/>
        <v>0</v>
      </c>
      <c r="G1261" t="s">
        <v>16</v>
      </c>
    </row>
    <row r="1262" spans="1:7" x14ac:dyDescent="0.3">
      <c r="A1262" t="s">
        <v>6</v>
      </c>
      <c r="B1262" t="str">
        <f>"03/14/1989 00:00"</f>
        <v>03/14/1989 00:00</v>
      </c>
      <c r="D1262" t="s">
        <v>7</v>
      </c>
      <c r="E1262" s="2" t="s">
        <v>12</v>
      </c>
      <c r="F1262">
        <f t="shared" si="19"/>
        <v>0</v>
      </c>
      <c r="G1262" t="s">
        <v>16</v>
      </c>
    </row>
    <row r="1263" spans="1:7" x14ac:dyDescent="0.3">
      <c r="A1263" t="s">
        <v>6</v>
      </c>
      <c r="B1263" t="str">
        <f>"03/15/1989 00:00"</f>
        <v>03/15/1989 00:00</v>
      </c>
      <c r="D1263" t="s">
        <v>7</v>
      </c>
      <c r="E1263" s="2" t="s">
        <v>12</v>
      </c>
      <c r="F1263">
        <f t="shared" si="19"/>
        <v>0</v>
      </c>
      <c r="G1263" t="s">
        <v>16</v>
      </c>
    </row>
    <row r="1264" spans="1:7" x14ac:dyDescent="0.3">
      <c r="A1264" t="s">
        <v>6</v>
      </c>
      <c r="B1264" t="str">
        <f>"03/16/1989 00:00"</f>
        <v>03/16/1989 00:00</v>
      </c>
      <c r="D1264" t="s">
        <v>7</v>
      </c>
      <c r="E1264" s="2" t="s">
        <v>12</v>
      </c>
      <c r="F1264">
        <f t="shared" si="19"/>
        <v>0</v>
      </c>
      <c r="G1264" t="s">
        <v>16</v>
      </c>
    </row>
    <row r="1265" spans="1:7" x14ac:dyDescent="0.3">
      <c r="A1265" t="s">
        <v>6</v>
      </c>
      <c r="B1265" t="str">
        <f>"03/17/1989 00:00"</f>
        <v>03/17/1989 00:00</v>
      </c>
      <c r="D1265" t="s">
        <v>7</v>
      </c>
      <c r="E1265" s="2" t="s">
        <v>12</v>
      </c>
      <c r="F1265">
        <f t="shared" si="19"/>
        <v>0</v>
      </c>
      <c r="G1265" t="s">
        <v>16</v>
      </c>
    </row>
    <row r="1266" spans="1:7" x14ac:dyDescent="0.3">
      <c r="A1266" t="s">
        <v>6</v>
      </c>
      <c r="B1266" t="str">
        <f>"03/18/1989 00:00"</f>
        <v>03/18/1989 00:00</v>
      </c>
      <c r="D1266" t="s">
        <v>7</v>
      </c>
      <c r="E1266" s="2" t="s">
        <v>12</v>
      </c>
      <c r="F1266">
        <f t="shared" si="19"/>
        <v>0</v>
      </c>
      <c r="G1266" t="s">
        <v>16</v>
      </c>
    </row>
    <row r="1267" spans="1:7" x14ac:dyDescent="0.3">
      <c r="A1267" t="s">
        <v>6</v>
      </c>
      <c r="B1267" t="str">
        <f>"03/19/1989 00:00"</f>
        <v>03/19/1989 00:00</v>
      </c>
      <c r="D1267" t="s">
        <v>7</v>
      </c>
      <c r="E1267" s="2" t="s">
        <v>12</v>
      </c>
      <c r="F1267">
        <f t="shared" si="19"/>
        <v>0</v>
      </c>
      <c r="G1267" t="s">
        <v>16</v>
      </c>
    </row>
    <row r="1268" spans="1:7" x14ac:dyDescent="0.3">
      <c r="A1268" t="s">
        <v>6</v>
      </c>
      <c r="B1268" t="str">
        <f>"03/20/1989 00:00"</f>
        <v>03/20/1989 00:00</v>
      </c>
      <c r="D1268" t="s">
        <v>7</v>
      </c>
      <c r="E1268" s="2" t="s">
        <v>12</v>
      </c>
      <c r="F1268">
        <f t="shared" si="19"/>
        <v>0</v>
      </c>
      <c r="G1268" t="s">
        <v>16</v>
      </c>
    </row>
    <row r="1269" spans="1:7" x14ac:dyDescent="0.3">
      <c r="A1269" t="s">
        <v>6</v>
      </c>
      <c r="B1269" t="str">
        <f>"03/21/1989 00:00"</f>
        <v>03/21/1989 00:00</v>
      </c>
      <c r="D1269" t="s">
        <v>7</v>
      </c>
      <c r="E1269" s="2" t="s">
        <v>12</v>
      </c>
      <c r="F1269">
        <f t="shared" si="19"/>
        <v>0</v>
      </c>
      <c r="G1269" t="s">
        <v>16</v>
      </c>
    </row>
    <row r="1270" spans="1:7" x14ac:dyDescent="0.3">
      <c r="A1270" t="s">
        <v>6</v>
      </c>
      <c r="B1270" t="str">
        <f>"03/22/1989 00:00"</f>
        <v>03/22/1989 00:00</v>
      </c>
      <c r="D1270" t="s">
        <v>7</v>
      </c>
      <c r="E1270" s="2" t="s">
        <v>12</v>
      </c>
      <c r="F1270">
        <f t="shared" si="19"/>
        <v>0</v>
      </c>
      <c r="G1270" t="s">
        <v>16</v>
      </c>
    </row>
    <row r="1271" spans="1:7" x14ac:dyDescent="0.3">
      <c r="A1271" t="s">
        <v>6</v>
      </c>
      <c r="B1271" t="str">
        <f>"03/23/1989 00:00"</f>
        <v>03/23/1989 00:00</v>
      </c>
      <c r="D1271" t="s">
        <v>7</v>
      </c>
      <c r="E1271" s="2" t="s">
        <v>12</v>
      </c>
      <c r="F1271">
        <f t="shared" si="19"/>
        <v>0</v>
      </c>
      <c r="G1271" t="s">
        <v>16</v>
      </c>
    </row>
    <row r="1272" spans="1:7" x14ac:dyDescent="0.3">
      <c r="A1272" t="s">
        <v>6</v>
      </c>
      <c r="B1272" t="str">
        <f>"03/24/1989 00:00"</f>
        <v>03/24/1989 00:00</v>
      </c>
      <c r="D1272" t="s">
        <v>7</v>
      </c>
      <c r="E1272" s="2" t="s">
        <v>12</v>
      </c>
      <c r="F1272">
        <f t="shared" si="19"/>
        <v>0</v>
      </c>
      <c r="G1272" t="s">
        <v>16</v>
      </c>
    </row>
    <row r="1273" spans="1:7" x14ac:dyDescent="0.3">
      <c r="A1273" t="s">
        <v>6</v>
      </c>
      <c r="B1273" t="str">
        <f>"03/25/1989 00:00"</f>
        <v>03/25/1989 00:00</v>
      </c>
      <c r="D1273" t="s">
        <v>7</v>
      </c>
      <c r="E1273" s="2" t="s">
        <v>12</v>
      </c>
      <c r="F1273">
        <f t="shared" si="19"/>
        <v>0</v>
      </c>
      <c r="G1273" t="s">
        <v>16</v>
      </c>
    </row>
    <row r="1274" spans="1:7" x14ac:dyDescent="0.3">
      <c r="A1274" t="s">
        <v>6</v>
      </c>
      <c r="B1274" t="str">
        <f>"03/26/1989 00:00"</f>
        <v>03/26/1989 00:00</v>
      </c>
      <c r="D1274" t="s">
        <v>7</v>
      </c>
      <c r="E1274" s="2" t="s">
        <v>12</v>
      </c>
      <c r="F1274">
        <f t="shared" si="19"/>
        <v>0</v>
      </c>
      <c r="G1274" t="s">
        <v>16</v>
      </c>
    </row>
    <row r="1275" spans="1:7" x14ac:dyDescent="0.3">
      <c r="A1275" t="s">
        <v>6</v>
      </c>
      <c r="B1275" t="str">
        <f>"03/27/1989 00:00"</f>
        <v>03/27/1989 00:00</v>
      </c>
      <c r="D1275" t="s">
        <v>7</v>
      </c>
      <c r="E1275" s="2" t="s">
        <v>12</v>
      </c>
      <c r="F1275">
        <f t="shared" si="19"/>
        <v>0</v>
      </c>
      <c r="G1275" t="s">
        <v>16</v>
      </c>
    </row>
    <row r="1276" spans="1:7" x14ac:dyDescent="0.3">
      <c r="A1276" t="s">
        <v>6</v>
      </c>
      <c r="B1276" t="str">
        <f>"03/28/1989 00:00"</f>
        <v>03/28/1989 00:00</v>
      </c>
      <c r="D1276" t="s">
        <v>7</v>
      </c>
      <c r="E1276" s="2" t="s">
        <v>12</v>
      </c>
      <c r="F1276">
        <f t="shared" si="19"/>
        <v>0</v>
      </c>
      <c r="G1276" t="s">
        <v>16</v>
      </c>
    </row>
    <row r="1277" spans="1:7" x14ac:dyDescent="0.3">
      <c r="A1277" t="s">
        <v>6</v>
      </c>
      <c r="B1277" t="str">
        <f>"03/29/1989 00:00"</f>
        <v>03/29/1989 00:00</v>
      </c>
      <c r="D1277" t="s">
        <v>7</v>
      </c>
      <c r="E1277" s="2" t="s">
        <v>12</v>
      </c>
      <c r="F1277">
        <f t="shared" si="19"/>
        <v>0</v>
      </c>
      <c r="G1277" t="s">
        <v>16</v>
      </c>
    </row>
    <row r="1278" spans="1:7" x14ac:dyDescent="0.3">
      <c r="A1278" t="s">
        <v>6</v>
      </c>
      <c r="B1278" t="str">
        <f>"03/30/1989 00:00"</f>
        <v>03/30/1989 00:00</v>
      </c>
      <c r="D1278" t="s">
        <v>7</v>
      </c>
      <c r="E1278" s="2" t="s">
        <v>12</v>
      </c>
      <c r="F1278">
        <f t="shared" si="19"/>
        <v>0</v>
      </c>
      <c r="G1278" t="s">
        <v>16</v>
      </c>
    </row>
    <row r="1279" spans="1:7" x14ac:dyDescent="0.3">
      <c r="A1279" t="s">
        <v>6</v>
      </c>
      <c r="B1279" t="str">
        <f>"03/31/1989 00:00"</f>
        <v>03/31/1989 00:00</v>
      </c>
      <c r="D1279" t="s">
        <v>7</v>
      </c>
      <c r="E1279" s="2" t="s">
        <v>12</v>
      </c>
      <c r="F1279">
        <f t="shared" si="19"/>
        <v>0</v>
      </c>
      <c r="G1279" t="s">
        <v>16</v>
      </c>
    </row>
    <row r="1280" spans="1:7" x14ac:dyDescent="0.3">
      <c r="A1280" t="s">
        <v>6</v>
      </c>
      <c r="B1280" t="str">
        <f>"04/01/1989 00:00"</f>
        <v>04/01/1989 00:00</v>
      </c>
      <c r="D1280" t="s">
        <v>7</v>
      </c>
      <c r="E1280" s="2" t="s">
        <v>12</v>
      </c>
      <c r="F1280">
        <f t="shared" si="19"/>
        <v>0</v>
      </c>
      <c r="G1280" t="s">
        <v>16</v>
      </c>
    </row>
    <row r="1281" spans="1:7" x14ac:dyDescent="0.3">
      <c r="A1281" t="s">
        <v>6</v>
      </c>
      <c r="B1281" t="str">
        <f>"04/02/1989 00:00"</f>
        <v>04/02/1989 00:00</v>
      </c>
      <c r="D1281" t="s">
        <v>7</v>
      </c>
      <c r="E1281" s="2" t="s">
        <v>12</v>
      </c>
      <c r="F1281">
        <f t="shared" si="19"/>
        <v>0</v>
      </c>
      <c r="G1281" t="s">
        <v>16</v>
      </c>
    </row>
    <row r="1282" spans="1:7" x14ac:dyDescent="0.3">
      <c r="A1282" t="s">
        <v>6</v>
      </c>
      <c r="B1282" t="str">
        <f>"04/03/1989 00:00"</f>
        <v>04/03/1989 00:00</v>
      </c>
      <c r="D1282" t="s">
        <v>7</v>
      </c>
      <c r="E1282" s="2" t="s">
        <v>12</v>
      </c>
      <c r="F1282">
        <f t="shared" si="19"/>
        <v>0</v>
      </c>
      <c r="G1282" t="s">
        <v>16</v>
      </c>
    </row>
    <row r="1283" spans="1:7" x14ac:dyDescent="0.3">
      <c r="A1283" t="s">
        <v>6</v>
      </c>
      <c r="B1283" t="str">
        <f>"04/04/1989 00:00"</f>
        <v>04/04/1989 00:00</v>
      </c>
      <c r="D1283" t="s">
        <v>7</v>
      </c>
      <c r="E1283" s="2" t="s">
        <v>12</v>
      </c>
      <c r="F1283">
        <f t="shared" ref="F1283:F1346" si="20">C1283*1.983</f>
        <v>0</v>
      </c>
      <c r="G1283" t="s">
        <v>16</v>
      </c>
    </row>
    <row r="1284" spans="1:7" x14ac:dyDescent="0.3">
      <c r="A1284" t="s">
        <v>6</v>
      </c>
      <c r="B1284" t="str">
        <f>"04/05/1989 00:00"</f>
        <v>04/05/1989 00:00</v>
      </c>
      <c r="D1284" t="s">
        <v>7</v>
      </c>
      <c r="E1284" s="2" t="s">
        <v>12</v>
      </c>
      <c r="F1284">
        <f t="shared" si="20"/>
        <v>0</v>
      </c>
      <c r="G1284" t="s">
        <v>16</v>
      </c>
    </row>
    <row r="1285" spans="1:7" x14ac:dyDescent="0.3">
      <c r="A1285" t="s">
        <v>6</v>
      </c>
      <c r="B1285" t="str">
        <f>"04/06/1989 00:00"</f>
        <v>04/06/1989 00:00</v>
      </c>
      <c r="D1285" t="s">
        <v>7</v>
      </c>
      <c r="E1285" s="2" t="s">
        <v>12</v>
      </c>
      <c r="F1285">
        <f t="shared" si="20"/>
        <v>0</v>
      </c>
      <c r="G1285" t="s">
        <v>16</v>
      </c>
    </row>
    <row r="1286" spans="1:7" x14ac:dyDescent="0.3">
      <c r="A1286" t="s">
        <v>6</v>
      </c>
      <c r="B1286" t="str">
        <f>"04/07/1989 00:00"</f>
        <v>04/07/1989 00:00</v>
      </c>
      <c r="D1286" t="s">
        <v>7</v>
      </c>
      <c r="E1286" s="2" t="s">
        <v>12</v>
      </c>
      <c r="F1286">
        <f t="shared" si="20"/>
        <v>0</v>
      </c>
      <c r="G1286" t="s">
        <v>16</v>
      </c>
    </row>
    <row r="1287" spans="1:7" x14ac:dyDescent="0.3">
      <c r="A1287" t="s">
        <v>6</v>
      </c>
      <c r="B1287" t="str">
        <f>"04/08/1989 00:00"</f>
        <v>04/08/1989 00:00</v>
      </c>
      <c r="D1287" t="s">
        <v>7</v>
      </c>
      <c r="E1287" s="2" t="s">
        <v>12</v>
      </c>
      <c r="F1287">
        <f t="shared" si="20"/>
        <v>0</v>
      </c>
      <c r="G1287" t="s">
        <v>16</v>
      </c>
    </row>
    <row r="1288" spans="1:7" x14ac:dyDescent="0.3">
      <c r="A1288" t="s">
        <v>6</v>
      </c>
      <c r="B1288" t="str">
        <f>"04/09/1989 00:00"</f>
        <v>04/09/1989 00:00</v>
      </c>
      <c r="D1288" t="s">
        <v>7</v>
      </c>
      <c r="E1288" s="2" t="s">
        <v>12</v>
      </c>
      <c r="F1288">
        <f t="shared" si="20"/>
        <v>0</v>
      </c>
      <c r="G1288" t="s">
        <v>16</v>
      </c>
    </row>
    <row r="1289" spans="1:7" x14ac:dyDescent="0.3">
      <c r="A1289" t="s">
        <v>6</v>
      </c>
      <c r="B1289" t="str">
        <f>"04/10/1989 00:00"</f>
        <v>04/10/1989 00:00</v>
      </c>
      <c r="D1289" t="s">
        <v>7</v>
      </c>
      <c r="E1289" s="2" t="s">
        <v>12</v>
      </c>
      <c r="F1289">
        <f t="shared" si="20"/>
        <v>0</v>
      </c>
      <c r="G1289" t="s">
        <v>16</v>
      </c>
    </row>
    <row r="1290" spans="1:7" x14ac:dyDescent="0.3">
      <c r="A1290" t="s">
        <v>6</v>
      </c>
      <c r="B1290" t="str">
        <f>"04/11/1989 00:00"</f>
        <v>04/11/1989 00:00</v>
      </c>
      <c r="D1290" t="s">
        <v>7</v>
      </c>
      <c r="E1290" s="2" t="s">
        <v>12</v>
      </c>
      <c r="F1290">
        <f t="shared" si="20"/>
        <v>0</v>
      </c>
      <c r="G1290" t="s">
        <v>16</v>
      </c>
    </row>
    <row r="1291" spans="1:7" x14ac:dyDescent="0.3">
      <c r="A1291" t="s">
        <v>6</v>
      </c>
      <c r="B1291" t="str">
        <f>"04/12/1989 00:00"</f>
        <v>04/12/1989 00:00</v>
      </c>
      <c r="D1291" t="s">
        <v>7</v>
      </c>
      <c r="E1291" s="2" t="s">
        <v>12</v>
      </c>
      <c r="F1291">
        <f t="shared" si="20"/>
        <v>0</v>
      </c>
      <c r="G1291" t="s">
        <v>16</v>
      </c>
    </row>
    <row r="1292" spans="1:7" x14ac:dyDescent="0.3">
      <c r="A1292" t="s">
        <v>6</v>
      </c>
      <c r="B1292" t="str">
        <f>"04/13/1989 00:00"</f>
        <v>04/13/1989 00:00</v>
      </c>
      <c r="D1292" t="s">
        <v>7</v>
      </c>
      <c r="E1292" s="2" t="s">
        <v>12</v>
      </c>
      <c r="F1292">
        <f t="shared" si="20"/>
        <v>0</v>
      </c>
      <c r="G1292" t="s">
        <v>16</v>
      </c>
    </row>
    <row r="1293" spans="1:7" x14ac:dyDescent="0.3">
      <c r="A1293" t="s">
        <v>6</v>
      </c>
      <c r="B1293" t="str">
        <f>"04/14/1989 00:00"</f>
        <v>04/14/1989 00:00</v>
      </c>
      <c r="D1293" t="s">
        <v>7</v>
      </c>
      <c r="E1293" s="2" t="s">
        <v>12</v>
      </c>
      <c r="F1293">
        <f t="shared" si="20"/>
        <v>0</v>
      </c>
      <c r="G1293" t="s">
        <v>16</v>
      </c>
    </row>
    <row r="1294" spans="1:7" x14ac:dyDescent="0.3">
      <c r="A1294" t="s">
        <v>6</v>
      </c>
      <c r="B1294" t="str">
        <f>"04/15/1989 00:00"</f>
        <v>04/15/1989 00:00</v>
      </c>
      <c r="D1294" t="s">
        <v>7</v>
      </c>
      <c r="E1294" s="2" t="s">
        <v>12</v>
      </c>
      <c r="F1294">
        <f t="shared" si="20"/>
        <v>0</v>
      </c>
      <c r="G1294" t="s">
        <v>16</v>
      </c>
    </row>
    <row r="1295" spans="1:7" x14ac:dyDescent="0.3">
      <c r="A1295" t="s">
        <v>6</v>
      </c>
      <c r="B1295" t="str">
        <f>"04/16/1989 00:00"</f>
        <v>04/16/1989 00:00</v>
      </c>
      <c r="D1295" t="s">
        <v>7</v>
      </c>
      <c r="E1295" s="2" t="s">
        <v>12</v>
      </c>
      <c r="F1295">
        <f t="shared" si="20"/>
        <v>0</v>
      </c>
      <c r="G1295" t="s">
        <v>16</v>
      </c>
    </row>
    <row r="1296" spans="1:7" x14ac:dyDescent="0.3">
      <c r="A1296" t="s">
        <v>6</v>
      </c>
      <c r="B1296" t="str">
        <f>"04/17/1989 00:00"</f>
        <v>04/17/1989 00:00</v>
      </c>
      <c r="D1296" t="s">
        <v>7</v>
      </c>
      <c r="E1296" s="2" t="s">
        <v>12</v>
      </c>
      <c r="F1296">
        <f t="shared" si="20"/>
        <v>0</v>
      </c>
      <c r="G1296" t="s">
        <v>16</v>
      </c>
    </row>
    <row r="1297" spans="1:10" x14ac:dyDescent="0.3">
      <c r="A1297" t="s">
        <v>6</v>
      </c>
      <c r="B1297" t="str">
        <f>"04/18/1989 00:00"</f>
        <v>04/18/1989 00:00</v>
      </c>
      <c r="D1297" t="s">
        <v>7</v>
      </c>
      <c r="E1297" s="2" t="s">
        <v>12</v>
      </c>
      <c r="F1297">
        <f t="shared" si="20"/>
        <v>0</v>
      </c>
      <c r="G1297" t="s">
        <v>16</v>
      </c>
    </row>
    <row r="1298" spans="1:10" x14ac:dyDescent="0.3">
      <c r="A1298" t="s">
        <v>6</v>
      </c>
      <c r="B1298" t="str">
        <f>"04/19/1989 00:00"</f>
        <v>04/19/1989 00:00</v>
      </c>
      <c r="D1298" t="s">
        <v>7</v>
      </c>
      <c r="E1298" s="2" t="s">
        <v>12</v>
      </c>
      <c r="F1298">
        <f t="shared" si="20"/>
        <v>0</v>
      </c>
      <c r="G1298" t="s">
        <v>16</v>
      </c>
    </row>
    <row r="1299" spans="1:10" x14ac:dyDescent="0.3">
      <c r="A1299" t="s">
        <v>6</v>
      </c>
      <c r="B1299" t="str">
        <f>"04/20/1989 00:00"</f>
        <v>04/20/1989 00:00</v>
      </c>
      <c r="D1299" t="s">
        <v>7</v>
      </c>
      <c r="E1299" s="2" t="s">
        <v>12</v>
      </c>
      <c r="F1299">
        <f t="shared" si="20"/>
        <v>0</v>
      </c>
      <c r="G1299" t="s">
        <v>16</v>
      </c>
    </row>
    <row r="1300" spans="1:10" x14ac:dyDescent="0.3">
      <c r="A1300" t="s">
        <v>6</v>
      </c>
      <c r="B1300" t="str">
        <f>"04/21/1989 00:00"</f>
        <v>04/21/1989 00:00</v>
      </c>
      <c r="D1300" t="s">
        <v>7</v>
      </c>
      <c r="E1300" s="2" t="s">
        <v>12</v>
      </c>
      <c r="F1300">
        <f t="shared" si="20"/>
        <v>0</v>
      </c>
      <c r="G1300" t="s">
        <v>16</v>
      </c>
    </row>
    <row r="1301" spans="1:10" x14ac:dyDescent="0.3">
      <c r="A1301" t="s">
        <v>6</v>
      </c>
      <c r="B1301" t="str">
        <f>"04/22/1989 00:00"</f>
        <v>04/22/1989 00:00</v>
      </c>
      <c r="D1301" t="s">
        <v>7</v>
      </c>
      <c r="E1301" s="2" t="s">
        <v>12</v>
      </c>
      <c r="F1301">
        <f t="shared" si="20"/>
        <v>0</v>
      </c>
      <c r="G1301" t="s">
        <v>16</v>
      </c>
    </row>
    <row r="1302" spans="1:10" x14ac:dyDescent="0.3">
      <c r="A1302" t="s">
        <v>6</v>
      </c>
      <c r="B1302" t="str">
        <f>"04/23/1989 00:00"</f>
        <v>04/23/1989 00:00</v>
      </c>
      <c r="D1302" t="s">
        <v>7</v>
      </c>
      <c r="E1302" s="2" t="s">
        <v>12</v>
      </c>
      <c r="F1302">
        <f t="shared" si="20"/>
        <v>0</v>
      </c>
      <c r="G1302" t="s">
        <v>16</v>
      </c>
    </row>
    <row r="1303" spans="1:10" x14ac:dyDescent="0.3">
      <c r="A1303" t="s">
        <v>6</v>
      </c>
      <c r="B1303" t="str">
        <f>"04/24/1989 00:00"</f>
        <v>04/24/1989 00:00</v>
      </c>
      <c r="D1303" t="s">
        <v>7</v>
      </c>
      <c r="E1303" s="2" t="s">
        <v>12</v>
      </c>
      <c r="F1303">
        <f t="shared" si="20"/>
        <v>0</v>
      </c>
      <c r="G1303" t="s">
        <v>16</v>
      </c>
    </row>
    <row r="1304" spans="1:10" x14ac:dyDescent="0.3">
      <c r="A1304" t="s">
        <v>6</v>
      </c>
      <c r="B1304" t="str">
        <f>"04/25/1989 00:00"</f>
        <v>04/25/1989 00:00</v>
      </c>
      <c r="D1304" t="s">
        <v>7</v>
      </c>
      <c r="E1304" s="2" t="s">
        <v>12</v>
      </c>
      <c r="F1304">
        <f t="shared" si="20"/>
        <v>0</v>
      </c>
      <c r="G1304" t="s">
        <v>16</v>
      </c>
    </row>
    <row r="1305" spans="1:10" x14ac:dyDescent="0.3">
      <c r="A1305" t="s">
        <v>6</v>
      </c>
      <c r="B1305" t="str">
        <f>"04/26/1989 00:00"</f>
        <v>04/26/1989 00:00</v>
      </c>
      <c r="D1305" t="s">
        <v>7</v>
      </c>
      <c r="E1305" s="2" t="s">
        <v>12</v>
      </c>
      <c r="F1305">
        <f t="shared" si="20"/>
        <v>0</v>
      </c>
      <c r="G1305" t="s">
        <v>16</v>
      </c>
    </row>
    <row r="1306" spans="1:10" x14ac:dyDescent="0.3">
      <c r="A1306" t="s">
        <v>6</v>
      </c>
      <c r="B1306" t="str">
        <f>"04/27/1989 00:00"</f>
        <v>04/27/1989 00:00</v>
      </c>
      <c r="D1306" t="s">
        <v>7</v>
      </c>
      <c r="E1306" s="2" t="s">
        <v>12</v>
      </c>
      <c r="F1306">
        <f t="shared" si="20"/>
        <v>0</v>
      </c>
      <c r="G1306" t="s">
        <v>16</v>
      </c>
    </row>
    <row r="1307" spans="1:10" x14ac:dyDescent="0.3">
      <c r="A1307" t="s">
        <v>6</v>
      </c>
      <c r="B1307" t="str">
        <f>"04/28/1989 00:00"</f>
        <v>04/28/1989 00:00</v>
      </c>
      <c r="D1307" t="s">
        <v>7</v>
      </c>
      <c r="E1307" s="2" t="s">
        <v>12</v>
      </c>
      <c r="F1307">
        <f t="shared" si="20"/>
        <v>0</v>
      </c>
      <c r="G1307" t="s">
        <v>16</v>
      </c>
    </row>
    <row r="1308" spans="1:10" x14ac:dyDescent="0.3">
      <c r="A1308" t="s">
        <v>6</v>
      </c>
      <c r="B1308" t="str">
        <f>"04/29/1989 00:00"</f>
        <v>04/29/1989 00:00</v>
      </c>
      <c r="D1308" t="s">
        <v>7</v>
      </c>
      <c r="E1308" s="2" t="s">
        <v>12</v>
      </c>
      <c r="F1308">
        <f t="shared" si="20"/>
        <v>0</v>
      </c>
      <c r="G1308" t="s">
        <v>16</v>
      </c>
    </row>
    <row r="1309" spans="1:10" x14ac:dyDescent="0.3">
      <c r="A1309" t="s">
        <v>6</v>
      </c>
      <c r="B1309" t="str">
        <f>"04/30/1989 00:00"</f>
        <v>04/30/1989 00:00</v>
      </c>
      <c r="D1309" t="s">
        <v>7</v>
      </c>
      <c r="E1309" s="2" t="s">
        <v>12</v>
      </c>
      <c r="F1309">
        <f t="shared" si="20"/>
        <v>0</v>
      </c>
      <c r="G1309" t="s">
        <v>16</v>
      </c>
    </row>
    <row r="1310" spans="1:10" x14ac:dyDescent="0.3">
      <c r="A1310" t="s">
        <v>6</v>
      </c>
      <c r="B1310" t="str">
        <f>"05/01/1989 00:00"</f>
        <v>05/01/1989 00:00</v>
      </c>
      <c r="D1310" t="s">
        <v>7</v>
      </c>
      <c r="E1310" s="2" t="s">
        <v>12</v>
      </c>
      <c r="F1310">
        <f t="shared" si="20"/>
        <v>0</v>
      </c>
      <c r="G1310" t="s">
        <v>16</v>
      </c>
    </row>
    <row r="1311" spans="1:10" x14ac:dyDescent="0.3">
      <c r="A1311" t="s">
        <v>6</v>
      </c>
      <c r="B1311" t="str">
        <f>"05/02/1989 00:00"</f>
        <v>05/02/1989 00:00</v>
      </c>
      <c r="C1311">
        <v>0.85</v>
      </c>
      <c r="D1311" t="s">
        <v>7</v>
      </c>
      <c r="E1311" s="2" t="s">
        <v>12</v>
      </c>
      <c r="F1311">
        <f t="shared" si="20"/>
        <v>1.6855500000000001</v>
      </c>
      <c r="G1311" t="s">
        <v>16</v>
      </c>
      <c r="I1311" t="s">
        <v>8</v>
      </c>
      <c r="J1311" t="str">
        <f>"05/02/1989 23:45"</f>
        <v>05/02/1989 23:45</v>
      </c>
    </row>
    <row r="1312" spans="1:10" x14ac:dyDescent="0.3">
      <c r="A1312" t="s">
        <v>6</v>
      </c>
      <c r="B1312" t="str">
        <f>"05/03/1989 00:00"</f>
        <v>05/03/1989 00:00</v>
      </c>
      <c r="C1312">
        <v>0.248</v>
      </c>
      <c r="D1312" t="s">
        <v>7</v>
      </c>
      <c r="E1312" s="2" t="s">
        <v>12</v>
      </c>
      <c r="F1312">
        <f t="shared" si="20"/>
        <v>0.491784</v>
      </c>
      <c r="G1312" t="s">
        <v>16</v>
      </c>
      <c r="I1312" t="s">
        <v>35</v>
      </c>
      <c r="J1312" t="str">
        <f>"05/03/1989 23:45"</f>
        <v>05/03/1989 23:45</v>
      </c>
    </row>
    <row r="1313" spans="1:10" x14ac:dyDescent="0.3">
      <c r="A1313" t="s">
        <v>6</v>
      </c>
      <c r="B1313" t="str">
        <f>"05/04/1989 00:00"</f>
        <v>05/04/1989 00:00</v>
      </c>
      <c r="C1313">
        <v>0</v>
      </c>
      <c r="D1313" t="s">
        <v>7</v>
      </c>
      <c r="E1313" s="2" t="s">
        <v>12</v>
      </c>
      <c r="F1313">
        <f t="shared" si="20"/>
        <v>0</v>
      </c>
      <c r="G1313" t="s">
        <v>16</v>
      </c>
      <c r="I1313" t="s">
        <v>35</v>
      </c>
      <c r="J1313" t="str">
        <f>"05/04/1989 23:45"</f>
        <v>05/04/1989 23:45</v>
      </c>
    </row>
    <row r="1314" spans="1:10" x14ac:dyDescent="0.3">
      <c r="A1314" t="s">
        <v>6</v>
      </c>
      <c r="B1314" t="str">
        <f>"05/05/1989 00:00"</f>
        <v>05/05/1989 00:00</v>
      </c>
      <c r="C1314">
        <v>0</v>
      </c>
      <c r="D1314" t="s">
        <v>7</v>
      </c>
      <c r="E1314" s="2" t="s">
        <v>12</v>
      </c>
      <c r="F1314">
        <f t="shared" si="20"/>
        <v>0</v>
      </c>
      <c r="G1314" t="s">
        <v>16</v>
      </c>
      <c r="I1314" t="s">
        <v>35</v>
      </c>
      <c r="J1314" t="str">
        <f>"05/05/1989 23:45"</f>
        <v>05/05/1989 23:45</v>
      </c>
    </row>
    <row r="1315" spans="1:10" x14ac:dyDescent="0.3">
      <c r="A1315" t="s">
        <v>6</v>
      </c>
      <c r="B1315" t="str">
        <f>"05/06/1989 00:00"</f>
        <v>05/06/1989 00:00</v>
      </c>
      <c r="C1315">
        <v>0</v>
      </c>
      <c r="D1315" t="s">
        <v>7</v>
      </c>
      <c r="E1315" s="2" t="s">
        <v>12</v>
      </c>
      <c r="F1315">
        <f t="shared" si="20"/>
        <v>0</v>
      </c>
      <c r="G1315" t="s">
        <v>16</v>
      </c>
      <c r="I1315" t="s">
        <v>35</v>
      </c>
      <c r="J1315" t="str">
        <f>"05/06/1989 23:45"</f>
        <v>05/06/1989 23:45</v>
      </c>
    </row>
    <row r="1316" spans="1:10" x14ac:dyDescent="0.3">
      <c r="A1316" t="s">
        <v>6</v>
      </c>
      <c r="B1316" t="str">
        <f>"05/07/1989 00:00"</f>
        <v>05/07/1989 00:00</v>
      </c>
      <c r="C1316">
        <v>0</v>
      </c>
      <c r="D1316" t="s">
        <v>7</v>
      </c>
      <c r="E1316" s="2" t="s">
        <v>12</v>
      </c>
      <c r="F1316">
        <f t="shared" si="20"/>
        <v>0</v>
      </c>
      <c r="G1316" t="s">
        <v>16</v>
      </c>
      <c r="I1316" t="s">
        <v>8</v>
      </c>
      <c r="J1316" t="str">
        <f>"05/07/1989 23:45"</f>
        <v>05/07/1989 23:45</v>
      </c>
    </row>
    <row r="1317" spans="1:10" x14ac:dyDescent="0.3">
      <c r="A1317" t="s">
        <v>6</v>
      </c>
      <c r="B1317" t="str">
        <f>"05/08/1989 00:00"</f>
        <v>05/08/1989 00:00</v>
      </c>
      <c r="C1317">
        <v>0</v>
      </c>
      <c r="D1317" t="s">
        <v>7</v>
      </c>
      <c r="E1317" s="2" t="s">
        <v>12</v>
      </c>
      <c r="F1317">
        <f t="shared" si="20"/>
        <v>0</v>
      </c>
      <c r="G1317" t="s">
        <v>16</v>
      </c>
      <c r="I1317" t="s">
        <v>35</v>
      </c>
      <c r="J1317" t="str">
        <f>"05/08/1989 23:45"</f>
        <v>05/08/1989 23:45</v>
      </c>
    </row>
    <row r="1318" spans="1:10" x14ac:dyDescent="0.3">
      <c r="A1318" t="s">
        <v>6</v>
      </c>
      <c r="B1318" t="str">
        <f>"05/09/1989 00:00"</f>
        <v>05/09/1989 00:00</v>
      </c>
      <c r="C1318">
        <v>0</v>
      </c>
      <c r="D1318" t="s">
        <v>7</v>
      </c>
      <c r="E1318" s="2" t="s">
        <v>12</v>
      </c>
      <c r="F1318">
        <f t="shared" si="20"/>
        <v>0</v>
      </c>
      <c r="G1318" t="s">
        <v>16</v>
      </c>
      <c r="I1318" t="s">
        <v>35</v>
      </c>
      <c r="J1318" t="str">
        <f>"05/09/1989 23:45"</f>
        <v>05/09/1989 23:45</v>
      </c>
    </row>
    <row r="1319" spans="1:10" x14ac:dyDescent="0.3">
      <c r="A1319" t="s">
        <v>6</v>
      </c>
      <c r="B1319" t="str">
        <f>"05/10/1989 00:00"</f>
        <v>05/10/1989 00:00</v>
      </c>
      <c r="C1319">
        <v>0</v>
      </c>
      <c r="D1319" t="s">
        <v>7</v>
      </c>
      <c r="E1319" s="2" t="s">
        <v>12</v>
      </c>
      <c r="F1319">
        <f t="shared" si="20"/>
        <v>0</v>
      </c>
      <c r="G1319" t="s">
        <v>16</v>
      </c>
      <c r="I1319" t="s">
        <v>35</v>
      </c>
      <c r="J1319" t="str">
        <f>"05/10/1989 23:45"</f>
        <v>05/10/1989 23:45</v>
      </c>
    </row>
    <row r="1320" spans="1:10" x14ac:dyDescent="0.3">
      <c r="A1320" t="s">
        <v>6</v>
      </c>
      <c r="B1320" t="str">
        <f>"05/11/1989 00:00"</f>
        <v>05/11/1989 00:00</v>
      </c>
      <c r="C1320">
        <v>0</v>
      </c>
      <c r="D1320" t="s">
        <v>7</v>
      </c>
      <c r="E1320" s="2" t="s">
        <v>12</v>
      </c>
      <c r="F1320">
        <f t="shared" si="20"/>
        <v>0</v>
      </c>
      <c r="G1320" t="s">
        <v>16</v>
      </c>
      <c r="I1320" t="s">
        <v>35</v>
      </c>
      <c r="J1320" t="str">
        <f>"05/11/1989 23:45"</f>
        <v>05/11/1989 23:45</v>
      </c>
    </row>
    <row r="1321" spans="1:10" x14ac:dyDescent="0.3">
      <c r="A1321" t="s">
        <v>6</v>
      </c>
      <c r="B1321" t="str">
        <f>"05/12/1989 00:00"</f>
        <v>05/12/1989 00:00</v>
      </c>
      <c r="C1321">
        <v>0</v>
      </c>
      <c r="D1321" t="s">
        <v>7</v>
      </c>
      <c r="E1321" s="2" t="s">
        <v>12</v>
      </c>
      <c r="F1321">
        <f t="shared" si="20"/>
        <v>0</v>
      </c>
      <c r="G1321" t="s">
        <v>16</v>
      </c>
      <c r="I1321" t="s">
        <v>35</v>
      </c>
      <c r="J1321" t="str">
        <f>"05/12/1989 23:45"</f>
        <v>05/12/1989 23:45</v>
      </c>
    </row>
    <row r="1322" spans="1:10" x14ac:dyDescent="0.3">
      <c r="A1322" t="s">
        <v>6</v>
      </c>
      <c r="B1322" t="str">
        <f>"05/13/1989 00:00"</f>
        <v>05/13/1989 00:00</v>
      </c>
      <c r="C1322">
        <v>0</v>
      </c>
      <c r="D1322" t="s">
        <v>7</v>
      </c>
      <c r="E1322" s="2" t="s">
        <v>12</v>
      </c>
      <c r="F1322">
        <f t="shared" si="20"/>
        <v>0</v>
      </c>
      <c r="G1322" t="s">
        <v>16</v>
      </c>
      <c r="I1322" t="s">
        <v>8</v>
      </c>
      <c r="J1322" t="str">
        <f>"05/13/1989 10:45"</f>
        <v>05/13/1989 10:45</v>
      </c>
    </row>
    <row r="1323" spans="1:10" x14ac:dyDescent="0.3">
      <c r="A1323" t="s">
        <v>6</v>
      </c>
      <c r="B1323" t="str">
        <f>"05/14/1989 00:00"</f>
        <v>05/14/1989 00:00</v>
      </c>
      <c r="D1323" t="s">
        <v>7</v>
      </c>
      <c r="E1323" s="2" t="s">
        <v>12</v>
      </c>
      <c r="F1323">
        <f t="shared" si="20"/>
        <v>0</v>
      </c>
      <c r="G1323" t="s">
        <v>16</v>
      </c>
    </row>
    <row r="1324" spans="1:10" x14ac:dyDescent="0.3">
      <c r="A1324" t="s">
        <v>6</v>
      </c>
      <c r="B1324" t="str">
        <f>"05/15/1989 00:00"</f>
        <v>05/15/1989 00:00</v>
      </c>
      <c r="D1324" t="s">
        <v>7</v>
      </c>
      <c r="E1324" s="2" t="s">
        <v>12</v>
      </c>
      <c r="F1324">
        <f t="shared" si="20"/>
        <v>0</v>
      </c>
      <c r="G1324" t="s">
        <v>16</v>
      </c>
    </row>
    <row r="1325" spans="1:10" x14ac:dyDescent="0.3">
      <c r="A1325" t="s">
        <v>6</v>
      </c>
      <c r="B1325" t="str">
        <f>"05/16/1989 00:00"</f>
        <v>05/16/1989 00:00</v>
      </c>
      <c r="D1325" t="s">
        <v>7</v>
      </c>
      <c r="E1325" s="2" t="s">
        <v>12</v>
      </c>
      <c r="F1325">
        <f t="shared" si="20"/>
        <v>0</v>
      </c>
      <c r="G1325" t="s">
        <v>16</v>
      </c>
      <c r="I1325" t="s">
        <v>8</v>
      </c>
      <c r="J1325" t="str">
        <f>"05/16/1989 23:45"</f>
        <v>05/16/1989 23:45</v>
      </c>
    </row>
    <row r="1326" spans="1:10" x14ac:dyDescent="0.3">
      <c r="A1326" t="s">
        <v>6</v>
      </c>
      <c r="B1326" t="str">
        <f>"05/17/1989 00:00"</f>
        <v>05/17/1989 00:00</v>
      </c>
      <c r="D1326" t="s">
        <v>7</v>
      </c>
      <c r="E1326" s="2" t="s">
        <v>12</v>
      </c>
      <c r="F1326">
        <f t="shared" si="20"/>
        <v>0</v>
      </c>
      <c r="G1326" t="s">
        <v>16</v>
      </c>
      <c r="I1326" t="s">
        <v>36</v>
      </c>
      <c r="J1326" t="str">
        <f>"05/17/1989 13:45"</f>
        <v>05/17/1989 13:45</v>
      </c>
    </row>
    <row r="1327" spans="1:10" x14ac:dyDescent="0.3">
      <c r="A1327" t="s">
        <v>6</v>
      </c>
      <c r="B1327" t="str">
        <f>"05/18/1989 00:00"</f>
        <v>05/18/1989 00:00</v>
      </c>
      <c r="D1327" t="s">
        <v>7</v>
      </c>
      <c r="E1327" s="2" t="s">
        <v>12</v>
      </c>
      <c r="F1327">
        <f t="shared" si="20"/>
        <v>0</v>
      </c>
      <c r="G1327" t="s">
        <v>16</v>
      </c>
    </row>
    <row r="1328" spans="1:10" x14ac:dyDescent="0.3">
      <c r="A1328" t="s">
        <v>6</v>
      </c>
      <c r="B1328" t="str">
        <f>"05/19/1989 00:00"</f>
        <v>05/19/1989 00:00</v>
      </c>
      <c r="D1328" t="s">
        <v>7</v>
      </c>
      <c r="E1328" s="2" t="s">
        <v>12</v>
      </c>
      <c r="F1328">
        <f t="shared" si="20"/>
        <v>0</v>
      </c>
      <c r="G1328" t="s">
        <v>16</v>
      </c>
    </row>
    <row r="1329" spans="1:7" x14ac:dyDescent="0.3">
      <c r="A1329" t="s">
        <v>6</v>
      </c>
      <c r="B1329" t="str">
        <f>"05/20/1989 00:00"</f>
        <v>05/20/1989 00:00</v>
      </c>
      <c r="D1329" t="s">
        <v>7</v>
      </c>
      <c r="E1329" s="2" t="s">
        <v>12</v>
      </c>
      <c r="F1329">
        <f t="shared" si="20"/>
        <v>0</v>
      </c>
      <c r="G1329" t="s">
        <v>16</v>
      </c>
    </row>
    <row r="1330" spans="1:7" x14ac:dyDescent="0.3">
      <c r="A1330" t="s">
        <v>6</v>
      </c>
      <c r="B1330" t="str">
        <f>"05/21/1989 00:00"</f>
        <v>05/21/1989 00:00</v>
      </c>
      <c r="D1330" t="s">
        <v>7</v>
      </c>
      <c r="E1330" s="2" t="s">
        <v>12</v>
      </c>
      <c r="F1330">
        <f t="shared" si="20"/>
        <v>0</v>
      </c>
      <c r="G1330" t="s">
        <v>16</v>
      </c>
    </row>
    <row r="1331" spans="1:7" x14ac:dyDescent="0.3">
      <c r="A1331" t="s">
        <v>6</v>
      </c>
      <c r="B1331" t="str">
        <f>"05/22/1989 00:00"</f>
        <v>05/22/1989 00:00</v>
      </c>
      <c r="D1331" t="s">
        <v>7</v>
      </c>
      <c r="E1331" s="2" t="s">
        <v>12</v>
      </c>
      <c r="F1331">
        <f t="shared" si="20"/>
        <v>0</v>
      </c>
      <c r="G1331" t="s">
        <v>16</v>
      </c>
    </row>
    <row r="1332" spans="1:7" x14ac:dyDescent="0.3">
      <c r="A1332" t="s">
        <v>6</v>
      </c>
      <c r="B1332" t="str">
        <f>"05/23/1989 00:00"</f>
        <v>05/23/1989 00:00</v>
      </c>
      <c r="D1332" t="s">
        <v>7</v>
      </c>
      <c r="E1332" s="2" t="s">
        <v>12</v>
      </c>
      <c r="F1332">
        <f t="shared" si="20"/>
        <v>0</v>
      </c>
      <c r="G1332" t="s">
        <v>16</v>
      </c>
    </row>
    <row r="1333" spans="1:7" x14ac:dyDescent="0.3">
      <c r="A1333" t="s">
        <v>6</v>
      </c>
      <c r="B1333" t="str">
        <f>"05/24/1989 00:00"</f>
        <v>05/24/1989 00:00</v>
      </c>
      <c r="D1333" t="s">
        <v>7</v>
      </c>
      <c r="E1333" s="2" t="s">
        <v>12</v>
      </c>
      <c r="F1333">
        <f t="shared" si="20"/>
        <v>0</v>
      </c>
      <c r="G1333" t="s">
        <v>16</v>
      </c>
    </row>
    <row r="1334" spans="1:7" x14ac:dyDescent="0.3">
      <c r="A1334" t="s">
        <v>6</v>
      </c>
      <c r="B1334" t="str">
        <f>"05/25/1989 00:00"</f>
        <v>05/25/1989 00:00</v>
      </c>
      <c r="D1334" t="s">
        <v>7</v>
      </c>
      <c r="E1334" s="2" t="s">
        <v>12</v>
      </c>
      <c r="F1334">
        <f t="shared" si="20"/>
        <v>0</v>
      </c>
      <c r="G1334" t="s">
        <v>16</v>
      </c>
    </row>
    <row r="1335" spans="1:7" x14ac:dyDescent="0.3">
      <c r="A1335" t="s">
        <v>6</v>
      </c>
      <c r="B1335" t="str">
        <f>"05/26/1989 00:00"</f>
        <v>05/26/1989 00:00</v>
      </c>
      <c r="D1335" t="s">
        <v>7</v>
      </c>
      <c r="E1335" s="2" t="s">
        <v>12</v>
      </c>
      <c r="F1335">
        <f t="shared" si="20"/>
        <v>0</v>
      </c>
      <c r="G1335" t="s">
        <v>16</v>
      </c>
    </row>
    <row r="1336" spans="1:7" x14ac:dyDescent="0.3">
      <c r="A1336" t="s">
        <v>6</v>
      </c>
      <c r="B1336" t="str">
        <f>"05/27/1989 00:00"</f>
        <v>05/27/1989 00:00</v>
      </c>
      <c r="D1336" t="s">
        <v>7</v>
      </c>
      <c r="E1336" s="2" t="s">
        <v>12</v>
      </c>
      <c r="F1336">
        <f t="shared" si="20"/>
        <v>0</v>
      </c>
      <c r="G1336" t="s">
        <v>16</v>
      </c>
    </row>
    <row r="1337" spans="1:7" x14ac:dyDescent="0.3">
      <c r="A1337" t="s">
        <v>6</v>
      </c>
      <c r="B1337" t="str">
        <f>"05/28/1989 00:00"</f>
        <v>05/28/1989 00:00</v>
      </c>
      <c r="D1337" t="s">
        <v>7</v>
      </c>
      <c r="E1337" s="2" t="s">
        <v>12</v>
      </c>
      <c r="F1337">
        <f t="shared" si="20"/>
        <v>0</v>
      </c>
      <c r="G1337" t="s">
        <v>16</v>
      </c>
    </row>
    <row r="1338" spans="1:7" x14ac:dyDescent="0.3">
      <c r="A1338" t="s">
        <v>6</v>
      </c>
      <c r="B1338" t="str">
        <f>"05/29/1989 00:00"</f>
        <v>05/29/1989 00:00</v>
      </c>
      <c r="D1338" t="s">
        <v>7</v>
      </c>
      <c r="E1338" s="2" t="s">
        <v>12</v>
      </c>
      <c r="F1338">
        <f t="shared" si="20"/>
        <v>0</v>
      </c>
      <c r="G1338" t="s">
        <v>16</v>
      </c>
    </row>
    <row r="1339" spans="1:7" x14ac:dyDescent="0.3">
      <c r="A1339" t="s">
        <v>6</v>
      </c>
      <c r="B1339" t="str">
        <f>"05/30/1989 00:00"</f>
        <v>05/30/1989 00:00</v>
      </c>
      <c r="D1339" t="s">
        <v>7</v>
      </c>
      <c r="E1339" s="2" t="s">
        <v>12</v>
      </c>
      <c r="F1339">
        <f t="shared" si="20"/>
        <v>0</v>
      </c>
      <c r="G1339" t="s">
        <v>16</v>
      </c>
    </row>
    <row r="1340" spans="1:7" x14ac:dyDescent="0.3">
      <c r="A1340" t="s">
        <v>6</v>
      </c>
      <c r="B1340" t="str">
        <f>"05/31/1989 00:00"</f>
        <v>05/31/1989 00:00</v>
      </c>
      <c r="D1340" t="s">
        <v>7</v>
      </c>
      <c r="E1340" s="2" t="s">
        <v>12</v>
      </c>
      <c r="F1340">
        <f t="shared" si="20"/>
        <v>0</v>
      </c>
      <c r="G1340" t="s">
        <v>16</v>
      </c>
    </row>
    <row r="1341" spans="1:7" x14ac:dyDescent="0.3">
      <c r="A1341" t="s">
        <v>6</v>
      </c>
      <c r="B1341" t="str">
        <f>"06/01/1989 00:00"</f>
        <v>06/01/1989 00:00</v>
      </c>
      <c r="D1341" t="s">
        <v>7</v>
      </c>
      <c r="E1341" s="2" t="s">
        <v>12</v>
      </c>
      <c r="F1341">
        <f t="shared" si="20"/>
        <v>0</v>
      </c>
      <c r="G1341" t="s">
        <v>16</v>
      </c>
    </row>
    <row r="1342" spans="1:7" x14ac:dyDescent="0.3">
      <c r="A1342" t="s">
        <v>6</v>
      </c>
      <c r="B1342" t="str">
        <f>"06/02/1989 00:00"</f>
        <v>06/02/1989 00:00</v>
      </c>
      <c r="D1342" t="s">
        <v>7</v>
      </c>
      <c r="E1342" s="2" t="s">
        <v>12</v>
      </c>
      <c r="F1342">
        <f t="shared" si="20"/>
        <v>0</v>
      </c>
      <c r="G1342" t="s">
        <v>16</v>
      </c>
    </row>
    <row r="1343" spans="1:7" x14ac:dyDescent="0.3">
      <c r="A1343" t="s">
        <v>6</v>
      </c>
      <c r="B1343" t="str">
        <f>"06/03/1989 00:00"</f>
        <v>06/03/1989 00:00</v>
      </c>
      <c r="D1343" t="s">
        <v>7</v>
      </c>
      <c r="E1343" s="2" t="s">
        <v>12</v>
      </c>
      <c r="F1343">
        <f t="shared" si="20"/>
        <v>0</v>
      </c>
      <c r="G1343" t="s">
        <v>16</v>
      </c>
    </row>
    <row r="1344" spans="1:7" x14ac:dyDescent="0.3">
      <c r="A1344" t="s">
        <v>6</v>
      </c>
      <c r="B1344" t="str">
        <f>"06/04/1989 00:00"</f>
        <v>06/04/1989 00:00</v>
      </c>
      <c r="D1344" t="s">
        <v>7</v>
      </c>
      <c r="E1344" s="2" t="s">
        <v>12</v>
      </c>
      <c r="F1344">
        <f t="shared" si="20"/>
        <v>0</v>
      </c>
      <c r="G1344" t="s">
        <v>16</v>
      </c>
    </row>
    <row r="1345" spans="1:10" x14ac:dyDescent="0.3">
      <c r="A1345" t="s">
        <v>6</v>
      </c>
      <c r="B1345" t="str">
        <f>"06/05/1989 00:00"</f>
        <v>06/05/1989 00:00</v>
      </c>
      <c r="D1345" t="s">
        <v>7</v>
      </c>
      <c r="E1345" s="2" t="s">
        <v>12</v>
      </c>
      <c r="F1345">
        <f t="shared" si="20"/>
        <v>0</v>
      </c>
      <c r="G1345" t="s">
        <v>16</v>
      </c>
    </row>
    <row r="1346" spans="1:10" x14ac:dyDescent="0.3">
      <c r="A1346" t="s">
        <v>6</v>
      </c>
      <c r="B1346" t="str">
        <f>"06/06/1989 00:00"</f>
        <v>06/06/1989 00:00</v>
      </c>
      <c r="D1346" t="s">
        <v>7</v>
      </c>
      <c r="E1346" s="2" t="s">
        <v>12</v>
      </c>
      <c r="F1346">
        <f t="shared" si="20"/>
        <v>0</v>
      </c>
      <c r="G1346" t="s">
        <v>16</v>
      </c>
    </row>
    <row r="1347" spans="1:10" x14ac:dyDescent="0.3">
      <c r="A1347" t="s">
        <v>6</v>
      </c>
      <c r="B1347" t="str">
        <f>"06/07/1989 00:00"</f>
        <v>06/07/1989 00:00</v>
      </c>
      <c r="D1347" t="s">
        <v>7</v>
      </c>
      <c r="E1347" s="2" t="s">
        <v>12</v>
      </c>
      <c r="F1347">
        <f t="shared" ref="F1347:F1410" si="21">C1347*1.983</f>
        <v>0</v>
      </c>
      <c r="G1347" t="s">
        <v>16</v>
      </c>
    </row>
    <row r="1348" spans="1:10" x14ac:dyDescent="0.3">
      <c r="A1348" t="s">
        <v>6</v>
      </c>
      <c r="B1348" t="str">
        <f>"06/08/1989 00:00"</f>
        <v>06/08/1989 00:00</v>
      </c>
      <c r="D1348" t="s">
        <v>7</v>
      </c>
      <c r="E1348" s="2" t="s">
        <v>12</v>
      </c>
      <c r="F1348">
        <f t="shared" si="21"/>
        <v>0</v>
      </c>
      <c r="G1348" t="s">
        <v>16</v>
      </c>
    </row>
    <row r="1349" spans="1:10" x14ac:dyDescent="0.3">
      <c r="A1349" t="s">
        <v>6</v>
      </c>
      <c r="B1349" t="str">
        <f>"06/09/1989 00:00"</f>
        <v>06/09/1989 00:00</v>
      </c>
      <c r="D1349" t="s">
        <v>7</v>
      </c>
      <c r="E1349" s="2" t="s">
        <v>12</v>
      </c>
      <c r="F1349">
        <f t="shared" si="21"/>
        <v>0</v>
      </c>
      <c r="G1349" t="s">
        <v>16</v>
      </c>
    </row>
    <row r="1350" spans="1:10" x14ac:dyDescent="0.3">
      <c r="A1350" t="s">
        <v>6</v>
      </c>
      <c r="B1350" t="str">
        <f>"06/10/1989 00:00"</f>
        <v>06/10/1989 00:00</v>
      </c>
      <c r="D1350" t="s">
        <v>7</v>
      </c>
      <c r="E1350" s="2" t="s">
        <v>12</v>
      </c>
      <c r="F1350">
        <f t="shared" si="21"/>
        <v>0</v>
      </c>
      <c r="G1350" t="s">
        <v>16</v>
      </c>
    </row>
    <row r="1351" spans="1:10" x14ac:dyDescent="0.3">
      <c r="A1351" t="s">
        <v>6</v>
      </c>
      <c r="B1351" t="str">
        <f>"06/11/1989 00:00"</f>
        <v>06/11/1989 00:00</v>
      </c>
      <c r="D1351" t="s">
        <v>7</v>
      </c>
      <c r="E1351" s="2" t="s">
        <v>12</v>
      </c>
      <c r="F1351">
        <f t="shared" si="21"/>
        <v>0</v>
      </c>
      <c r="G1351" t="s">
        <v>16</v>
      </c>
    </row>
    <row r="1352" spans="1:10" x14ac:dyDescent="0.3">
      <c r="A1352" t="s">
        <v>6</v>
      </c>
      <c r="B1352" t="str">
        <f>"06/12/1989 00:00"</f>
        <v>06/12/1989 00:00</v>
      </c>
      <c r="D1352" t="s">
        <v>7</v>
      </c>
      <c r="E1352" s="2" t="s">
        <v>12</v>
      </c>
      <c r="F1352">
        <f t="shared" si="21"/>
        <v>0</v>
      </c>
      <c r="G1352" t="s">
        <v>16</v>
      </c>
    </row>
    <row r="1353" spans="1:10" x14ac:dyDescent="0.3">
      <c r="A1353" t="s">
        <v>6</v>
      </c>
      <c r="B1353" t="str">
        <f>"06/13/1989 00:00"</f>
        <v>06/13/1989 00:00</v>
      </c>
      <c r="D1353" t="s">
        <v>7</v>
      </c>
      <c r="E1353" s="2" t="s">
        <v>12</v>
      </c>
      <c r="F1353">
        <f t="shared" si="21"/>
        <v>0</v>
      </c>
      <c r="G1353" t="s">
        <v>16</v>
      </c>
    </row>
    <row r="1354" spans="1:10" x14ac:dyDescent="0.3">
      <c r="A1354" t="s">
        <v>6</v>
      </c>
      <c r="B1354" t="str">
        <f>"06/14/1989 00:00"</f>
        <v>06/14/1989 00:00</v>
      </c>
      <c r="C1354">
        <v>0</v>
      </c>
      <c r="D1354" t="s">
        <v>7</v>
      </c>
      <c r="E1354" s="2" t="s">
        <v>12</v>
      </c>
      <c r="F1354">
        <f t="shared" si="21"/>
        <v>0</v>
      </c>
      <c r="G1354" t="s">
        <v>16</v>
      </c>
      <c r="J1354" t="str">
        <f>"06/14/1989 14:45"</f>
        <v>06/14/1989 14:45</v>
      </c>
    </row>
    <row r="1355" spans="1:10" x14ac:dyDescent="0.3">
      <c r="A1355" t="s">
        <v>6</v>
      </c>
      <c r="B1355" t="str">
        <f>"06/15/1989 00:00"</f>
        <v>06/15/1989 00:00</v>
      </c>
      <c r="D1355" t="s">
        <v>7</v>
      </c>
      <c r="E1355" s="2" t="s">
        <v>12</v>
      </c>
      <c r="F1355">
        <f t="shared" si="21"/>
        <v>0</v>
      </c>
      <c r="G1355" t="s">
        <v>16</v>
      </c>
    </row>
    <row r="1356" spans="1:10" x14ac:dyDescent="0.3">
      <c r="A1356" t="s">
        <v>6</v>
      </c>
      <c r="B1356" t="str">
        <f>"06/16/1989 00:00"</f>
        <v>06/16/1989 00:00</v>
      </c>
      <c r="C1356">
        <v>0</v>
      </c>
      <c r="D1356" t="s">
        <v>7</v>
      </c>
      <c r="E1356" s="2" t="s">
        <v>12</v>
      </c>
      <c r="F1356">
        <f t="shared" si="21"/>
        <v>0</v>
      </c>
      <c r="G1356" t="s">
        <v>16</v>
      </c>
      <c r="I1356" t="s">
        <v>35</v>
      </c>
      <c r="J1356" t="str">
        <f>"06/16/1989 23:45"</f>
        <v>06/16/1989 23:45</v>
      </c>
    </row>
    <row r="1357" spans="1:10" x14ac:dyDescent="0.3">
      <c r="A1357" t="s">
        <v>6</v>
      </c>
      <c r="B1357" t="str">
        <f>"06/17/1989 00:00"</f>
        <v>06/17/1989 00:00</v>
      </c>
      <c r="C1357">
        <v>0</v>
      </c>
      <c r="D1357" t="s">
        <v>7</v>
      </c>
      <c r="E1357" s="2" t="s">
        <v>12</v>
      </c>
      <c r="F1357">
        <f t="shared" si="21"/>
        <v>0</v>
      </c>
      <c r="G1357" t="s">
        <v>16</v>
      </c>
      <c r="I1357" t="s">
        <v>35</v>
      </c>
      <c r="J1357" t="str">
        <f>"06/17/1989 23:45"</f>
        <v>06/17/1989 23:45</v>
      </c>
    </row>
    <row r="1358" spans="1:10" x14ac:dyDescent="0.3">
      <c r="A1358" t="s">
        <v>6</v>
      </c>
      <c r="B1358" t="str">
        <f>"06/18/1989 00:00"</f>
        <v>06/18/1989 00:00</v>
      </c>
      <c r="C1358">
        <v>0.86199999999999999</v>
      </c>
      <c r="D1358" t="s">
        <v>7</v>
      </c>
      <c r="E1358" s="2" t="s">
        <v>12</v>
      </c>
      <c r="F1358">
        <f t="shared" si="21"/>
        <v>1.709346</v>
      </c>
      <c r="G1358" t="s">
        <v>16</v>
      </c>
      <c r="I1358" t="s">
        <v>8</v>
      </c>
      <c r="J1358" t="str">
        <f>"06/18/1989 23:45"</f>
        <v>06/18/1989 23:45</v>
      </c>
    </row>
    <row r="1359" spans="1:10" x14ac:dyDescent="0.3">
      <c r="A1359" t="s">
        <v>6</v>
      </c>
      <c r="B1359" t="str">
        <f>"06/19/1989 00:00"</f>
        <v>06/19/1989 00:00</v>
      </c>
      <c r="C1359">
        <v>92.3</v>
      </c>
      <c r="D1359" t="s">
        <v>7</v>
      </c>
      <c r="E1359" s="2" t="s">
        <v>12</v>
      </c>
      <c r="F1359">
        <f t="shared" si="21"/>
        <v>183.0309</v>
      </c>
      <c r="G1359" t="s">
        <v>16</v>
      </c>
      <c r="J1359" t="str">
        <f>"06/19/1989 23:45"</f>
        <v>06/19/1989 23:45</v>
      </c>
    </row>
    <row r="1360" spans="1:10" x14ac:dyDescent="0.3">
      <c r="A1360" t="s">
        <v>6</v>
      </c>
      <c r="B1360" t="str">
        <f>"06/20/1989 00:00"</f>
        <v>06/20/1989 00:00</v>
      </c>
      <c r="C1360">
        <v>338</v>
      </c>
      <c r="D1360" t="s">
        <v>7</v>
      </c>
      <c r="E1360" s="2" t="s">
        <v>12</v>
      </c>
      <c r="F1360">
        <f t="shared" si="21"/>
        <v>670.25400000000002</v>
      </c>
      <c r="G1360" t="s">
        <v>16</v>
      </c>
      <c r="I1360" t="s">
        <v>8</v>
      </c>
      <c r="J1360" t="str">
        <f>"06/20/1989 23:45"</f>
        <v>06/20/1989 23:45</v>
      </c>
    </row>
    <row r="1361" spans="1:10" x14ac:dyDescent="0.3">
      <c r="A1361" t="s">
        <v>6</v>
      </c>
      <c r="B1361" t="str">
        <f>"06/21/1989 00:00"</f>
        <v>06/21/1989 00:00</v>
      </c>
      <c r="C1361">
        <v>415</v>
      </c>
      <c r="D1361" t="s">
        <v>7</v>
      </c>
      <c r="E1361" s="2" t="s">
        <v>12</v>
      </c>
      <c r="F1361">
        <f t="shared" si="21"/>
        <v>822.94500000000005</v>
      </c>
      <c r="G1361" t="s">
        <v>16</v>
      </c>
      <c r="I1361" t="s">
        <v>8</v>
      </c>
      <c r="J1361" t="str">
        <f>"06/21/1989 23:45"</f>
        <v>06/21/1989 23:45</v>
      </c>
    </row>
    <row r="1362" spans="1:10" x14ac:dyDescent="0.3">
      <c r="A1362" t="s">
        <v>6</v>
      </c>
      <c r="B1362" t="str">
        <f>"06/22/1989 00:00"</f>
        <v>06/22/1989 00:00</v>
      </c>
      <c r="C1362">
        <v>281</v>
      </c>
      <c r="D1362" t="s">
        <v>7</v>
      </c>
      <c r="E1362" s="2" t="s">
        <v>12</v>
      </c>
      <c r="F1362">
        <f t="shared" si="21"/>
        <v>557.22300000000007</v>
      </c>
      <c r="G1362" t="s">
        <v>16</v>
      </c>
      <c r="I1362" t="s">
        <v>8</v>
      </c>
      <c r="J1362" t="str">
        <f>"06/22/1989 23:45"</f>
        <v>06/22/1989 23:45</v>
      </c>
    </row>
    <row r="1363" spans="1:10" x14ac:dyDescent="0.3">
      <c r="A1363" t="s">
        <v>6</v>
      </c>
      <c r="B1363" t="str">
        <f>"06/23/1989 00:00"</f>
        <v>06/23/1989 00:00</v>
      </c>
      <c r="C1363">
        <v>360</v>
      </c>
      <c r="D1363" t="s">
        <v>7</v>
      </c>
      <c r="E1363" s="2" t="s">
        <v>12</v>
      </c>
      <c r="F1363">
        <f t="shared" si="21"/>
        <v>713.88</v>
      </c>
      <c r="G1363" t="s">
        <v>16</v>
      </c>
      <c r="J1363" t="str">
        <f>"06/23/1989 23:45"</f>
        <v>06/23/1989 23:45</v>
      </c>
    </row>
    <row r="1364" spans="1:10" x14ac:dyDescent="0.3">
      <c r="A1364" t="s">
        <v>6</v>
      </c>
      <c r="B1364" t="str">
        <f>"06/24/1989 00:00"</f>
        <v>06/24/1989 00:00</v>
      </c>
      <c r="C1364">
        <v>428</v>
      </c>
      <c r="D1364" t="s">
        <v>7</v>
      </c>
      <c r="E1364" s="2" t="s">
        <v>12</v>
      </c>
      <c r="F1364">
        <f t="shared" si="21"/>
        <v>848.72400000000005</v>
      </c>
      <c r="G1364" t="s">
        <v>16</v>
      </c>
      <c r="J1364" t="str">
        <f>"06/24/1989 23:45"</f>
        <v>06/24/1989 23:45</v>
      </c>
    </row>
    <row r="1365" spans="1:10" x14ac:dyDescent="0.3">
      <c r="A1365" t="s">
        <v>6</v>
      </c>
      <c r="B1365" t="str">
        <f>"06/25/1989 00:00"</f>
        <v>06/25/1989 00:00</v>
      </c>
      <c r="C1365">
        <v>453</v>
      </c>
      <c r="D1365" t="s">
        <v>7</v>
      </c>
      <c r="E1365" s="2" t="s">
        <v>12</v>
      </c>
      <c r="F1365">
        <f t="shared" si="21"/>
        <v>898.29900000000009</v>
      </c>
      <c r="G1365" t="s">
        <v>16</v>
      </c>
      <c r="J1365" t="str">
        <f>"06/25/1989 23:45"</f>
        <v>06/25/1989 23:45</v>
      </c>
    </row>
    <row r="1366" spans="1:10" x14ac:dyDescent="0.3">
      <c r="A1366" t="s">
        <v>6</v>
      </c>
      <c r="B1366" t="str">
        <f>"06/26/1989 00:00"</f>
        <v>06/26/1989 00:00</v>
      </c>
      <c r="D1366" t="s">
        <v>7</v>
      </c>
      <c r="E1366" s="2" t="s">
        <v>12</v>
      </c>
      <c r="F1366">
        <f t="shared" si="21"/>
        <v>0</v>
      </c>
      <c r="G1366" t="s">
        <v>16</v>
      </c>
    </row>
    <row r="1367" spans="1:10" x14ac:dyDescent="0.3">
      <c r="A1367" t="s">
        <v>6</v>
      </c>
      <c r="B1367" t="str">
        <f>"06/27/1989 00:00"</f>
        <v>06/27/1989 00:00</v>
      </c>
      <c r="D1367" t="s">
        <v>7</v>
      </c>
      <c r="E1367" s="2" t="s">
        <v>12</v>
      </c>
      <c r="F1367">
        <f t="shared" si="21"/>
        <v>0</v>
      </c>
      <c r="G1367" t="s">
        <v>16</v>
      </c>
    </row>
    <row r="1368" spans="1:10" x14ac:dyDescent="0.3">
      <c r="A1368" t="s">
        <v>6</v>
      </c>
      <c r="B1368" t="str">
        <f>"06/28/1989 00:00"</f>
        <v>06/28/1989 00:00</v>
      </c>
      <c r="D1368" t="s">
        <v>7</v>
      </c>
      <c r="E1368" s="2" t="s">
        <v>12</v>
      </c>
      <c r="F1368">
        <f t="shared" si="21"/>
        <v>0</v>
      </c>
      <c r="G1368" t="s">
        <v>16</v>
      </c>
    </row>
    <row r="1369" spans="1:10" x14ac:dyDescent="0.3">
      <c r="A1369" t="s">
        <v>6</v>
      </c>
      <c r="B1369" t="str">
        <f>"06/29/1989 00:00"</f>
        <v>06/29/1989 00:00</v>
      </c>
      <c r="D1369" t="s">
        <v>7</v>
      </c>
      <c r="E1369" s="2" t="s">
        <v>12</v>
      </c>
      <c r="F1369">
        <f t="shared" si="21"/>
        <v>0</v>
      </c>
      <c r="G1369" t="s">
        <v>16</v>
      </c>
    </row>
    <row r="1370" spans="1:10" x14ac:dyDescent="0.3">
      <c r="A1370" t="s">
        <v>6</v>
      </c>
      <c r="B1370" t="str">
        <f>"06/30/1989 00:00"</f>
        <v>06/30/1989 00:00</v>
      </c>
      <c r="D1370" t="s">
        <v>7</v>
      </c>
      <c r="E1370" s="2" t="s">
        <v>12</v>
      </c>
      <c r="F1370">
        <f t="shared" si="21"/>
        <v>0</v>
      </c>
      <c r="G1370" t="s">
        <v>16</v>
      </c>
    </row>
    <row r="1371" spans="1:10" x14ac:dyDescent="0.3">
      <c r="A1371" t="s">
        <v>6</v>
      </c>
      <c r="B1371" t="str">
        <f>"07/01/1989 00:00"</f>
        <v>07/01/1989 00:00</v>
      </c>
      <c r="C1371">
        <v>478</v>
      </c>
      <c r="D1371" t="s">
        <v>7</v>
      </c>
      <c r="E1371" s="2" t="s">
        <v>12</v>
      </c>
      <c r="F1371">
        <f t="shared" si="21"/>
        <v>947.87400000000002</v>
      </c>
      <c r="G1371" t="s">
        <v>16</v>
      </c>
      <c r="J1371" t="str">
        <f>"07/01/1989 23:45"</f>
        <v>07/01/1989 23:45</v>
      </c>
    </row>
    <row r="1372" spans="1:10" x14ac:dyDescent="0.3">
      <c r="A1372" t="s">
        <v>6</v>
      </c>
      <c r="B1372" t="str">
        <f>"07/02/1989 00:00"</f>
        <v>07/02/1989 00:00</v>
      </c>
      <c r="C1372">
        <v>478</v>
      </c>
      <c r="D1372" t="s">
        <v>7</v>
      </c>
      <c r="E1372" s="2" t="s">
        <v>12</v>
      </c>
      <c r="F1372">
        <f t="shared" si="21"/>
        <v>947.87400000000002</v>
      </c>
      <c r="G1372" t="s">
        <v>16</v>
      </c>
      <c r="I1372" t="s">
        <v>8</v>
      </c>
      <c r="J1372" t="str">
        <f>"07/02/1989 23:45"</f>
        <v>07/02/1989 23:45</v>
      </c>
    </row>
    <row r="1373" spans="1:10" x14ac:dyDescent="0.3">
      <c r="A1373" t="s">
        <v>6</v>
      </c>
      <c r="B1373" t="str">
        <f>"07/03/1989 00:00"</f>
        <v>07/03/1989 00:00</v>
      </c>
      <c r="C1373">
        <v>478</v>
      </c>
      <c r="D1373" t="s">
        <v>7</v>
      </c>
      <c r="E1373" s="2" t="s">
        <v>12</v>
      </c>
      <c r="F1373">
        <f t="shared" si="21"/>
        <v>947.87400000000002</v>
      </c>
      <c r="G1373" t="s">
        <v>16</v>
      </c>
      <c r="J1373" t="str">
        <f>"07/03/1989 23:45"</f>
        <v>07/03/1989 23:45</v>
      </c>
    </row>
    <row r="1374" spans="1:10" x14ac:dyDescent="0.3">
      <c r="A1374" t="s">
        <v>6</v>
      </c>
      <c r="B1374" t="str">
        <f>"07/04/1989 00:00"</f>
        <v>07/04/1989 00:00</v>
      </c>
      <c r="C1374">
        <v>478</v>
      </c>
      <c r="D1374" t="s">
        <v>7</v>
      </c>
      <c r="E1374" s="2" t="s">
        <v>12</v>
      </c>
      <c r="F1374">
        <f t="shared" si="21"/>
        <v>947.87400000000002</v>
      </c>
      <c r="G1374" t="s">
        <v>16</v>
      </c>
      <c r="J1374" t="str">
        <f>"07/04/1989 23:45"</f>
        <v>07/04/1989 23:45</v>
      </c>
    </row>
    <row r="1375" spans="1:10" x14ac:dyDescent="0.3">
      <c r="A1375" t="s">
        <v>6</v>
      </c>
      <c r="B1375" t="str">
        <f>"07/05/1989 00:00"</f>
        <v>07/05/1989 00:00</v>
      </c>
      <c r="C1375">
        <v>478</v>
      </c>
      <c r="D1375" t="s">
        <v>7</v>
      </c>
      <c r="E1375" s="2" t="s">
        <v>12</v>
      </c>
      <c r="F1375">
        <f t="shared" si="21"/>
        <v>947.87400000000002</v>
      </c>
      <c r="G1375" t="s">
        <v>16</v>
      </c>
      <c r="J1375" t="str">
        <f>"07/05/1989 23:45"</f>
        <v>07/05/1989 23:45</v>
      </c>
    </row>
    <row r="1376" spans="1:10" x14ac:dyDescent="0.3">
      <c r="A1376" t="s">
        <v>6</v>
      </c>
      <c r="B1376" t="str">
        <f>"07/06/1989 00:00"</f>
        <v>07/06/1989 00:00</v>
      </c>
      <c r="C1376">
        <v>477</v>
      </c>
      <c r="D1376" t="s">
        <v>7</v>
      </c>
      <c r="E1376" s="2" t="s">
        <v>12</v>
      </c>
      <c r="F1376">
        <f t="shared" si="21"/>
        <v>945.89100000000008</v>
      </c>
      <c r="G1376" t="s">
        <v>16</v>
      </c>
      <c r="J1376" t="str">
        <f>"07/06/1989 23:45"</f>
        <v>07/06/1989 23:45</v>
      </c>
    </row>
    <row r="1377" spans="1:10" x14ac:dyDescent="0.3">
      <c r="A1377" t="s">
        <v>6</v>
      </c>
      <c r="B1377" t="str">
        <f>"07/07/1989 00:00"</f>
        <v>07/07/1989 00:00</v>
      </c>
      <c r="C1377">
        <v>477</v>
      </c>
      <c r="D1377" t="s">
        <v>7</v>
      </c>
      <c r="E1377" s="2" t="s">
        <v>12</v>
      </c>
      <c r="F1377">
        <f t="shared" si="21"/>
        <v>945.89100000000008</v>
      </c>
      <c r="G1377" t="s">
        <v>16</v>
      </c>
      <c r="J1377" t="str">
        <f>"07/07/1989 23:45"</f>
        <v>07/07/1989 23:45</v>
      </c>
    </row>
    <row r="1378" spans="1:10" x14ac:dyDescent="0.3">
      <c r="A1378" t="s">
        <v>6</v>
      </c>
      <c r="B1378" t="str">
        <f>"07/08/1989 00:00"</f>
        <v>07/08/1989 00:00</v>
      </c>
      <c r="C1378">
        <v>477</v>
      </c>
      <c r="D1378" t="s">
        <v>7</v>
      </c>
      <c r="E1378" s="2" t="s">
        <v>12</v>
      </c>
      <c r="F1378">
        <f t="shared" si="21"/>
        <v>945.89100000000008</v>
      </c>
      <c r="G1378" t="s">
        <v>16</v>
      </c>
      <c r="J1378" t="str">
        <f>"07/08/1989 23:45"</f>
        <v>07/08/1989 23:45</v>
      </c>
    </row>
    <row r="1379" spans="1:10" x14ac:dyDescent="0.3">
      <c r="A1379" t="s">
        <v>6</v>
      </c>
      <c r="B1379" t="str">
        <f>"07/09/1989 00:00"</f>
        <v>07/09/1989 00:00</v>
      </c>
      <c r="C1379">
        <v>477</v>
      </c>
      <c r="D1379" t="s">
        <v>7</v>
      </c>
      <c r="E1379" s="2" t="s">
        <v>12</v>
      </c>
      <c r="F1379">
        <f t="shared" si="21"/>
        <v>945.89100000000008</v>
      </c>
      <c r="G1379" t="s">
        <v>16</v>
      </c>
      <c r="J1379" t="str">
        <f>"07/09/1989 23:45"</f>
        <v>07/09/1989 23:45</v>
      </c>
    </row>
    <row r="1380" spans="1:10" x14ac:dyDescent="0.3">
      <c r="A1380" t="s">
        <v>6</v>
      </c>
      <c r="B1380" t="str">
        <f>"07/10/1989 00:00"</f>
        <v>07/10/1989 00:00</v>
      </c>
      <c r="C1380">
        <v>433</v>
      </c>
      <c r="D1380" t="s">
        <v>7</v>
      </c>
      <c r="E1380" s="2" t="s">
        <v>12</v>
      </c>
      <c r="F1380">
        <f t="shared" si="21"/>
        <v>858.63900000000001</v>
      </c>
      <c r="G1380" t="s">
        <v>16</v>
      </c>
      <c r="J1380" t="str">
        <f>"07/10/1989 23:45"</f>
        <v>07/10/1989 23:45</v>
      </c>
    </row>
    <row r="1381" spans="1:10" x14ac:dyDescent="0.3">
      <c r="A1381" t="s">
        <v>6</v>
      </c>
      <c r="B1381" t="str">
        <f>"07/11/1989 00:00"</f>
        <v>07/11/1989 00:00</v>
      </c>
      <c r="C1381">
        <v>333</v>
      </c>
      <c r="D1381" t="s">
        <v>7</v>
      </c>
      <c r="E1381" s="2" t="s">
        <v>12</v>
      </c>
      <c r="F1381">
        <f t="shared" si="21"/>
        <v>660.33900000000006</v>
      </c>
      <c r="G1381" t="s">
        <v>16</v>
      </c>
      <c r="J1381" t="str">
        <f>"07/11/1989 23:45"</f>
        <v>07/11/1989 23:45</v>
      </c>
    </row>
    <row r="1382" spans="1:10" x14ac:dyDescent="0.3">
      <c r="A1382" t="s">
        <v>6</v>
      </c>
      <c r="B1382" t="str">
        <f>"07/12/1989 00:00"</f>
        <v>07/12/1989 00:00</v>
      </c>
      <c r="C1382">
        <v>308</v>
      </c>
      <c r="D1382" t="s">
        <v>7</v>
      </c>
      <c r="E1382" s="2" t="s">
        <v>12</v>
      </c>
      <c r="F1382">
        <f t="shared" si="21"/>
        <v>610.76400000000001</v>
      </c>
      <c r="G1382" t="s">
        <v>16</v>
      </c>
      <c r="I1382" t="s">
        <v>8</v>
      </c>
      <c r="J1382" t="str">
        <f>"07/12/1989 23:45"</f>
        <v>07/12/1989 23:45</v>
      </c>
    </row>
    <row r="1383" spans="1:10" x14ac:dyDescent="0.3">
      <c r="A1383" t="s">
        <v>6</v>
      </c>
      <c r="B1383" t="str">
        <f>"07/13/1989 00:00"</f>
        <v>07/13/1989 00:00</v>
      </c>
      <c r="C1383">
        <v>378</v>
      </c>
      <c r="D1383" t="s">
        <v>7</v>
      </c>
      <c r="E1383" s="2" t="s">
        <v>12</v>
      </c>
      <c r="F1383">
        <f t="shared" si="21"/>
        <v>749.57400000000007</v>
      </c>
      <c r="G1383" t="s">
        <v>16</v>
      </c>
      <c r="J1383" t="str">
        <f>"07/13/1989 23:45"</f>
        <v>07/13/1989 23:45</v>
      </c>
    </row>
    <row r="1384" spans="1:10" x14ac:dyDescent="0.3">
      <c r="A1384" t="s">
        <v>6</v>
      </c>
      <c r="B1384" t="str">
        <f>"07/14/1989 00:00"</f>
        <v>07/14/1989 00:00</v>
      </c>
      <c r="C1384">
        <v>429</v>
      </c>
      <c r="D1384" t="s">
        <v>7</v>
      </c>
      <c r="E1384" s="2" t="s">
        <v>12</v>
      </c>
      <c r="F1384">
        <f t="shared" si="21"/>
        <v>850.70699999999999</v>
      </c>
      <c r="G1384" t="s">
        <v>16</v>
      </c>
      <c r="J1384" t="str">
        <f>"07/14/1989 23:45"</f>
        <v>07/14/1989 23:45</v>
      </c>
    </row>
    <row r="1385" spans="1:10" x14ac:dyDescent="0.3">
      <c r="A1385" t="s">
        <v>6</v>
      </c>
      <c r="B1385" t="str">
        <f>"07/15/1989 00:00"</f>
        <v>07/15/1989 00:00</v>
      </c>
      <c r="C1385">
        <v>448</v>
      </c>
      <c r="D1385" t="s">
        <v>7</v>
      </c>
      <c r="E1385" s="2" t="s">
        <v>12</v>
      </c>
      <c r="F1385">
        <f t="shared" si="21"/>
        <v>888.38400000000001</v>
      </c>
      <c r="G1385" t="s">
        <v>16</v>
      </c>
      <c r="J1385" t="str">
        <f>"07/15/1989 23:45"</f>
        <v>07/15/1989 23:45</v>
      </c>
    </row>
    <row r="1386" spans="1:10" x14ac:dyDescent="0.3">
      <c r="A1386" t="s">
        <v>6</v>
      </c>
      <c r="B1386" t="str">
        <f>"07/16/1989 00:00"</f>
        <v>07/16/1989 00:00</v>
      </c>
      <c r="C1386">
        <v>369</v>
      </c>
      <c r="D1386" t="s">
        <v>7</v>
      </c>
      <c r="E1386" s="2" t="s">
        <v>12</v>
      </c>
      <c r="F1386">
        <f t="shared" si="21"/>
        <v>731.72700000000009</v>
      </c>
      <c r="G1386" t="s">
        <v>16</v>
      </c>
      <c r="J1386" t="str">
        <f>"07/16/1989 23:45"</f>
        <v>07/16/1989 23:45</v>
      </c>
    </row>
    <row r="1387" spans="1:10" x14ac:dyDescent="0.3">
      <c r="A1387" t="s">
        <v>6</v>
      </c>
      <c r="B1387" t="str">
        <f>"07/17/1989 00:00"</f>
        <v>07/17/1989 00:00</v>
      </c>
      <c r="C1387">
        <v>301</v>
      </c>
      <c r="D1387" t="s">
        <v>7</v>
      </c>
      <c r="E1387" s="2" t="s">
        <v>12</v>
      </c>
      <c r="F1387">
        <f t="shared" si="21"/>
        <v>596.88300000000004</v>
      </c>
      <c r="G1387" t="s">
        <v>16</v>
      </c>
      <c r="J1387" t="str">
        <f>"07/17/1989 23:45"</f>
        <v>07/17/1989 23:45</v>
      </c>
    </row>
    <row r="1388" spans="1:10" x14ac:dyDescent="0.3">
      <c r="A1388" t="s">
        <v>6</v>
      </c>
      <c r="B1388" t="str">
        <f>"07/18/1989 00:00"</f>
        <v>07/18/1989 00:00</v>
      </c>
      <c r="C1388">
        <v>236</v>
      </c>
      <c r="D1388" t="s">
        <v>7</v>
      </c>
      <c r="E1388" s="2" t="s">
        <v>12</v>
      </c>
      <c r="F1388">
        <f t="shared" si="21"/>
        <v>467.988</v>
      </c>
      <c r="G1388" t="s">
        <v>16</v>
      </c>
      <c r="I1388" t="s">
        <v>8</v>
      </c>
      <c r="J1388" t="str">
        <f>"07/18/1989 23:45"</f>
        <v>07/18/1989 23:45</v>
      </c>
    </row>
    <row r="1389" spans="1:10" x14ac:dyDescent="0.3">
      <c r="A1389" t="s">
        <v>6</v>
      </c>
      <c r="B1389" t="str">
        <f>"07/19/1989 00:00"</f>
        <v>07/19/1989 00:00</v>
      </c>
      <c r="C1389">
        <v>220</v>
      </c>
      <c r="D1389" t="s">
        <v>7</v>
      </c>
      <c r="E1389" s="2" t="s">
        <v>12</v>
      </c>
      <c r="F1389">
        <f t="shared" si="21"/>
        <v>436.26000000000005</v>
      </c>
      <c r="G1389" t="s">
        <v>16</v>
      </c>
      <c r="I1389" t="s">
        <v>8</v>
      </c>
      <c r="J1389" t="str">
        <f>"07/19/1989 23:45"</f>
        <v>07/19/1989 23:45</v>
      </c>
    </row>
    <row r="1390" spans="1:10" x14ac:dyDescent="0.3">
      <c r="A1390" t="s">
        <v>6</v>
      </c>
      <c r="B1390" t="str">
        <f>"07/20/1989 00:00"</f>
        <v>07/20/1989 00:00</v>
      </c>
      <c r="C1390">
        <v>219</v>
      </c>
      <c r="D1390" t="s">
        <v>7</v>
      </c>
      <c r="E1390" s="2" t="s">
        <v>12</v>
      </c>
      <c r="F1390">
        <f t="shared" si="21"/>
        <v>434.27700000000004</v>
      </c>
      <c r="G1390" t="s">
        <v>16</v>
      </c>
      <c r="J1390" t="str">
        <f>"07/20/1989 23:45"</f>
        <v>07/20/1989 23:45</v>
      </c>
    </row>
    <row r="1391" spans="1:10" x14ac:dyDescent="0.3">
      <c r="A1391" t="s">
        <v>6</v>
      </c>
      <c r="B1391" t="str">
        <f>"07/21/1989 00:00"</f>
        <v>07/21/1989 00:00</v>
      </c>
      <c r="C1391">
        <v>219</v>
      </c>
      <c r="D1391" t="s">
        <v>7</v>
      </c>
      <c r="E1391" s="2" t="s">
        <v>12</v>
      </c>
      <c r="F1391">
        <f t="shared" si="21"/>
        <v>434.27700000000004</v>
      </c>
      <c r="G1391" t="s">
        <v>16</v>
      </c>
      <c r="J1391" t="str">
        <f>"07/21/1989 23:45"</f>
        <v>07/21/1989 23:45</v>
      </c>
    </row>
    <row r="1392" spans="1:10" x14ac:dyDescent="0.3">
      <c r="A1392" t="s">
        <v>6</v>
      </c>
      <c r="B1392" t="str">
        <f>"07/22/1989 00:00"</f>
        <v>07/22/1989 00:00</v>
      </c>
      <c r="C1392">
        <v>213</v>
      </c>
      <c r="D1392" t="s">
        <v>7</v>
      </c>
      <c r="E1392" s="2" t="s">
        <v>12</v>
      </c>
      <c r="F1392">
        <f t="shared" si="21"/>
        <v>422.37900000000002</v>
      </c>
      <c r="G1392" t="s">
        <v>16</v>
      </c>
      <c r="J1392" t="str">
        <f>"07/22/1989 23:45"</f>
        <v>07/22/1989 23:45</v>
      </c>
    </row>
    <row r="1393" spans="1:10" x14ac:dyDescent="0.3">
      <c r="A1393" t="s">
        <v>6</v>
      </c>
      <c r="B1393" t="str">
        <f>"07/23/1989 00:00"</f>
        <v>07/23/1989 00:00</v>
      </c>
      <c r="C1393">
        <v>220</v>
      </c>
      <c r="D1393" t="s">
        <v>7</v>
      </c>
      <c r="E1393" s="2" t="s">
        <v>12</v>
      </c>
      <c r="F1393">
        <f t="shared" si="21"/>
        <v>436.26000000000005</v>
      </c>
      <c r="G1393" t="s">
        <v>16</v>
      </c>
      <c r="I1393" t="s">
        <v>8</v>
      </c>
      <c r="J1393" t="str">
        <f>"07/23/1989 23:45"</f>
        <v>07/23/1989 23:45</v>
      </c>
    </row>
    <row r="1394" spans="1:10" x14ac:dyDescent="0.3">
      <c r="A1394" t="s">
        <v>6</v>
      </c>
      <c r="B1394" t="str">
        <f>"07/24/1989 00:00"</f>
        <v>07/24/1989 00:00</v>
      </c>
      <c r="C1394">
        <v>222</v>
      </c>
      <c r="D1394" t="s">
        <v>7</v>
      </c>
      <c r="E1394" s="2" t="s">
        <v>12</v>
      </c>
      <c r="F1394">
        <f t="shared" si="21"/>
        <v>440.226</v>
      </c>
      <c r="G1394" t="s">
        <v>16</v>
      </c>
      <c r="I1394" t="s">
        <v>35</v>
      </c>
      <c r="J1394" t="str">
        <f>"07/24/1989 23:45"</f>
        <v>07/24/1989 23:45</v>
      </c>
    </row>
    <row r="1395" spans="1:10" x14ac:dyDescent="0.3">
      <c r="A1395" t="s">
        <v>6</v>
      </c>
      <c r="B1395" t="str">
        <f>"07/25/1989 00:00"</f>
        <v>07/25/1989 00:00</v>
      </c>
      <c r="C1395">
        <v>217</v>
      </c>
      <c r="D1395" t="s">
        <v>7</v>
      </c>
      <c r="E1395" s="2" t="s">
        <v>12</v>
      </c>
      <c r="F1395">
        <f t="shared" si="21"/>
        <v>430.31100000000004</v>
      </c>
      <c r="G1395" t="s">
        <v>16</v>
      </c>
      <c r="I1395" t="s">
        <v>8</v>
      </c>
      <c r="J1395" t="str">
        <f>"07/25/1989 23:45"</f>
        <v>07/25/1989 23:45</v>
      </c>
    </row>
    <row r="1396" spans="1:10" x14ac:dyDescent="0.3">
      <c r="A1396" t="s">
        <v>6</v>
      </c>
      <c r="B1396" t="str">
        <f>"07/26/1989 00:00"</f>
        <v>07/26/1989 00:00</v>
      </c>
      <c r="C1396">
        <v>218</v>
      </c>
      <c r="D1396" t="s">
        <v>7</v>
      </c>
      <c r="E1396" s="2" t="s">
        <v>12</v>
      </c>
      <c r="F1396">
        <f t="shared" si="21"/>
        <v>432.29400000000004</v>
      </c>
      <c r="G1396" t="s">
        <v>16</v>
      </c>
      <c r="J1396" t="str">
        <f>"07/26/1989 23:45"</f>
        <v>07/26/1989 23:45</v>
      </c>
    </row>
    <row r="1397" spans="1:10" x14ac:dyDescent="0.3">
      <c r="A1397" t="s">
        <v>6</v>
      </c>
      <c r="B1397" t="str">
        <f>"07/27/1989 00:00"</f>
        <v>07/27/1989 00:00</v>
      </c>
      <c r="C1397">
        <v>213</v>
      </c>
      <c r="D1397" t="s">
        <v>7</v>
      </c>
      <c r="E1397" s="2" t="s">
        <v>12</v>
      </c>
      <c r="F1397">
        <f t="shared" si="21"/>
        <v>422.37900000000002</v>
      </c>
      <c r="G1397" t="s">
        <v>16</v>
      </c>
      <c r="I1397" t="s">
        <v>8</v>
      </c>
      <c r="J1397" t="str">
        <f>"07/27/1989 23:45"</f>
        <v>07/27/1989 23:45</v>
      </c>
    </row>
    <row r="1398" spans="1:10" x14ac:dyDescent="0.3">
      <c r="A1398" t="s">
        <v>6</v>
      </c>
      <c r="B1398" t="str">
        <f>"07/28/1989 00:00"</f>
        <v>07/28/1989 00:00</v>
      </c>
      <c r="C1398">
        <v>220</v>
      </c>
      <c r="D1398" t="s">
        <v>7</v>
      </c>
      <c r="E1398" s="2" t="s">
        <v>12</v>
      </c>
      <c r="F1398">
        <f t="shared" si="21"/>
        <v>436.26000000000005</v>
      </c>
      <c r="G1398" t="s">
        <v>16</v>
      </c>
      <c r="J1398" t="str">
        <f>"07/28/1989 23:45"</f>
        <v>07/28/1989 23:45</v>
      </c>
    </row>
    <row r="1399" spans="1:10" x14ac:dyDescent="0.3">
      <c r="A1399" t="s">
        <v>6</v>
      </c>
      <c r="B1399" t="str">
        <f>"07/29/1989 00:00"</f>
        <v>07/29/1989 00:00</v>
      </c>
      <c r="C1399">
        <v>223</v>
      </c>
      <c r="D1399" t="s">
        <v>7</v>
      </c>
      <c r="E1399" s="2" t="s">
        <v>12</v>
      </c>
      <c r="F1399">
        <f t="shared" si="21"/>
        <v>442.209</v>
      </c>
      <c r="G1399" t="s">
        <v>16</v>
      </c>
      <c r="J1399" t="str">
        <f>"07/29/1989 23:45"</f>
        <v>07/29/1989 23:45</v>
      </c>
    </row>
    <row r="1400" spans="1:10" x14ac:dyDescent="0.3">
      <c r="A1400" t="s">
        <v>6</v>
      </c>
      <c r="B1400" t="str">
        <f>"07/30/1989 00:00"</f>
        <v>07/30/1989 00:00</v>
      </c>
      <c r="C1400">
        <v>280</v>
      </c>
      <c r="D1400" t="s">
        <v>7</v>
      </c>
      <c r="E1400" s="2" t="s">
        <v>12</v>
      </c>
      <c r="F1400">
        <f t="shared" si="21"/>
        <v>555.24</v>
      </c>
      <c r="G1400" t="s">
        <v>16</v>
      </c>
      <c r="I1400" t="s">
        <v>8</v>
      </c>
      <c r="J1400" t="str">
        <f>"07/30/1989 23:45"</f>
        <v>07/30/1989 23:45</v>
      </c>
    </row>
    <row r="1401" spans="1:10" x14ac:dyDescent="0.3">
      <c r="A1401" t="s">
        <v>6</v>
      </c>
      <c r="B1401" t="str">
        <f>"07/31/1989 00:00"</f>
        <v>07/31/1989 00:00</v>
      </c>
      <c r="C1401">
        <v>371</v>
      </c>
      <c r="D1401" t="s">
        <v>7</v>
      </c>
      <c r="E1401" s="2" t="s">
        <v>12</v>
      </c>
      <c r="F1401">
        <f t="shared" si="21"/>
        <v>735.69299999999998</v>
      </c>
      <c r="G1401" t="s">
        <v>16</v>
      </c>
      <c r="I1401" t="s">
        <v>8</v>
      </c>
      <c r="J1401" t="str">
        <f>"07/31/1989 06:45"</f>
        <v>07/31/1989 06:45</v>
      </c>
    </row>
    <row r="1402" spans="1:10" x14ac:dyDescent="0.3">
      <c r="A1402" t="s">
        <v>6</v>
      </c>
      <c r="B1402" t="str">
        <f>"08/01/1989 00:00"</f>
        <v>08/01/1989 00:00</v>
      </c>
      <c r="C1402">
        <v>366</v>
      </c>
      <c r="D1402" t="s">
        <v>7</v>
      </c>
      <c r="E1402" s="2" t="s">
        <v>12</v>
      </c>
      <c r="F1402">
        <f t="shared" si="21"/>
        <v>725.77800000000002</v>
      </c>
      <c r="G1402" t="s">
        <v>16</v>
      </c>
      <c r="J1402" t="str">
        <f>"08/01/1989 23:45"</f>
        <v>08/01/1989 23:45</v>
      </c>
    </row>
    <row r="1403" spans="1:10" x14ac:dyDescent="0.3">
      <c r="A1403" t="s">
        <v>6</v>
      </c>
      <c r="B1403" t="str">
        <f>"08/02/1989 00:00"</f>
        <v>08/02/1989 00:00</v>
      </c>
      <c r="C1403">
        <v>367</v>
      </c>
      <c r="D1403" t="s">
        <v>7</v>
      </c>
      <c r="E1403" s="2" t="s">
        <v>12</v>
      </c>
      <c r="F1403">
        <f t="shared" si="21"/>
        <v>727.76100000000008</v>
      </c>
      <c r="G1403" t="s">
        <v>16</v>
      </c>
      <c r="I1403" t="s">
        <v>8</v>
      </c>
      <c r="J1403" t="str">
        <f>"08/02/1989 23:45"</f>
        <v>08/02/1989 23:45</v>
      </c>
    </row>
    <row r="1404" spans="1:10" x14ac:dyDescent="0.3">
      <c r="A1404" t="s">
        <v>6</v>
      </c>
      <c r="B1404" t="str">
        <f>"08/03/1989 00:00"</f>
        <v>08/03/1989 00:00</v>
      </c>
      <c r="C1404">
        <v>311</v>
      </c>
      <c r="D1404" t="s">
        <v>7</v>
      </c>
      <c r="E1404" s="2" t="s">
        <v>12</v>
      </c>
      <c r="F1404">
        <f t="shared" si="21"/>
        <v>616.71300000000008</v>
      </c>
      <c r="G1404" t="s">
        <v>16</v>
      </c>
      <c r="J1404" t="str">
        <f>"08/03/1989 23:45"</f>
        <v>08/03/1989 23:45</v>
      </c>
    </row>
    <row r="1405" spans="1:10" x14ac:dyDescent="0.3">
      <c r="A1405" t="s">
        <v>6</v>
      </c>
      <c r="B1405" t="str">
        <f>"08/04/1989 00:00"</f>
        <v>08/04/1989 00:00</v>
      </c>
      <c r="C1405">
        <v>225</v>
      </c>
      <c r="D1405" t="s">
        <v>7</v>
      </c>
      <c r="E1405" s="2" t="s">
        <v>12</v>
      </c>
      <c r="F1405">
        <f t="shared" si="21"/>
        <v>446.17500000000001</v>
      </c>
      <c r="G1405" t="s">
        <v>16</v>
      </c>
      <c r="I1405" t="s">
        <v>8</v>
      </c>
      <c r="J1405" t="str">
        <f>"08/04/1989 23:45"</f>
        <v>08/04/1989 23:45</v>
      </c>
    </row>
    <row r="1406" spans="1:10" x14ac:dyDescent="0.3">
      <c r="A1406" t="s">
        <v>6</v>
      </c>
      <c r="B1406" t="str">
        <f>"08/05/1989 00:00"</f>
        <v>08/05/1989 00:00</v>
      </c>
      <c r="C1406">
        <v>227</v>
      </c>
      <c r="D1406" t="s">
        <v>7</v>
      </c>
      <c r="E1406" s="2" t="s">
        <v>12</v>
      </c>
      <c r="F1406">
        <f t="shared" si="21"/>
        <v>450.14100000000002</v>
      </c>
      <c r="G1406" t="s">
        <v>16</v>
      </c>
      <c r="I1406" t="s">
        <v>8</v>
      </c>
      <c r="J1406" t="str">
        <f>"08/05/1989 23:45"</f>
        <v>08/05/1989 23:45</v>
      </c>
    </row>
    <row r="1407" spans="1:10" x14ac:dyDescent="0.3">
      <c r="A1407" t="s">
        <v>6</v>
      </c>
      <c r="B1407" t="str">
        <f>"08/06/1989 00:00"</f>
        <v>08/06/1989 00:00</v>
      </c>
      <c r="C1407">
        <v>226</v>
      </c>
      <c r="D1407" t="s">
        <v>7</v>
      </c>
      <c r="E1407" s="2" t="s">
        <v>12</v>
      </c>
      <c r="F1407">
        <f t="shared" si="21"/>
        <v>448.15800000000002</v>
      </c>
      <c r="G1407" t="s">
        <v>16</v>
      </c>
      <c r="I1407" t="s">
        <v>8</v>
      </c>
      <c r="J1407" t="str">
        <f>"08/06/1989 23:45"</f>
        <v>08/06/1989 23:45</v>
      </c>
    </row>
    <row r="1408" spans="1:10" x14ac:dyDescent="0.3">
      <c r="A1408" t="s">
        <v>6</v>
      </c>
      <c r="B1408" t="str">
        <f>"08/07/1989 00:00"</f>
        <v>08/07/1989 00:00</v>
      </c>
      <c r="C1408">
        <v>226</v>
      </c>
      <c r="D1408" t="s">
        <v>7</v>
      </c>
      <c r="E1408" s="2" t="s">
        <v>12</v>
      </c>
      <c r="F1408">
        <f t="shared" si="21"/>
        <v>448.15800000000002</v>
      </c>
      <c r="G1408" t="s">
        <v>16</v>
      </c>
      <c r="I1408" t="s">
        <v>8</v>
      </c>
      <c r="J1408" t="str">
        <f>"08/07/1989 23:45"</f>
        <v>08/07/1989 23:45</v>
      </c>
    </row>
    <row r="1409" spans="1:10" x14ac:dyDescent="0.3">
      <c r="A1409" t="s">
        <v>6</v>
      </c>
      <c r="B1409" t="str">
        <f>"08/08/1989 00:00"</f>
        <v>08/08/1989 00:00</v>
      </c>
      <c r="C1409">
        <v>225</v>
      </c>
      <c r="D1409" t="s">
        <v>7</v>
      </c>
      <c r="E1409" s="2" t="s">
        <v>12</v>
      </c>
      <c r="F1409">
        <f t="shared" si="21"/>
        <v>446.17500000000001</v>
      </c>
      <c r="G1409" t="s">
        <v>16</v>
      </c>
      <c r="I1409" t="s">
        <v>8</v>
      </c>
      <c r="J1409" t="str">
        <f>"08/08/1989 23:45"</f>
        <v>08/08/1989 23:45</v>
      </c>
    </row>
    <row r="1410" spans="1:10" x14ac:dyDescent="0.3">
      <c r="A1410" t="s">
        <v>6</v>
      </c>
      <c r="B1410" t="str">
        <f>"08/09/1989 00:00"</f>
        <v>08/09/1989 00:00</v>
      </c>
      <c r="C1410">
        <v>224</v>
      </c>
      <c r="D1410" t="s">
        <v>7</v>
      </c>
      <c r="E1410" s="2" t="s">
        <v>12</v>
      </c>
      <c r="F1410">
        <f t="shared" si="21"/>
        <v>444.19200000000001</v>
      </c>
      <c r="G1410" t="s">
        <v>16</v>
      </c>
      <c r="I1410" t="s">
        <v>8</v>
      </c>
      <c r="J1410" t="str">
        <f>"08/09/1989 23:45"</f>
        <v>08/09/1989 23:45</v>
      </c>
    </row>
    <row r="1411" spans="1:10" x14ac:dyDescent="0.3">
      <c r="A1411" t="s">
        <v>6</v>
      </c>
      <c r="B1411" t="str">
        <f>"08/10/1989 00:00"</f>
        <v>08/10/1989 00:00</v>
      </c>
      <c r="C1411">
        <v>224</v>
      </c>
      <c r="D1411" t="s">
        <v>7</v>
      </c>
      <c r="E1411" s="2" t="s">
        <v>12</v>
      </c>
      <c r="F1411">
        <f t="shared" ref="F1411:F1474" si="22">C1411*1.983</f>
        <v>444.19200000000001</v>
      </c>
      <c r="G1411" t="s">
        <v>16</v>
      </c>
      <c r="I1411" t="s">
        <v>35</v>
      </c>
      <c r="J1411" t="str">
        <f>"08/10/1989 23:45"</f>
        <v>08/10/1989 23:45</v>
      </c>
    </row>
    <row r="1412" spans="1:10" x14ac:dyDescent="0.3">
      <c r="A1412" t="s">
        <v>6</v>
      </c>
      <c r="B1412" t="str">
        <f>"08/11/1989 00:00"</f>
        <v>08/11/1989 00:00</v>
      </c>
      <c r="C1412">
        <v>224</v>
      </c>
      <c r="D1412" t="s">
        <v>7</v>
      </c>
      <c r="E1412" s="2" t="s">
        <v>12</v>
      </c>
      <c r="F1412">
        <f t="shared" si="22"/>
        <v>444.19200000000001</v>
      </c>
      <c r="G1412" t="s">
        <v>16</v>
      </c>
      <c r="I1412" t="s">
        <v>8</v>
      </c>
      <c r="J1412" t="str">
        <f>"08/11/1989 14:45"</f>
        <v>08/11/1989 14:45</v>
      </c>
    </row>
    <row r="1413" spans="1:10" x14ac:dyDescent="0.3">
      <c r="A1413" t="s">
        <v>6</v>
      </c>
      <c r="B1413" t="str">
        <f>"08/12/1989 00:00"</f>
        <v>08/12/1989 00:00</v>
      </c>
      <c r="C1413">
        <v>224</v>
      </c>
      <c r="D1413" t="s">
        <v>7</v>
      </c>
      <c r="E1413" s="2" t="s">
        <v>12</v>
      </c>
      <c r="F1413">
        <f t="shared" si="22"/>
        <v>444.19200000000001</v>
      </c>
      <c r="G1413" t="s">
        <v>16</v>
      </c>
      <c r="J1413" t="str">
        <f>"08/12/1989 23:45"</f>
        <v>08/12/1989 23:45</v>
      </c>
    </row>
    <row r="1414" spans="1:10" x14ac:dyDescent="0.3">
      <c r="A1414" t="s">
        <v>6</v>
      </c>
      <c r="B1414" t="str">
        <f>"08/13/1989 00:00"</f>
        <v>08/13/1989 00:00</v>
      </c>
      <c r="C1414">
        <v>224</v>
      </c>
      <c r="D1414" t="s">
        <v>7</v>
      </c>
      <c r="E1414" s="2" t="s">
        <v>12</v>
      </c>
      <c r="F1414">
        <f t="shared" si="22"/>
        <v>444.19200000000001</v>
      </c>
      <c r="G1414" t="s">
        <v>16</v>
      </c>
      <c r="I1414" t="s">
        <v>8</v>
      </c>
      <c r="J1414" t="str">
        <f>"08/13/1989 23:45"</f>
        <v>08/13/1989 23:45</v>
      </c>
    </row>
    <row r="1415" spans="1:10" x14ac:dyDescent="0.3">
      <c r="A1415" t="s">
        <v>6</v>
      </c>
      <c r="B1415" t="str">
        <f>"08/14/1989 00:00"</f>
        <v>08/14/1989 00:00</v>
      </c>
      <c r="C1415">
        <v>224</v>
      </c>
      <c r="D1415" t="s">
        <v>7</v>
      </c>
      <c r="E1415" s="2" t="s">
        <v>12</v>
      </c>
      <c r="F1415">
        <f t="shared" si="22"/>
        <v>444.19200000000001</v>
      </c>
      <c r="G1415" t="s">
        <v>16</v>
      </c>
      <c r="I1415" t="s">
        <v>8</v>
      </c>
      <c r="J1415" t="str">
        <f>"08/14/1989 23:45"</f>
        <v>08/14/1989 23:45</v>
      </c>
    </row>
    <row r="1416" spans="1:10" x14ac:dyDescent="0.3">
      <c r="A1416" t="s">
        <v>6</v>
      </c>
      <c r="B1416" t="str">
        <f>"08/15/1989 00:00"</f>
        <v>08/15/1989 00:00</v>
      </c>
      <c r="C1416">
        <v>224</v>
      </c>
      <c r="D1416" t="s">
        <v>7</v>
      </c>
      <c r="E1416" s="2" t="s">
        <v>12</v>
      </c>
      <c r="F1416">
        <f t="shared" si="22"/>
        <v>444.19200000000001</v>
      </c>
      <c r="G1416" t="s">
        <v>16</v>
      </c>
      <c r="I1416" t="s">
        <v>35</v>
      </c>
      <c r="J1416" t="str">
        <f>"08/15/1989 23:45"</f>
        <v>08/15/1989 23:45</v>
      </c>
    </row>
    <row r="1417" spans="1:10" x14ac:dyDescent="0.3">
      <c r="A1417" t="s">
        <v>6</v>
      </c>
      <c r="B1417" t="str">
        <f>"08/16/1989 00:00"</f>
        <v>08/16/1989 00:00</v>
      </c>
      <c r="C1417">
        <v>224</v>
      </c>
      <c r="D1417" t="s">
        <v>7</v>
      </c>
      <c r="E1417" s="2" t="s">
        <v>12</v>
      </c>
      <c r="F1417">
        <f t="shared" si="22"/>
        <v>444.19200000000001</v>
      </c>
      <c r="G1417" t="s">
        <v>16</v>
      </c>
      <c r="I1417" t="s">
        <v>35</v>
      </c>
      <c r="J1417" t="str">
        <f>"08/16/1989 23:45"</f>
        <v>08/16/1989 23:45</v>
      </c>
    </row>
    <row r="1418" spans="1:10" x14ac:dyDescent="0.3">
      <c r="A1418" t="s">
        <v>6</v>
      </c>
      <c r="B1418" t="str">
        <f>"08/17/1989 00:00"</f>
        <v>08/17/1989 00:00</v>
      </c>
      <c r="C1418">
        <v>141</v>
      </c>
      <c r="D1418" t="s">
        <v>7</v>
      </c>
      <c r="E1418" s="2" t="s">
        <v>12</v>
      </c>
      <c r="F1418">
        <f t="shared" si="22"/>
        <v>279.60300000000001</v>
      </c>
      <c r="G1418" t="s">
        <v>16</v>
      </c>
      <c r="I1418" t="s">
        <v>8</v>
      </c>
      <c r="J1418" t="str">
        <f>"08/17/1989 23:45"</f>
        <v>08/17/1989 23:45</v>
      </c>
    </row>
    <row r="1419" spans="1:10" x14ac:dyDescent="0.3">
      <c r="A1419" t="s">
        <v>6</v>
      </c>
      <c r="B1419" t="str">
        <f>"08/18/1989 00:00"</f>
        <v>08/18/1989 00:00</v>
      </c>
      <c r="C1419">
        <v>113</v>
      </c>
      <c r="D1419" t="s">
        <v>7</v>
      </c>
      <c r="E1419" s="2" t="s">
        <v>12</v>
      </c>
      <c r="F1419">
        <f t="shared" si="22"/>
        <v>224.07900000000001</v>
      </c>
      <c r="G1419" t="s">
        <v>16</v>
      </c>
      <c r="I1419" t="s">
        <v>8</v>
      </c>
      <c r="J1419" t="str">
        <f>"08/18/1989 23:45"</f>
        <v>08/18/1989 23:45</v>
      </c>
    </row>
    <row r="1420" spans="1:10" x14ac:dyDescent="0.3">
      <c r="A1420" t="s">
        <v>6</v>
      </c>
      <c r="B1420" t="str">
        <f>"08/19/1989 00:00"</f>
        <v>08/19/1989 00:00</v>
      </c>
      <c r="C1420">
        <v>188</v>
      </c>
      <c r="D1420" t="s">
        <v>7</v>
      </c>
      <c r="E1420" s="2" t="s">
        <v>12</v>
      </c>
      <c r="F1420">
        <f t="shared" si="22"/>
        <v>372.80400000000003</v>
      </c>
      <c r="G1420" t="s">
        <v>16</v>
      </c>
      <c r="I1420" t="s">
        <v>8</v>
      </c>
      <c r="J1420" t="str">
        <f>"08/19/1989 23:45"</f>
        <v>08/19/1989 23:45</v>
      </c>
    </row>
    <row r="1421" spans="1:10" x14ac:dyDescent="0.3">
      <c r="A1421" t="s">
        <v>6</v>
      </c>
      <c r="B1421" t="str">
        <f>"08/20/1989 00:00"</f>
        <v>08/20/1989 00:00</v>
      </c>
      <c r="C1421">
        <v>188</v>
      </c>
      <c r="D1421" t="s">
        <v>7</v>
      </c>
      <c r="E1421" s="2" t="s">
        <v>12</v>
      </c>
      <c r="F1421">
        <f t="shared" si="22"/>
        <v>372.80400000000003</v>
      </c>
      <c r="G1421" t="s">
        <v>16</v>
      </c>
      <c r="I1421" t="s">
        <v>35</v>
      </c>
      <c r="J1421" t="str">
        <f>"08/20/1989 23:45"</f>
        <v>08/20/1989 23:45</v>
      </c>
    </row>
    <row r="1422" spans="1:10" x14ac:dyDescent="0.3">
      <c r="A1422" t="s">
        <v>6</v>
      </c>
      <c r="B1422" t="str">
        <f>"08/21/1989 00:00"</f>
        <v>08/21/1989 00:00</v>
      </c>
      <c r="C1422">
        <v>188</v>
      </c>
      <c r="D1422" t="s">
        <v>7</v>
      </c>
      <c r="E1422" s="2" t="s">
        <v>12</v>
      </c>
      <c r="F1422">
        <f t="shared" si="22"/>
        <v>372.80400000000003</v>
      </c>
      <c r="G1422" t="s">
        <v>16</v>
      </c>
      <c r="I1422" t="s">
        <v>35</v>
      </c>
      <c r="J1422" t="str">
        <f>"08/21/1989 23:45"</f>
        <v>08/21/1989 23:45</v>
      </c>
    </row>
    <row r="1423" spans="1:10" x14ac:dyDescent="0.3">
      <c r="A1423" t="s">
        <v>6</v>
      </c>
      <c r="B1423" t="str">
        <f>"08/22/1989 00:00"</f>
        <v>08/22/1989 00:00</v>
      </c>
      <c r="C1423">
        <v>141</v>
      </c>
      <c r="D1423" t="s">
        <v>7</v>
      </c>
      <c r="E1423" s="2" t="s">
        <v>12</v>
      </c>
      <c r="F1423">
        <f t="shared" si="22"/>
        <v>279.60300000000001</v>
      </c>
      <c r="G1423" t="s">
        <v>16</v>
      </c>
      <c r="I1423" t="s">
        <v>8</v>
      </c>
      <c r="J1423" t="str">
        <f>"08/22/1989 23:45"</f>
        <v>08/22/1989 23:45</v>
      </c>
    </row>
    <row r="1424" spans="1:10" x14ac:dyDescent="0.3">
      <c r="A1424" t="s">
        <v>6</v>
      </c>
      <c r="B1424" t="str">
        <f>"08/23/1989 00:00"</f>
        <v>08/23/1989 00:00</v>
      </c>
      <c r="C1424">
        <v>79.5</v>
      </c>
      <c r="D1424" t="s">
        <v>7</v>
      </c>
      <c r="E1424" s="2" t="s">
        <v>12</v>
      </c>
      <c r="F1424">
        <f t="shared" si="22"/>
        <v>157.64850000000001</v>
      </c>
      <c r="G1424" t="s">
        <v>16</v>
      </c>
      <c r="J1424" t="str">
        <f>"08/23/1989 23:45"</f>
        <v>08/23/1989 23:45</v>
      </c>
    </row>
    <row r="1425" spans="1:10" x14ac:dyDescent="0.3">
      <c r="A1425" t="s">
        <v>6</v>
      </c>
      <c r="B1425" t="str">
        <f>"08/24/1989 00:00"</f>
        <v>08/24/1989 00:00</v>
      </c>
      <c r="C1425">
        <v>79.900000000000006</v>
      </c>
      <c r="D1425" t="s">
        <v>7</v>
      </c>
      <c r="E1425" s="2" t="s">
        <v>12</v>
      </c>
      <c r="F1425">
        <f t="shared" si="22"/>
        <v>158.44170000000003</v>
      </c>
      <c r="G1425" t="s">
        <v>16</v>
      </c>
      <c r="J1425" t="str">
        <f>"08/24/1989 23:45"</f>
        <v>08/24/1989 23:45</v>
      </c>
    </row>
    <row r="1426" spans="1:10" x14ac:dyDescent="0.3">
      <c r="A1426" t="s">
        <v>6</v>
      </c>
      <c r="B1426" t="str">
        <f>"08/25/1989 00:00"</f>
        <v>08/25/1989 00:00</v>
      </c>
      <c r="C1426">
        <v>79.900000000000006</v>
      </c>
      <c r="D1426" t="s">
        <v>7</v>
      </c>
      <c r="E1426" s="2" t="s">
        <v>12</v>
      </c>
      <c r="F1426">
        <f t="shared" si="22"/>
        <v>158.44170000000003</v>
      </c>
      <c r="G1426" t="s">
        <v>16</v>
      </c>
      <c r="I1426" t="s">
        <v>8</v>
      </c>
      <c r="J1426" t="str">
        <f>"08/25/1989 23:45"</f>
        <v>08/25/1989 23:45</v>
      </c>
    </row>
    <row r="1427" spans="1:10" x14ac:dyDescent="0.3">
      <c r="A1427" t="s">
        <v>6</v>
      </c>
      <c r="B1427" t="str">
        <f>"08/26/1989 00:00"</f>
        <v>08/26/1989 00:00</v>
      </c>
      <c r="C1427">
        <v>79.900000000000006</v>
      </c>
      <c r="D1427" t="s">
        <v>7</v>
      </c>
      <c r="E1427" s="2" t="s">
        <v>12</v>
      </c>
      <c r="F1427">
        <f t="shared" si="22"/>
        <v>158.44170000000003</v>
      </c>
      <c r="G1427" t="s">
        <v>16</v>
      </c>
      <c r="I1427" t="s">
        <v>35</v>
      </c>
      <c r="J1427" t="str">
        <f>"08/26/1989 23:45"</f>
        <v>08/26/1989 23:45</v>
      </c>
    </row>
    <row r="1428" spans="1:10" x14ac:dyDescent="0.3">
      <c r="A1428" t="s">
        <v>6</v>
      </c>
      <c r="B1428" t="str">
        <f>"08/27/1989 00:00"</f>
        <v>08/27/1989 00:00</v>
      </c>
      <c r="C1428">
        <v>79.900000000000006</v>
      </c>
      <c r="D1428" t="s">
        <v>7</v>
      </c>
      <c r="E1428" s="2" t="s">
        <v>12</v>
      </c>
      <c r="F1428">
        <f t="shared" si="22"/>
        <v>158.44170000000003</v>
      </c>
      <c r="G1428" t="s">
        <v>16</v>
      </c>
      <c r="I1428" t="s">
        <v>35</v>
      </c>
      <c r="J1428" t="str">
        <f>"08/27/1989 23:45"</f>
        <v>08/27/1989 23:45</v>
      </c>
    </row>
    <row r="1429" spans="1:10" x14ac:dyDescent="0.3">
      <c r="A1429" t="s">
        <v>6</v>
      </c>
      <c r="B1429" t="str">
        <f>"08/28/1989 00:00"</f>
        <v>08/28/1989 00:00</v>
      </c>
      <c r="C1429">
        <v>79.900000000000006</v>
      </c>
      <c r="D1429" t="s">
        <v>7</v>
      </c>
      <c r="E1429" s="2" t="s">
        <v>12</v>
      </c>
      <c r="F1429">
        <f t="shared" si="22"/>
        <v>158.44170000000003</v>
      </c>
      <c r="G1429" t="s">
        <v>16</v>
      </c>
      <c r="I1429" t="s">
        <v>8</v>
      </c>
      <c r="J1429" t="str">
        <f>"08/28/1989 23:45"</f>
        <v>08/28/1989 23:45</v>
      </c>
    </row>
    <row r="1430" spans="1:10" x14ac:dyDescent="0.3">
      <c r="A1430" t="s">
        <v>6</v>
      </c>
      <c r="B1430" t="str">
        <f>"08/29/1989 00:00"</f>
        <v>08/29/1989 00:00</v>
      </c>
      <c r="C1430">
        <v>79.900000000000006</v>
      </c>
      <c r="D1430" t="s">
        <v>7</v>
      </c>
      <c r="E1430" s="2" t="s">
        <v>12</v>
      </c>
      <c r="F1430">
        <f t="shared" si="22"/>
        <v>158.44170000000003</v>
      </c>
      <c r="G1430" t="s">
        <v>16</v>
      </c>
      <c r="I1430" t="s">
        <v>8</v>
      </c>
      <c r="J1430" t="str">
        <f>"08/29/1989 23:45"</f>
        <v>08/29/1989 23:45</v>
      </c>
    </row>
    <row r="1431" spans="1:10" x14ac:dyDescent="0.3">
      <c r="A1431" t="s">
        <v>6</v>
      </c>
      <c r="B1431" t="str">
        <f>"08/30/1989 00:00"</f>
        <v>08/30/1989 00:00</v>
      </c>
      <c r="C1431">
        <v>80.8</v>
      </c>
      <c r="D1431" t="s">
        <v>7</v>
      </c>
      <c r="E1431" s="2" t="s">
        <v>12</v>
      </c>
      <c r="F1431">
        <f t="shared" si="22"/>
        <v>160.22640000000001</v>
      </c>
      <c r="G1431" t="s">
        <v>16</v>
      </c>
      <c r="I1431" t="s">
        <v>8</v>
      </c>
      <c r="J1431" t="str">
        <f>"08/30/1989 23:45"</f>
        <v>08/30/1989 23:45</v>
      </c>
    </row>
    <row r="1432" spans="1:10" x14ac:dyDescent="0.3">
      <c r="A1432" t="s">
        <v>6</v>
      </c>
      <c r="B1432" t="str">
        <f>"08/31/1989 00:00"</f>
        <v>08/31/1989 00:00</v>
      </c>
      <c r="C1432">
        <v>81.2</v>
      </c>
      <c r="D1432" t="s">
        <v>7</v>
      </c>
      <c r="E1432" s="2" t="s">
        <v>12</v>
      </c>
      <c r="F1432">
        <f t="shared" si="22"/>
        <v>161.01960000000003</v>
      </c>
      <c r="G1432" t="s">
        <v>16</v>
      </c>
      <c r="I1432" t="s">
        <v>35</v>
      </c>
      <c r="J1432" t="str">
        <f>"08/31/1989 23:45"</f>
        <v>08/31/1989 23:45</v>
      </c>
    </row>
    <row r="1433" spans="1:10" x14ac:dyDescent="0.3">
      <c r="A1433" t="s">
        <v>6</v>
      </c>
      <c r="B1433" t="str">
        <f>"09/01/1989 00:00"</f>
        <v>09/01/1989 00:00</v>
      </c>
      <c r="C1433">
        <v>81.2</v>
      </c>
      <c r="D1433" t="s">
        <v>7</v>
      </c>
      <c r="E1433" s="2" t="s">
        <v>12</v>
      </c>
      <c r="F1433">
        <f t="shared" si="22"/>
        <v>161.01960000000003</v>
      </c>
      <c r="G1433" t="s">
        <v>16</v>
      </c>
      <c r="I1433" t="s">
        <v>35</v>
      </c>
      <c r="J1433" t="str">
        <f>"09/01/1989 23:45"</f>
        <v>09/01/1989 23:45</v>
      </c>
    </row>
    <row r="1434" spans="1:10" x14ac:dyDescent="0.3">
      <c r="A1434" t="s">
        <v>6</v>
      </c>
      <c r="B1434" t="str">
        <f>"09/02/1989 00:00"</f>
        <v>09/02/1989 00:00</v>
      </c>
      <c r="C1434">
        <v>124</v>
      </c>
      <c r="D1434" t="s">
        <v>7</v>
      </c>
      <c r="E1434" s="2" t="s">
        <v>12</v>
      </c>
      <c r="F1434">
        <f t="shared" si="22"/>
        <v>245.89200000000002</v>
      </c>
      <c r="G1434" t="s">
        <v>16</v>
      </c>
      <c r="I1434" t="s">
        <v>8</v>
      </c>
      <c r="J1434" t="str">
        <f>"09/02/1989 23:45"</f>
        <v>09/02/1989 23:45</v>
      </c>
    </row>
    <row r="1435" spans="1:10" x14ac:dyDescent="0.3">
      <c r="A1435" t="s">
        <v>6</v>
      </c>
      <c r="B1435" t="str">
        <f>"09/03/1989 00:00"</f>
        <v>09/03/1989 00:00</v>
      </c>
      <c r="C1435">
        <v>208</v>
      </c>
      <c r="D1435" t="s">
        <v>7</v>
      </c>
      <c r="E1435" s="2" t="s">
        <v>12</v>
      </c>
      <c r="F1435">
        <f t="shared" si="22"/>
        <v>412.464</v>
      </c>
      <c r="G1435" t="s">
        <v>16</v>
      </c>
      <c r="I1435" t="s">
        <v>8</v>
      </c>
      <c r="J1435" t="str">
        <f>"09/03/1989 23:45"</f>
        <v>09/03/1989 23:45</v>
      </c>
    </row>
    <row r="1436" spans="1:10" x14ac:dyDescent="0.3">
      <c r="A1436" t="s">
        <v>6</v>
      </c>
      <c r="B1436" t="str">
        <f>"09/04/1989 00:00"</f>
        <v>09/04/1989 00:00</v>
      </c>
      <c r="C1436">
        <v>226</v>
      </c>
      <c r="D1436" t="s">
        <v>7</v>
      </c>
      <c r="E1436" s="2" t="s">
        <v>12</v>
      </c>
      <c r="F1436">
        <f t="shared" si="22"/>
        <v>448.15800000000002</v>
      </c>
      <c r="G1436" t="s">
        <v>16</v>
      </c>
      <c r="I1436" t="s">
        <v>8</v>
      </c>
      <c r="J1436" t="str">
        <f>"09/04/1989 23:45"</f>
        <v>09/04/1989 23:45</v>
      </c>
    </row>
    <row r="1437" spans="1:10" x14ac:dyDescent="0.3">
      <c r="A1437" t="s">
        <v>6</v>
      </c>
      <c r="B1437" t="str">
        <f>"09/05/1989 00:00"</f>
        <v>09/05/1989 00:00</v>
      </c>
      <c r="C1437">
        <v>226</v>
      </c>
      <c r="D1437" t="s">
        <v>7</v>
      </c>
      <c r="E1437" s="2" t="s">
        <v>12</v>
      </c>
      <c r="F1437">
        <f t="shared" si="22"/>
        <v>448.15800000000002</v>
      </c>
      <c r="G1437" t="s">
        <v>16</v>
      </c>
      <c r="I1437" t="s">
        <v>8</v>
      </c>
      <c r="J1437" t="str">
        <f>"09/05/1989 23:45"</f>
        <v>09/05/1989 23:45</v>
      </c>
    </row>
    <row r="1438" spans="1:10" x14ac:dyDescent="0.3">
      <c r="A1438" t="s">
        <v>6</v>
      </c>
      <c r="B1438" t="str">
        <f>"09/06/1989 00:00"</f>
        <v>09/06/1989 00:00</v>
      </c>
      <c r="C1438">
        <v>226</v>
      </c>
      <c r="D1438" t="s">
        <v>7</v>
      </c>
      <c r="E1438" s="2" t="s">
        <v>12</v>
      </c>
      <c r="F1438">
        <f t="shared" si="22"/>
        <v>448.15800000000002</v>
      </c>
      <c r="G1438" t="s">
        <v>16</v>
      </c>
      <c r="I1438" t="s">
        <v>35</v>
      </c>
      <c r="J1438" t="str">
        <f>"09/06/1989 23:45"</f>
        <v>09/06/1989 23:45</v>
      </c>
    </row>
    <row r="1439" spans="1:10" x14ac:dyDescent="0.3">
      <c r="A1439" t="s">
        <v>6</v>
      </c>
      <c r="B1439" t="str">
        <f>"09/07/1989 00:00"</f>
        <v>09/07/1989 00:00</v>
      </c>
      <c r="C1439">
        <v>226</v>
      </c>
      <c r="D1439" t="s">
        <v>7</v>
      </c>
      <c r="E1439" s="2" t="s">
        <v>12</v>
      </c>
      <c r="F1439">
        <f t="shared" si="22"/>
        <v>448.15800000000002</v>
      </c>
      <c r="G1439" t="s">
        <v>16</v>
      </c>
      <c r="I1439" t="s">
        <v>8</v>
      </c>
      <c r="J1439" t="str">
        <f>"09/07/1989 23:45"</f>
        <v>09/07/1989 23:45</v>
      </c>
    </row>
    <row r="1440" spans="1:10" x14ac:dyDescent="0.3">
      <c r="A1440" t="s">
        <v>6</v>
      </c>
      <c r="B1440" t="str">
        <f>"09/08/1989 00:00"</f>
        <v>09/08/1989 00:00</v>
      </c>
      <c r="C1440">
        <v>202</v>
      </c>
      <c r="D1440" t="s">
        <v>7</v>
      </c>
      <c r="E1440" s="2" t="s">
        <v>12</v>
      </c>
      <c r="F1440">
        <f t="shared" si="22"/>
        <v>400.56600000000003</v>
      </c>
      <c r="G1440" t="s">
        <v>16</v>
      </c>
      <c r="I1440" t="s">
        <v>8</v>
      </c>
      <c r="J1440" t="str">
        <f>"09/08/1989 23:45"</f>
        <v>09/08/1989 23:45</v>
      </c>
    </row>
    <row r="1441" spans="1:10" x14ac:dyDescent="0.3">
      <c r="A1441" t="s">
        <v>6</v>
      </c>
      <c r="B1441" t="str">
        <f>"09/09/1989 00:00"</f>
        <v>09/09/1989 00:00</v>
      </c>
      <c r="C1441">
        <v>113</v>
      </c>
      <c r="D1441" t="s">
        <v>7</v>
      </c>
      <c r="E1441" s="2" t="s">
        <v>12</v>
      </c>
      <c r="F1441">
        <f t="shared" si="22"/>
        <v>224.07900000000001</v>
      </c>
      <c r="G1441" t="s">
        <v>16</v>
      </c>
      <c r="J1441" t="str">
        <f>"09/09/1989 23:45"</f>
        <v>09/09/1989 23:45</v>
      </c>
    </row>
    <row r="1442" spans="1:10" x14ac:dyDescent="0.3">
      <c r="A1442" t="s">
        <v>6</v>
      </c>
      <c r="B1442" t="str">
        <f>"09/10/1989 00:00"</f>
        <v>09/10/1989 00:00</v>
      </c>
      <c r="C1442">
        <v>34.6</v>
      </c>
      <c r="D1442" t="s">
        <v>7</v>
      </c>
      <c r="E1442" s="2" t="s">
        <v>12</v>
      </c>
      <c r="F1442">
        <f t="shared" si="22"/>
        <v>68.611800000000002</v>
      </c>
      <c r="G1442" t="s">
        <v>16</v>
      </c>
      <c r="I1442" t="s">
        <v>8</v>
      </c>
      <c r="J1442" t="str">
        <f>"09/10/1989 23:45"</f>
        <v>09/10/1989 23:45</v>
      </c>
    </row>
    <row r="1443" spans="1:10" x14ac:dyDescent="0.3">
      <c r="A1443" t="s">
        <v>6</v>
      </c>
      <c r="B1443" t="str">
        <f>"09/11/1989 00:00"</f>
        <v>09/11/1989 00:00</v>
      </c>
      <c r="C1443">
        <v>1.62</v>
      </c>
      <c r="D1443" t="s">
        <v>7</v>
      </c>
      <c r="E1443" s="2" t="s">
        <v>12</v>
      </c>
      <c r="F1443">
        <f t="shared" si="22"/>
        <v>3.2124600000000005</v>
      </c>
      <c r="G1443" t="s">
        <v>16</v>
      </c>
      <c r="I1443" t="s">
        <v>8</v>
      </c>
      <c r="J1443" t="str">
        <f>"09/11/1989 23:45"</f>
        <v>09/11/1989 23:45</v>
      </c>
    </row>
    <row r="1444" spans="1:10" x14ac:dyDescent="0.3">
      <c r="A1444" t="s">
        <v>6</v>
      </c>
      <c r="B1444" t="str">
        <f>"09/12/1989 00:00"</f>
        <v>09/12/1989 00:00</v>
      </c>
      <c r="C1444">
        <v>1.62</v>
      </c>
      <c r="D1444" t="s">
        <v>7</v>
      </c>
      <c r="E1444" s="2" t="s">
        <v>12</v>
      </c>
      <c r="F1444">
        <f t="shared" si="22"/>
        <v>3.2124600000000005</v>
      </c>
      <c r="G1444" t="s">
        <v>16</v>
      </c>
      <c r="I1444" t="s">
        <v>35</v>
      </c>
      <c r="J1444" t="str">
        <f>"09/12/1989 23:45"</f>
        <v>09/12/1989 23:45</v>
      </c>
    </row>
    <row r="1445" spans="1:10" x14ac:dyDescent="0.3">
      <c r="A1445" t="s">
        <v>6</v>
      </c>
      <c r="B1445" t="str">
        <f>"09/13/1989 00:00"</f>
        <v>09/13/1989 00:00</v>
      </c>
      <c r="C1445">
        <v>1.62</v>
      </c>
      <c r="D1445" t="s">
        <v>7</v>
      </c>
      <c r="E1445" s="2" t="s">
        <v>12</v>
      </c>
      <c r="F1445">
        <f t="shared" si="22"/>
        <v>3.2124600000000005</v>
      </c>
      <c r="G1445" t="s">
        <v>16</v>
      </c>
      <c r="I1445" t="s">
        <v>8</v>
      </c>
      <c r="J1445" t="str">
        <f>"09/13/1989 23:45"</f>
        <v>09/13/1989 23:45</v>
      </c>
    </row>
    <row r="1446" spans="1:10" x14ac:dyDescent="0.3">
      <c r="A1446" t="s">
        <v>6</v>
      </c>
      <c r="B1446" t="str">
        <f>"09/14/1989 00:00"</f>
        <v>09/14/1989 00:00</v>
      </c>
      <c r="C1446">
        <v>1.62</v>
      </c>
      <c r="D1446" t="s">
        <v>7</v>
      </c>
      <c r="E1446" s="2" t="s">
        <v>12</v>
      </c>
      <c r="F1446">
        <f t="shared" si="22"/>
        <v>3.2124600000000005</v>
      </c>
      <c r="G1446" t="s">
        <v>16</v>
      </c>
      <c r="I1446" t="s">
        <v>8</v>
      </c>
      <c r="J1446" t="str">
        <f>"09/14/1989 23:45"</f>
        <v>09/14/1989 23:45</v>
      </c>
    </row>
    <row r="1447" spans="1:10" x14ac:dyDescent="0.3">
      <c r="A1447" t="s">
        <v>6</v>
      </c>
      <c r="B1447" t="str">
        <f>"09/15/1989 00:00"</f>
        <v>09/15/1989 00:00</v>
      </c>
      <c r="C1447">
        <v>1.52</v>
      </c>
      <c r="D1447" t="s">
        <v>7</v>
      </c>
      <c r="E1447" s="2" t="s">
        <v>12</v>
      </c>
      <c r="F1447">
        <f t="shared" si="22"/>
        <v>3.0141600000000004</v>
      </c>
      <c r="G1447" t="s">
        <v>16</v>
      </c>
      <c r="I1447" t="s">
        <v>8</v>
      </c>
      <c r="J1447" t="str">
        <f>"09/15/1989 23:45"</f>
        <v>09/15/1989 23:45</v>
      </c>
    </row>
    <row r="1448" spans="1:10" x14ac:dyDescent="0.3">
      <c r="A1448" t="s">
        <v>6</v>
      </c>
      <c r="B1448" t="str">
        <f>"09/16/1989 00:00"</f>
        <v>09/16/1989 00:00</v>
      </c>
      <c r="C1448">
        <v>1.34</v>
      </c>
      <c r="D1448" t="s">
        <v>7</v>
      </c>
      <c r="E1448" s="2" t="s">
        <v>12</v>
      </c>
      <c r="F1448">
        <f t="shared" si="22"/>
        <v>2.6572200000000001</v>
      </c>
      <c r="G1448" t="s">
        <v>16</v>
      </c>
      <c r="I1448" t="s">
        <v>8</v>
      </c>
      <c r="J1448" t="str">
        <f>"09/16/1989 23:45"</f>
        <v>09/16/1989 23:45</v>
      </c>
    </row>
    <row r="1449" spans="1:10" x14ac:dyDescent="0.3">
      <c r="A1449" t="s">
        <v>6</v>
      </c>
      <c r="B1449" t="str">
        <f>"09/17/1989 00:00"</f>
        <v>09/17/1989 00:00</v>
      </c>
      <c r="C1449">
        <v>1.34</v>
      </c>
      <c r="D1449" t="s">
        <v>7</v>
      </c>
      <c r="E1449" s="2" t="s">
        <v>12</v>
      </c>
      <c r="F1449">
        <f t="shared" si="22"/>
        <v>2.6572200000000001</v>
      </c>
      <c r="G1449" t="s">
        <v>16</v>
      </c>
      <c r="I1449" t="s">
        <v>8</v>
      </c>
      <c r="J1449" t="str">
        <f>"09/17/1989 23:45"</f>
        <v>09/17/1989 23:45</v>
      </c>
    </row>
    <row r="1450" spans="1:10" x14ac:dyDescent="0.3">
      <c r="A1450" t="s">
        <v>6</v>
      </c>
      <c r="B1450" t="str">
        <f>"09/18/1989 00:00"</f>
        <v>09/18/1989 00:00</v>
      </c>
      <c r="C1450">
        <v>1.34</v>
      </c>
      <c r="D1450" t="s">
        <v>7</v>
      </c>
      <c r="E1450" s="2" t="s">
        <v>12</v>
      </c>
      <c r="F1450">
        <f t="shared" si="22"/>
        <v>2.6572200000000001</v>
      </c>
      <c r="G1450" t="s">
        <v>16</v>
      </c>
      <c r="I1450" t="s">
        <v>8</v>
      </c>
      <c r="J1450" t="str">
        <f>"09/18/1989 23:45"</f>
        <v>09/18/1989 23:45</v>
      </c>
    </row>
    <row r="1451" spans="1:10" x14ac:dyDescent="0.3">
      <c r="A1451" t="s">
        <v>6</v>
      </c>
      <c r="B1451" t="str">
        <f>"09/19/1989 00:00"</f>
        <v>09/19/1989 00:00</v>
      </c>
      <c r="C1451">
        <v>1.34</v>
      </c>
      <c r="D1451" t="s">
        <v>7</v>
      </c>
      <c r="E1451" s="2" t="s">
        <v>12</v>
      </c>
      <c r="F1451">
        <f t="shared" si="22"/>
        <v>2.6572200000000001</v>
      </c>
      <c r="G1451" t="s">
        <v>16</v>
      </c>
      <c r="I1451" t="s">
        <v>8</v>
      </c>
      <c r="J1451" t="str">
        <f>"09/19/1989 23:45"</f>
        <v>09/19/1989 23:45</v>
      </c>
    </row>
    <row r="1452" spans="1:10" x14ac:dyDescent="0.3">
      <c r="A1452" t="s">
        <v>6</v>
      </c>
      <c r="B1452" t="str">
        <f>"09/20/1989 00:00"</f>
        <v>09/20/1989 00:00</v>
      </c>
      <c r="C1452">
        <v>1.34</v>
      </c>
      <c r="D1452" t="s">
        <v>7</v>
      </c>
      <c r="E1452" s="2" t="s">
        <v>12</v>
      </c>
      <c r="F1452">
        <f t="shared" si="22"/>
        <v>2.6572200000000001</v>
      </c>
      <c r="G1452" t="s">
        <v>16</v>
      </c>
      <c r="I1452" t="s">
        <v>8</v>
      </c>
      <c r="J1452" t="str">
        <f>"09/20/1989 23:45"</f>
        <v>09/20/1989 23:45</v>
      </c>
    </row>
    <row r="1453" spans="1:10" x14ac:dyDescent="0.3">
      <c r="A1453" t="s">
        <v>6</v>
      </c>
      <c r="B1453" t="str">
        <f>"09/21/1989 00:00"</f>
        <v>09/21/1989 00:00</v>
      </c>
      <c r="C1453">
        <v>1.34</v>
      </c>
      <c r="D1453" t="s">
        <v>7</v>
      </c>
      <c r="E1453" s="2" t="s">
        <v>12</v>
      </c>
      <c r="F1453">
        <f t="shared" si="22"/>
        <v>2.6572200000000001</v>
      </c>
      <c r="G1453" t="s">
        <v>16</v>
      </c>
      <c r="I1453" t="s">
        <v>8</v>
      </c>
      <c r="J1453" t="str">
        <f>"09/21/1989 23:45"</f>
        <v>09/21/1989 23:45</v>
      </c>
    </row>
    <row r="1454" spans="1:10" x14ac:dyDescent="0.3">
      <c r="A1454" t="s">
        <v>6</v>
      </c>
      <c r="B1454" t="str">
        <f>"09/22/1989 00:00"</f>
        <v>09/22/1989 00:00</v>
      </c>
      <c r="C1454">
        <v>1.34</v>
      </c>
      <c r="D1454" t="s">
        <v>7</v>
      </c>
      <c r="E1454" s="2" t="s">
        <v>12</v>
      </c>
      <c r="F1454">
        <f t="shared" si="22"/>
        <v>2.6572200000000001</v>
      </c>
      <c r="G1454" t="s">
        <v>16</v>
      </c>
      <c r="I1454" t="s">
        <v>35</v>
      </c>
      <c r="J1454" t="str">
        <f>"09/22/1989 23:45"</f>
        <v>09/22/1989 23:45</v>
      </c>
    </row>
    <row r="1455" spans="1:10" x14ac:dyDescent="0.3">
      <c r="A1455" t="s">
        <v>6</v>
      </c>
      <c r="B1455" t="str">
        <f>"09/23/1989 00:00"</f>
        <v>09/23/1989 00:00</v>
      </c>
      <c r="C1455">
        <v>1.34</v>
      </c>
      <c r="D1455" t="s">
        <v>7</v>
      </c>
      <c r="E1455" s="2" t="s">
        <v>12</v>
      </c>
      <c r="F1455">
        <f t="shared" si="22"/>
        <v>2.6572200000000001</v>
      </c>
      <c r="G1455" t="s">
        <v>16</v>
      </c>
      <c r="I1455" t="s">
        <v>35</v>
      </c>
      <c r="J1455" t="str">
        <f>"09/23/1989 23:45"</f>
        <v>09/23/1989 23:45</v>
      </c>
    </row>
    <row r="1456" spans="1:10" x14ac:dyDescent="0.3">
      <c r="A1456" t="s">
        <v>6</v>
      </c>
      <c r="B1456" t="str">
        <f>"09/24/1989 00:00"</f>
        <v>09/24/1989 00:00</v>
      </c>
      <c r="C1456">
        <v>1.34</v>
      </c>
      <c r="D1456" t="s">
        <v>7</v>
      </c>
      <c r="E1456" s="2" t="s">
        <v>12</v>
      </c>
      <c r="F1456">
        <f t="shared" si="22"/>
        <v>2.6572200000000001</v>
      </c>
      <c r="G1456" t="s">
        <v>16</v>
      </c>
      <c r="I1456" t="s">
        <v>35</v>
      </c>
      <c r="J1456" t="str">
        <f>"09/24/1989 23:45"</f>
        <v>09/24/1989 23:45</v>
      </c>
    </row>
    <row r="1457" spans="1:10" x14ac:dyDescent="0.3">
      <c r="A1457" t="s">
        <v>6</v>
      </c>
      <c r="B1457" t="str">
        <f>"09/25/1989 00:00"</f>
        <v>09/25/1989 00:00</v>
      </c>
      <c r="C1457">
        <v>1.34</v>
      </c>
      <c r="D1457" t="s">
        <v>7</v>
      </c>
      <c r="E1457" s="2" t="s">
        <v>12</v>
      </c>
      <c r="F1457">
        <f t="shared" si="22"/>
        <v>2.6572200000000001</v>
      </c>
      <c r="G1457" t="s">
        <v>16</v>
      </c>
      <c r="I1457" t="s">
        <v>35</v>
      </c>
      <c r="J1457" t="str">
        <f>"09/25/1989 23:45"</f>
        <v>09/25/1989 23:45</v>
      </c>
    </row>
    <row r="1458" spans="1:10" x14ac:dyDescent="0.3">
      <c r="A1458" t="s">
        <v>6</v>
      </c>
      <c r="B1458" t="str">
        <f>"09/26/1989 00:00"</f>
        <v>09/26/1989 00:00</v>
      </c>
      <c r="C1458">
        <v>1.34</v>
      </c>
      <c r="D1458" t="s">
        <v>7</v>
      </c>
      <c r="E1458" s="2" t="s">
        <v>12</v>
      </c>
      <c r="F1458">
        <f t="shared" si="22"/>
        <v>2.6572200000000001</v>
      </c>
      <c r="G1458" t="s">
        <v>16</v>
      </c>
      <c r="I1458" t="s">
        <v>8</v>
      </c>
      <c r="J1458" t="str">
        <f>"09/26/1989 23:45"</f>
        <v>09/26/1989 23:45</v>
      </c>
    </row>
    <row r="1459" spans="1:10" x14ac:dyDescent="0.3">
      <c r="A1459" t="s">
        <v>6</v>
      </c>
      <c r="B1459" t="str">
        <f>"09/27/1989 00:00"</f>
        <v>09/27/1989 00:00</v>
      </c>
      <c r="C1459">
        <v>1.34</v>
      </c>
      <c r="D1459" t="s">
        <v>7</v>
      </c>
      <c r="E1459" s="2" t="s">
        <v>12</v>
      </c>
      <c r="F1459">
        <f t="shared" si="22"/>
        <v>2.6572200000000001</v>
      </c>
      <c r="G1459" t="s">
        <v>16</v>
      </c>
      <c r="I1459" t="s">
        <v>35</v>
      </c>
      <c r="J1459" t="str">
        <f>"09/27/1989 23:45"</f>
        <v>09/27/1989 23:45</v>
      </c>
    </row>
    <row r="1460" spans="1:10" x14ac:dyDescent="0.3">
      <c r="A1460" t="s">
        <v>6</v>
      </c>
      <c r="B1460" t="str">
        <f>"09/28/1989 00:00"</f>
        <v>09/28/1989 00:00</v>
      </c>
      <c r="C1460">
        <v>1.34</v>
      </c>
      <c r="D1460" t="s">
        <v>7</v>
      </c>
      <c r="E1460" s="2" t="s">
        <v>12</v>
      </c>
      <c r="F1460">
        <f t="shared" si="22"/>
        <v>2.6572200000000001</v>
      </c>
      <c r="G1460" t="s">
        <v>16</v>
      </c>
      <c r="I1460" t="s">
        <v>35</v>
      </c>
      <c r="J1460" t="str">
        <f>"09/28/1989 23:45"</f>
        <v>09/28/1989 23:45</v>
      </c>
    </row>
    <row r="1461" spans="1:10" x14ac:dyDescent="0.3">
      <c r="A1461" t="s">
        <v>6</v>
      </c>
      <c r="B1461" t="str">
        <f>"09/29/1989 00:00"</f>
        <v>09/29/1989 00:00</v>
      </c>
      <c r="C1461">
        <v>1.34</v>
      </c>
      <c r="D1461" t="s">
        <v>7</v>
      </c>
      <c r="E1461" s="2" t="s">
        <v>12</v>
      </c>
      <c r="F1461">
        <f t="shared" si="22"/>
        <v>2.6572200000000001</v>
      </c>
      <c r="G1461" t="s">
        <v>16</v>
      </c>
      <c r="I1461" t="s">
        <v>8</v>
      </c>
      <c r="J1461" t="str">
        <f>"09/29/1989 23:45"</f>
        <v>09/29/1989 23:45</v>
      </c>
    </row>
    <row r="1462" spans="1:10" x14ac:dyDescent="0.3">
      <c r="A1462" t="s">
        <v>6</v>
      </c>
      <c r="B1462" t="str">
        <f>"09/30/1989 00:00"</f>
        <v>09/30/1989 00:00</v>
      </c>
      <c r="C1462">
        <v>1.28</v>
      </c>
      <c r="D1462" t="s">
        <v>7</v>
      </c>
      <c r="E1462" s="2" t="s">
        <v>12</v>
      </c>
      <c r="F1462">
        <f t="shared" si="22"/>
        <v>2.5382400000000001</v>
      </c>
      <c r="G1462" t="s">
        <v>16</v>
      </c>
      <c r="I1462" t="s">
        <v>8</v>
      </c>
      <c r="J1462" t="str">
        <f>"09/30/1989 23:45"</f>
        <v>09/30/1989 23:45</v>
      </c>
    </row>
    <row r="1463" spans="1:10" x14ac:dyDescent="0.3">
      <c r="A1463" t="s">
        <v>6</v>
      </c>
      <c r="B1463" t="str">
        <f>"10/01/1989 00:00"</f>
        <v>10/01/1989 00:00</v>
      </c>
      <c r="D1463" t="s">
        <v>7</v>
      </c>
      <c r="E1463" s="2" t="s">
        <v>12</v>
      </c>
      <c r="F1463">
        <f t="shared" si="22"/>
        <v>0</v>
      </c>
      <c r="G1463" t="s">
        <v>16</v>
      </c>
    </row>
    <row r="1464" spans="1:10" x14ac:dyDescent="0.3">
      <c r="A1464" t="s">
        <v>6</v>
      </c>
      <c r="B1464" t="str">
        <f>"10/02/1989 00:00"</f>
        <v>10/02/1989 00:00</v>
      </c>
      <c r="D1464" t="s">
        <v>7</v>
      </c>
      <c r="E1464" s="2" t="s">
        <v>12</v>
      </c>
      <c r="F1464">
        <f t="shared" si="22"/>
        <v>0</v>
      </c>
      <c r="G1464" t="s">
        <v>16</v>
      </c>
    </row>
    <row r="1465" spans="1:10" x14ac:dyDescent="0.3">
      <c r="A1465" t="s">
        <v>6</v>
      </c>
      <c r="B1465" t="str">
        <f>"10/03/1989 00:00"</f>
        <v>10/03/1989 00:00</v>
      </c>
      <c r="D1465" t="s">
        <v>7</v>
      </c>
      <c r="E1465" s="2" t="s">
        <v>12</v>
      </c>
      <c r="F1465">
        <f t="shared" si="22"/>
        <v>0</v>
      </c>
      <c r="G1465" t="s">
        <v>16</v>
      </c>
    </row>
    <row r="1466" spans="1:10" x14ac:dyDescent="0.3">
      <c r="A1466" t="s">
        <v>6</v>
      </c>
      <c r="B1466" t="str">
        <f>"10/04/1989 00:00"</f>
        <v>10/04/1989 00:00</v>
      </c>
      <c r="D1466" t="s">
        <v>7</v>
      </c>
      <c r="E1466" s="2" t="s">
        <v>12</v>
      </c>
      <c r="F1466">
        <f t="shared" si="22"/>
        <v>0</v>
      </c>
      <c r="G1466" t="s">
        <v>16</v>
      </c>
    </row>
    <row r="1467" spans="1:10" x14ac:dyDescent="0.3">
      <c r="A1467" t="s">
        <v>6</v>
      </c>
      <c r="B1467" t="str">
        <f>"10/05/1989 00:00"</f>
        <v>10/05/1989 00:00</v>
      </c>
      <c r="D1467" t="s">
        <v>7</v>
      </c>
      <c r="E1467" s="2" t="s">
        <v>12</v>
      </c>
      <c r="F1467">
        <f t="shared" si="22"/>
        <v>0</v>
      </c>
      <c r="G1467" t="s">
        <v>16</v>
      </c>
    </row>
    <row r="1468" spans="1:10" x14ac:dyDescent="0.3">
      <c r="A1468" t="s">
        <v>6</v>
      </c>
      <c r="B1468" t="str">
        <f>"10/06/1989 00:00"</f>
        <v>10/06/1989 00:00</v>
      </c>
      <c r="D1468" t="s">
        <v>7</v>
      </c>
      <c r="E1468" s="2" t="s">
        <v>12</v>
      </c>
      <c r="F1468">
        <f t="shared" si="22"/>
        <v>0</v>
      </c>
      <c r="G1468" t="s">
        <v>16</v>
      </c>
    </row>
    <row r="1469" spans="1:10" x14ac:dyDescent="0.3">
      <c r="A1469" t="s">
        <v>6</v>
      </c>
      <c r="B1469" t="str">
        <f>"10/07/1989 00:00"</f>
        <v>10/07/1989 00:00</v>
      </c>
      <c r="D1469" t="s">
        <v>7</v>
      </c>
      <c r="E1469" s="2" t="s">
        <v>12</v>
      </c>
      <c r="F1469">
        <f t="shared" si="22"/>
        <v>0</v>
      </c>
      <c r="G1469" t="s">
        <v>16</v>
      </c>
    </row>
    <row r="1470" spans="1:10" x14ac:dyDescent="0.3">
      <c r="A1470" t="s">
        <v>6</v>
      </c>
      <c r="B1470" t="str">
        <f>"10/08/1989 00:00"</f>
        <v>10/08/1989 00:00</v>
      </c>
      <c r="D1470" t="s">
        <v>7</v>
      </c>
      <c r="E1470" s="2" t="s">
        <v>12</v>
      </c>
      <c r="F1470">
        <f t="shared" si="22"/>
        <v>0</v>
      </c>
      <c r="G1470" t="s">
        <v>16</v>
      </c>
    </row>
    <row r="1471" spans="1:10" x14ac:dyDescent="0.3">
      <c r="A1471" t="s">
        <v>6</v>
      </c>
      <c r="B1471" t="str">
        <f>"10/09/1989 00:00"</f>
        <v>10/09/1989 00:00</v>
      </c>
      <c r="D1471" t="s">
        <v>7</v>
      </c>
      <c r="E1471" s="2" t="s">
        <v>12</v>
      </c>
      <c r="F1471">
        <f t="shared" si="22"/>
        <v>0</v>
      </c>
      <c r="G1471" t="s">
        <v>16</v>
      </c>
    </row>
    <row r="1472" spans="1:10" x14ac:dyDescent="0.3">
      <c r="A1472" t="s">
        <v>6</v>
      </c>
      <c r="B1472" t="str">
        <f>"10/10/1989 00:00"</f>
        <v>10/10/1989 00:00</v>
      </c>
      <c r="D1472" t="s">
        <v>7</v>
      </c>
      <c r="E1472" s="2" t="s">
        <v>12</v>
      </c>
      <c r="F1472">
        <f t="shared" si="22"/>
        <v>0</v>
      </c>
      <c r="G1472" t="s">
        <v>16</v>
      </c>
    </row>
    <row r="1473" spans="1:10" x14ac:dyDescent="0.3">
      <c r="A1473" t="s">
        <v>6</v>
      </c>
      <c r="B1473" t="str">
        <f>"10/11/1989 00:00"</f>
        <v>10/11/1989 00:00</v>
      </c>
      <c r="C1473">
        <v>1.34</v>
      </c>
      <c r="D1473" t="s">
        <v>7</v>
      </c>
      <c r="E1473" s="2" t="s">
        <v>12</v>
      </c>
      <c r="F1473">
        <f t="shared" si="22"/>
        <v>2.6572200000000001</v>
      </c>
      <c r="G1473" t="s">
        <v>16</v>
      </c>
      <c r="I1473" t="s">
        <v>8</v>
      </c>
      <c r="J1473" t="str">
        <f>"10/11/1989 23:45"</f>
        <v>10/11/1989 23:45</v>
      </c>
    </row>
    <row r="1474" spans="1:10" x14ac:dyDescent="0.3">
      <c r="A1474" t="s">
        <v>6</v>
      </c>
      <c r="B1474" t="str">
        <f>"10/12/1989 00:00"</f>
        <v>10/12/1989 00:00</v>
      </c>
      <c r="C1474">
        <v>1.34</v>
      </c>
      <c r="D1474" t="s">
        <v>7</v>
      </c>
      <c r="E1474" s="2" t="s">
        <v>12</v>
      </c>
      <c r="F1474">
        <f t="shared" si="22"/>
        <v>2.6572200000000001</v>
      </c>
      <c r="G1474" t="s">
        <v>16</v>
      </c>
      <c r="I1474" t="s">
        <v>35</v>
      </c>
      <c r="J1474" t="str">
        <f>"10/12/1989 23:45"</f>
        <v>10/12/1989 23:45</v>
      </c>
    </row>
    <row r="1475" spans="1:10" x14ac:dyDescent="0.3">
      <c r="A1475" t="s">
        <v>6</v>
      </c>
      <c r="B1475" t="str">
        <f>"10/13/1989 00:00"</f>
        <v>10/13/1989 00:00</v>
      </c>
      <c r="C1475">
        <v>1.34</v>
      </c>
      <c r="D1475" t="s">
        <v>7</v>
      </c>
      <c r="E1475" s="2" t="s">
        <v>12</v>
      </c>
      <c r="F1475">
        <f t="shared" ref="F1475:F1538" si="23">C1475*1.983</f>
        <v>2.6572200000000001</v>
      </c>
      <c r="G1475" t="s">
        <v>16</v>
      </c>
      <c r="I1475" t="s">
        <v>35</v>
      </c>
      <c r="J1475" t="str">
        <f>"10/13/1989 23:45"</f>
        <v>10/13/1989 23:45</v>
      </c>
    </row>
    <row r="1476" spans="1:10" x14ac:dyDescent="0.3">
      <c r="A1476" t="s">
        <v>6</v>
      </c>
      <c r="B1476" t="str">
        <f>"10/14/1989 00:00"</f>
        <v>10/14/1989 00:00</v>
      </c>
      <c r="C1476">
        <v>1.34</v>
      </c>
      <c r="D1476" t="s">
        <v>7</v>
      </c>
      <c r="E1476" s="2" t="s">
        <v>12</v>
      </c>
      <c r="F1476">
        <f t="shared" si="23"/>
        <v>2.6572200000000001</v>
      </c>
      <c r="G1476" t="s">
        <v>16</v>
      </c>
      <c r="I1476" t="s">
        <v>35</v>
      </c>
      <c r="J1476" t="str">
        <f>"10/14/1989 23:45"</f>
        <v>10/14/1989 23:45</v>
      </c>
    </row>
    <row r="1477" spans="1:10" x14ac:dyDescent="0.3">
      <c r="A1477" t="s">
        <v>6</v>
      </c>
      <c r="B1477" t="str">
        <f>"10/15/1989 00:00"</f>
        <v>10/15/1989 00:00</v>
      </c>
      <c r="C1477">
        <v>1.34</v>
      </c>
      <c r="D1477" t="s">
        <v>7</v>
      </c>
      <c r="E1477" s="2" t="s">
        <v>12</v>
      </c>
      <c r="F1477">
        <f t="shared" si="23"/>
        <v>2.6572200000000001</v>
      </c>
      <c r="G1477" t="s">
        <v>16</v>
      </c>
      <c r="I1477" t="s">
        <v>8</v>
      </c>
      <c r="J1477" t="str">
        <f>"10/15/1989 23:45"</f>
        <v>10/15/1989 23:45</v>
      </c>
    </row>
    <row r="1478" spans="1:10" x14ac:dyDescent="0.3">
      <c r="A1478" t="s">
        <v>6</v>
      </c>
      <c r="B1478" t="str">
        <f>"10/16/1989 00:00"</f>
        <v>10/16/1989 00:00</v>
      </c>
      <c r="C1478">
        <v>1.34</v>
      </c>
      <c r="D1478" t="s">
        <v>7</v>
      </c>
      <c r="E1478" s="2" t="s">
        <v>12</v>
      </c>
      <c r="F1478">
        <f t="shared" si="23"/>
        <v>2.6572200000000001</v>
      </c>
      <c r="G1478" t="s">
        <v>16</v>
      </c>
      <c r="I1478" t="s">
        <v>35</v>
      </c>
      <c r="J1478" t="str">
        <f>"10/16/1989 23:45"</f>
        <v>10/16/1989 23:45</v>
      </c>
    </row>
    <row r="1479" spans="1:10" x14ac:dyDescent="0.3">
      <c r="A1479" t="s">
        <v>6</v>
      </c>
      <c r="B1479" t="str">
        <f>"10/17/1989 00:00"</f>
        <v>10/17/1989 00:00</v>
      </c>
      <c r="C1479">
        <v>1.34</v>
      </c>
      <c r="D1479" t="s">
        <v>7</v>
      </c>
      <c r="E1479" s="2" t="s">
        <v>12</v>
      </c>
      <c r="F1479">
        <f t="shared" si="23"/>
        <v>2.6572200000000001</v>
      </c>
      <c r="G1479" t="s">
        <v>16</v>
      </c>
      <c r="I1479" t="s">
        <v>35</v>
      </c>
      <c r="J1479" t="str">
        <f>"10/17/1989 23:45"</f>
        <v>10/17/1989 23:45</v>
      </c>
    </row>
    <row r="1480" spans="1:10" x14ac:dyDescent="0.3">
      <c r="A1480" t="s">
        <v>6</v>
      </c>
      <c r="B1480" t="str">
        <f>"10/18/1989 00:00"</f>
        <v>10/18/1989 00:00</v>
      </c>
      <c r="C1480">
        <v>1.34</v>
      </c>
      <c r="D1480" t="s">
        <v>7</v>
      </c>
      <c r="E1480" s="2" t="s">
        <v>12</v>
      </c>
      <c r="F1480">
        <f t="shared" si="23"/>
        <v>2.6572200000000001</v>
      </c>
      <c r="G1480" t="s">
        <v>16</v>
      </c>
      <c r="I1480" t="s">
        <v>35</v>
      </c>
      <c r="J1480" t="str">
        <f>"10/18/1989 23:45"</f>
        <v>10/18/1989 23:45</v>
      </c>
    </row>
    <row r="1481" spans="1:10" x14ac:dyDescent="0.3">
      <c r="A1481" t="s">
        <v>6</v>
      </c>
      <c r="B1481" t="str">
        <f>"10/19/1989 00:00"</f>
        <v>10/19/1989 00:00</v>
      </c>
      <c r="C1481">
        <v>1.41</v>
      </c>
      <c r="D1481" t="s">
        <v>7</v>
      </c>
      <c r="E1481" s="2" t="s">
        <v>12</v>
      </c>
      <c r="F1481">
        <f t="shared" si="23"/>
        <v>2.79603</v>
      </c>
      <c r="G1481" t="s">
        <v>16</v>
      </c>
      <c r="I1481" t="s">
        <v>8</v>
      </c>
      <c r="J1481" t="str">
        <f>"10/19/1989 23:45"</f>
        <v>10/19/1989 23:45</v>
      </c>
    </row>
    <row r="1482" spans="1:10" x14ac:dyDescent="0.3">
      <c r="A1482" t="s">
        <v>6</v>
      </c>
      <c r="B1482" t="str">
        <f>"10/20/1989 00:00"</f>
        <v>10/20/1989 00:00</v>
      </c>
      <c r="C1482">
        <v>1.34</v>
      </c>
      <c r="D1482" t="s">
        <v>7</v>
      </c>
      <c r="E1482" s="2" t="s">
        <v>12</v>
      </c>
      <c r="F1482">
        <f t="shared" si="23"/>
        <v>2.6572200000000001</v>
      </c>
      <c r="G1482" t="s">
        <v>16</v>
      </c>
      <c r="I1482" t="s">
        <v>8</v>
      </c>
      <c r="J1482" t="str">
        <f>"10/20/1989 23:45"</f>
        <v>10/20/1989 23:45</v>
      </c>
    </row>
    <row r="1483" spans="1:10" x14ac:dyDescent="0.3">
      <c r="A1483" t="s">
        <v>6</v>
      </c>
      <c r="B1483" t="str">
        <f>"10/21/1989 00:00"</f>
        <v>10/21/1989 00:00</v>
      </c>
      <c r="C1483">
        <v>1.34</v>
      </c>
      <c r="D1483" t="s">
        <v>7</v>
      </c>
      <c r="E1483" s="2" t="s">
        <v>12</v>
      </c>
      <c r="F1483">
        <f t="shared" si="23"/>
        <v>2.6572200000000001</v>
      </c>
      <c r="G1483" t="s">
        <v>16</v>
      </c>
      <c r="I1483" t="s">
        <v>35</v>
      </c>
      <c r="J1483" t="str">
        <f>"10/21/1989 23:45"</f>
        <v>10/21/1989 23:45</v>
      </c>
    </row>
    <row r="1484" spans="1:10" x14ac:dyDescent="0.3">
      <c r="A1484" t="s">
        <v>6</v>
      </c>
      <c r="B1484" t="str">
        <f>"10/22/1989 00:00"</f>
        <v>10/22/1989 00:00</v>
      </c>
      <c r="C1484">
        <v>1.34</v>
      </c>
      <c r="D1484" t="s">
        <v>7</v>
      </c>
      <c r="E1484" s="2" t="s">
        <v>12</v>
      </c>
      <c r="F1484">
        <f t="shared" si="23"/>
        <v>2.6572200000000001</v>
      </c>
      <c r="G1484" t="s">
        <v>16</v>
      </c>
      <c r="I1484" t="s">
        <v>8</v>
      </c>
      <c r="J1484" t="str">
        <f>"10/22/1989 23:45"</f>
        <v>10/22/1989 23:45</v>
      </c>
    </row>
    <row r="1485" spans="1:10" x14ac:dyDescent="0.3">
      <c r="A1485" t="s">
        <v>6</v>
      </c>
      <c r="B1485" t="str">
        <f>"10/23/1989 00:00"</f>
        <v>10/23/1989 00:00</v>
      </c>
      <c r="C1485">
        <v>1.34</v>
      </c>
      <c r="D1485" t="s">
        <v>7</v>
      </c>
      <c r="E1485" s="2" t="s">
        <v>12</v>
      </c>
      <c r="F1485">
        <f t="shared" si="23"/>
        <v>2.6572200000000001</v>
      </c>
      <c r="G1485" t="s">
        <v>16</v>
      </c>
      <c r="I1485" t="s">
        <v>8</v>
      </c>
      <c r="J1485" t="str">
        <f>"10/23/1989 23:45"</f>
        <v>10/23/1989 23:45</v>
      </c>
    </row>
    <row r="1486" spans="1:10" x14ac:dyDescent="0.3">
      <c r="A1486" t="s">
        <v>6</v>
      </c>
      <c r="B1486" t="str">
        <f>"10/24/1989 00:00"</f>
        <v>10/24/1989 00:00</v>
      </c>
      <c r="C1486">
        <v>1.34</v>
      </c>
      <c r="D1486" t="s">
        <v>7</v>
      </c>
      <c r="E1486" s="2" t="s">
        <v>12</v>
      </c>
      <c r="F1486">
        <f t="shared" si="23"/>
        <v>2.6572200000000001</v>
      </c>
      <c r="G1486" t="s">
        <v>16</v>
      </c>
      <c r="I1486" t="s">
        <v>8</v>
      </c>
      <c r="J1486" t="str">
        <f>"10/24/1989 23:45"</f>
        <v>10/24/1989 23:45</v>
      </c>
    </row>
    <row r="1487" spans="1:10" x14ac:dyDescent="0.3">
      <c r="A1487" t="s">
        <v>6</v>
      </c>
      <c r="B1487" t="str">
        <f>"10/25/1989 00:00"</f>
        <v>10/25/1989 00:00</v>
      </c>
      <c r="C1487">
        <v>1.34</v>
      </c>
      <c r="D1487" t="s">
        <v>7</v>
      </c>
      <c r="E1487" s="2" t="s">
        <v>12</v>
      </c>
      <c r="F1487">
        <f t="shared" si="23"/>
        <v>2.6572200000000001</v>
      </c>
      <c r="G1487" t="s">
        <v>16</v>
      </c>
      <c r="I1487" t="s">
        <v>8</v>
      </c>
      <c r="J1487" t="str">
        <f>"10/25/1989 23:45"</f>
        <v>10/25/1989 23:45</v>
      </c>
    </row>
    <row r="1488" spans="1:10" x14ac:dyDescent="0.3">
      <c r="A1488" t="s">
        <v>6</v>
      </c>
      <c r="B1488" t="str">
        <f>"10/26/1989 00:00"</f>
        <v>10/26/1989 00:00</v>
      </c>
      <c r="C1488">
        <v>1.34</v>
      </c>
      <c r="D1488" t="s">
        <v>7</v>
      </c>
      <c r="E1488" s="2" t="s">
        <v>12</v>
      </c>
      <c r="F1488">
        <f t="shared" si="23"/>
        <v>2.6572200000000001</v>
      </c>
      <c r="G1488" t="s">
        <v>16</v>
      </c>
      <c r="I1488" t="s">
        <v>8</v>
      </c>
      <c r="J1488" t="str">
        <f>"10/26/1989 23:45"</f>
        <v>10/26/1989 23:45</v>
      </c>
    </row>
    <row r="1489" spans="1:10" x14ac:dyDescent="0.3">
      <c r="A1489" t="s">
        <v>6</v>
      </c>
      <c r="B1489" t="str">
        <f>"10/27/1989 00:00"</f>
        <v>10/27/1989 00:00</v>
      </c>
      <c r="C1489">
        <v>1.34</v>
      </c>
      <c r="D1489" t="s">
        <v>7</v>
      </c>
      <c r="E1489" s="2" t="s">
        <v>12</v>
      </c>
      <c r="F1489">
        <f t="shared" si="23"/>
        <v>2.6572200000000001</v>
      </c>
      <c r="G1489" t="s">
        <v>16</v>
      </c>
      <c r="I1489" t="s">
        <v>8</v>
      </c>
      <c r="J1489" t="str">
        <f>"10/27/1989 23:45"</f>
        <v>10/27/1989 23:45</v>
      </c>
    </row>
    <row r="1490" spans="1:10" x14ac:dyDescent="0.3">
      <c r="A1490" t="s">
        <v>6</v>
      </c>
      <c r="B1490" t="str">
        <f>"10/28/1989 00:00"</f>
        <v>10/28/1989 00:00</v>
      </c>
      <c r="C1490">
        <v>1.34</v>
      </c>
      <c r="D1490" t="s">
        <v>7</v>
      </c>
      <c r="E1490" s="2" t="s">
        <v>12</v>
      </c>
      <c r="F1490">
        <f t="shared" si="23"/>
        <v>2.6572200000000001</v>
      </c>
      <c r="G1490" t="s">
        <v>16</v>
      </c>
      <c r="I1490" t="s">
        <v>8</v>
      </c>
      <c r="J1490" t="str">
        <f>"10/28/1989 23:45"</f>
        <v>10/28/1989 23:45</v>
      </c>
    </row>
    <row r="1491" spans="1:10" x14ac:dyDescent="0.3">
      <c r="A1491" t="s">
        <v>6</v>
      </c>
      <c r="B1491" t="str">
        <f>"10/29/1989 00:00"</f>
        <v>10/29/1989 00:00</v>
      </c>
      <c r="C1491">
        <v>1.34</v>
      </c>
      <c r="D1491" t="s">
        <v>7</v>
      </c>
      <c r="E1491" s="2" t="s">
        <v>12</v>
      </c>
      <c r="F1491">
        <f t="shared" si="23"/>
        <v>2.6572200000000001</v>
      </c>
      <c r="G1491" t="s">
        <v>16</v>
      </c>
      <c r="I1491" t="s">
        <v>8</v>
      </c>
      <c r="J1491" t="str">
        <f>"10/29/1989 23:45"</f>
        <v>10/29/1989 23:45</v>
      </c>
    </row>
    <row r="1492" spans="1:10" x14ac:dyDescent="0.3">
      <c r="A1492" t="s">
        <v>6</v>
      </c>
      <c r="B1492" t="str">
        <f>"10/30/1989 00:00"</f>
        <v>10/30/1989 00:00</v>
      </c>
      <c r="C1492">
        <v>1.34</v>
      </c>
      <c r="D1492" t="s">
        <v>7</v>
      </c>
      <c r="E1492" s="2" t="s">
        <v>12</v>
      </c>
      <c r="F1492">
        <f t="shared" si="23"/>
        <v>2.6572200000000001</v>
      </c>
      <c r="G1492" t="s">
        <v>16</v>
      </c>
      <c r="I1492" t="s">
        <v>8</v>
      </c>
      <c r="J1492" t="str">
        <f>"10/30/1989 23:45"</f>
        <v>10/30/1989 23:45</v>
      </c>
    </row>
    <row r="1493" spans="1:10" x14ac:dyDescent="0.3">
      <c r="A1493" t="s">
        <v>6</v>
      </c>
      <c r="B1493" t="str">
        <f>"10/31/1989 00:00"</f>
        <v>10/31/1989 00:00</v>
      </c>
      <c r="C1493">
        <v>1.34</v>
      </c>
      <c r="D1493" t="s">
        <v>7</v>
      </c>
      <c r="E1493" s="2" t="s">
        <v>12</v>
      </c>
      <c r="F1493">
        <f t="shared" si="23"/>
        <v>2.6572200000000001</v>
      </c>
      <c r="G1493" t="s">
        <v>16</v>
      </c>
      <c r="I1493" t="s">
        <v>35</v>
      </c>
      <c r="J1493" t="str">
        <f>"10/31/1989 23:45"</f>
        <v>10/31/1989 23:45</v>
      </c>
    </row>
    <row r="1494" spans="1:10" x14ac:dyDescent="0.3">
      <c r="A1494" t="s">
        <v>6</v>
      </c>
      <c r="B1494" t="str">
        <f>"11/01/1989 00:00"</f>
        <v>11/01/1989 00:00</v>
      </c>
      <c r="C1494">
        <v>12.8</v>
      </c>
      <c r="D1494" t="s">
        <v>7</v>
      </c>
      <c r="E1494" s="2" t="s">
        <v>12</v>
      </c>
      <c r="F1494">
        <f t="shared" si="23"/>
        <v>25.382400000000004</v>
      </c>
      <c r="G1494" t="s">
        <v>16</v>
      </c>
      <c r="I1494" t="s">
        <v>8</v>
      </c>
      <c r="J1494" t="str">
        <f>"11/01/1989 23:45"</f>
        <v>11/01/1989 23:45</v>
      </c>
    </row>
    <row r="1495" spans="1:10" x14ac:dyDescent="0.3">
      <c r="A1495" t="s">
        <v>6</v>
      </c>
      <c r="B1495" t="str">
        <f>"11/02/1989 00:00"</f>
        <v>11/02/1989 00:00</v>
      </c>
      <c r="C1495">
        <v>42.8</v>
      </c>
      <c r="D1495" t="s">
        <v>7</v>
      </c>
      <c r="E1495" s="2" t="s">
        <v>12</v>
      </c>
      <c r="F1495">
        <f t="shared" si="23"/>
        <v>84.872399999999999</v>
      </c>
      <c r="G1495" t="s">
        <v>16</v>
      </c>
      <c r="I1495" t="s">
        <v>8</v>
      </c>
      <c r="J1495" t="str">
        <f>"11/02/1989 23:45"</f>
        <v>11/02/1989 23:45</v>
      </c>
    </row>
    <row r="1496" spans="1:10" x14ac:dyDescent="0.3">
      <c r="A1496" t="s">
        <v>6</v>
      </c>
      <c r="B1496" t="str">
        <f>"11/03/1989 00:00"</f>
        <v>11/03/1989 00:00</v>
      </c>
      <c r="C1496">
        <v>65.599999999999994</v>
      </c>
      <c r="D1496" t="s">
        <v>7</v>
      </c>
      <c r="E1496" s="2" t="s">
        <v>12</v>
      </c>
      <c r="F1496">
        <f t="shared" si="23"/>
        <v>130.0848</v>
      </c>
      <c r="G1496" t="s">
        <v>16</v>
      </c>
      <c r="J1496" t="str">
        <f>"11/03/1989 23:45"</f>
        <v>11/03/1989 23:45</v>
      </c>
    </row>
    <row r="1497" spans="1:10" x14ac:dyDescent="0.3">
      <c r="A1497" t="s">
        <v>6</v>
      </c>
      <c r="B1497" t="str">
        <f>"11/04/1989 00:00"</f>
        <v>11/04/1989 00:00</v>
      </c>
      <c r="C1497">
        <v>65.2</v>
      </c>
      <c r="D1497" t="s">
        <v>7</v>
      </c>
      <c r="E1497" s="2" t="s">
        <v>12</v>
      </c>
      <c r="F1497">
        <f t="shared" si="23"/>
        <v>129.29160000000002</v>
      </c>
      <c r="G1497" t="s">
        <v>16</v>
      </c>
      <c r="J1497" t="str">
        <f>"11/04/1989 23:45"</f>
        <v>11/04/1989 23:45</v>
      </c>
    </row>
    <row r="1498" spans="1:10" x14ac:dyDescent="0.3">
      <c r="A1498" t="s">
        <v>6</v>
      </c>
      <c r="B1498" t="str">
        <f>"11/05/1989 00:00"</f>
        <v>11/05/1989 00:00</v>
      </c>
      <c r="C1498">
        <v>65.099999999999994</v>
      </c>
      <c r="D1498" t="s">
        <v>7</v>
      </c>
      <c r="E1498" s="2" t="s">
        <v>12</v>
      </c>
      <c r="F1498">
        <f t="shared" si="23"/>
        <v>129.0933</v>
      </c>
      <c r="G1498" t="s">
        <v>16</v>
      </c>
      <c r="J1498" t="str">
        <f>"11/05/1989 13:45"</f>
        <v>11/05/1989 13:45</v>
      </c>
    </row>
    <row r="1499" spans="1:10" x14ac:dyDescent="0.3">
      <c r="A1499" t="s">
        <v>6</v>
      </c>
      <c r="B1499" t="str">
        <f>"11/06/1989 00:00"</f>
        <v>11/06/1989 00:00</v>
      </c>
      <c r="C1499">
        <v>88.8</v>
      </c>
      <c r="D1499" t="s">
        <v>7</v>
      </c>
      <c r="E1499" s="2" t="s">
        <v>12</v>
      </c>
      <c r="F1499">
        <f t="shared" si="23"/>
        <v>176.09040000000002</v>
      </c>
      <c r="G1499" t="s">
        <v>16</v>
      </c>
      <c r="I1499" t="s">
        <v>8</v>
      </c>
      <c r="J1499" t="str">
        <f>"11/06/1989 23:45"</f>
        <v>11/06/1989 23:45</v>
      </c>
    </row>
    <row r="1500" spans="1:10" x14ac:dyDescent="0.3">
      <c r="A1500" t="s">
        <v>6</v>
      </c>
      <c r="B1500" t="str">
        <f>"11/07/1989 00:00"</f>
        <v>11/07/1989 00:00</v>
      </c>
      <c r="C1500">
        <v>102</v>
      </c>
      <c r="D1500" t="s">
        <v>7</v>
      </c>
      <c r="E1500" s="2" t="s">
        <v>12</v>
      </c>
      <c r="F1500">
        <f t="shared" si="23"/>
        <v>202.26600000000002</v>
      </c>
      <c r="G1500" t="s">
        <v>16</v>
      </c>
      <c r="I1500" t="s">
        <v>8</v>
      </c>
      <c r="J1500" t="str">
        <f>"11/07/1989 23:45"</f>
        <v>11/07/1989 23:45</v>
      </c>
    </row>
    <row r="1501" spans="1:10" x14ac:dyDescent="0.3">
      <c r="A1501" t="s">
        <v>6</v>
      </c>
      <c r="B1501" t="str">
        <f>"11/08/1989 00:00"</f>
        <v>11/08/1989 00:00</v>
      </c>
      <c r="C1501">
        <v>101</v>
      </c>
      <c r="D1501" t="s">
        <v>7</v>
      </c>
      <c r="E1501" s="2" t="s">
        <v>12</v>
      </c>
      <c r="F1501">
        <f t="shared" si="23"/>
        <v>200.28300000000002</v>
      </c>
      <c r="G1501" t="s">
        <v>16</v>
      </c>
      <c r="I1501" t="s">
        <v>8</v>
      </c>
      <c r="J1501" t="str">
        <f>"11/08/1989 23:45"</f>
        <v>11/08/1989 23:45</v>
      </c>
    </row>
    <row r="1502" spans="1:10" x14ac:dyDescent="0.3">
      <c r="A1502" t="s">
        <v>6</v>
      </c>
      <c r="B1502" t="str">
        <f>"11/09/1989 00:00"</f>
        <v>11/09/1989 00:00</v>
      </c>
      <c r="C1502">
        <v>102</v>
      </c>
      <c r="D1502" t="s">
        <v>7</v>
      </c>
      <c r="E1502" s="2" t="s">
        <v>12</v>
      </c>
      <c r="F1502">
        <f t="shared" si="23"/>
        <v>202.26600000000002</v>
      </c>
      <c r="G1502" t="s">
        <v>16</v>
      </c>
      <c r="I1502" t="s">
        <v>8</v>
      </c>
      <c r="J1502" t="str">
        <f>"11/09/1989 23:45"</f>
        <v>11/09/1989 23:45</v>
      </c>
    </row>
    <row r="1503" spans="1:10" x14ac:dyDescent="0.3">
      <c r="A1503" t="s">
        <v>6</v>
      </c>
      <c r="B1503" t="str">
        <f>"11/10/1989 00:00"</f>
        <v>11/10/1989 00:00</v>
      </c>
      <c r="C1503">
        <v>102</v>
      </c>
      <c r="D1503" t="s">
        <v>7</v>
      </c>
      <c r="E1503" s="2" t="s">
        <v>12</v>
      </c>
      <c r="F1503">
        <f t="shared" si="23"/>
        <v>202.26600000000002</v>
      </c>
      <c r="G1503" t="s">
        <v>16</v>
      </c>
      <c r="I1503" t="s">
        <v>8</v>
      </c>
      <c r="J1503" t="str">
        <f>"11/10/1989 13:45"</f>
        <v>11/10/1989 13:45</v>
      </c>
    </row>
    <row r="1504" spans="1:10" x14ac:dyDescent="0.3">
      <c r="A1504" t="s">
        <v>6</v>
      </c>
      <c r="B1504" t="str">
        <f>"11/11/1989 00:00"</f>
        <v>11/11/1989 00:00</v>
      </c>
      <c r="D1504" t="s">
        <v>7</v>
      </c>
      <c r="E1504" s="2" t="s">
        <v>12</v>
      </c>
      <c r="F1504">
        <f t="shared" si="23"/>
        <v>0</v>
      </c>
      <c r="G1504" t="s">
        <v>16</v>
      </c>
    </row>
    <row r="1505" spans="1:10" x14ac:dyDescent="0.3">
      <c r="A1505" t="s">
        <v>6</v>
      </c>
      <c r="B1505" t="str">
        <f>"11/12/1989 00:00"</f>
        <v>11/12/1989 00:00</v>
      </c>
      <c r="D1505" t="s">
        <v>7</v>
      </c>
      <c r="E1505" s="2" t="s">
        <v>12</v>
      </c>
      <c r="F1505">
        <f t="shared" si="23"/>
        <v>0</v>
      </c>
      <c r="G1505" t="s">
        <v>16</v>
      </c>
    </row>
    <row r="1506" spans="1:10" x14ac:dyDescent="0.3">
      <c r="A1506" t="s">
        <v>6</v>
      </c>
      <c r="B1506" t="str">
        <f>"11/13/1989 00:00"</f>
        <v>11/13/1989 00:00</v>
      </c>
      <c r="D1506" t="s">
        <v>7</v>
      </c>
      <c r="E1506" s="2" t="s">
        <v>12</v>
      </c>
      <c r="F1506">
        <f t="shared" si="23"/>
        <v>0</v>
      </c>
      <c r="G1506" t="s">
        <v>16</v>
      </c>
    </row>
    <row r="1507" spans="1:10" x14ac:dyDescent="0.3">
      <c r="A1507" t="s">
        <v>6</v>
      </c>
      <c r="B1507" t="str">
        <f>"11/14/1989 00:00"</f>
        <v>11/14/1989 00:00</v>
      </c>
      <c r="C1507">
        <v>102</v>
      </c>
      <c r="D1507" t="s">
        <v>7</v>
      </c>
      <c r="E1507" s="2" t="s">
        <v>12</v>
      </c>
      <c r="F1507">
        <f t="shared" si="23"/>
        <v>202.26600000000002</v>
      </c>
      <c r="G1507" t="s">
        <v>16</v>
      </c>
      <c r="I1507" t="s">
        <v>35</v>
      </c>
      <c r="J1507" t="str">
        <f>"11/14/1989 23:45"</f>
        <v>11/14/1989 23:45</v>
      </c>
    </row>
    <row r="1508" spans="1:10" x14ac:dyDescent="0.3">
      <c r="A1508" t="s">
        <v>6</v>
      </c>
      <c r="B1508" t="str">
        <f>"11/15/1989 00:00"</f>
        <v>11/15/1989 00:00</v>
      </c>
      <c r="C1508">
        <v>102</v>
      </c>
      <c r="D1508" t="s">
        <v>7</v>
      </c>
      <c r="E1508" s="2" t="s">
        <v>12</v>
      </c>
      <c r="F1508">
        <f t="shared" si="23"/>
        <v>202.26600000000002</v>
      </c>
      <c r="G1508" t="s">
        <v>16</v>
      </c>
      <c r="I1508" t="s">
        <v>8</v>
      </c>
      <c r="J1508" t="str">
        <f>"11/15/1989 23:45"</f>
        <v>11/15/1989 23:45</v>
      </c>
    </row>
    <row r="1509" spans="1:10" x14ac:dyDescent="0.3">
      <c r="A1509" t="s">
        <v>6</v>
      </c>
      <c r="B1509" t="str">
        <f>"11/16/1989 00:00"</f>
        <v>11/16/1989 00:00</v>
      </c>
      <c r="C1509">
        <v>118</v>
      </c>
      <c r="D1509" t="s">
        <v>7</v>
      </c>
      <c r="E1509" s="2" t="s">
        <v>12</v>
      </c>
      <c r="F1509">
        <f t="shared" si="23"/>
        <v>233.994</v>
      </c>
      <c r="G1509" t="s">
        <v>16</v>
      </c>
      <c r="I1509" t="s">
        <v>8</v>
      </c>
      <c r="J1509" t="str">
        <f>"11/16/1989 23:45"</f>
        <v>11/16/1989 23:45</v>
      </c>
    </row>
    <row r="1510" spans="1:10" x14ac:dyDescent="0.3">
      <c r="A1510" t="s">
        <v>6</v>
      </c>
      <c r="B1510" t="str">
        <f>"11/17/1989 00:00"</f>
        <v>11/17/1989 00:00</v>
      </c>
      <c r="C1510">
        <v>132</v>
      </c>
      <c r="D1510" t="s">
        <v>7</v>
      </c>
      <c r="E1510" s="2" t="s">
        <v>12</v>
      </c>
      <c r="F1510">
        <f t="shared" si="23"/>
        <v>261.75600000000003</v>
      </c>
      <c r="G1510" t="s">
        <v>16</v>
      </c>
      <c r="I1510" t="s">
        <v>8</v>
      </c>
      <c r="J1510" t="str">
        <f>"11/17/1989 23:45"</f>
        <v>11/17/1989 23:45</v>
      </c>
    </row>
    <row r="1511" spans="1:10" x14ac:dyDescent="0.3">
      <c r="A1511" t="s">
        <v>6</v>
      </c>
      <c r="B1511" t="str">
        <f>"11/18/1989 00:00"</f>
        <v>11/18/1989 00:00</v>
      </c>
      <c r="C1511">
        <v>132</v>
      </c>
      <c r="D1511" t="s">
        <v>7</v>
      </c>
      <c r="E1511" s="2" t="s">
        <v>12</v>
      </c>
      <c r="F1511">
        <f t="shared" si="23"/>
        <v>261.75600000000003</v>
      </c>
      <c r="G1511" t="s">
        <v>16</v>
      </c>
      <c r="I1511" t="s">
        <v>8</v>
      </c>
      <c r="J1511" t="str">
        <f>"11/18/1989 23:45"</f>
        <v>11/18/1989 23:45</v>
      </c>
    </row>
    <row r="1512" spans="1:10" x14ac:dyDescent="0.3">
      <c r="A1512" t="s">
        <v>6</v>
      </c>
      <c r="B1512" t="str">
        <f>"11/19/1989 00:00"</f>
        <v>11/19/1989 00:00</v>
      </c>
      <c r="C1512">
        <v>132</v>
      </c>
      <c r="D1512" t="s">
        <v>7</v>
      </c>
      <c r="E1512" s="2" t="s">
        <v>12</v>
      </c>
      <c r="F1512">
        <f t="shared" si="23"/>
        <v>261.75600000000003</v>
      </c>
      <c r="G1512" t="s">
        <v>16</v>
      </c>
      <c r="I1512" t="s">
        <v>35</v>
      </c>
      <c r="J1512" t="str">
        <f>"11/19/1989 13:45"</f>
        <v>11/19/1989 13:45</v>
      </c>
    </row>
    <row r="1513" spans="1:10" x14ac:dyDescent="0.3">
      <c r="A1513" t="s">
        <v>6</v>
      </c>
      <c r="B1513" t="str">
        <f>"11/20/1989 00:00"</f>
        <v>11/20/1989 00:00</v>
      </c>
      <c r="D1513" t="s">
        <v>7</v>
      </c>
      <c r="E1513" s="2" t="s">
        <v>12</v>
      </c>
      <c r="F1513">
        <f t="shared" si="23"/>
        <v>0</v>
      </c>
      <c r="G1513" t="s">
        <v>16</v>
      </c>
    </row>
    <row r="1514" spans="1:10" x14ac:dyDescent="0.3">
      <c r="A1514" t="s">
        <v>6</v>
      </c>
      <c r="B1514" t="str">
        <f>"11/21/1989 00:00"</f>
        <v>11/21/1989 00:00</v>
      </c>
      <c r="D1514" t="s">
        <v>7</v>
      </c>
      <c r="E1514" s="2" t="s">
        <v>12</v>
      </c>
      <c r="F1514">
        <f t="shared" si="23"/>
        <v>0</v>
      </c>
      <c r="G1514" t="s">
        <v>16</v>
      </c>
    </row>
    <row r="1515" spans="1:10" x14ac:dyDescent="0.3">
      <c r="A1515" t="s">
        <v>6</v>
      </c>
      <c r="B1515" t="str">
        <f>"11/22/1989 00:00"</f>
        <v>11/22/1989 00:00</v>
      </c>
      <c r="C1515">
        <v>164</v>
      </c>
      <c r="D1515" t="s">
        <v>7</v>
      </c>
      <c r="E1515" s="2" t="s">
        <v>12</v>
      </c>
      <c r="F1515">
        <f t="shared" si="23"/>
        <v>325.21199999999999</v>
      </c>
      <c r="G1515" t="s">
        <v>16</v>
      </c>
      <c r="I1515" t="s">
        <v>8</v>
      </c>
      <c r="J1515" t="str">
        <f>"11/22/1989 23:45"</f>
        <v>11/22/1989 23:45</v>
      </c>
    </row>
    <row r="1516" spans="1:10" x14ac:dyDescent="0.3">
      <c r="A1516" t="s">
        <v>6</v>
      </c>
      <c r="B1516" t="str">
        <f>"11/23/1989 00:00"</f>
        <v>11/23/1989 00:00</v>
      </c>
      <c r="C1516">
        <v>178</v>
      </c>
      <c r="D1516" t="s">
        <v>7</v>
      </c>
      <c r="E1516" s="2" t="s">
        <v>12</v>
      </c>
      <c r="F1516">
        <f t="shared" si="23"/>
        <v>352.97399999999999</v>
      </c>
      <c r="G1516" t="s">
        <v>16</v>
      </c>
      <c r="I1516" t="s">
        <v>8</v>
      </c>
      <c r="J1516" t="str">
        <f>"11/23/1989 23:45"</f>
        <v>11/23/1989 23:45</v>
      </c>
    </row>
    <row r="1517" spans="1:10" x14ac:dyDescent="0.3">
      <c r="A1517" t="s">
        <v>6</v>
      </c>
      <c r="B1517" t="str">
        <f>"11/24/1989 00:00"</f>
        <v>11/24/1989 00:00</v>
      </c>
      <c r="C1517">
        <v>178</v>
      </c>
      <c r="D1517" t="s">
        <v>7</v>
      </c>
      <c r="E1517" s="2" t="s">
        <v>12</v>
      </c>
      <c r="F1517">
        <f t="shared" si="23"/>
        <v>352.97399999999999</v>
      </c>
      <c r="G1517" t="s">
        <v>16</v>
      </c>
      <c r="I1517" t="s">
        <v>8</v>
      </c>
      <c r="J1517" t="str">
        <f>"11/24/1989 23:45"</f>
        <v>11/24/1989 23:45</v>
      </c>
    </row>
    <row r="1518" spans="1:10" x14ac:dyDescent="0.3">
      <c r="A1518" t="s">
        <v>6</v>
      </c>
      <c r="B1518" t="str">
        <f>"11/25/1989 00:00"</f>
        <v>11/25/1989 00:00</v>
      </c>
      <c r="C1518">
        <v>178</v>
      </c>
      <c r="D1518" t="s">
        <v>7</v>
      </c>
      <c r="E1518" s="2" t="s">
        <v>12</v>
      </c>
      <c r="F1518">
        <f t="shared" si="23"/>
        <v>352.97399999999999</v>
      </c>
      <c r="G1518" t="s">
        <v>16</v>
      </c>
      <c r="I1518" t="s">
        <v>8</v>
      </c>
      <c r="J1518" t="str">
        <f>"11/25/1989 23:45"</f>
        <v>11/25/1989 23:45</v>
      </c>
    </row>
    <row r="1519" spans="1:10" x14ac:dyDescent="0.3">
      <c r="A1519" t="s">
        <v>6</v>
      </c>
      <c r="B1519" t="str">
        <f>"11/26/1989 00:00"</f>
        <v>11/26/1989 00:00</v>
      </c>
      <c r="C1519">
        <v>178</v>
      </c>
      <c r="D1519" t="s">
        <v>7</v>
      </c>
      <c r="E1519" s="2" t="s">
        <v>12</v>
      </c>
      <c r="F1519">
        <f t="shared" si="23"/>
        <v>352.97399999999999</v>
      </c>
      <c r="G1519" t="s">
        <v>16</v>
      </c>
      <c r="I1519" t="s">
        <v>35</v>
      </c>
      <c r="J1519" t="str">
        <f>"11/26/1989 23:45"</f>
        <v>11/26/1989 23:45</v>
      </c>
    </row>
    <row r="1520" spans="1:10" x14ac:dyDescent="0.3">
      <c r="A1520" t="s">
        <v>6</v>
      </c>
      <c r="B1520" t="str">
        <f>"11/27/1989 00:00"</f>
        <v>11/27/1989 00:00</v>
      </c>
      <c r="C1520">
        <v>185</v>
      </c>
      <c r="D1520" t="s">
        <v>7</v>
      </c>
      <c r="E1520" s="2" t="s">
        <v>12</v>
      </c>
      <c r="F1520">
        <f t="shared" si="23"/>
        <v>366.85500000000002</v>
      </c>
      <c r="G1520" t="s">
        <v>16</v>
      </c>
      <c r="I1520" t="s">
        <v>8</v>
      </c>
      <c r="J1520" t="str">
        <f>"11/27/1989 23:45"</f>
        <v>11/27/1989 23:45</v>
      </c>
    </row>
    <row r="1521" spans="1:10" x14ac:dyDescent="0.3">
      <c r="A1521" t="s">
        <v>6</v>
      </c>
      <c r="B1521" t="str">
        <f>"11/28/1989 00:00"</f>
        <v>11/28/1989 00:00</v>
      </c>
      <c r="C1521">
        <v>187</v>
      </c>
      <c r="D1521" t="s">
        <v>7</v>
      </c>
      <c r="E1521" s="2" t="s">
        <v>12</v>
      </c>
      <c r="F1521">
        <f t="shared" si="23"/>
        <v>370.82100000000003</v>
      </c>
      <c r="G1521" t="s">
        <v>16</v>
      </c>
      <c r="I1521" t="s">
        <v>8</v>
      </c>
      <c r="J1521" t="str">
        <f>"11/28/1989 23:45"</f>
        <v>11/28/1989 23:45</v>
      </c>
    </row>
    <row r="1522" spans="1:10" x14ac:dyDescent="0.3">
      <c r="A1522" t="s">
        <v>6</v>
      </c>
      <c r="B1522" t="str">
        <f>"11/29/1989 00:00"</f>
        <v>11/29/1989 00:00</v>
      </c>
      <c r="C1522">
        <v>176</v>
      </c>
      <c r="D1522" t="s">
        <v>7</v>
      </c>
      <c r="E1522" s="2" t="s">
        <v>12</v>
      </c>
      <c r="F1522">
        <f t="shared" si="23"/>
        <v>349.00800000000004</v>
      </c>
      <c r="G1522" t="s">
        <v>16</v>
      </c>
      <c r="I1522" t="s">
        <v>8</v>
      </c>
      <c r="J1522" t="str">
        <f>"11/29/1989 23:45"</f>
        <v>11/29/1989 23:45</v>
      </c>
    </row>
    <row r="1523" spans="1:10" x14ac:dyDescent="0.3">
      <c r="A1523" t="s">
        <v>6</v>
      </c>
      <c r="B1523" t="str">
        <f>"11/30/1989 00:00"</f>
        <v>11/30/1989 00:00</v>
      </c>
      <c r="C1523">
        <v>162</v>
      </c>
      <c r="D1523" t="s">
        <v>7</v>
      </c>
      <c r="E1523" s="2" t="s">
        <v>12</v>
      </c>
      <c r="F1523">
        <f t="shared" si="23"/>
        <v>321.24600000000004</v>
      </c>
      <c r="G1523" t="s">
        <v>16</v>
      </c>
      <c r="I1523" t="s">
        <v>8</v>
      </c>
      <c r="J1523" t="str">
        <f>"11/30/1989 23:45"</f>
        <v>11/30/1989 23:45</v>
      </c>
    </row>
    <row r="1524" spans="1:10" x14ac:dyDescent="0.3">
      <c r="A1524" t="s">
        <v>6</v>
      </c>
      <c r="B1524" t="str">
        <f>"12/01/1989 00:00"</f>
        <v>12/01/1989 00:00</v>
      </c>
      <c r="C1524">
        <v>162</v>
      </c>
      <c r="D1524" t="s">
        <v>7</v>
      </c>
      <c r="E1524" s="2" t="s">
        <v>12</v>
      </c>
      <c r="F1524">
        <f t="shared" si="23"/>
        <v>321.24600000000004</v>
      </c>
      <c r="G1524" t="s">
        <v>16</v>
      </c>
      <c r="I1524" t="s">
        <v>35</v>
      </c>
      <c r="J1524" t="str">
        <f>"12/01/1989 23:45"</f>
        <v>12/01/1989 23:45</v>
      </c>
    </row>
    <row r="1525" spans="1:10" x14ac:dyDescent="0.3">
      <c r="A1525" t="s">
        <v>6</v>
      </c>
      <c r="B1525" t="str">
        <f>"12/02/1989 00:00"</f>
        <v>12/02/1989 00:00</v>
      </c>
      <c r="C1525">
        <v>161</v>
      </c>
      <c r="D1525" t="s">
        <v>7</v>
      </c>
      <c r="E1525" s="2" t="s">
        <v>12</v>
      </c>
      <c r="F1525">
        <f t="shared" si="23"/>
        <v>319.26300000000003</v>
      </c>
      <c r="G1525" t="s">
        <v>16</v>
      </c>
      <c r="I1525" t="s">
        <v>8</v>
      </c>
      <c r="J1525" t="str">
        <f>"12/02/1989 23:45"</f>
        <v>12/02/1989 23:45</v>
      </c>
    </row>
    <row r="1526" spans="1:10" x14ac:dyDescent="0.3">
      <c r="A1526" t="s">
        <v>6</v>
      </c>
      <c r="B1526" t="str">
        <f>"12/03/1989 00:00"</f>
        <v>12/03/1989 00:00</v>
      </c>
      <c r="C1526">
        <v>162</v>
      </c>
      <c r="D1526" t="s">
        <v>7</v>
      </c>
      <c r="E1526" s="2" t="s">
        <v>12</v>
      </c>
      <c r="F1526">
        <f t="shared" si="23"/>
        <v>321.24600000000004</v>
      </c>
      <c r="G1526" t="s">
        <v>16</v>
      </c>
      <c r="I1526" t="s">
        <v>8</v>
      </c>
      <c r="J1526" t="str">
        <f>"12/03/1989 23:45"</f>
        <v>12/03/1989 23:45</v>
      </c>
    </row>
    <row r="1527" spans="1:10" x14ac:dyDescent="0.3">
      <c r="A1527" t="s">
        <v>6</v>
      </c>
      <c r="B1527" t="str">
        <f>"12/04/1989 00:00"</f>
        <v>12/04/1989 00:00</v>
      </c>
      <c r="C1527">
        <v>162</v>
      </c>
      <c r="D1527" t="s">
        <v>7</v>
      </c>
      <c r="E1527" s="2" t="s">
        <v>12</v>
      </c>
      <c r="F1527">
        <f t="shared" si="23"/>
        <v>321.24600000000004</v>
      </c>
      <c r="G1527" t="s">
        <v>16</v>
      </c>
      <c r="I1527" t="s">
        <v>8</v>
      </c>
      <c r="J1527" t="str">
        <f>"12/04/1989 13:45"</f>
        <v>12/04/1989 13:45</v>
      </c>
    </row>
    <row r="1528" spans="1:10" x14ac:dyDescent="0.3">
      <c r="A1528" t="s">
        <v>6</v>
      </c>
      <c r="B1528" t="str">
        <f>"12/05/1989 00:00"</f>
        <v>12/05/1989 00:00</v>
      </c>
      <c r="D1528" t="s">
        <v>7</v>
      </c>
      <c r="E1528" s="2" t="s">
        <v>12</v>
      </c>
      <c r="F1528">
        <f t="shared" si="23"/>
        <v>0</v>
      </c>
      <c r="G1528" t="s">
        <v>16</v>
      </c>
    </row>
    <row r="1529" spans="1:10" x14ac:dyDescent="0.3">
      <c r="A1529" t="s">
        <v>6</v>
      </c>
      <c r="B1529" t="str">
        <f>"12/06/1989 00:00"</f>
        <v>12/06/1989 00:00</v>
      </c>
      <c r="C1529">
        <v>163</v>
      </c>
      <c r="D1529" t="s">
        <v>7</v>
      </c>
      <c r="E1529" s="2" t="s">
        <v>12</v>
      </c>
      <c r="F1529">
        <f t="shared" si="23"/>
        <v>323.22900000000004</v>
      </c>
      <c r="G1529" t="s">
        <v>16</v>
      </c>
      <c r="I1529" t="s">
        <v>8</v>
      </c>
      <c r="J1529" t="str">
        <f>"12/06/1989 23:45"</f>
        <v>12/06/1989 23:45</v>
      </c>
    </row>
    <row r="1530" spans="1:10" x14ac:dyDescent="0.3">
      <c r="A1530" t="s">
        <v>6</v>
      </c>
      <c r="B1530" t="str">
        <f>"12/07/1989 00:00"</f>
        <v>12/07/1989 00:00</v>
      </c>
      <c r="C1530">
        <v>163</v>
      </c>
      <c r="D1530" t="s">
        <v>7</v>
      </c>
      <c r="E1530" s="2" t="s">
        <v>12</v>
      </c>
      <c r="F1530">
        <f t="shared" si="23"/>
        <v>323.22900000000004</v>
      </c>
      <c r="G1530" t="s">
        <v>16</v>
      </c>
      <c r="I1530" t="s">
        <v>8</v>
      </c>
      <c r="J1530" t="str">
        <f>"12/07/1989 23:45"</f>
        <v>12/07/1989 23:45</v>
      </c>
    </row>
    <row r="1531" spans="1:10" x14ac:dyDescent="0.3">
      <c r="A1531" t="s">
        <v>6</v>
      </c>
      <c r="B1531" t="str">
        <f>"12/08/1989 00:00"</f>
        <v>12/08/1989 00:00</v>
      </c>
      <c r="C1531">
        <v>163</v>
      </c>
      <c r="D1531" t="s">
        <v>7</v>
      </c>
      <c r="E1531" s="2" t="s">
        <v>12</v>
      </c>
      <c r="F1531">
        <f t="shared" si="23"/>
        <v>323.22900000000004</v>
      </c>
      <c r="G1531" t="s">
        <v>16</v>
      </c>
      <c r="I1531" t="s">
        <v>35</v>
      </c>
      <c r="J1531" t="str">
        <f>"12/08/1989 01:45"</f>
        <v>12/08/1989 01:45</v>
      </c>
    </row>
    <row r="1532" spans="1:10" x14ac:dyDescent="0.3">
      <c r="A1532" t="s">
        <v>6</v>
      </c>
      <c r="B1532" t="str">
        <f>"12/09/1989 00:00"</f>
        <v>12/09/1989 00:00</v>
      </c>
      <c r="D1532" t="s">
        <v>7</v>
      </c>
      <c r="E1532" s="2" t="s">
        <v>12</v>
      </c>
      <c r="F1532">
        <f t="shared" si="23"/>
        <v>0</v>
      </c>
      <c r="G1532" t="s">
        <v>16</v>
      </c>
    </row>
    <row r="1533" spans="1:10" x14ac:dyDescent="0.3">
      <c r="A1533" t="s">
        <v>6</v>
      </c>
      <c r="B1533" t="str">
        <f>"12/10/1989 00:00"</f>
        <v>12/10/1989 00:00</v>
      </c>
      <c r="C1533">
        <v>162</v>
      </c>
      <c r="D1533" t="s">
        <v>7</v>
      </c>
      <c r="E1533" s="2" t="s">
        <v>12</v>
      </c>
      <c r="F1533">
        <f t="shared" si="23"/>
        <v>321.24600000000004</v>
      </c>
      <c r="G1533" t="s">
        <v>16</v>
      </c>
      <c r="J1533" t="str">
        <f>"12/10/1989 23:45"</f>
        <v>12/10/1989 23:45</v>
      </c>
    </row>
    <row r="1534" spans="1:10" x14ac:dyDescent="0.3">
      <c r="A1534" t="s">
        <v>6</v>
      </c>
      <c r="B1534" t="str">
        <f>"12/11/1989 00:00"</f>
        <v>12/11/1989 00:00</v>
      </c>
      <c r="C1534">
        <v>161</v>
      </c>
      <c r="D1534" t="s">
        <v>7</v>
      </c>
      <c r="E1534" s="2" t="s">
        <v>12</v>
      </c>
      <c r="F1534">
        <f t="shared" si="23"/>
        <v>319.26300000000003</v>
      </c>
      <c r="G1534" t="s">
        <v>16</v>
      </c>
      <c r="J1534" t="str">
        <f>"12/11/1989 23:45"</f>
        <v>12/11/1989 23:45</v>
      </c>
    </row>
    <row r="1535" spans="1:10" x14ac:dyDescent="0.3">
      <c r="A1535" t="s">
        <v>6</v>
      </c>
      <c r="B1535" t="str">
        <f>"12/12/1989 00:00"</f>
        <v>12/12/1989 00:00</v>
      </c>
      <c r="C1535">
        <v>160</v>
      </c>
      <c r="D1535" t="s">
        <v>7</v>
      </c>
      <c r="E1535" s="2" t="s">
        <v>12</v>
      </c>
      <c r="F1535">
        <f t="shared" si="23"/>
        <v>317.28000000000003</v>
      </c>
      <c r="G1535" t="s">
        <v>16</v>
      </c>
      <c r="I1535" t="s">
        <v>8</v>
      </c>
      <c r="J1535" t="str">
        <f>"12/12/1989 23:45"</f>
        <v>12/12/1989 23:45</v>
      </c>
    </row>
    <row r="1536" spans="1:10" x14ac:dyDescent="0.3">
      <c r="A1536" t="s">
        <v>6</v>
      </c>
      <c r="B1536" t="str">
        <f>"12/13/1989 00:00"</f>
        <v>12/13/1989 00:00</v>
      </c>
      <c r="C1536">
        <v>160</v>
      </c>
      <c r="D1536" t="s">
        <v>7</v>
      </c>
      <c r="E1536" s="2" t="s">
        <v>12</v>
      </c>
      <c r="F1536">
        <f t="shared" si="23"/>
        <v>317.28000000000003</v>
      </c>
      <c r="G1536" t="s">
        <v>16</v>
      </c>
      <c r="J1536" t="str">
        <f>"12/13/1989 23:45"</f>
        <v>12/13/1989 23:45</v>
      </c>
    </row>
    <row r="1537" spans="1:10" x14ac:dyDescent="0.3">
      <c r="A1537" t="s">
        <v>6</v>
      </c>
      <c r="B1537" t="str">
        <f>"12/14/1989 00:00"</f>
        <v>12/14/1989 00:00</v>
      </c>
      <c r="C1537">
        <v>155</v>
      </c>
      <c r="D1537" t="s">
        <v>7</v>
      </c>
      <c r="E1537" s="2" t="s">
        <v>12</v>
      </c>
      <c r="F1537">
        <f t="shared" si="23"/>
        <v>307.36500000000001</v>
      </c>
      <c r="G1537" t="s">
        <v>16</v>
      </c>
      <c r="J1537" t="str">
        <f>"12/14/1989 17:45"</f>
        <v>12/14/1989 17:45</v>
      </c>
    </row>
    <row r="1538" spans="1:10" x14ac:dyDescent="0.3">
      <c r="A1538" t="s">
        <v>6</v>
      </c>
      <c r="B1538" t="str">
        <f>"12/15/1989 00:00"</f>
        <v>12/15/1989 00:00</v>
      </c>
      <c r="D1538" t="s">
        <v>7</v>
      </c>
      <c r="E1538" s="2" t="s">
        <v>12</v>
      </c>
      <c r="F1538">
        <f t="shared" si="23"/>
        <v>0</v>
      </c>
      <c r="G1538" t="s">
        <v>16</v>
      </c>
      <c r="I1538" t="s">
        <v>36</v>
      </c>
      <c r="J1538" t="str">
        <f>"12/15/1989 23:45"</f>
        <v>12/15/1989 23:45</v>
      </c>
    </row>
    <row r="1539" spans="1:10" x14ac:dyDescent="0.3">
      <c r="A1539" t="s">
        <v>6</v>
      </c>
      <c r="B1539" t="str">
        <f>"12/16/1989 00:00"</f>
        <v>12/16/1989 00:00</v>
      </c>
      <c r="C1539">
        <v>157</v>
      </c>
      <c r="D1539" t="s">
        <v>7</v>
      </c>
      <c r="E1539" s="2" t="s">
        <v>12</v>
      </c>
      <c r="F1539">
        <f t="shared" ref="F1539:F1602" si="24">C1539*1.983</f>
        <v>311.33100000000002</v>
      </c>
      <c r="G1539" t="s">
        <v>16</v>
      </c>
      <c r="I1539" t="s">
        <v>8</v>
      </c>
      <c r="J1539" t="str">
        <f>"12/16/1989 23:45"</f>
        <v>12/16/1989 23:45</v>
      </c>
    </row>
    <row r="1540" spans="1:10" x14ac:dyDescent="0.3">
      <c r="A1540" t="s">
        <v>6</v>
      </c>
      <c r="B1540" t="str">
        <f>"12/17/1989 00:00"</f>
        <v>12/17/1989 00:00</v>
      </c>
      <c r="C1540">
        <v>157</v>
      </c>
      <c r="D1540" t="s">
        <v>7</v>
      </c>
      <c r="E1540" s="2" t="s">
        <v>12</v>
      </c>
      <c r="F1540">
        <f t="shared" si="24"/>
        <v>311.33100000000002</v>
      </c>
      <c r="G1540" t="s">
        <v>16</v>
      </c>
      <c r="I1540" t="s">
        <v>8</v>
      </c>
      <c r="J1540" t="str">
        <f>"12/17/1989 23:45"</f>
        <v>12/17/1989 23:45</v>
      </c>
    </row>
    <row r="1541" spans="1:10" x14ac:dyDescent="0.3">
      <c r="A1541" t="s">
        <v>6</v>
      </c>
      <c r="B1541" t="str">
        <f>"12/18/1989 00:00"</f>
        <v>12/18/1989 00:00</v>
      </c>
      <c r="C1541">
        <v>156</v>
      </c>
      <c r="D1541" t="s">
        <v>7</v>
      </c>
      <c r="E1541" s="2" t="s">
        <v>12</v>
      </c>
      <c r="F1541">
        <f t="shared" si="24"/>
        <v>309.34800000000001</v>
      </c>
      <c r="G1541" t="s">
        <v>16</v>
      </c>
      <c r="I1541" t="s">
        <v>8</v>
      </c>
      <c r="J1541" t="str">
        <f>"12/18/1989 13:45"</f>
        <v>12/18/1989 13:45</v>
      </c>
    </row>
    <row r="1542" spans="1:10" x14ac:dyDescent="0.3">
      <c r="A1542" t="s">
        <v>6</v>
      </c>
      <c r="B1542" t="str">
        <f>"12/19/1989 00:00"</f>
        <v>12/19/1989 00:00</v>
      </c>
      <c r="C1542">
        <v>100</v>
      </c>
      <c r="D1542" t="s">
        <v>7</v>
      </c>
      <c r="E1542" s="2" t="s">
        <v>12</v>
      </c>
      <c r="F1542">
        <f t="shared" si="24"/>
        <v>198.3</v>
      </c>
      <c r="G1542" t="s">
        <v>16</v>
      </c>
      <c r="J1542" t="str">
        <f>"12/19/1989 23:45"</f>
        <v>12/19/1989 23:45</v>
      </c>
    </row>
    <row r="1543" spans="1:10" x14ac:dyDescent="0.3">
      <c r="A1543" t="s">
        <v>6</v>
      </c>
      <c r="B1543" t="str">
        <f>"12/20/1989 00:00"</f>
        <v>12/20/1989 00:00</v>
      </c>
      <c r="C1543">
        <v>91.4</v>
      </c>
      <c r="D1543" t="s">
        <v>7</v>
      </c>
      <c r="E1543" s="2" t="s">
        <v>12</v>
      </c>
      <c r="F1543">
        <f t="shared" si="24"/>
        <v>181.24620000000002</v>
      </c>
      <c r="G1543" t="s">
        <v>16</v>
      </c>
      <c r="I1543" t="s">
        <v>8</v>
      </c>
      <c r="J1543" t="str">
        <f>"12/20/1989 13:45"</f>
        <v>12/20/1989 13:45</v>
      </c>
    </row>
    <row r="1544" spans="1:10" x14ac:dyDescent="0.3">
      <c r="A1544" t="s">
        <v>6</v>
      </c>
      <c r="B1544" t="str">
        <f>"12/21/1989 00:00"</f>
        <v>12/21/1989 00:00</v>
      </c>
      <c r="C1544">
        <v>92.7</v>
      </c>
      <c r="D1544" t="s">
        <v>7</v>
      </c>
      <c r="E1544" s="2" t="s">
        <v>12</v>
      </c>
      <c r="F1544">
        <f t="shared" si="24"/>
        <v>183.82410000000002</v>
      </c>
      <c r="G1544" t="s">
        <v>16</v>
      </c>
      <c r="J1544" t="str">
        <f>"12/21/1989 23:45"</f>
        <v>12/21/1989 23:45</v>
      </c>
    </row>
    <row r="1545" spans="1:10" x14ac:dyDescent="0.3">
      <c r="A1545" t="s">
        <v>6</v>
      </c>
      <c r="B1545" t="str">
        <f>"12/22/1989 00:00"</f>
        <v>12/22/1989 00:00</v>
      </c>
      <c r="C1545">
        <v>92.7</v>
      </c>
      <c r="D1545" t="s">
        <v>7</v>
      </c>
      <c r="E1545" s="2" t="s">
        <v>12</v>
      </c>
      <c r="F1545">
        <f t="shared" si="24"/>
        <v>183.82410000000002</v>
      </c>
      <c r="G1545" t="s">
        <v>16</v>
      </c>
      <c r="I1545" t="s">
        <v>8</v>
      </c>
      <c r="J1545" t="str">
        <f>"12/22/1989 23:45"</f>
        <v>12/22/1989 23:45</v>
      </c>
    </row>
    <row r="1546" spans="1:10" x14ac:dyDescent="0.3">
      <c r="A1546" t="s">
        <v>6</v>
      </c>
      <c r="B1546" t="str">
        <f>"12/23/1989 00:00"</f>
        <v>12/23/1989 00:00</v>
      </c>
      <c r="C1546">
        <v>92.7</v>
      </c>
      <c r="D1546" t="s">
        <v>7</v>
      </c>
      <c r="E1546" s="2" t="s">
        <v>12</v>
      </c>
      <c r="F1546">
        <f t="shared" si="24"/>
        <v>183.82410000000002</v>
      </c>
      <c r="G1546" t="s">
        <v>16</v>
      </c>
      <c r="I1546" t="s">
        <v>8</v>
      </c>
      <c r="J1546" t="str">
        <f>"12/23/1989 09:45"</f>
        <v>12/23/1989 09:45</v>
      </c>
    </row>
    <row r="1547" spans="1:10" x14ac:dyDescent="0.3">
      <c r="A1547" t="s">
        <v>6</v>
      </c>
      <c r="B1547" t="str">
        <f>"12/24/1989 00:00"</f>
        <v>12/24/1989 00:00</v>
      </c>
      <c r="D1547" t="s">
        <v>7</v>
      </c>
      <c r="E1547" s="2" t="s">
        <v>12</v>
      </c>
      <c r="F1547">
        <f t="shared" si="24"/>
        <v>0</v>
      </c>
      <c r="G1547" t="s">
        <v>16</v>
      </c>
    </row>
    <row r="1548" spans="1:10" x14ac:dyDescent="0.3">
      <c r="A1548" t="s">
        <v>6</v>
      </c>
      <c r="B1548" t="str">
        <f>"12/25/1989 00:00"</f>
        <v>12/25/1989 00:00</v>
      </c>
      <c r="D1548" t="s">
        <v>7</v>
      </c>
      <c r="E1548" s="2" t="s">
        <v>12</v>
      </c>
      <c r="F1548">
        <f t="shared" si="24"/>
        <v>0</v>
      </c>
      <c r="G1548" t="s">
        <v>16</v>
      </c>
    </row>
    <row r="1549" spans="1:10" x14ac:dyDescent="0.3">
      <c r="A1549" t="s">
        <v>6</v>
      </c>
      <c r="B1549" t="str">
        <f>"12/26/1989 00:00"</f>
        <v>12/26/1989 00:00</v>
      </c>
      <c r="D1549" t="s">
        <v>7</v>
      </c>
      <c r="E1549" s="2" t="s">
        <v>12</v>
      </c>
      <c r="F1549">
        <f t="shared" si="24"/>
        <v>0</v>
      </c>
      <c r="G1549" t="s">
        <v>16</v>
      </c>
    </row>
    <row r="1550" spans="1:10" x14ac:dyDescent="0.3">
      <c r="A1550" t="s">
        <v>6</v>
      </c>
      <c r="B1550" t="str">
        <f>"12/27/1989 00:00"</f>
        <v>12/27/1989 00:00</v>
      </c>
      <c r="D1550" t="s">
        <v>7</v>
      </c>
      <c r="E1550" s="2" t="s">
        <v>12</v>
      </c>
      <c r="F1550">
        <f t="shared" si="24"/>
        <v>0</v>
      </c>
      <c r="G1550" t="s">
        <v>16</v>
      </c>
    </row>
    <row r="1551" spans="1:10" x14ac:dyDescent="0.3">
      <c r="A1551" t="s">
        <v>6</v>
      </c>
      <c r="B1551" t="str">
        <f>"12/28/1989 00:00"</f>
        <v>12/28/1989 00:00</v>
      </c>
      <c r="D1551" t="s">
        <v>7</v>
      </c>
      <c r="E1551" s="2" t="s">
        <v>12</v>
      </c>
      <c r="F1551">
        <f t="shared" si="24"/>
        <v>0</v>
      </c>
      <c r="G1551" t="s">
        <v>16</v>
      </c>
    </row>
    <row r="1552" spans="1:10" x14ac:dyDescent="0.3">
      <c r="A1552" t="s">
        <v>6</v>
      </c>
      <c r="B1552" t="str">
        <f>"12/29/1989 00:00"</f>
        <v>12/29/1989 00:00</v>
      </c>
      <c r="D1552" t="s">
        <v>7</v>
      </c>
      <c r="E1552" s="2" t="s">
        <v>12</v>
      </c>
      <c r="F1552">
        <f t="shared" si="24"/>
        <v>0</v>
      </c>
      <c r="G1552" t="s">
        <v>16</v>
      </c>
    </row>
    <row r="1553" spans="1:10" x14ac:dyDescent="0.3">
      <c r="A1553" t="s">
        <v>6</v>
      </c>
      <c r="B1553" t="str">
        <f>"12/30/1989 00:00"</f>
        <v>12/30/1989 00:00</v>
      </c>
      <c r="D1553" t="s">
        <v>7</v>
      </c>
      <c r="E1553" s="2" t="s">
        <v>12</v>
      </c>
      <c r="F1553">
        <f t="shared" si="24"/>
        <v>0</v>
      </c>
      <c r="G1553" t="s">
        <v>16</v>
      </c>
    </row>
    <row r="1554" spans="1:10" x14ac:dyDescent="0.3">
      <c r="A1554" t="s">
        <v>6</v>
      </c>
      <c r="B1554" t="str">
        <f>"12/31/1989 00:00"</f>
        <v>12/31/1989 00:00</v>
      </c>
      <c r="D1554" t="s">
        <v>7</v>
      </c>
      <c r="E1554" s="2" t="s">
        <v>12</v>
      </c>
      <c r="F1554">
        <f t="shared" si="24"/>
        <v>0</v>
      </c>
      <c r="G1554" t="s">
        <v>16</v>
      </c>
    </row>
    <row r="1555" spans="1:10" x14ac:dyDescent="0.3">
      <c r="A1555" t="s">
        <v>6</v>
      </c>
      <c r="B1555" t="str">
        <f>"01/01/1990 00:00"</f>
        <v>01/01/1990 00:00</v>
      </c>
      <c r="D1555" t="s">
        <v>7</v>
      </c>
      <c r="E1555" s="2" t="s">
        <v>12</v>
      </c>
      <c r="F1555">
        <f t="shared" si="24"/>
        <v>0</v>
      </c>
      <c r="G1555" t="s">
        <v>16</v>
      </c>
    </row>
    <row r="1556" spans="1:10" x14ac:dyDescent="0.3">
      <c r="A1556" t="s">
        <v>6</v>
      </c>
      <c r="B1556" t="str">
        <f>"01/02/1990 00:00"</f>
        <v>01/02/1990 00:00</v>
      </c>
      <c r="C1556">
        <v>1.08</v>
      </c>
      <c r="D1556" t="s">
        <v>7</v>
      </c>
      <c r="E1556" s="2" t="s">
        <v>12</v>
      </c>
      <c r="F1556">
        <f t="shared" si="24"/>
        <v>2.1416400000000002</v>
      </c>
      <c r="G1556" t="s">
        <v>16</v>
      </c>
      <c r="J1556" t="str">
        <f>"01/02/1990 23:00"</f>
        <v>01/02/1990 23:00</v>
      </c>
    </row>
    <row r="1557" spans="1:10" x14ac:dyDescent="0.3">
      <c r="A1557" t="s">
        <v>6</v>
      </c>
      <c r="B1557" t="str">
        <f>"01/03/1990 00:00"</f>
        <v>01/03/1990 00:00</v>
      </c>
      <c r="C1557">
        <v>27.8</v>
      </c>
      <c r="D1557" t="s">
        <v>7</v>
      </c>
      <c r="E1557" s="2" t="s">
        <v>12</v>
      </c>
      <c r="F1557">
        <f t="shared" si="24"/>
        <v>55.127400000000002</v>
      </c>
      <c r="G1557" t="s">
        <v>16</v>
      </c>
      <c r="J1557" t="str">
        <f>"01/03/1990 23:00"</f>
        <v>01/03/1990 23:00</v>
      </c>
    </row>
    <row r="1558" spans="1:10" x14ac:dyDescent="0.3">
      <c r="A1558" t="s">
        <v>6</v>
      </c>
      <c r="B1558" t="str">
        <f>"01/04/1990 00:00"</f>
        <v>01/04/1990 00:00</v>
      </c>
      <c r="C1558">
        <v>92.7</v>
      </c>
      <c r="D1558" t="s">
        <v>7</v>
      </c>
      <c r="E1558" s="2" t="s">
        <v>12</v>
      </c>
      <c r="F1558">
        <f t="shared" si="24"/>
        <v>183.82410000000002</v>
      </c>
      <c r="G1558" t="s">
        <v>16</v>
      </c>
      <c r="I1558" t="s">
        <v>8</v>
      </c>
      <c r="J1558" t="str">
        <f>"01/04/1990 23:00"</f>
        <v>01/04/1990 23:00</v>
      </c>
    </row>
    <row r="1559" spans="1:10" x14ac:dyDescent="0.3">
      <c r="A1559" t="s">
        <v>6</v>
      </c>
      <c r="B1559" t="str">
        <f>"01/05/1990 00:00"</f>
        <v>01/05/1990 00:00</v>
      </c>
      <c r="C1559">
        <v>92.7</v>
      </c>
      <c r="D1559" t="s">
        <v>7</v>
      </c>
      <c r="E1559" s="2" t="s">
        <v>12</v>
      </c>
      <c r="F1559">
        <f t="shared" si="24"/>
        <v>183.82410000000002</v>
      </c>
      <c r="G1559" t="s">
        <v>16</v>
      </c>
      <c r="J1559" t="str">
        <f>"01/05/1990 23:00"</f>
        <v>01/05/1990 23:00</v>
      </c>
    </row>
    <row r="1560" spans="1:10" x14ac:dyDescent="0.3">
      <c r="A1560" t="s">
        <v>6</v>
      </c>
      <c r="B1560" t="str">
        <f>"01/06/1990 00:00"</f>
        <v>01/06/1990 00:00</v>
      </c>
      <c r="C1560">
        <v>91.8</v>
      </c>
      <c r="D1560" t="s">
        <v>7</v>
      </c>
      <c r="E1560" s="2" t="s">
        <v>12</v>
      </c>
      <c r="F1560">
        <f t="shared" si="24"/>
        <v>182.0394</v>
      </c>
      <c r="G1560" t="s">
        <v>16</v>
      </c>
      <c r="I1560" t="s">
        <v>8</v>
      </c>
      <c r="J1560" t="str">
        <f>"01/06/1990 23:00"</f>
        <v>01/06/1990 23:00</v>
      </c>
    </row>
    <row r="1561" spans="1:10" x14ac:dyDescent="0.3">
      <c r="A1561" t="s">
        <v>6</v>
      </c>
      <c r="B1561" t="str">
        <f>"01/07/1990 00:00"</f>
        <v>01/07/1990 00:00</v>
      </c>
      <c r="C1561">
        <v>91.4</v>
      </c>
      <c r="D1561" t="s">
        <v>7</v>
      </c>
      <c r="E1561" s="2" t="s">
        <v>12</v>
      </c>
      <c r="F1561">
        <f t="shared" si="24"/>
        <v>181.24620000000002</v>
      </c>
      <c r="G1561" t="s">
        <v>16</v>
      </c>
      <c r="I1561" t="s">
        <v>8</v>
      </c>
      <c r="J1561" t="str">
        <f>"01/07/1990 23:00"</f>
        <v>01/07/1990 23:00</v>
      </c>
    </row>
    <row r="1562" spans="1:10" x14ac:dyDescent="0.3">
      <c r="A1562" t="s">
        <v>6</v>
      </c>
      <c r="B1562" t="str">
        <f>"01/08/1990 00:00"</f>
        <v>01/08/1990 00:00</v>
      </c>
      <c r="C1562">
        <v>90.6</v>
      </c>
      <c r="D1562" t="s">
        <v>7</v>
      </c>
      <c r="E1562" s="2" t="s">
        <v>12</v>
      </c>
      <c r="F1562">
        <f t="shared" si="24"/>
        <v>179.65979999999999</v>
      </c>
      <c r="G1562" t="s">
        <v>16</v>
      </c>
      <c r="J1562" t="str">
        <f>"01/08/1990 23:00"</f>
        <v>01/08/1990 23:00</v>
      </c>
    </row>
    <row r="1563" spans="1:10" x14ac:dyDescent="0.3">
      <c r="A1563" t="s">
        <v>6</v>
      </c>
      <c r="B1563" t="str">
        <f>"01/09/1990 00:00"</f>
        <v>01/09/1990 00:00</v>
      </c>
      <c r="C1563">
        <v>90.5</v>
      </c>
      <c r="D1563" t="s">
        <v>7</v>
      </c>
      <c r="E1563" s="2" t="s">
        <v>12</v>
      </c>
      <c r="F1563">
        <f t="shared" si="24"/>
        <v>179.4615</v>
      </c>
      <c r="G1563" t="s">
        <v>16</v>
      </c>
      <c r="I1563" t="s">
        <v>8</v>
      </c>
      <c r="J1563" t="str">
        <f>"01/09/1990 23:00"</f>
        <v>01/09/1990 23:00</v>
      </c>
    </row>
    <row r="1564" spans="1:10" x14ac:dyDescent="0.3">
      <c r="A1564" t="s">
        <v>6</v>
      </c>
      <c r="B1564" t="str">
        <f>"01/10/1990 00:00"</f>
        <v>01/10/1990 00:00</v>
      </c>
      <c r="C1564">
        <v>90.1</v>
      </c>
      <c r="D1564" t="s">
        <v>7</v>
      </c>
      <c r="E1564" s="2" t="s">
        <v>12</v>
      </c>
      <c r="F1564">
        <f t="shared" si="24"/>
        <v>178.66829999999999</v>
      </c>
      <c r="G1564" t="s">
        <v>16</v>
      </c>
      <c r="J1564" t="str">
        <f>"01/10/1990 23:00"</f>
        <v>01/10/1990 23:00</v>
      </c>
    </row>
    <row r="1565" spans="1:10" x14ac:dyDescent="0.3">
      <c r="A1565" t="s">
        <v>6</v>
      </c>
      <c r="B1565" t="str">
        <f>"01/11/1990 00:00"</f>
        <v>01/11/1990 00:00</v>
      </c>
      <c r="C1565">
        <v>90.8</v>
      </c>
      <c r="D1565" t="s">
        <v>7</v>
      </c>
      <c r="E1565" s="2" t="s">
        <v>12</v>
      </c>
      <c r="F1565">
        <f t="shared" si="24"/>
        <v>180.0564</v>
      </c>
      <c r="G1565" t="s">
        <v>16</v>
      </c>
      <c r="J1565" t="str">
        <f>"01/11/1990 23:00"</f>
        <v>01/11/1990 23:00</v>
      </c>
    </row>
    <row r="1566" spans="1:10" x14ac:dyDescent="0.3">
      <c r="A1566" t="s">
        <v>6</v>
      </c>
      <c r="B1566" t="str">
        <f>"01/12/1990 00:00"</f>
        <v>01/12/1990 00:00</v>
      </c>
      <c r="C1566">
        <v>91.4</v>
      </c>
      <c r="D1566" t="s">
        <v>7</v>
      </c>
      <c r="E1566" s="2" t="s">
        <v>12</v>
      </c>
      <c r="F1566">
        <f t="shared" si="24"/>
        <v>181.24620000000002</v>
      </c>
      <c r="G1566" t="s">
        <v>16</v>
      </c>
      <c r="I1566" t="s">
        <v>8</v>
      </c>
      <c r="J1566" t="str">
        <f>"01/12/1990 23:00"</f>
        <v>01/12/1990 23:00</v>
      </c>
    </row>
    <row r="1567" spans="1:10" x14ac:dyDescent="0.3">
      <c r="A1567" t="s">
        <v>6</v>
      </c>
      <c r="B1567" t="str">
        <f>"01/13/1990 00:00"</f>
        <v>01/13/1990 00:00</v>
      </c>
      <c r="C1567">
        <v>91.4</v>
      </c>
      <c r="D1567" t="s">
        <v>7</v>
      </c>
      <c r="E1567" s="2" t="s">
        <v>12</v>
      </c>
      <c r="F1567">
        <f t="shared" si="24"/>
        <v>181.24620000000002</v>
      </c>
      <c r="G1567" t="s">
        <v>16</v>
      </c>
      <c r="I1567" t="s">
        <v>8</v>
      </c>
      <c r="J1567" t="str">
        <f>"01/13/1990 23:00"</f>
        <v>01/13/1990 23:00</v>
      </c>
    </row>
    <row r="1568" spans="1:10" x14ac:dyDescent="0.3">
      <c r="A1568" t="s">
        <v>6</v>
      </c>
      <c r="B1568" t="str">
        <f>"01/14/1990 00:00"</f>
        <v>01/14/1990 00:00</v>
      </c>
      <c r="C1568">
        <v>91.4</v>
      </c>
      <c r="D1568" t="s">
        <v>7</v>
      </c>
      <c r="E1568" s="2" t="s">
        <v>12</v>
      </c>
      <c r="F1568">
        <f t="shared" si="24"/>
        <v>181.24620000000002</v>
      </c>
      <c r="G1568" t="s">
        <v>16</v>
      </c>
      <c r="I1568" t="s">
        <v>8</v>
      </c>
      <c r="J1568" t="str">
        <f>"01/14/1990 23:00"</f>
        <v>01/14/1990 23:00</v>
      </c>
    </row>
    <row r="1569" spans="1:10" x14ac:dyDescent="0.3">
      <c r="A1569" t="s">
        <v>6</v>
      </c>
      <c r="B1569" t="str">
        <f>"01/15/1990 00:00"</f>
        <v>01/15/1990 00:00</v>
      </c>
      <c r="C1569">
        <v>91.4</v>
      </c>
      <c r="D1569" t="s">
        <v>7</v>
      </c>
      <c r="E1569" s="2" t="s">
        <v>12</v>
      </c>
      <c r="F1569">
        <f t="shared" si="24"/>
        <v>181.24620000000002</v>
      </c>
      <c r="G1569" t="s">
        <v>16</v>
      </c>
      <c r="I1569" t="s">
        <v>8</v>
      </c>
      <c r="J1569" t="str">
        <f>"01/15/1990 23:00"</f>
        <v>01/15/1990 23:00</v>
      </c>
    </row>
    <row r="1570" spans="1:10" x14ac:dyDescent="0.3">
      <c r="A1570" t="s">
        <v>6</v>
      </c>
      <c r="B1570" t="str">
        <f>"01/16/1990 00:00"</f>
        <v>01/16/1990 00:00</v>
      </c>
      <c r="C1570">
        <v>91.4</v>
      </c>
      <c r="D1570" t="s">
        <v>7</v>
      </c>
      <c r="E1570" s="2" t="s">
        <v>12</v>
      </c>
      <c r="F1570">
        <f t="shared" si="24"/>
        <v>181.24620000000002</v>
      </c>
      <c r="G1570" t="s">
        <v>16</v>
      </c>
      <c r="I1570" t="s">
        <v>8</v>
      </c>
      <c r="J1570" t="str">
        <f>"01/16/1990 23:00"</f>
        <v>01/16/1990 23:00</v>
      </c>
    </row>
    <row r="1571" spans="1:10" x14ac:dyDescent="0.3">
      <c r="A1571" t="s">
        <v>6</v>
      </c>
      <c r="B1571" t="str">
        <f>"01/17/1990 00:00"</f>
        <v>01/17/1990 00:00</v>
      </c>
      <c r="C1571">
        <v>91.4</v>
      </c>
      <c r="D1571" t="s">
        <v>7</v>
      </c>
      <c r="E1571" s="2" t="s">
        <v>12</v>
      </c>
      <c r="F1571">
        <f t="shared" si="24"/>
        <v>181.24620000000002</v>
      </c>
      <c r="G1571" t="s">
        <v>16</v>
      </c>
      <c r="I1571" t="s">
        <v>8</v>
      </c>
      <c r="J1571" t="str">
        <f>"01/17/1990 23:00"</f>
        <v>01/17/1990 23:00</v>
      </c>
    </row>
    <row r="1572" spans="1:10" x14ac:dyDescent="0.3">
      <c r="A1572" t="s">
        <v>6</v>
      </c>
      <c r="B1572" t="str">
        <f>"01/18/1990 00:00"</f>
        <v>01/18/1990 00:00</v>
      </c>
      <c r="C1572">
        <v>91.4</v>
      </c>
      <c r="D1572" t="s">
        <v>7</v>
      </c>
      <c r="E1572" s="2" t="s">
        <v>12</v>
      </c>
      <c r="F1572">
        <f t="shared" si="24"/>
        <v>181.24620000000002</v>
      </c>
      <c r="G1572" t="s">
        <v>16</v>
      </c>
      <c r="I1572" t="s">
        <v>8</v>
      </c>
      <c r="J1572" t="str">
        <f>"01/18/1990 23:00"</f>
        <v>01/18/1990 23:00</v>
      </c>
    </row>
    <row r="1573" spans="1:10" x14ac:dyDescent="0.3">
      <c r="A1573" t="s">
        <v>6</v>
      </c>
      <c r="B1573" t="str">
        <f>"01/19/1990 00:00"</f>
        <v>01/19/1990 00:00</v>
      </c>
      <c r="C1573">
        <v>91.4</v>
      </c>
      <c r="D1573" t="s">
        <v>7</v>
      </c>
      <c r="E1573" s="2" t="s">
        <v>12</v>
      </c>
      <c r="F1573">
        <f t="shared" si="24"/>
        <v>181.24620000000002</v>
      </c>
      <c r="G1573" t="s">
        <v>16</v>
      </c>
      <c r="I1573" t="s">
        <v>8</v>
      </c>
      <c r="J1573" t="str">
        <f>"01/19/1990 23:00"</f>
        <v>01/19/1990 23:00</v>
      </c>
    </row>
    <row r="1574" spans="1:10" x14ac:dyDescent="0.3">
      <c r="A1574" t="s">
        <v>6</v>
      </c>
      <c r="B1574" t="str">
        <f>"01/20/1990 00:00"</f>
        <v>01/20/1990 00:00</v>
      </c>
      <c r="C1574">
        <v>91.4</v>
      </c>
      <c r="D1574" t="s">
        <v>7</v>
      </c>
      <c r="E1574" s="2" t="s">
        <v>12</v>
      </c>
      <c r="F1574">
        <f t="shared" si="24"/>
        <v>181.24620000000002</v>
      </c>
      <c r="G1574" t="s">
        <v>16</v>
      </c>
      <c r="I1574" t="s">
        <v>8</v>
      </c>
      <c r="J1574" t="str">
        <f>"01/20/1990 23:00"</f>
        <v>01/20/1990 23:00</v>
      </c>
    </row>
    <row r="1575" spans="1:10" x14ac:dyDescent="0.3">
      <c r="A1575" t="s">
        <v>6</v>
      </c>
      <c r="B1575" t="str">
        <f>"01/21/1990 00:00"</f>
        <v>01/21/1990 00:00</v>
      </c>
      <c r="C1575">
        <v>91.4</v>
      </c>
      <c r="D1575" t="s">
        <v>7</v>
      </c>
      <c r="E1575" s="2" t="s">
        <v>12</v>
      </c>
      <c r="F1575">
        <f t="shared" si="24"/>
        <v>181.24620000000002</v>
      </c>
      <c r="G1575" t="s">
        <v>16</v>
      </c>
      <c r="I1575" t="s">
        <v>8</v>
      </c>
      <c r="J1575" t="str">
        <f>"01/21/1990 23:00"</f>
        <v>01/21/1990 23:00</v>
      </c>
    </row>
    <row r="1576" spans="1:10" x14ac:dyDescent="0.3">
      <c r="A1576" t="s">
        <v>6</v>
      </c>
      <c r="B1576" t="str">
        <f>"01/22/1990 00:00"</f>
        <v>01/22/1990 00:00</v>
      </c>
      <c r="C1576">
        <v>91.9</v>
      </c>
      <c r="D1576" t="s">
        <v>7</v>
      </c>
      <c r="E1576" s="2" t="s">
        <v>12</v>
      </c>
      <c r="F1576">
        <f t="shared" si="24"/>
        <v>182.23770000000002</v>
      </c>
      <c r="G1576" t="s">
        <v>16</v>
      </c>
      <c r="J1576" t="str">
        <f>"01/22/1990 23:00"</f>
        <v>01/22/1990 23:00</v>
      </c>
    </row>
    <row r="1577" spans="1:10" x14ac:dyDescent="0.3">
      <c r="A1577" t="s">
        <v>6</v>
      </c>
      <c r="B1577" t="str">
        <f>"01/23/1990 00:00"</f>
        <v>01/23/1990 00:00</v>
      </c>
      <c r="C1577">
        <v>91.4</v>
      </c>
      <c r="D1577" t="s">
        <v>7</v>
      </c>
      <c r="E1577" s="2" t="s">
        <v>12</v>
      </c>
      <c r="F1577">
        <f t="shared" si="24"/>
        <v>181.24620000000002</v>
      </c>
      <c r="G1577" t="s">
        <v>16</v>
      </c>
      <c r="I1577" t="s">
        <v>8</v>
      </c>
      <c r="J1577" t="str">
        <f>"01/23/1990 23:00"</f>
        <v>01/23/1990 23:00</v>
      </c>
    </row>
    <row r="1578" spans="1:10" x14ac:dyDescent="0.3">
      <c r="A1578" t="s">
        <v>6</v>
      </c>
      <c r="B1578" t="str">
        <f>"01/24/1990 00:00"</f>
        <v>01/24/1990 00:00</v>
      </c>
      <c r="C1578">
        <v>89.4</v>
      </c>
      <c r="D1578" t="s">
        <v>7</v>
      </c>
      <c r="E1578" s="2" t="s">
        <v>12</v>
      </c>
      <c r="F1578">
        <f t="shared" si="24"/>
        <v>177.28020000000001</v>
      </c>
      <c r="G1578" t="s">
        <v>16</v>
      </c>
      <c r="J1578" t="str">
        <f>"01/24/1990 23:00"</f>
        <v>01/24/1990 23:00</v>
      </c>
    </row>
    <row r="1579" spans="1:10" x14ac:dyDescent="0.3">
      <c r="A1579" t="s">
        <v>6</v>
      </c>
      <c r="B1579" t="str">
        <f>"01/25/1990 00:00"</f>
        <v>01/25/1990 00:00</v>
      </c>
      <c r="C1579">
        <v>88.8</v>
      </c>
      <c r="D1579" t="s">
        <v>7</v>
      </c>
      <c r="E1579" s="2" t="s">
        <v>12</v>
      </c>
      <c r="F1579">
        <f t="shared" si="24"/>
        <v>176.09040000000002</v>
      </c>
      <c r="G1579" t="s">
        <v>16</v>
      </c>
      <c r="I1579" t="s">
        <v>35</v>
      </c>
      <c r="J1579" t="str">
        <f>"01/25/1990 23:00"</f>
        <v>01/25/1990 23:00</v>
      </c>
    </row>
    <row r="1580" spans="1:10" x14ac:dyDescent="0.3">
      <c r="A1580" t="s">
        <v>6</v>
      </c>
      <c r="B1580" t="str">
        <f>"01/26/1990 00:00"</f>
        <v>01/26/1990 00:00</v>
      </c>
      <c r="C1580">
        <v>88.8</v>
      </c>
      <c r="D1580" t="s">
        <v>7</v>
      </c>
      <c r="E1580" s="2" t="s">
        <v>12</v>
      </c>
      <c r="F1580">
        <f t="shared" si="24"/>
        <v>176.09040000000002</v>
      </c>
      <c r="G1580" t="s">
        <v>16</v>
      </c>
      <c r="I1580" t="s">
        <v>35</v>
      </c>
      <c r="J1580" t="str">
        <f>"01/26/1990 23:00"</f>
        <v>01/26/1990 23:00</v>
      </c>
    </row>
    <row r="1581" spans="1:10" x14ac:dyDescent="0.3">
      <c r="A1581" t="s">
        <v>6</v>
      </c>
      <c r="B1581" t="str">
        <f>"01/27/1990 00:00"</f>
        <v>01/27/1990 00:00</v>
      </c>
      <c r="C1581">
        <v>88.8</v>
      </c>
      <c r="D1581" t="s">
        <v>7</v>
      </c>
      <c r="E1581" s="2" t="s">
        <v>12</v>
      </c>
      <c r="F1581">
        <f t="shared" si="24"/>
        <v>176.09040000000002</v>
      </c>
      <c r="G1581" t="s">
        <v>16</v>
      </c>
      <c r="I1581" t="s">
        <v>35</v>
      </c>
      <c r="J1581" t="str">
        <f>"01/27/1990 23:00"</f>
        <v>01/27/1990 23:00</v>
      </c>
    </row>
    <row r="1582" spans="1:10" x14ac:dyDescent="0.3">
      <c r="A1582" t="s">
        <v>6</v>
      </c>
      <c r="B1582" t="str">
        <f>"01/28/1990 00:00"</f>
        <v>01/28/1990 00:00</v>
      </c>
      <c r="C1582">
        <v>88.8</v>
      </c>
      <c r="D1582" t="s">
        <v>7</v>
      </c>
      <c r="E1582" s="2" t="s">
        <v>12</v>
      </c>
      <c r="F1582">
        <f t="shared" si="24"/>
        <v>176.09040000000002</v>
      </c>
      <c r="G1582" t="s">
        <v>16</v>
      </c>
      <c r="I1582" t="s">
        <v>35</v>
      </c>
      <c r="J1582" t="str">
        <f>"01/28/1990 23:00"</f>
        <v>01/28/1990 23:00</v>
      </c>
    </row>
    <row r="1583" spans="1:10" x14ac:dyDescent="0.3">
      <c r="A1583" t="s">
        <v>6</v>
      </c>
      <c r="B1583" t="str">
        <f>"01/29/1990 00:00"</f>
        <v>01/29/1990 00:00</v>
      </c>
      <c r="C1583">
        <v>88.8</v>
      </c>
      <c r="D1583" t="s">
        <v>7</v>
      </c>
      <c r="E1583" s="2" t="s">
        <v>12</v>
      </c>
      <c r="F1583">
        <f t="shared" si="24"/>
        <v>176.09040000000002</v>
      </c>
      <c r="G1583" t="s">
        <v>16</v>
      </c>
      <c r="I1583" t="s">
        <v>35</v>
      </c>
      <c r="J1583" t="str">
        <f>"01/29/1990 23:00"</f>
        <v>01/29/1990 23:00</v>
      </c>
    </row>
    <row r="1584" spans="1:10" x14ac:dyDescent="0.3">
      <c r="A1584" t="s">
        <v>6</v>
      </c>
      <c r="B1584" t="str">
        <f>"01/30/1990 00:00"</f>
        <v>01/30/1990 00:00</v>
      </c>
      <c r="C1584">
        <v>88.8</v>
      </c>
      <c r="D1584" t="s">
        <v>7</v>
      </c>
      <c r="E1584" s="2" t="s">
        <v>12</v>
      </c>
      <c r="F1584">
        <f t="shared" si="24"/>
        <v>176.09040000000002</v>
      </c>
      <c r="G1584" t="s">
        <v>16</v>
      </c>
      <c r="I1584" t="s">
        <v>8</v>
      </c>
      <c r="J1584" t="str">
        <f>"01/30/1990 23:00"</f>
        <v>01/30/1990 23:00</v>
      </c>
    </row>
    <row r="1585" spans="1:10" x14ac:dyDescent="0.3">
      <c r="A1585" t="s">
        <v>6</v>
      </c>
      <c r="B1585" t="str">
        <f>"01/31/1990 00:00"</f>
        <v>01/31/1990 00:00</v>
      </c>
      <c r="C1585">
        <v>88.8</v>
      </c>
      <c r="D1585" t="s">
        <v>7</v>
      </c>
      <c r="E1585" s="2" t="s">
        <v>12</v>
      </c>
      <c r="F1585">
        <f t="shared" si="24"/>
        <v>176.09040000000002</v>
      </c>
      <c r="G1585" t="s">
        <v>16</v>
      </c>
      <c r="I1585" t="s">
        <v>8</v>
      </c>
      <c r="J1585" t="str">
        <f>"01/31/1990 23:00"</f>
        <v>01/31/1990 23:00</v>
      </c>
    </row>
    <row r="1586" spans="1:10" x14ac:dyDescent="0.3">
      <c r="A1586" t="s">
        <v>6</v>
      </c>
      <c r="B1586" t="str">
        <f>"02/01/1990 00:00"</f>
        <v>02/01/1990 00:00</v>
      </c>
      <c r="C1586">
        <v>88.8</v>
      </c>
      <c r="D1586" t="s">
        <v>7</v>
      </c>
      <c r="E1586" s="2" t="s">
        <v>12</v>
      </c>
      <c r="F1586">
        <f t="shared" si="24"/>
        <v>176.09040000000002</v>
      </c>
      <c r="G1586" t="s">
        <v>16</v>
      </c>
      <c r="I1586" t="s">
        <v>35</v>
      </c>
      <c r="J1586" t="str">
        <f>"02/01/1990 23:00"</f>
        <v>02/01/1990 23:00</v>
      </c>
    </row>
    <row r="1587" spans="1:10" x14ac:dyDescent="0.3">
      <c r="A1587" t="s">
        <v>6</v>
      </c>
      <c r="B1587" t="str">
        <f>"02/02/1990 00:00"</f>
        <v>02/02/1990 00:00</v>
      </c>
      <c r="C1587">
        <v>88.8</v>
      </c>
      <c r="D1587" t="s">
        <v>7</v>
      </c>
      <c r="E1587" s="2" t="s">
        <v>12</v>
      </c>
      <c r="F1587">
        <f t="shared" si="24"/>
        <v>176.09040000000002</v>
      </c>
      <c r="G1587" t="s">
        <v>16</v>
      </c>
      <c r="I1587" t="s">
        <v>35</v>
      </c>
      <c r="J1587" t="str">
        <f>"02/02/1990 23:00"</f>
        <v>02/02/1990 23:00</v>
      </c>
    </row>
    <row r="1588" spans="1:10" x14ac:dyDescent="0.3">
      <c r="A1588" t="s">
        <v>6</v>
      </c>
      <c r="B1588" t="str">
        <f>"02/03/1990 00:00"</f>
        <v>02/03/1990 00:00</v>
      </c>
      <c r="C1588">
        <v>88.8</v>
      </c>
      <c r="D1588" t="s">
        <v>7</v>
      </c>
      <c r="E1588" s="2" t="s">
        <v>12</v>
      </c>
      <c r="F1588">
        <f t="shared" si="24"/>
        <v>176.09040000000002</v>
      </c>
      <c r="G1588" t="s">
        <v>16</v>
      </c>
      <c r="I1588" t="s">
        <v>35</v>
      </c>
      <c r="J1588" t="str">
        <f>"02/03/1990 23:00"</f>
        <v>02/03/1990 23:00</v>
      </c>
    </row>
    <row r="1589" spans="1:10" x14ac:dyDescent="0.3">
      <c r="A1589" t="s">
        <v>6</v>
      </c>
      <c r="B1589" t="str">
        <f>"02/04/1990 00:00"</f>
        <v>02/04/1990 00:00</v>
      </c>
      <c r="C1589">
        <v>88.8</v>
      </c>
      <c r="D1589" t="s">
        <v>7</v>
      </c>
      <c r="E1589" s="2" t="s">
        <v>12</v>
      </c>
      <c r="F1589">
        <f t="shared" si="24"/>
        <v>176.09040000000002</v>
      </c>
      <c r="G1589" t="s">
        <v>16</v>
      </c>
      <c r="I1589" t="s">
        <v>8</v>
      </c>
      <c r="J1589" t="str">
        <f>"02/04/1990 23:00"</f>
        <v>02/04/1990 23:00</v>
      </c>
    </row>
    <row r="1590" spans="1:10" x14ac:dyDescent="0.3">
      <c r="A1590" t="s">
        <v>6</v>
      </c>
      <c r="B1590" t="str">
        <f>"02/05/1990 00:00"</f>
        <v>02/05/1990 00:00</v>
      </c>
      <c r="C1590">
        <v>88.8</v>
      </c>
      <c r="D1590" t="s">
        <v>7</v>
      </c>
      <c r="E1590" s="2" t="s">
        <v>12</v>
      </c>
      <c r="F1590">
        <f t="shared" si="24"/>
        <v>176.09040000000002</v>
      </c>
      <c r="G1590" t="s">
        <v>16</v>
      </c>
      <c r="I1590" t="s">
        <v>8</v>
      </c>
      <c r="J1590" t="str">
        <f>"02/05/1990 23:00"</f>
        <v>02/05/1990 23:00</v>
      </c>
    </row>
    <row r="1591" spans="1:10" x14ac:dyDescent="0.3">
      <c r="A1591" t="s">
        <v>6</v>
      </c>
      <c r="B1591" t="str">
        <f>"02/06/1990 00:00"</f>
        <v>02/06/1990 00:00</v>
      </c>
      <c r="C1591">
        <v>88.1</v>
      </c>
      <c r="D1591" t="s">
        <v>7</v>
      </c>
      <c r="E1591" s="2" t="s">
        <v>12</v>
      </c>
      <c r="F1591">
        <f t="shared" si="24"/>
        <v>174.70230000000001</v>
      </c>
      <c r="G1591" t="s">
        <v>16</v>
      </c>
      <c r="J1591" t="str">
        <f>"02/06/1990 23:00"</f>
        <v>02/06/1990 23:00</v>
      </c>
    </row>
    <row r="1592" spans="1:10" x14ac:dyDescent="0.3">
      <c r="A1592" t="s">
        <v>6</v>
      </c>
      <c r="B1592" t="str">
        <f>"02/07/1990 00:00"</f>
        <v>02/07/1990 00:00</v>
      </c>
      <c r="C1592">
        <v>88.8</v>
      </c>
      <c r="D1592" t="s">
        <v>7</v>
      </c>
      <c r="E1592" s="2" t="s">
        <v>12</v>
      </c>
      <c r="F1592">
        <f t="shared" si="24"/>
        <v>176.09040000000002</v>
      </c>
      <c r="G1592" t="s">
        <v>16</v>
      </c>
      <c r="I1592" t="s">
        <v>8</v>
      </c>
      <c r="J1592" t="str">
        <f>"02/07/1990 23:00"</f>
        <v>02/07/1990 23:00</v>
      </c>
    </row>
    <row r="1593" spans="1:10" x14ac:dyDescent="0.3">
      <c r="A1593" t="s">
        <v>6</v>
      </c>
      <c r="B1593" t="str">
        <f>"02/08/1990 00:00"</f>
        <v>02/08/1990 00:00</v>
      </c>
      <c r="C1593">
        <v>88.8</v>
      </c>
      <c r="D1593" t="s">
        <v>7</v>
      </c>
      <c r="E1593" s="2" t="s">
        <v>12</v>
      </c>
      <c r="F1593">
        <f t="shared" si="24"/>
        <v>176.09040000000002</v>
      </c>
      <c r="G1593" t="s">
        <v>16</v>
      </c>
      <c r="J1593" t="str">
        <f>"02/08/1990 23:00"</f>
        <v>02/08/1990 23:00</v>
      </c>
    </row>
    <row r="1594" spans="1:10" x14ac:dyDescent="0.3">
      <c r="A1594" t="s">
        <v>6</v>
      </c>
      <c r="B1594" t="str">
        <f>"02/09/1990 00:00"</f>
        <v>02/09/1990 00:00</v>
      </c>
      <c r="C1594">
        <v>89.5</v>
      </c>
      <c r="D1594" t="s">
        <v>7</v>
      </c>
      <c r="E1594" s="2" t="s">
        <v>12</v>
      </c>
      <c r="F1594">
        <f t="shared" si="24"/>
        <v>177.4785</v>
      </c>
      <c r="G1594" t="s">
        <v>16</v>
      </c>
      <c r="J1594" t="str">
        <f>"02/09/1990 23:00"</f>
        <v>02/09/1990 23:00</v>
      </c>
    </row>
    <row r="1595" spans="1:10" x14ac:dyDescent="0.3">
      <c r="A1595" t="s">
        <v>6</v>
      </c>
      <c r="B1595" t="str">
        <f>"02/10/1990 00:00"</f>
        <v>02/10/1990 00:00</v>
      </c>
      <c r="C1595">
        <v>88.8</v>
      </c>
      <c r="D1595" t="s">
        <v>7</v>
      </c>
      <c r="E1595" s="2" t="s">
        <v>12</v>
      </c>
      <c r="F1595">
        <f t="shared" si="24"/>
        <v>176.09040000000002</v>
      </c>
      <c r="G1595" t="s">
        <v>16</v>
      </c>
      <c r="J1595" t="str">
        <f>"02/10/1990 23:00"</f>
        <v>02/10/1990 23:00</v>
      </c>
    </row>
    <row r="1596" spans="1:10" x14ac:dyDescent="0.3">
      <c r="A1596" t="s">
        <v>6</v>
      </c>
      <c r="B1596" t="str">
        <f>"02/11/1990 00:00"</f>
        <v>02/11/1990 00:00</v>
      </c>
      <c r="C1596">
        <v>89.7</v>
      </c>
      <c r="D1596" t="s">
        <v>7</v>
      </c>
      <c r="E1596" s="2" t="s">
        <v>12</v>
      </c>
      <c r="F1596">
        <f t="shared" si="24"/>
        <v>177.8751</v>
      </c>
      <c r="G1596" t="s">
        <v>16</v>
      </c>
      <c r="I1596" t="s">
        <v>8</v>
      </c>
      <c r="J1596" t="str">
        <f>"02/11/1990 23:00"</f>
        <v>02/11/1990 23:00</v>
      </c>
    </row>
    <row r="1597" spans="1:10" x14ac:dyDescent="0.3">
      <c r="A1597" t="s">
        <v>6</v>
      </c>
      <c r="B1597" t="str">
        <f>"02/12/1990 00:00"</f>
        <v>02/12/1990 00:00</v>
      </c>
      <c r="C1597">
        <v>90.1</v>
      </c>
      <c r="D1597" t="s">
        <v>7</v>
      </c>
      <c r="E1597" s="2" t="s">
        <v>12</v>
      </c>
      <c r="F1597">
        <f t="shared" si="24"/>
        <v>178.66829999999999</v>
      </c>
      <c r="G1597" t="s">
        <v>16</v>
      </c>
      <c r="I1597" t="s">
        <v>35</v>
      </c>
      <c r="J1597" t="str">
        <f>"02/12/1990 23:00"</f>
        <v>02/12/1990 23:00</v>
      </c>
    </row>
    <row r="1598" spans="1:10" x14ac:dyDescent="0.3">
      <c r="A1598" t="s">
        <v>6</v>
      </c>
      <c r="B1598" t="str">
        <f>"02/13/1990 00:00"</f>
        <v>02/13/1990 00:00</v>
      </c>
      <c r="C1598">
        <v>90.1</v>
      </c>
      <c r="D1598" t="s">
        <v>7</v>
      </c>
      <c r="E1598" s="2" t="s">
        <v>12</v>
      </c>
      <c r="F1598">
        <f t="shared" si="24"/>
        <v>178.66829999999999</v>
      </c>
      <c r="G1598" t="s">
        <v>16</v>
      </c>
      <c r="I1598" t="s">
        <v>35</v>
      </c>
      <c r="J1598" t="str">
        <f>"02/13/1990 23:00"</f>
        <v>02/13/1990 23:00</v>
      </c>
    </row>
    <row r="1599" spans="1:10" x14ac:dyDescent="0.3">
      <c r="A1599" t="s">
        <v>6</v>
      </c>
      <c r="B1599" t="str">
        <f>"02/14/1990 00:00"</f>
        <v>02/14/1990 00:00</v>
      </c>
      <c r="C1599">
        <v>90.1</v>
      </c>
      <c r="D1599" t="s">
        <v>7</v>
      </c>
      <c r="E1599" s="2" t="s">
        <v>12</v>
      </c>
      <c r="F1599">
        <f t="shared" si="24"/>
        <v>178.66829999999999</v>
      </c>
      <c r="G1599" t="s">
        <v>16</v>
      </c>
      <c r="I1599" t="s">
        <v>35</v>
      </c>
      <c r="J1599" t="str">
        <f>"02/14/1990 23:00"</f>
        <v>02/14/1990 23:00</v>
      </c>
    </row>
    <row r="1600" spans="1:10" x14ac:dyDescent="0.3">
      <c r="A1600" t="s">
        <v>6</v>
      </c>
      <c r="B1600" t="str">
        <f>"02/15/1990 00:00"</f>
        <v>02/15/1990 00:00</v>
      </c>
      <c r="C1600">
        <v>90.1</v>
      </c>
      <c r="D1600" t="s">
        <v>7</v>
      </c>
      <c r="E1600" s="2" t="s">
        <v>12</v>
      </c>
      <c r="F1600">
        <f t="shared" si="24"/>
        <v>178.66829999999999</v>
      </c>
      <c r="G1600" t="s">
        <v>16</v>
      </c>
      <c r="I1600" t="s">
        <v>35</v>
      </c>
      <c r="J1600" t="str">
        <f>"02/15/1990 20:00"</f>
        <v>02/15/1990 20:00</v>
      </c>
    </row>
    <row r="1601" spans="1:10" x14ac:dyDescent="0.3">
      <c r="A1601" t="s">
        <v>6</v>
      </c>
      <c r="B1601" t="str">
        <f>"02/16/1990 00:00"</f>
        <v>02/16/1990 00:00</v>
      </c>
      <c r="C1601">
        <v>90.1</v>
      </c>
      <c r="D1601" t="s">
        <v>7</v>
      </c>
      <c r="E1601" s="2" t="s">
        <v>12</v>
      </c>
      <c r="F1601">
        <f t="shared" si="24"/>
        <v>178.66829999999999</v>
      </c>
      <c r="G1601" t="s">
        <v>16</v>
      </c>
      <c r="I1601" t="s">
        <v>8</v>
      </c>
      <c r="J1601" t="str">
        <f>"02/16/1990 23:00"</f>
        <v>02/16/1990 23:00</v>
      </c>
    </row>
    <row r="1602" spans="1:10" x14ac:dyDescent="0.3">
      <c r="A1602" t="s">
        <v>6</v>
      </c>
      <c r="B1602" t="str">
        <f>"02/17/1990 00:00"</f>
        <v>02/17/1990 00:00</v>
      </c>
      <c r="C1602">
        <v>90.4</v>
      </c>
      <c r="D1602" t="s">
        <v>7</v>
      </c>
      <c r="E1602" s="2" t="s">
        <v>12</v>
      </c>
      <c r="F1602">
        <f t="shared" si="24"/>
        <v>179.26320000000001</v>
      </c>
      <c r="G1602" t="s">
        <v>16</v>
      </c>
      <c r="J1602" t="str">
        <f>"02/17/1990 23:00"</f>
        <v>02/17/1990 23:00</v>
      </c>
    </row>
    <row r="1603" spans="1:10" x14ac:dyDescent="0.3">
      <c r="A1603" t="s">
        <v>6</v>
      </c>
      <c r="B1603" t="str">
        <f>"02/18/1990 00:00"</f>
        <v>02/18/1990 00:00</v>
      </c>
      <c r="C1603">
        <v>91.4</v>
      </c>
      <c r="D1603" t="s">
        <v>7</v>
      </c>
      <c r="E1603" s="2" t="s">
        <v>12</v>
      </c>
      <c r="F1603">
        <f t="shared" ref="F1603:F1666" si="25">C1603*1.983</f>
        <v>181.24620000000002</v>
      </c>
      <c r="G1603" t="s">
        <v>16</v>
      </c>
      <c r="J1603" t="str">
        <f>"02/18/1990 23:00"</f>
        <v>02/18/1990 23:00</v>
      </c>
    </row>
    <row r="1604" spans="1:10" x14ac:dyDescent="0.3">
      <c r="A1604" t="s">
        <v>6</v>
      </c>
      <c r="B1604" t="str">
        <f>"02/19/1990 00:00"</f>
        <v>02/19/1990 00:00</v>
      </c>
      <c r="C1604">
        <v>90.1</v>
      </c>
      <c r="D1604" t="s">
        <v>7</v>
      </c>
      <c r="E1604" s="2" t="s">
        <v>12</v>
      </c>
      <c r="F1604">
        <f t="shared" si="25"/>
        <v>178.66829999999999</v>
      </c>
      <c r="G1604" t="s">
        <v>16</v>
      </c>
      <c r="J1604" t="str">
        <f>"02/19/1990 23:00"</f>
        <v>02/19/1990 23:00</v>
      </c>
    </row>
    <row r="1605" spans="1:10" x14ac:dyDescent="0.3">
      <c r="A1605" t="s">
        <v>6</v>
      </c>
      <c r="B1605" t="str">
        <f>"02/20/1990 00:00"</f>
        <v>02/20/1990 00:00</v>
      </c>
      <c r="C1605">
        <v>89.1</v>
      </c>
      <c r="D1605" t="s">
        <v>7</v>
      </c>
      <c r="E1605" s="2" t="s">
        <v>12</v>
      </c>
      <c r="F1605">
        <f t="shared" si="25"/>
        <v>176.68529999999998</v>
      </c>
      <c r="G1605" t="s">
        <v>16</v>
      </c>
      <c r="J1605" t="str">
        <f>"02/20/1990 23:00"</f>
        <v>02/20/1990 23:00</v>
      </c>
    </row>
    <row r="1606" spans="1:10" x14ac:dyDescent="0.3">
      <c r="A1606" t="s">
        <v>6</v>
      </c>
      <c r="B1606" t="str">
        <f>"02/21/1990 00:00"</f>
        <v>02/21/1990 00:00</v>
      </c>
      <c r="C1606">
        <v>38.6</v>
      </c>
      <c r="D1606" t="s">
        <v>7</v>
      </c>
      <c r="E1606" s="2" t="s">
        <v>12</v>
      </c>
      <c r="F1606">
        <f t="shared" si="25"/>
        <v>76.543800000000005</v>
      </c>
      <c r="G1606" t="s">
        <v>16</v>
      </c>
      <c r="I1606" t="s">
        <v>8</v>
      </c>
      <c r="J1606" t="str">
        <f>"02/21/1990 23:00"</f>
        <v>02/21/1990 23:00</v>
      </c>
    </row>
    <row r="1607" spans="1:10" x14ac:dyDescent="0.3">
      <c r="A1607" t="s">
        <v>6</v>
      </c>
      <c r="B1607" t="str">
        <f>"02/22/1990 00:00"</f>
        <v>02/22/1990 00:00</v>
      </c>
      <c r="C1607">
        <v>0.85</v>
      </c>
      <c r="D1607" t="s">
        <v>7</v>
      </c>
      <c r="E1607" s="2" t="s">
        <v>12</v>
      </c>
      <c r="F1607">
        <f t="shared" si="25"/>
        <v>1.6855500000000001</v>
      </c>
      <c r="G1607" t="s">
        <v>16</v>
      </c>
      <c r="J1607" t="str">
        <f>"02/22/1990 23:00"</f>
        <v>02/22/1990 23:00</v>
      </c>
    </row>
    <row r="1608" spans="1:10" x14ac:dyDescent="0.3">
      <c r="A1608" t="s">
        <v>6</v>
      </c>
      <c r="B1608" t="str">
        <f>"02/23/1990 00:00"</f>
        <v>02/23/1990 00:00</v>
      </c>
      <c r="C1608">
        <v>0.76800000000000002</v>
      </c>
      <c r="D1608" t="s">
        <v>7</v>
      </c>
      <c r="E1608" s="2" t="s">
        <v>12</v>
      </c>
      <c r="F1608">
        <f t="shared" si="25"/>
        <v>1.5229440000000001</v>
      </c>
      <c r="G1608" t="s">
        <v>16</v>
      </c>
      <c r="J1608" t="str">
        <f>"02/23/1990 23:00"</f>
        <v>02/23/1990 23:00</v>
      </c>
    </row>
    <row r="1609" spans="1:10" x14ac:dyDescent="0.3">
      <c r="A1609" t="s">
        <v>6</v>
      </c>
      <c r="B1609" t="str">
        <f>"02/24/1990 00:00"</f>
        <v>02/24/1990 00:00</v>
      </c>
      <c r="C1609">
        <v>0.63</v>
      </c>
      <c r="D1609" t="s">
        <v>7</v>
      </c>
      <c r="E1609" s="2" t="s">
        <v>12</v>
      </c>
      <c r="F1609">
        <f t="shared" si="25"/>
        <v>1.24929</v>
      </c>
      <c r="G1609" t="s">
        <v>16</v>
      </c>
      <c r="J1609" t="str">
        <f>"02/24/1990 23:00"</f>
        <v>02/24/1990 23:00</v>
      </c>
    </row>
    <row r="1610" spans="1:10" x14ac:dyDescent="0.3">
      <c r="A1610" t="s">
        <v>6</v>
      </c>
      <c r="B1610" t="str">
        <f>"02/25/1990 00:00"</f>
        <v>02/25/1990 00:00</v>
      </c>
      <c r="C1610">
        <v>0.63</v>
      </c>
      <c r="D1610" t="s">
        <v>7</v>
      </c>
      <c r="E1610" s="2" t="s">
        <v>12</v>
      </c>
      <c r="F1610">
        <f t="shared" si="25"/>
        <v>1.24929</v>
      </c>
      <c r="G1610" t="s">
        <v>16</v>
      </c>
      <c r="I1610" t="s">
        <v>35</v>
      </c>
      <c r="J1610" t="str">
        <f>"02/25/1990 23:00"</f>
        <v>02/25/1990 23:00</v>
      </c>
    </row>
    <row r="1611" spans="1:10" x14ac:dyDescent="0.3">
      <c r="A1611" t="s">
        <v>6</v>
      </c>
      <c r="B1611" t="str">
        <f>"02/26/1990 00:00"</f>
        <v>02/26/1990 00:00</v>
      </c>
      <c r="C1611">
        <v>0.63</v>
      </c>
      <c r="D1611" t="s">
        <v>7</v>
      </c>
      <c r="E1611" s="2" t="s">
        <v>12</v>
      </c>
      <c r="F1611">
        <f t="shared" si="25"/>
        <v>1.24929</v>
      </c>
      <c r="G1611" t="s">
        <v>16</v>
      </c>
      <c r="I1611" t="s">
        <v>35</v>
      </c>
      <c r="J1611" t="str">
        <f>"02/26/1990 23:00"</f>
        <v>02/26/1990 23:00</v>
      </c>
    </row>
    <row r="1612" spans="1:10" x14ac:dyDescent="0.3">
      <c r="A1612" t="s">
        <v>6</v>
      </c>
      <c r="B1612" t="str">
        <f>"02/27/1990 00:00"</f>
        <v>02/27/1990 00:00</v>
      </c>
      <c r="C1612">
        <v>0.63</v>
      </c>
      <c r="D1612" t="s">
        <v>7</v>
      </c>
      <c r="E1612" s="2" t="s">
        <v>12</v>
      </c>
      <c r="F1612">
        <f t="shared" si="25"/>
        <v>1.24929</v>
      </c>
      <c r="G1612" t="s">
        <v>16</v>
      </c>
      <c r="I1612" t="s">
        <v>35</v>
      </c>
      <c r="J1612" t="str">
        <f>"02/27/1990 23:00"</f>
        <v>02/27/1990 23:00</v>
      </c>
    </row>
    <row r="1613" spans="1:10" x14ac:dyDescent="0.3">
      <c r="A1613" t="s">
        <v>6</v>
      </c>
      <c r="B1613" t="str">
        <f>"02/28/1990 00:00"</f>
        <v>02/28/1990 00:00</v>
      </c>
      <c r="C1613">
        <v>0.63</v>
      </c>
      <c r="D1613" t="s">
        <v>7</v>
      </c>
      <c r="E1613" s="2" t="s">
        <v>12</v>
      </c>
      <c r="F1613">
        <f t="shared" si="25"/>
        <v>1.24929</v>
      </c>
      <c r="G1613" t="s">
        <v>16</v>
      </c>
      <c r="I1613" t="s">
        <v>35</v>
      </c>
      <c r="J1613" t="str">
        <f>"02/28/1990 23:00"</f>
        <v>02/28/1990 23:00</v>
      </c>
    </row>
    <row r="1614" spans="1:10" x14ac:dyDescent="0.3">
      <c r="A1614" t="s">
        <v>6</v>
      </c>
      <c r="B1614" t="str">
        <f>"03/01/1990 00:00"</f>
        <v>03/01/1990 00:00</v>
      </c>
      <c r="C1614">
        <v>0.63</v>
      </c>
      <c r="D1614" t="s">
        <v>7</v>
      </c>
      <c r="E1614" s="2" t="s">
        <v>12</v>
      </c>
      <c r="F1614">
        <f t="shared" si="25"/>
        <v>1.24929</v>
      </c>
      <c r="G1614" t="s">
        <v>16</v>
      </c>
      <c r="I1614" t="s">
        <v>8</v>
      </c>
      <c r="J1614" t="str">
        <f>"03/01/1990 23:00"</f>
        <v>03/01/1990 23:00</v>
      </c>
    </row>
    <row r="1615" spans="1:10" x14ac:dyDescent="0.3">
      <c r="A1615" t="s">
        <v>6</v>
      </c>
      <c r="B1615" t="str">
        <f>"03/02/1990 00:00"</f>
        <v>03/02/1990 00:00</v>
      </c>
      <c r="C1615">
        <v>0.63</v>
      </c>
      <c r="D1615" t="s">
        <v>7</v>
      </c>
      <c r="E1615" s="2" t="s">
        <v>12</v>
      </c>
      <c r="F1615">
        <f t="shared" si="25"/>
        <v>1.24929</v>
      </c>
      <c r="G1615" t="s">
        <v>16</v>
      </c>
      <c r="J1615" t="str">
        <f>"03/02/1990 23:00"</f>
        <v>03/02/1990 23:00</v>
      </c>
    </row>
    <row r="1616" spans="1:10" x14ac:dyDescent="0.3">
      <c r="A1616" t="s">
        <v>6</v>
      </c>
      <c r="B1616" t="str">
        <f>"03/03/1990 00:00"</f>
        <v>03/03/1990 00:00</v>
      </c>
      <c r="C1616">
        <v>0.63</v>
      </c>
      <c r="D1616" t="s">
        <v>7</v>
      </c>
      <c r="E1616" s="2" t="s">
        <v>12</v>
      </c>
      <c r="F1616">
        <f t="shared" si="25"/>
        <v>1.24929</v>
      </c>
      <c r="G1616" t="s">
        <v>16</v>
      </c>
      <c r="J1616" t="str">
        <f>"03/03/1990 16:00"</f>
        <v>03/03/1990 16:00</v>
      </c>
    </row>
    <row r="1617" spans="1:10" x14ac:dyDescent="0.3">
      <c r="A1617" t="s">
        <v>6</v>
      </c>
      <c r="B1617" t="str">
        <f>"03/04/1990 00:00"</f>
        <v>03/04/1990 00:00</v>
      </c>
      <c r="D1617" t="s">
        <v>7</v>
      </c>
      <c r="E1617" s="2" t="s">
        <v>12</v>
      </c>
      <c r="F1617">
        <f t="shared" si="25"/>
        <v>0</v>
      </c>
      <c r="G1617" t="s">
        <v>16</v>
      </c>
    </row>
    <row r="1618" spans="1:10" x14ac:dyDescent="0.3">
      <c r="A1618" t="s">
        <v>6</v>
      </c>
      <c r="B1618" t="str">
        <f>"03/05/1990 00:00"</f>
        <v>03/05/1990 00:00</v>
      </c>
      <c r="D1618" t="s">
        <v>7</v>
      </c>
      <c r="E1618" s="2" t="s">
        <v>12</v>
      </c>
      <c r="F1618">
        <f t="shared" si="25"/>
        <v>0</v>
      </c>
      <c r="G1618" t="s">
        <v>16</v>
      </c>
    </row>
    <row r="1619" spans="1:10" x14ac:dyDescent="0.3">
      <c r="A1619" t="s">
        <v>6</v>
      </c>
      <c r="B1619" t="str">
        <f>"03/06/1990 00:00"</f>
        <v>03/06/1990 00:00</v>
      </c>
      <c r="D1619" t="s">
        <v>7</v>
      </c>
      <c r="E1619" s="2" t="s">
        <v>12</v>
      </c>
      <c r="F1619">
        <f t="shared" si="25"/>
        <v>0</v>
      </c>
      <c r="G1619" t="s">
        <v>16</v>
      </c>
    </row>
    <row r="1620" spans="1:10" x14ac:dyDescent="0.3">
      <c r="A1620" t="s">
        <v>6</v>
      </c>
      <c r="B1620" t="str">
        <f>"03/07/1990 00:00"</f>
        <v>03/07/1990 00:00</v>
      </c>
      <c r="D1620" t="s">
        <v>7</v>
      </c>
      <c r="E1620" s="2" t="s">
        <v>12</v>
      </c>
      <c r="F1620">
        <f t="shared" si="25"/>
        <v>0</v>
      </c>
      <c r="G1620" t="s">
        <v>16</v>
      </c>
    </row>
    <row r="1621" spans="1:10" x14ac:dyDescent="0.3">
      <c r="A1621" t="s">
        <v>6</v>
      </c>
      <c r="B1621" t="str">
        <f>"03/08/1990 00:00"</f>
        <v>03/08/1990 00:00</v>
      </c>
      <c r="D1621" t="s">
        <v>7</v>
      </c>
      <c r="E1621" s="2" t="s">
        <v>12</v>
      </c>
      <c r="F1621">
        <f t="shared" si="25"/>
        <v>0</v>
      </c>
      <c r="G1621" t="s">
        <v>16</v>
      </c>
    </row>
    <row r="1622" spans="1:10" x14ac:dyDescent="0.3">
      <c r="A1622" t="s">
        <v>6</v>
      </c>
      <c r="B1622" t="str">
        <f>"03/09/1990 00:00"</f>
        <v>03/09/1990 00:00</v>
      </c>
      <c r="D1622" t="s">
        <v>7</v>
      </c>
      <c r="E1622" s="2" t="s">
        <v>12</v>
      </c>
      <c r="F1622">
        <f t="shared" si="25"/>
        <v>0</v>
      </c>
      <c r="G1622" t="s">
        <v>16</v>
      </c>
    </row>
    <row r="1623" spans="1:10" x14ac:dyDescent="0.3">
      <c r="A1623" t="s">
        <v>6</v>
      </c>
      <c r="B1623" t="str">
        <f>"03/10/1990 00:00"</f>
        <v>03/10/1990 00:00</v>
      </c>
      <c r="D1623" t="s">
        <v>7</v>
      </c>
      <c r="E1623" s="2" t="s">
        <v>12</v>
      </c>
      <c r="F1623">
        <f t="shared" si="25"/>
        <v>0</v>
      </c>
      <c r="G1623" t="s">
        <v>16</v>
      </c>
    </row>
    <row r="1624" spans="1:10" x14ac:dyDescent="0.3">
      <c r="A1624" t="s">
        <v>6</v>
      </c>
      <c r="B1624" t="str">
        <f>"03/11/1990 00:00"</f>
        <v>03/11/1990 00:00</v>
      </c>
      <c r="D1624" t="s">
        <v>7</v>
      </c>
      <c r="E1624" s="2" t="s">
        <v>12</v>
      </c>
      <c r="F1624">
        <f t="shared" si="25"/>
        <v>0</v>
      </c>
      <c r="G1624" t="s">
        <v>16</v>
      </c>
    </row>
    <row r="1625" spans="1:10" x14ac:dyDescent="0.3">
      <c r="A1625" t="s">
        <v>6</v>
      </c>
      <c r="B1625" t="str">
        <f>"03/12/1990 00:00"</f>
        <v>03/12/1990 00:00</v>
      </c>
      <c r="C1625">
        <v>27.3</v>
      </c>
      <c r="D1625" t="s">
        <v>7</v>
      </c>
      <c r="E1625" s="2" t="s">
        <v>12</v>
      </c>
      <c r="F1625">
        <f t="shared" si="25"/>
        <v>54.135900000000007</v>
      </c>
      <c r="G1625" t="s">
        <v>16</v>
      </c>
      <c r="J1625" t="str">
        <f>"03/12/1990 23:00"</f>
        <v>03/12/1990 23:00</v>
      </c>
    </row>
    <row r="1626" spans="1:10" x14ac:dyDescent="0.3">
      <c r="A1626" t="s">
        <v>6</v>
      </c>
      <c r="B1626" t="str">
        <f>"03/13/1990 00:00"</f>
        <v>03/13/1990 00:00</v>
      </c>
      <c r="C1626">
        <v>31.5</v>
      </c>
      <c r="D1626" t="s">
        <v>7</v>
      </c>
      <c r="E1626" s="2" t="s">
        <v>12</v>
      </c>
      <c r="F1626">
        <f t="shared" si="25"/>
        <v>62.464500000000001</v>
      </c>
      <c r="G1626" t="s">
        <v>16</v>
      </c>
      <c r="J1626" t="str">
        <f>"03/13/1990 23:00"</f>
        <v>03/13/1990 23:00</v>
      </c>
    </row>
    <row r="1627" spans="1:10" x14ac:dyDescent="0.3">
      <c r="A1627" t="s">
        <v>6</v>
      </c>
      <c r="B1627" t="str">
        <f>"03/14/1990 00:00"</f>
        <v>03/14/1990 00:00</v>
      </c>
      <c r="C1627">
        <v>50</v>
      </c>
      <c r="D1627" t="s">
        <v>7</v>
      </c>
      <c r="E1627" s="2" t="s">
        <v>12</v>
      </c>
      <c r="F1627">
        <f t="shared" si="25"/>
        <v>99.15</v>
      </c>
      <c r="G1627" t="s">
        <v>16</v>
      </c>
      <c r="J1627" t="str">
        <f>"03/14/1990 23:00"</f>
        <v>03/14/1990 23:00</v>
      </c>
    </row>
    <row r="1628" spans="1:10" x14ac:dyDescent="0.3">
      <c r="A1628" t="s">
        <v>6</v>
      </c>
      <c r="B1628" t="str">
        <f>"03/15/1990 00:00"</f>
        <v>03/15/1990 00:00</v>
      </c>
      <c r="C1628">
        <v>49.7</v>
      </c>
      <c r="D1628" t="s">
        <v>7</v>
      </c>
      <c r="E1628" s="2" t="s">
        <v>12</v>
      </c>
      <c r="F1628">
        <f t="shared" si="25"/>
        <v>98.55510000000001</v>
      </c>
      <c r="G1628" t="s">
        <v>16</v>
      </c>
      <c r="J1628" t="str">
        <f>"03/15/1990 23:00"</f>
        <v>03/15/1990 23:00</v>
      </c>
    </row>
    <row r="1629" spans="1:10" x14ac:dyDescent="0.3">
      <c r="A1629" t="s">
        <v>6</v>
      </c>
      <c r="B1629" t="str">
        <f>"03/16/1990 00:00"</f>
        <v>03/16/1990 00:00</v>
      </c>
      <c r="C1629">
        <v>56.9</v>
      </c>
      <c r="D1629" t="s">
        <v>7</v>
      </c>
      <c r="E1629" s="2" t="s">
        <v>12</v>
      </c>
      <c r="F1629">
        <f t="shared" si="25"/>
        <v>112.8327</v>
      </c>
      <c r="G1629" t="s">
        <v>16</v>
      </c>
      <c r="J1629" t="str">
        <f>"03/16/1990 23:00"</f>
        <v>03/16/1990 23:00</v>
      </c>
    </row>
    <row r="1630" spans="1:10" x14ac:dyDescent="0.3">
      <c r="A1630" t="s">
        <v>6</v>
      </c>
      <c r="B1630" t="str">
        <f>"03/17/1990 00:00"</f>
        <v>03/17/1990 00:00</v>
      </c>
      <c r="C1630">
        <v>13.8</v>
      </c>
      <c r="D1630" t="s">
        <v>7</v>
      </c>
      <c r="E1630" s="2" t="s">
        <v>12</v>
      </c>
      <c r="F1630">
        <f t="shared" si="25"/>
        <v>27.365400000000001</v>
      </c>
      <c r="G1630" t="s">
        <v>16</v>
      </c>
      <c r="J1630" t="str">
        <f>"03/17/1990 23:00"</f>
        <v>03/17/1990 23:00</v>
      </c>
    </row>
    <row r="1631" spans="1:10" x14ac:dyDescent="0.3">
      <c r="A1631" t="s">
        <v>6</v>
      </c>
      <c r="B1631" t="str">
        <f>"03/18/1990 00:00"</f>
        <v>03/18/1990 00:00</v>
      </c>
      <c r="C1631">
        <v>14.2</v>
      </c>
      <c r="D1631" t="s">
        <v>7</v>
      </c>
      <c r="E1631" s="2" t="s">
        <v>12</v>
      </c>
      <c r="F1631">
        <f t="shared" si="25"/>
        <v>28.1586</v>
      </c>
      <c r="G1631" t="s">
        <v>16</v>
      </c>
      <c r="J1631" t="str">
        <f>"03/18/1990 23:00"</f>
        <v>03/18/1990 23:00</v>
      </c>
    </row>
    <row r="1632" spans="1:10" x14ac:dyDescent="0.3">
      <c r="A1632" t="s">
        <v>6</v>
      </c>
      <c r="B1632" t="str">
        <f>"03/19/1990 00:00"</f>
        <v>03/19/1990 00:00</v>
      </c>
      <c r="C1632">
        <v>13.7</v>
      </c>
      <c r="D1632" t="s">
        <v>7</v>
      </c>
      <c r="E1632" s="2" t="s">
        <v>12</v>
      </c>
      <c r="F1632">
        <f t="shared" si="25"/>
        <v>27.167100000000001</v>
      </c>
      <c r="G1632" t="s">
        <v>16</v>
      </c>
      <c r="J1632" t="str">
        <f>"03/19/1990 23:00"</f>
        <v>03/19/1990 23:00</v>
      </c>
    </row>
    <row r="1633" spans="1:10" x14ac:dyDescent="0.3">
      <c r="A1633" t="s">
        <v>6</v>
      </c>
      <c r="B1633" t="str">
        <f>"03/20/1990 00:00"</f>
        <v>03/20/1990 00:00</v>
      </c>
      <c r="C1633">
        <v>7.55</v>
      </c>
      <c r="D1633" t="s">
        <v>7</v>
      </c>
      <c r="E1633" s="2" t="s">
        <v>12</v>
      </c>
      <c r="F1633">
        <f t="shared" si="25"/>
        <v>14.97165</v>
      </c>
      <c r="G1633" t="s">
        <v>16</v>
      </c>
      <c r="J1633" t="str">
        <f>"03/20/1990 23:00"</f>
        <v>03/20/1990 23:00</v>
      </c>
    </row>
    <row r="1634" spans="1:10" x14ac:dyDescent="0.3">
      <c r="A1634" t="s">
        <v>6</v>
      </c>
      <c r="B1634" t="str">
        <f>"03/21/1990 00:00"</f>
        <v>03/21/1990 00:00</v>
      </c>
      <c r="C1634">
        <v>1.34</v>
      </c>
      <c r="D1634" t="s">
        <v>7</v>
      </c>
      <c r="E1634" s="2" t="s">
        <v>12</v>
      </c>
      <c r="F1634">
        <f t="shared" si="25"/>
        <v>2.6572200000000001</v>
      </c>
      <c r="G1634" t="s">
        <v>16</v>
      </c>
      <c r="I1634" t="s">
        <v>8</v>
      </c>
      <c r="J1634" t="str">
        <f>"03/21/1990 23:00"</f>
        <v>03/21/1990 23:00</v>
      </c>
    </row>
    <row r="1635" spans="1:10" x14ac:dyDescent="0.3">
      <c r="A1635" t="s">
        <v>6</v>
      </c>
      <c r="B1635" t="str">
        <f>"03/22/1990 00:00"</f>
        <v>03/22/1990 00:00</v>
      </c>
      <c r="C1635">
        <v>1.34</v>
      </c>
      <c r="D1635" t="s">
        <v>7</v>
      </c>
      <c r="E1635" s="2" t="s">
        <v>12</v>
      </c>
      <c r="F1635">
        <f t="shared" si="25"/>
        <v>2.6572200000000001</v>
      </c>
      <c r="G1635" t="s">
        <v>16</v>
      </c>
      <c r="J1635" t="str">
        <f>"03/22/1990 23:00"</f>
        <v>03/22/1990 23:00</v>
      </c>
    </row>
    <row r="1636" spans="1:10" x14ac:dyDescent="0.3">
      <c r="A1636" t="s">
        <v>6</v>
      </c>
      <c r="B1636" t="str">
        <f>"03/23/1990 00:00"</f>
        <v>03/23/1990 00:00</v>
      </c>
      <c r="C1636">
        <v>1.34</v>
      </c>
      <c r="D1636" t="s">
        <v>7</v>
      </c>
      <c r="E1636" s="2" t="s">
        <v>12</v>
      </c>
      <c r="F1636">
        <f t="shared" si="25"/>
        <v>2.6572200000000001</v>
      </c>
      <c r="G1636" t="s">
        <v>16</v>
      </c>
      <c r="J1636" t="str">
        <f>"03/23/1990 23:00"</f>
        <v>03/23/1990 23:00</v>
      </c>
    </row>
    <row r="1637" spans="1:10" x14ac:dyDescent="0.3">
      <c r="A1637" t="s">
        <v>6</v>
      </c>
      <c r="B1637" t="str">
        <f>"03/24/1990 00:00"</f>
        <v>03/24/1990 00:00</v>
      </c>
      <c r="C1637">
        <v>1.34</v>
      </c>
      <c r="D1637" t="s">
        <v>7</v>
      </c>
      <c r="E1637" s="2" t="s">
        <v>12</v>
      </c>
      <c r="F1637">
        <f t="shared" si="25"/>
        <v>2.6572200000000001</v>
      </c>
      <c r="G1637" t="s">
        <v>16</v>
      </c>
      <c r="J1637" t="str">
        <f>"03/24/1990 23:00"</f>
        <v>03/24/1990 23:00</v>
      </c>
    </row>
    <row r="1638" spans="1:10" x14ac:dyDescent="0.3">
      <c r="A1638" t="s">
        <v>6</v>
      </c>
      <c r="B1638" t="str">
        <f>"03/25/1990 00:00"</f>
        <v>03/25/1990 00:00</v>
      </c>
      <c r="C1638">
        <v>1.34</v>
      </c>
      <c r="D1638" t="s">
        <v>7</v>
      </c>
      <c r="E1638" s="2" t="s">
        <v>12</v>
      </c>
      <c r="F1638">
        <f t="shared" si="25"/>
        <v>2.6572200000000001</v>
      </c>
      <c r="G1638" t="s">
        <v>16</v>
      </c>
      <c r="I1638" t="s">
        <v>8</v>
      </c>
      <c r="J1638" t="str">
        <f>"03/25/1990 23:00"</f>
        <v>03/25/1990 23:00</v>
      </c>
    </row>
    <row r="1639" spans="1:10" x14ac:dyDescent="0.3">
      <c r="A1639" t="s">
        <v>6</v>
      </c>
      <c r="B1639" t="str">
        <f>"03/26/1990 00:00"</f>
        <v>03/26/1990 00:00</v>
      </c>
      <c r="C1639">
        <v>1.34</v>
      </c>
      <c r="D1639" t="s">
        <v>7</v>
      </c>
      <c r="E1639" s="2" t="s">
        <v>12</v>
      </c>
      <c r="F1639">
        <f t="shared" si="25"/>
        <v>2.6572200000000001</v>
      </c>
      <c r="G1639" t="s">
        <v>16</v>
      </c>
      <c r="I1639" t="s">
        <v>35</v>
      </c>
      <c r="J1639" t="str">
        <f>"03/26/1990 23:00"</f>
        <v>03/26/1990 23:00</v>
      </c>
    </row>
    <row r="1640" spans="1:10" x14ac:dyDescent="0.3">
      <c r="A1640" t="s">
        <v>6</v>
      </c>
      <c r="B1640" t="str">
        <f>"03/27/1990 00:00"</f>
        <v>03/27/1990 00:00</v>
      </c>
      <c r="C1640">
        <v>1.34</v>
      </c>
      <c r="D1640" t="s">
        <v>7</v>
      </c>
      <c r="E1640" s="2" t="s">
        <v>12</v>
      </c>
      <c r="F1640">
        <f t="shared" si="25"/>
        <v>2.6572200000000001</v>
      </c>
      <c r="G1640" t="s">
        <v>16</v>
      </c>
      <c r="I1640" t="s">
        <v>35</v>
      </c>
      <c r="J1640" t="str">
        <f>"03/27/1990 23:00"</f>
        <v>03/27/1990 23:00</v>
      </c>
    </row>
    <row r="1641" spans="1:10" x14ac:dyDescent="0.3">
      <c r="A1641" t="s">
        <v>6</v>
      </c>
      <c r="B1641" t="str">
        <f>"03/28/1990 00:00"</f>
        <v>03/28/1990 00:00</v>
      </c>
      <c r="C1641">
        <v>1.34</v>
      </c>
      <c r="D1641" t="s">
        <v>7</v>
      </c>
      <c r="E1641" s="2" t="s">
        <v>12</v>
      </c>
      <c r="F1641">
        <f t="shared" si="25"/>
        <v>2.6572200000000001</v>
      </c>
      <c r="G1641" t="s">
        <v>16</v>
      </c>
      <c r="I1641" t="s">
        <v>35</v>
      </c>
      <c r="J1641" t="str">
        <f>"03/28/1990 23:00"</f>
        <v>03/28/1990 23:00</v>
      </c>
    </row>
    <row r="1642" spans="1:10" x14ac:dyDescent="0.3">
      <c r="A1642" t="s">
        <v>6</v>
      </c>
      <c r="B1642" t="str">
        <f>"03/29/1990 00:00"</f>
        <v>03/29/1990 00:00</v>
      </c>
      <c r="C1642">
        <v>1.34</v>
      </c>
      <c r="D1642" t="s">
        <v>7</v>
      </c>
      <c r="E1642" s="2" t="s">
        <v>12</v>
      </c>
      <c r="F1642">
        <f t="shared" si="25"/>
        <v>2.6572200000000001</v>
      </c>
      <c r="G1642" t="s">
        <v>16</v>
      </c>
      <c r="I1642" t="s">
        <v>35</v>
      </c>
      <c r="J1642" t="str">
        <f>"03/29/1990 23:00"</f>
        <v>03/29/1990 23:00</v>
      </c>
    </row>
    <row r="1643" spans="1:10" x14ac:dyDescent="0.3">
      <c r="A1643" t="s">
        <v>6</v>
      </c>
      <c r="B1643" t="str">
        <f>"03/30/1990 00:00"</f>
        <v>03/30/1990 00:00</v>
      </c>
      <c r="C1643">
        <v>1.34</v>
      </c>
      <c r="D1643" t="s">
        <v>7</v>
      </c>
      <c r="E1643" s="2" t="s">
        <v>12</v>
      </c>
      <c r="F1643">
        <f t="shared" si="25"/>
        <v>2.6572200000000001</v>
      </c>
      <c r="G1643" t="s">
        <v>16</v>
      </c>
      <c r="I1643" t="s">
        <v>8</v>
      </c>
      <c r="J1643" t="str">
        <f>"03/30/1990 23:00"</f>
        <v>03/30/1990 23:00</v>
      </c>
    </row>
    <row r="1644" spans="1:10" x14ac:dyDescent="0.3">
      <c r="A1644" t="s">
        <v>6</v>
      </c>
      <c r="B1644" t="str">
        <f>"03/31/1990 00:00"</f>
        <v>03/31/1990 00:00</v>
      </c>
      <c r="C1644">
        <v>1.0900000000000001</v>
      </c>
      <c r="D1644" t="s">
        <v>7</v>
      </c>
      <c r="E1644" s="2" t="s">
        <v>12</v>
      </c>
      <c r="F1644">
        <f t="shared" si="25"/>
        <v>2.1614700000000004</v>
      </c>
      <c r="G1644" t="s">
        <v>16</v>
      </c>
      <c r="I1644" t="s">
        <v>8</v>
      </c>
      <c r="J1644" t="str">
        <f>"03/31/1990 23:00"</f>
        <v>03/31/1990 23:00</v>
      </c>
    </row>
    <row r="1645" spans="1:10" x14ac:dyDescent="0.3">
      <c r="A1645" t="s">
        <v>6</v>
      </c>
      <c r="B1645" t="str">
        <f>"04/01/1990 00:00"</f>
        <v>04/01/1990 00:00</v>
      </c>
      <c r="C1645">
        <v>1.08</v>
      </c>
      <c r="D1645" t="s">
        <v>7</v>
      </c>
      <c r="E1645" s="2" t="s">
        <v>12</v>
      </c>
      <c r="F1645">
        <f t="shared" si="25"/>
        <v>2.1416400000000002</v>
      </c>
      <c r="G1645" t="s">
        <v>16</v>
      </c>
      <c r="I1645" t="s">
        <v>35</v>
      </c>
      <c r="J1645" t="str">
        <f>"04/01/1990 23:00"</f>
        <v>04/01/1990 23:00</v>
      </c>
    </row>
    <row r="1646" spans="1:10" x14ac:dyDescent="0.3">
      <c r="A1646" t="s">
        <v>6</v>
      </c>
      <c r="B1646" t="str">
        <f>"04/02/1990 00:00"</f>
        <v>04/02/1990 00:00</v>
      </c>
      <c r="C1646">
        <v>1.08</v>
      </c>
      <c r="D1646" t="s">
        <v>7</v>
      </c>
      <c r="E1646" s="2" t="s">
        <v>12</v>
      </c>
      <c r="F1646">
        <f t="shared" si="25"/>
        <v>2.1416400000000002</v>
      </c>
      <c r="G1646" t="s">
        <v>16</v>
      </c>
      <c r="I1646" t="s">
        <v>8</v>
      </c>
      <c r="J1646" t="str">
        <f>"04/02/1990 23:00"</f>
        <v>04/02/1990 23:00</v>
      </c>
    </row>
    <row r="1647" spans="1:10" x14ac:dyDescent="0.3">
      <c r="A1647" t="s">
        <v>6</v>
      </c>
      <c r="B1647" t="str">
        <f>"04/03/1990 00:00"</f>
        <v>04/03/1990 00:00</v>
      </c>
      <c r="C1647">
        <v>1.08</v>
      </c>
      <c r="D1647" t="s">
        <v>7</v>
      </c>
      <c r="E1647" s="2" t="s">
        <v>12</v>
      </c>
      <c r="F1647">
        <f t="shared" si="25"/>
        <v>2.1416400000000002</v>
      </c>
      <c r="G1647" t="s">
        <v>16</v>
      </c>
      <c r="J1647" t="str">
        <f>"04/03/1990 23:00"</f>
        <v>04/03/1990 23:00</v>
      </c>
    </row>
    <row r="1648" spans="1:10" x14ac:dyDescent="0.3">
      <c r="A1648" t="s">
        <v>6</v>
      </c>
      <c r="B1648" t="str">
        <f>"04/04/1990 00:00"</f>
        <v>04/04/1990 00:00</v>
      </c>
      <c r="C1648">
        <v>1.08</v>
      </c>
      <c r="D1648" t="s">
        <v>7</v>
      </c>
      <c r="E1648" s="2" t="s">
        <v>12</v>
      </c>
      <c r="F1648">
        <f t="shared" si="25"/>
        <v>2.1416400000000002</v>
      </c>
      <c r="G1648" t="s">
        <v>16</v>
      </c>
      <c r="I1648" t="s">
        <v>8</v>
      </c>
      <c r="J1648" t="str">
        <f>"04/04/1990 23:00"</f>
        <v>04/04/1990 23:00</v>
      </c>
    </row>
    <row r="1649" spans="1:10" x14ac:dyDescent="0.3">
      <c r="A1649" t="s">
        <v>6</v>
      </c>
      <c r="B1649" t="str">
        <f>"04/05/1990 00:00"</f>
        <v>04/05/1990 00:00</v>
      </c>
      <c r="C1649">
        <v>1.08</v>
      </c>
      <c r="D1649" t="s">
        <v>7</v>
      </c>
      <c r="E1649" s="2" t="s">
        <v>12</v>
      </c>
      <c r="F1649">
        <f t="shared" si="25"/>
        <v>2.1416400000000002</v>
      </c>
      <c r="G1649" t="s">
        <v>16</v>
      </c>
      <c r="I1649" t="s">
        <v>8</v>
      </c>
      <c r="J1649" t="str">
        <f>"04/05/1990 23:00"</f>
        <v>04/05/1990 23:00</v>
      </c>
    </row>
    <row r="1650" spans="1:10" x14ac:dyDescent="0.3">
      <c r="A1650" t="s">
        <v>6</v>
      </c>
      <c r="B1650" t="str">
        <f>"04/06/1990 00:00"</f>
        <v>04/06/1990 00:00</v>
      </c>
      <c r="D1650" t="s">
        <v>7</v>
      </c>
      <c r="E1650" s="2" t="s">
        <v>12</v>
      </c>
      <c r="F1650">
        <f t="shared" si="25"/>
        <v>0</v>
      </c>
      <c r="G1650" t="s">
        <v>16</v>
      </c>
    </row>
    <row r="1651" spans="1:10" x14ac:dyDescent="0.3">
      <c r="A1651" t="s">
        <v>6</v>
      </c>
      <c r="B1651" t="str">
        <f>"04/07/1990 00:00"</f>
        <v>04/07/1990 00:00</v>
      </c>
      <c r="D1651" t="s">
        <v>7</v>
      </c>
      <c r="E1651" s="2" t="s">
        <v>12</v>
      </c>
      <c r="F1651">
        <f t="shared" si="25"/>
        <v>0</v>
      </c>
      <c r="G1651" t="s">
        <v>16</v>
      </c>
    </row>
    <row r="1652" spans="1:10" x14ac:dyDescent="0.3">
      <c r="A1652" t="s">
        <v>6</v>
      </c>
      <c r="B1652" t="str">
        <f>"04/08/1990 00:00"</f>
        <v>04/08/1990 00:00</v>
      </c>
      <c r="D1652" t="s">
        <v>7</v>
      </c>
      <c r="E1652" s="2" t="s">
        <v>12</v>
      </c>
      <c r="F1652">
        <f t="shared" si="25"/>
        <v>0</v>
      </c>
      <c r="G1652" t="s">
        <v>16</v>
      </c>
    </row>
    <row r="1653" spans="1:10" x14ac:dyDescent="0.3">
      <c r="A1653" t="s">
        <v>6</v>
      </c>
      <c r="B1653" t="str">
        <f>"04/09/1990 00:00"</f>
        <v>04/09/1990 00:00</v>
      </c>
      <c r="D1653" t="s">
        <v>7</v>
      </c>
      <c r="E1653" s="2" t="s">
        <v>12</v>
      </c>
      <c r="F1653">
        <f t="shared" si="25"/>
        <v>0</v>
      </c>
      <c r="G1653" t="s">
        <v>16</v>
      </c>
    </row>
    <row r="1654" spans="1:10" x14ac:dyDescent="0.3">
      <c r="A1654" t="s">
        <v>6</v>
      </c>
      <c r="B1654" t="str">
        <f>"04/10/1990 00:00"</f>
        <v>04/10/1990 00:00</v>
      </c>
      <c r="D1654" t="s">
        <v>7</v>
      </c>
      <c r="E1654" s="2" t="s">
        <v>12</v>
      </c>
      <c r="F1654">
        <f t="shared" si="25"/>
        <v>0</v>
      </c>
      <c r="G1654" t="s">
        <v>16</v>
      </c>
    </row>
    <row r="1655" spans="1:10" x14ac:dyDescent="0.3">
      <c r="A1655" t="s">
        <v>6</v>
      </c>
      <c r="B1655" t="str">
        <f>"04/11/1990 00:00"</f>
        <v>04/11/1990 00:00</v>
      </c>
      <c r="D1655" t="s">
        <v>7</v>
      </c>
      <c r="E1655" s="2" t="s">
        <v>12</v>
      </c>
      <c r="F1655">
        <f t="shared" si="25"/>
        <v>0</v>
      </c>
      <c r="G1655" t="s">
        <v>16</v>
      </c>
    </row>
    <row r="1656" spans="1:10" x14ac:dyDescent="0.3">
      <c r="A1656" t="s">
        <v>6</v>
      </c>
      <c r="B1656" t="str">
        <f>"04/12/1990 00:00"</f>
        <v>04/12/1990 00:00</v>
      </c>
      <c r="D1656" t="s">
        <v>7</v>
      </c>
      <c r="E1656" s="2" t="s">
        <v>12</v>
      </c>
      <c r="F1656">
        <f t="shared" si="25"/>
        <v>0</v>
      </c>
      <c r="G1656" t="s">
        <v>16</v>
      </c>
    </row>
    <row r="1657" spans="1:10" x14ac:dyDescent="0.3">
      <c r="A1657" t="s">
        <v>6</v>
      </c>
      <c r="B1657" t="str">
        <f>"04/13/1990 00:00"</f>
        <v>04/13/1990 00:00</v>
      </c>
      <c r="D1657" t="s">
        <v>7</v>
      </c>
      <c r="E1657" s="2" t="s">
        <v>12</v>
      </c>
      <c r="F1657">
        <f t="shared" si="25"/>
        <v>0</v>
      </c>
      <c r="G1657" t="s">
        <v>16</v>
      </c>
    </row>
    <row r="1658" spans="1:10" x14ac:dyDescent="0.3">
      <c r="A1658" t="s">
        <v>6</v>
      </c>
      <c r="B1658" t="str">
        <f>"04/14/1990 00:00"</f>
        <v>04/14/1990 00:00</v>
      </c>
      <c r="D1658" t="s">
        <v>7</v>
      </c>
      <c r="E1658" s="2" t="s">
        <v>12</v>
      </c>
      <c r="F1658">
        <f t="shared" si="25"/>
        <v>0</v>
      </c>
      <c r="G1658" t="s">
        <v>16</v>
      </c>
    </row>
    <row r="1659" spans="1:10" x14ac:dyDescent="0.3">
      <c r="A1659" t="s">
        <v>6</v>
      </c>
      <c r="B1659" t="str">
        <f>"04/15/1990 00:00"</f>
        <v>04/15/1990 00:00</v>
      </c>
      <c r="D1659" t="s">
        <v>7</v>
      </c>
      <c r="E1659" s="2" t="s">
        <v>12</v>
      </c>
      <c r="F1659">
        <f t="shared" si="25"/>
        <v>0</v>
      </c>
      <c r="G1659" t="s">
        <v>16</v>
      </c>
    </row>
    <row r="1660" spans="1:10" x14ac:dyDescent="0.3">
      <c r="A1660" t="s">
        <v>6</v>
      </c>
      <c r="B1660" t="str">
        <f>"04/16/1990 00:00"</f>
        <v>04/16/1990 00:00</v>
      </c>
      <c r="C1660">
        <v>0.85</v>
      </c>
      <c r="D1660" t="s">
        <v>7</v>
      </c>
      <c r="E1660" s="2" t="s">
        <v>12</v>
      </c>
      <c r="F1660">
        <f t="shared" si="25"/>
        <v>1.6855500000000001</v>
      </c>
      <c r="G1660" t="s">
        <v>16</v>
      </c>
      <c r="I1660" t="s">
        <v>8</v>
      </c>
      <c r="J1660" t="str">
        <f>"04/16/1990 23:00"</f>
        <v>04/16/1990 23:00</v>
      </c>
    </row>
    <row r="1661" spans="1:10" x14ac:dyDescent="0.3">
      <c r="A1661" t="s">
        <v>6</v>
      </c>
      <c r="B1661" t="str">
        <f>"04/17/1990 00:00"</f>
        <v>04/17/1990 00:00</v>
      </c>
      <c r="C1661">
        <v>0.85</v>
      </c>
      <c r="D1661" t="s">
        <v>7</v>
      </c>
      <c r="E1661" s="2" t="s">
        <v>12</v>
      </c>
      <c r="F1661">
        <f t="shared" si="25"/>
        <v>1.6855500000000001</v>
      </c>
      <c r="G1661" t="s">
        <v>16</v>
      </c>
      <c r="I1661" t="s">
        <v>8</v>
      </c>
      <c r="J1661" t="str">
        <f>"04/17/1990 23:00"</f>
        <v>04/17/1990 23:00</v>
      </c>
    </row>
    <row r="1662" spans="1:10" x14ac:dyDescent="0.3">
      <c r="A1662" t="s">
        <v>6</v>
      </c>
      <c r="B1662" t="str">
        <f>"04/18/1990 00:00"</f>
        <v>04/18/1990 00:00</v>
      </c>
      <c r="C1662">
        <v>0.85</v>
      </c>
      <c r="D1662" t="s">
        <v>7</v>
      </c>
      <c r="E1662" s="2" t="s">
        <v>12</v>
      </c>
      <c r="F1662">
        <f t="shared" si="25"/>
        <v>1.6855500000000001</v>
      </c>
      <c r="G1662" t="s">
        <v>16</v>
      </c>
      <c r="J1662" t="str">
        <f>"04/18/1990 23:00"</f>
        <v>04/18/1990 23:00</v>
      </c>
    </row>
    <row r="1663" spans="1:10" x14ac:dyDescent="0.3">
      <c r="A1663" t="s">
        <v>6</v>
      </c>
      <c r="B1663" t="str">
        <f>"04/19/1990 00:00"</f>
        <v>04/19/1990 00:00</v>
      </c>
      <c r="C1663">
        <v>0.85</v>
      </c>
      <c r="D1663" t="s">
        <v>7</v>
      </c>
      <c r="E1663" s="2" t="s">
        <v>12</v>
      </c>
      <c r="F1663">
        <f t="shared" si="25"/>
        <v>1.6855500000000001</v>
      </c>
      <c r="G1663" t="s">
        <v>16</v>
      </c>
      <c r="I1663" t="s">
        <v>8</v>
      </c>
      <c r="J1663" t="str">
        <f>"04/19/1990 23:00"</f>
        <v>04/19/1990 23:00</v>
      </c>
    </row>
    <row r="1664" spans="1:10" x14ac:dyDescent="0.3">
      <c r="A1664" t="s">
        <v>6</v>
      </c>
      <c r="B1664" t="str">
        <f>"04/20/1990 00:00"</f>
        <v>04/20/1990 00:00</v>
      </c>
      <c r="C1664">
        <v>0.85</v>
      </c>
      <c r="D1664" t="s">
        <v>7</v>
      </c>
      <c r="E1664" s="2" t="s">
        <v>12</v>
      </c>
      <c r="F1664">
        <f t="shared" si="25"/>
        <v>1.6855500000000001</v>
      </c>
      <c r="G1664" t="s">
        <v>16</v>
      </c>
      <c r="I1664" t="s">
        <v>35</v>
      </c>
      <c r="J1664" t="str">
        <f>"04/20/1990 23:00"</f>
        <v>04/20/1990 23:00</v>
      </c>
    </row>
    <row r="1665" spans="1:10" x14ac:dyDescent="0.3">
      <c r="A1665" t="s">
        <v>6</v>
      </c>
      <c r="B1665" t="str">
        <f>"04/21/1990 00:00"</f>
        <v>04/21/1990 00:00</v>
      </c>
      <c r="C1665">
        <v>0.85</v>
      </c>
      <c r="D1665" t="s">
        <v>7</v>
      </c>
      <c r="E1665" s="2" t="s">
        <v>12</v>
      </c>
      <c r="F1665">
        <f t="shared" si="25"/>
        <v>1.6855500000000001</v>
      </c>
      <c r="G1665" t="s">
        <v>16</v>
      </c>
      <c r="I1665" t="s">
        <v>35</v>
      </c>
      <c r="J1665" t="str">
        <f>"04/21/1990 23:00"</f>
        <v>04/21/1990 23:00</v>
      </c>
    </row>
    <row r="1666" spans="1:10" x14ac:dyDescent="0.3">
      <c r="A1666" t="s">
        <v>6</v>
      </c>
      <c r="B1666" t="str">
        <f>"04/22/1990 00:00"</f>
        <v>04/22/1990 00:00</v>
      </c>
      <c r="C1666">
        <v>0.85</v>
      </c>
      <c r="D1666" t="s">
        <v>7</v>
      </c>
      <c r="E1666" s="2" t="s">
        <v>12</v>
      </c>
      <c r="F1666">
        <f t="shared" si="25"/>
        <v>1.6855500000000001</v>
      </c>
      <c r="G1666" t="s">
        <v>16</v>
      </c>
      <c r="I1666" t="s">
        <v>8</v>
      </c>
      <c r="J1666" t="str">
        <f>"04/22/1990 23:00"</f>
        <v>04/22/1990 23:00</v>
      </c>
    </row>
    <row r="1667" spans="1:10" x14ac:dyDescent="0.3">
      <c r="A1667" t="s">
        <v>6</v>
      </c>
      <c r="B1667" t="str">
        <f>"04/23/1990 00:00"</f>
        <v>04/23/1990 00:00</v>
      </c>
      <c r="C1667">
        <v>0.85</v>
      </c>
      <c r="D1667" t="s">
        <v>7</v>
      </c>
      <c r="E1667" s="2" t="s">
        <v>12</v>
      </c>
      <c r="F1667">
        <f t="shared" ref="F1667:F1730" si="26">C1667*1.983</f>
        <v>1.6855500000000001</v>
      </c>
      <c r="G1667" t="s">
        <v>16</v>
      </c>
      <c r="J1667" t="str">
        <f>"04/23/1990 23:00"</f>
        <v>04/23/1990 23:00</v>
      </c>
    </row>
    <row r="1668" spans="1:10" x14ac:dyDescent="0.3">
      <c r="A1668" t="s">
        <v>6</v>
      </c>
      <c r="B1668" t="str">
        <f>"04/24/1990 00:00"</f>
        <v>04/24/1990 00:00</v>
      </c>
      <c r="C1668">
        <v>0.85</v>
      </c>
      <c r="D1668" t="s">
        <v>7</v>
      </c>
      <c r="E1668" s="2" t="s">
        <v>12</v>
      </c>
      <c r="F1668">
        <f t="shared" si="26"/>
        <v>1.6855500000000001</v>
      </c>
      <c r="G1668" t="s">
        <v>16</v>
      </c>
      <c r="I1668" t="s">
        <v>8</v>
      </c>
      <c r="J1668" t="str">
        <f>"04/24/1990 23:00"</f>
        <v>04/24/1990 23:00</v>
      </c>
    </row>
    <row r="1669" spans="1:10" x14ac:dyDescent="0.3">
      <c r="A1669" t="s">
        <v>6</v>
      </c>
      <c r="B1669" t="str">
        <f>"04/25/1990 00:00"</f>
        <v>04/25/1990 00:00</v>
      </c>
      <c r="C1669">
        <v>0.85</v>
      </c>
      <c r="D1669" t="s">
        <v>7</v>
      </c>
      <c r="E1669" s="2" t="s">
        <v>12</v>
      </c>
      <c r="F1669">
        <f t="shared" si="26"/>
        <v>1.6855500000000001</v>
      </c>
      <c r="G1669" t="s">
        <v>16</v>
      </c>
      <c r="I1669" t="s">
        <v>35</v>
      </c>
      <c r="J1669" t="str">
        <f>"04/25/1990 23:00"</f>
        <v>04/25/1990 23:00</v>
      </c>
    </row>
    <row r="1670" spans="1:10" x14ac:dyDescent="0.3">
      <c r="A1670" t="s">
        <v>6</v>
      </c>
      <c r="B1670" t="str">
        <f>"04/26/1990 00:00"</f>
        <v>04/26/1990 00:00</v>
      </c>
      <c r="C1670">
        <v>0.85</v>
      </c>
      <c r="D1670" t="s">
        <v>7</v>
      </c>
      <c r="E1670" s="2" t="s">
        <v>12</v>
      </c>
      <c r="F1670">
        <f t="shared" si="26"/>
        <v>1.6855500000000001</v>
      </c>
      <c r="G1670" t="s">
        <v>16</v>
      </c>
      <c r="I1670" t="s">
        <v>8</v>
      </c>
      <c r="J1670" t="str">
        <f>"04/26/1990 23:00"</f>
        <v>04/26/1990 23:00</v>
      </c>
    </row>
    <row r="1671" spans="1:10" x14ac:dyDescent="0.3">
      <c r="A1671" t="s">
        <v>6</v>
      </c>
      <c r="B1671" t="str">
        <f>"04/27/1990 00:00"</f>
        <v>04/27/1990 00:00</v>
      </c>
      <c r="C1671">
        <v>0.85</v>
      </c>
      <c r="D1671" t="s">
        <v>7</v>
      </c>
      <c r="E1671" s="2" t="s">
        <v>12</v>
      </c>
      <c r="F1671">
        <f t="shared" si="26"/>
        <v>1.6855500000000001</v>
      </c>
      <c r="G1671" t="s">
        <v>16</v>
      </c>
      <c r="J1671" t="str">
        <f>"04/27/1990 23:00"</f>
        <v>04/27/1990 23:00</v>
      </c>
    </row>
    <row r="1672" spans="1:10" x14ac:dyDescent="0.3">
      <c r="A1672" t="s">
        <v>6</v>
      </c>
      <c r="B1672" t="str">
        <f>"04/28/1990 00:00"</f>
        <v>04/28/1990 00:00</v>
      </c>
      <c r="C1672">
        <v>0.85</v>
      </c>
      <c r="D1672" t="s">
        <v>7</v>
      </c>
      <c r="E1672" s="2" t="s">
        <v>12</v>
      </c>
      <c r="F1672">
        <f t="shared" si="26"/>
        <v>1.6855500000000001</v>
      </c>
      <c r="G1672" t="s">
        <v>16</v>
      </c>
      <c r="I1672" t="s">
        <v>8</v>
      </c>
      <c r="J1672" t="str">
        <f>"04/28/1990 23:00"</f>
        <v>04/28/1990 23:00</v>
      </c>
    </row>
    <row r="1673" spans="1:10" x14ac:dyDescent="0.3">
      <c r="A1673" t="s">
        <v>6</v>
      </c>
      <c r="B1673" t="str">
        <f>"04/29/1990 00:00"</f>
        <v>04/29/1990 00:00</v>
      </c>
      <c r="C1673">
        <v>0.85</v>
      </c>
      <c r="D1673" t="s">
        <v>7</v>
      </c>
      <c r="E1673" s="2" t="s">
        <v>12</v>
      </c>
      <c r="F1673">
        <f t="shared" si="26"/>
        <v>1.6855500000000001</v>
      </c>
      <c r="G1673" t="s">
        <v>16</v>
      </c>
      <c r="I1673" t="s">
        <v>8</v>
      </c>
      <c r="J1673" t="str">
        <f>"04/29/1990 23:00"</f>
        <v>04/29/1990 23:00</v>
      </c>
    </row>
    <row r="1674" spans="1:10" x14ac:dyDescent="0.3">
      <c r="A1674" t="s">
        <v>6</v>
      </c>
      <c r="B1674" t="str">
        <f>"04/30/1990 00:00"</f>
        <v>04/30/1990 00:00</v>
      </c>
      <c r="C1674">
        <v>0.85</v>
      </c>
      <c r="D1674" t="s">
        <v>7</v>
      </c>
      <c r="E1674" s="2" t="s">
        <v>12</v>
      </c>
      <c r="F1674">
        <f t="shared" si="26"/>
        <v>1.6855500000000001</v>
      </c>
      <c r="G1674" t="s">
        <v>16</v>
      </c>
      <c r="J1674" t="str">
        <f>"04/30/1990 23:00"</f>
        <v>04/30/1990 23:00</v>
      </c>
    </row>
    <row r="1675" spans="1:10" x14ac:dyDescent="0.3">
      <c r="A1675" t="s">
        <v>6</v>
      </c>
      <c r="B1675" t="str">
        <f>"05/01/1990 00:00"</f>
        <v>05/01/1990 00:00</v>
      </c>
      <c r="C1675">
        <v>0.69399999999999995</v>
      </c>
      <c r="D1675" t="s">
        <v>7</v>
      </c>
      <c r="E1675" s="2" t="s">
        <v>12</v>
      </c>
      <c r="F1675">
        <f t="shared" si="26"/>
        <v>1.3762019999999999</v>
      </c>
      <c r="G1675" t="s">
        <v>16</v>
      </c>
      <c r="I1675" t="s">
        <v>8</v>
      </c>
      <c r="J1675" t="str">
        <f>"05/01/1990 23:00"</f>
        <v>05/01/1990 23:00</v>
      </c>
    </row>
    <row r="1676" spans="1:10" x14ac:dyDescent="0.3">
      <c r="A1676" t="s">
        <v>6</v>
      </c>
      <c r="B1676" t="str">
        <f>"05/02/1990 00:00"</f>
        <v>05/02/1990 00:00</v>
      </c>
      <c r="C1676">
        <v>0.63</v>
      </c>
      <c r="D1676" t="s">
        <v>7</v>
      </c>
      <c r="E1676" s="2" t="s">
        <v>12</v>
      </c>
      <c r="F1676">
        <f t="shared" si="26"/>
        <v>1.24929</v>
      </c>
      <c r="G1676" t="s">
        <v>16</v>
      </c>
      <c r="I1676" t="s">
        <v>35</v>
      </c>
      <c r="J1676" t="str">
        <f>"05/02/1990 23:00"</f>
        <v>05/02/1990 23:00</v>
      </c>
    </row>
    <row r="1677" spans="1:10" x14ac:dyDescent="0.3">
      <c r="A1677" t="s">
        <v>6</v>
      </c>
      <c r="B1677" t="str">
        <f>"05/03/1990 00:00"</f>
        <v>05/03/1990 00:00</v>
      </c>
      <c r="C1677">
        <v>0.63</v>
      </c>
      <c r="D1677" t="s">
        <v>7</v>
      </c>
      <c r="E1677" s="2" t="s">
        <v>12</v>
      </c>
      <c r="F1677">
        <f t="shared" si="26"/>
        <v>1.24929</v>
      </c>
      <c r="G1677" t="s">
        <v>16</v>
      </c>
      <c r="I1677" t="s">
        <v>35</v>
      </c>
      <c r="J1677" t="str">
        <f>"05/03/1990 23:00"</f>
        <v>05/03/1990 23:00</v>
      </c>
    </row>
    <row r="1678" spans="1:10" x14ac:dyDescent="0.3">
      <c r="A1678" t="s">
        <v>6</v>
      </c>
      <c r="B1678" t="str">
        <f>"05/04/1990 00:00"</f>
        <v>05/04/1990 00:00</v>
      </c>
      <c r="C1678">
        <v>0.63</v>
      </c>
      <c r="D1678" t="s">
        <v>7</v>
      </c>
      <c r="E1678" s="2" t="s">
        <v>12</v>
      </c>
      <c r="F1678">
        <f t="shared" si="26"/>
        <v>1.24929</v>
      </c>
      <c r="G1678" t="s">
        <v>16</v>
      </c>
      <c r="I1678" t="s">
        <v>35</v>
      </c>
      <c r="J1678" t="str">
        <f>"05/04/1990 23:00"</f>
        <v>05/04/1990 23:00</v>
      </c>
    </row>
    <row r="1679" spans="1:10" x14ac:dyDescent="0.3">
      <c r="A1679" t="s">
        <v>6</v>
      </c>
      <c r="B1679" t="str">
        <f>"05/05/1990 00:00"</f>
        <v>05/05/1990 00:00</v>
      </c>
      <c r="C1679">
        <v>0.63</v>
      </c>
      <c r="D1679" t="s">
        <v>7</v>
      </c>
      <c r="E1679" s="2" t="s">
        <v>12</v>
      </c>
      <c r="F1679">
        <f t="shared" si="26"/>
        <v>1.24929</v>
      </c>
      <c r="G1679" t="s">
        <v>16</v>
      </c>
      <c r="I1679" t="s">
        <v>35</v>
      </c>
      <c r="J1679" t="str">
        <f>"05/05/1990 23:00"</f>
        <v>05/05/1990 23:00</v>
      </c>
    </row>
    <row r="1680" spans="1:10" x14ac:dyDescent="0.3">
      <c r="A1680" t="s">
        <v>6</v>
      </c>
      <c r="B1680" t="str">
        <f>"05/06/1990 00:00"</f>
        <v>05/06/1990 00:00</v>
      </c>
      <c r="C1680">
        <v>0.63</v>
      </c>
      <c r="D1680" t="s">
        <v>7</v>
      </c>
      <c r="E1680" s="2" t="s">
        <v>12</v>
      </c>
      <c r="F1680">
        <f t="shared" si="26"/>
        <v>1.24929</v>
      </c>
      <c r="G1680" t="s">
        <v>16</v>
      </c>
      <c r="I1680" t="s">
        <v>8</v>
      </c>
      <c r="J1680" t="str">
        <f>"05/06/1990 23:00"</f>
        <v>05/06/1990 23:00</v>
      </c>
    </row>
    <row r="1681" spans="1:10" x14ac:dyDescent="0.3">
      <c r="A1681" t="s">
        <v>6</v>
      </c>
      <c r="B1681" t="str">
        <f>"05/07/1990 00:00"</f>
        <v>05/07/1990 00:00</v>
      </c>
      <c r="C1681">
        <v>0.63</v>
      </c>
      <c r="D1681" t="s">
        <v>7</v>
      </c>
      <c r="E1681" s="2" t="s">
        <v>12</v>
      </c>
      <c r="F1681">
        <f t="shared" si="26"/>
        <v>1.24929</v>
      </c>
      <c r="G1681" t="s">
        <v>16</v>
      </c>
      <c r="J1681" t="str">
        <f>"05/07/1990 14:00"</f>
        <v>05/07/1990 14:00</v>
      </c>
    </row>
    <row r="1682" spans="1:10" x14ac:dyDescent="0.3">
      <c r="A1682" t="s">
        <v>6</v>
      </c>
      <c r="B1682" t="str">
        <f>"05/08/1990 00:00"</f>
        <v>05/08/1990 00:00</v>
      </c>
      <c r="D1682" t="s">
        <v>7</v>
      </c>
      <c r="E1682" s="2" t="s">
        <v>12</v>
      </c>
      <c r="F1682">
        <f t="shared" si="26"/>
        <v>0</v>
      </c>
      <c r="G1682" t="s">
        <v>16</v>
      </c>
    </row>
    <row r="1683" spans="1:10" x14ac:dyDescent="0.3">
      <c r="A1683" t="s">
        <v>6</v>
      </c>
      <c r="B1683" t="str">
        <f>"05/09/1990 00:00"</f>
        <v>05/09/1990 00:00</v>
      </c>
      <c r="D1683" t="s">
        <v>7</v>
      </c>
      <c r="E1683" s="2" t="s">
        <v>12</v>
      </c>
      <c r="F1683">
        <f t="shared" si="26"/>
        <v>0</v>
      </c>
      <c r="G1683" t="s">
        <v>16</v>
      </c>
    </row>
    <row r="1684" spans="1:10" x14ac:dyDescent="0.3">
      <c r="A1684" t="s">
        <v>6</v>
      </c>
      <c r="B1684" t="str">
        <f>"05/10/1990 00:00"</f>
        <v>05/10/1990 00:00</v>
      </c>
      <c r="D1684" t="s">
        <v>7</v>
      </c>
      <c r="E1684" s="2" t="s">
        <v>12</v>
      </c>
      <c r="F1684">
        <f t="shared" si="26"/>
        <v>0</v>
      </c>
      <c r="G1684" t="s">
        <v>16</v>
      </c>
    </row>
    <row r="1685" spans="1:10" x14ac:dyDescent="0.3">
      <c r="A1685" t="s">
        <v>6</v>
      </c>
      <c r="B1685" t="str">
        <f>"05/11/1990 00:00"</f>
        <v>05/11/1990 00:00</v>
      </c>
      <c r="D1685" t="s">
        <v>7</v>
      </c>
      <c r="E1685" s="2" t="s">
        <v>12</v>
      </c>
      <c r="F1685">
        <f t="shared" si="26"/>
        <v>0</v>
      </c>
      <c r="G1685" t="s">
        <v>16</v>
      </c>
    </row>
    <row r="1686" spans="1:10" x14ac:dyDescent="0.3">
      <c r="A1686" t="s">
        <v>6</v>
      </c>
      <c r="B1686" t="str">
        <f>"05/12/1990 00:00"</f>
        <v>05/12/1990 00:00</v>
      </c>
      <c r="D1686" t="s">
        <v>7</v>
      </c>
      <c r="E1686" s="2" t="s">
        <v>12</v>
      </c>
      <c r="F1686">
        <f t="shared" si="26"/>
        <v>0</v>
      </c>
      <c r="G1686" t="s">
        <v>16</v>
      </c>
    </row>
    <row r="1687" spans="1:10" x14ac:dyDescent="0.3">
      <c r="A1687" t="s">
        <v>6</v>
      </c>
      <c r="B1687" t="str">
        <f>"05/13/1990 00:00"</f>
        <v>05/13/1990 00:00</v>
      </c>
      <c r="D1687" t="s">
        <v>7</v>
      </c>
      <c r="E1687" s="2" t="s">
        <v>12</v>
      </c>
      <c r="F1687">
        <f t="shared" si="26"/>
        <v>0</v>
      </c>
      <c r="G1687" t="s">
        <v>16</v>
      </c>
    </row>
    <row r="1688" spans="1:10" x14ac:dyDescent="0.3">
      <c r="A1688" t="s">
        <v>6</v>
      </c>
      <c r="B1688" t="str">
        <f>"05/14/1990 00:00"</f>
        <v>05/14/1990 00:00</v>
      </c>
      <c r="D1688" t="s">
        <v>7</v>
      </c>
      <c r="E1688" s="2" t="s">
        <v>12</v>
      </c>
      <c r="F1688">
        <f t="shared" si="26"/>
        <v>0</v>
      </c>
      <c r="G1688" t="s">
        <v>16</v>
      </c>
    </row>
    <row r="1689" spans="1:10" x14ac:dyDescent="0.3">
      <c r="A1689" t="s">
        <v>6</v>
      </c>
      <c r="B1689" t="str">
        <f>"05/15/1990 00:00"</f>
        <v>05/15/1990 00:00</v>
      </c>
      <c r="D1689" t="s">
        <v>7</v>
      </c>
      <c r="E1689" s="2" t="s">
        <v>12</v>
      </c>
      <c r="F1689">
        <f t="shared" si="26"/>
        <v>0</v>
      </c>
      <c r="G1689" t="s">
        <v>16</v>
      </c>
    </row>
    <row r="1690" spans="1:10" x14ac:dyDescent="0.3">
      <c r="A1690" t="s">
        <v>6</v>
      </c>
      <c r="B1690" t="str">
        <f>"05/16/1990 00:00"</f>
        <v>05/16/1990 00:00</v>
      </c>
      <c r="D1690" t="s">
        <v>7</v>
      </c>
      <c r="E1690" s="2" t="s">
        <v>12</v>
      </c>
      <c r="F1690">
        <f t="shared" si="26"/>
        <v>0</v>
      </c>
      <c r="G1690" t="s">
        <v>16</v>
      </c>
    </row>
    <row r="1691" spans="1:10" x14ac:dyDescent="0.3">
      <c r="A1691" t="s">
        <v>6</v>
      </c>
      <c r="B1691" t="str">
        <f>"05/17/1990 00:00"</f>
        <v>05/17/1990 00:00</v>
      </c>
      <c r="D1691" t="s">
        <v>7</v>
      </c>
      <c r="E1691" s="2" t="s">
        <v>12</v>
      </c>
      <c r="F1691">
        <f t="shared" si="26"/>
        <v>0</v>
      </c>
      <c r="G1691" t="s">
        <v>16</v>
      </c>
    </row>
    <row r="1692" spans="1:10" x14ac:dyDescent="0.3">
      <c r="A1692" t="s">
        <v>6</v>
      </c>
      <c r="B1692" t="str">
        <f>"05/18/1990 00:00"</f>
        <v>05/18/1990 00:00</v>
      </c>
      <c r="D1692" t="s">
        <v>7</v>
      </c>
      <c r="E1692" s="2" t="s">
        <v>12</v>
      </c>
      <c r="F1692">
        <f t="shared" si="26"/>
        <v>0</v>
      </c>
      <c r="G1692" t="s">
        <v>16</v>
      </c>
    </row>
    <row r="1693" spans="1:10" x14ac:dyDescent="0.3">
      <c r="A1693" t="s">
        <v>6</v>
      </c>
      <c r="B1693" t="str">
        <f>"05/19/1990 00:00"</f>
        <v>05/19/1990 00:00</v>
      </c>
      <c r="D1693" t="s">
        <v>7</v>
      </c>
      <c r="E1693" s="2" t="s">
        <v>12</v>
      </c>
      <c r="F1693">
        <f t="shared" si="26"/>
        <v>0</v>
      </c>
      <c r="G1693" t="s">
        <v>16</v>
      </c>
    </row>
    <row r="1694" spans="1:10" x14ac:dyDescent="0.3">
      <c r="A1694" t="s">
        <v>6</v>
      </c>
      <c r="B1694" t="str">
        <f>"05/20/1990 00:00"</f>
        <v>05/20/1990 00:00</v>
      </c>
      <c r="C1694">
        <v>0.88300000000000001</v>
      </c>
      <c r="D1694" t="s">
        <v>7</v>
      </c>
      <c r="E1694" s="2" t="s">
        <v>12</v>
      </c>
      <c r="F1694">
        <f t="shared" si="26"/>
        <v>1.7509890000000001</v>
      </c>
      <c r="G1694" t="s">
        <v>16</v>
      </c>
      <c r="J1694" t="str">
        <f>"05/20/1990 23:00"</f>
        <v>05/20/1990 23:00</v>
      </c>
    </row>
    <row r="1695" spans="1:10" x14ac:dyDescent="0.3">
      <c r="A1695" t="s">
        <v>6</v>
      </c>
      <c r="B1695" t="str">
        <f>"05/21/1990 00:00"</f>
        <v>05/21/1990 00:00</v>
      </c>
      <c r="C1695">
        <v>18.2</v>
      </c>
      <c r="D1695" t="s">
        <v>7</v>
      </c>
      <c r="E1695" s="2" t="s">
        <v>12</v>
      </c>
      <c r="F1695">
        <f t="shared" si="26"/>
        <v>36.090600000000002</v>
      </c>
      <c r="G1695" t="s">
        <v>16</v>
      </c>
      <c r="J1695" t="str">
        <f>"05/21/1990 23:00"</f>
        <v>05/21/1990 23:00</v>
      </c>
    </row>
    <row r="1696" spans="1:10" x14ac:dyDescent="0.3">
      <c r="A1696" t="s">
        <v>6</v>
      </c>
      <c r="B1696" t="str">
        <f>"05/22/1990 00:00"</f>
        <v>05/22/1990 00:00</v>
      </c>
      <c r="C1696">
        <v>29.9</v>
      </c>
      <c r="D1696" t="s">
        <v>7</v>
      </c>
      <c r="E1696" s="2" t="s">
        <v>12</v>
      </c>
      <c r="F1696">
        <f t="shared" si="26"/>
        <v>59.291699999999999</v>
      </c>
      <c r="G1696" t="s">
        <v>16</v>
      </c>
      <c r="J1696" t="str">
        <f>"05/22/1990 23:00"</f>
        <v>05/22/1990 23:00</v>
      </c>
    </row>
    <row r="1697" spans="1:10" x14ac:dyDescent="0.3">
      <c r="A1697" t="s">
        <v>6</v>
      </c>
      <c r="B1697" t="str">
        <f>"05/23/1990 00:00"</f>
        <v>05/23/1990 00:00</v>
      </c>
      <c r="C1697">
        <v>53.9</v>
      </c>
      <c r="D1697" t="s">
        <v>7</v>
      </c>
      <c r="E1697" s="2" t="s">
        <v>12</v>
      </c>
      <c r="F1697">
        <f t="shared" si="26"/>
        <v>106.8837</v>
      </c>
      <c r="G1697" t="s">
        <v>16</v>
      </c>
      <c r="J1697" t="str">
        <f>"05/23/1990 23:00"</f>
        <v>05/23/1990 23:00</v>
      </c>
    </row>
    <row r="1698" spans="1:10" x14ac:dyDescent="0.3">
      <c r="A1698" t="s">
        <v>6</v>
      </c>
      <c r="B1698" t="str">
        <f>"05/24/1990 00:00"</f>
        <v>05/24/1990 00:00</v>
      </c>
      <c r="C1698">
        <v>49.6</v>
      </c>
      <c r="D1698" t="s">
        <v>7</v>
      </c>
      <c r="E1698" s="2" t="s">
        <v>12</v>
      </c>
      <c r="F1698">
        <f t="shared" si="26"/>
        <v>98.356800000000007</v>
      </c>
      <c r="G1698" t="s">
        <v>16</v>
      </c>
      <c r="J1698" t="str">
        <f>"05/24/1990 23:00"</f>
        <v>05/24/1990 23:00</v>
      </c>
    </row>
    <row r="1699" spans="1:10" x14ac:dyDescent="0.3">
      <c r="A1699" t="s">
        <v>6</v>
      </c>
      <c r="B1699" t="str">
        <f>"05/25/1990 00:00"</f>
        <v>05/25/1990 00:00</v>
      </c>
      <c r="C1699">
        <v>34.5</v>
      </c>
      <c r="D1699" t="s">
        <v>7</v>
      </c>
      <c r="E1699" s="2" t="s">
        <v>12</v>
      </c>
      <c r="F1699">
        <f t="shared" si="26"/>
        <v>68.413499999999999</v>
      </c>
      <c r="G1699" t="s">
        <v>16</v>
      </c>
      <c r="J1699" t="str">
        <f>"05/25/1990 23:00"</f>
        <v>05/25/1990 23:00</v>
      </c>
    </row>
    <row r="1700" spans="1:10" x14ac:dyDescent="0.3">
      <c r="A1700" t="s">
        <v>6</v>
      </c>
      <c r="B1700" t="str">
        <f>"05/26/1990 00:00"</f>
        <v>05/26/1990 00:00</v>
      </c>
      <c r="C1700">
        <v>14</v>
      </c>
      <c r="D1700" t="s">
        <v>7</v>
      </c>
      <c r="E1700" s="2" t="s">
        <v>12</v>
      </c>
      <c r="F1700">
        <f t="shared" si="26"/>
        <v>27.762</v>
      </c>
      <c r="G1700" t="s">
        <v>16</v>
      </c>
      <c r="J1700" t="str">
        <f>"05/26/1990 23:00"</f>
        <v>05/26/1990 23:00</v>
      </c>
    </row>
    <row r="1701" spans="1:10" x14ac:dyDescent="0.3">
      <c r="A1701" t="s">
        <v>6</v>
      </c>
      <c r="B1701" t="str">
        <f>"05/27/1990 00:00"</f>
        <v>05/27/1990 00:00</v>
      </c>
      <c r="C1701">
        <v>13.6</v>
      </c>
      <c r="D1701" t="s">
        <v>7</v>
      </c>
      <c r="E1701" s="2" t="s">
        <v>12</v>
      </c>
      <c r="F1701">
        <f t="shared" si="26"/>
        <v>26.968800000000002</v>
      </c>
      <c r="G1701" t="s">
        <v>16</v>
      </c>
      <c r="J1701" t="str">
        <f>"05/27/1990 23:00"</f>
        <v>05/27/1990 23:00</v>
      </c>
    </row>
    <row r="1702" spans="1:10" x14ac:dyDescent="0.3">
      <c r="A1702" t="s">
        <v>6</v>
      </c>
      <c r="B1702" t="str">
        <f>"05/28/1990 00:00"</f>
        <v>05/28/1990 00:00</v>
      </c>
      <c r="C1702">
        <v>13</v>
      </c>
      <c r="D1702" t="s">
        <v>7</v>
      </c>
      <c r="E1702" s="2" t="s">
        <v>12</v>
      </c>
      <c r="F1702">
        <f t="shared" si="26"/>
        <v>25.779</v>
      </c>
      <c r="G1702" t="s">
        <v>16</v>
      </c>
      <c r="J1702" t="str">
        <f>"05/28/1990 23:00"</f>
        <v>05/28/1990 23:00</v>
      </c>
    </row>
    <row r="1703" spans="1:10" x14ac:dyDescent="0.3">
      <c r="A1703" t="s">
        <v>6</v>
      </c>
      <c r="B1703" t="str">
        <f>"05/29/1990 00:00"</f>
        <v>05/29/1990 00:00</v>
      </c>
      <c r="C1703">
        <v>11</v>
      </c>
      <c r="D1703" t="s">
        <v>7</v>
      </c>
      <c r="E1703" s="2" t="s">
        <v>12</v>
      </c>
      <c r="F1703">
        <f t="shared" si="26"/>
        <v>21.813000000000002</v>
      </c>
      <c r="G1703" t="s">
        <v>16</v>
      </c>
      <c r="J1703" t="str">
        <f>"05/29/1990 23:00"</f>
        <v>05/29/1990 23:00</v>
      </c>
    </row>
    <row r="1704" spans="1:10" x14ac:dyDescent="0.3">
      <c r="A1704" t="s">
        <v>6</v>
      </c>
      <c r="B1704" t="str">
        <f>"05/30/1990 00:00"</f>
        <v>05/30/1990 00:00</v>
      </c>
      <c r="C1704">
        <v>9.3800000000000008</v>
      </c>
      <c r="D1704" t="s">
        <v>7</v>
      </c>
      <c r="E1704" s="2" t="s">
        <v>12</v>
      </c>
      <c r="F1704">
        <f t="shared" si="26"/>
        <v>18.600540000000002</v>
      </c>
      <c r="G1704" t="s">
        <v>16</v>
      </c>
      <c r="J1704" t="str">
        <f>"05/30/1990 23:00"</f>
        <v>05/30/1990 23:00</v>
      </c>
    </row>
    <row r="1705" spans="1:10" x14ac:dyDescent="0.3">
      <c r="A1705" t="s">
        <v>6</v>
      </c>
      <c r="B1705" t="str">
        <f>"05/31/1990 00:00"</f>
        <v>05/31/1990 00:00</v>
      </c>
      <c r="C1705">
        <v>8.92</v>
      </c>
      <c r="D1705" t="s">
        <v>7</v>
      </c>
      <c r="E1705" s="2" t="s">
        <v>12</v>
      </c>
      <c r="F1705">
        <f t="shared" si="26"/>
        <v>17.688359999999999</v>
      </c>
      <c r="G1705" t="s">
        <v>16</v>
      </c>
      <c r="J1705" t="str">
        <f>"05/31/1990 23:00"</f>
        <v>05/31/1990 23:00</v>
      </c>
    </row>
    <row r="1706" spans="1:10" x14ac:dyDescent="0.3">
      <c r="A1706" t="s">
        <v>6</v>
      </c>
      <c r="B1706" t="str">
        <f>"06/01/1990 00:00"</f>
        <v>06/01/1990 00:00</v>
      </c>
      <c r="C1706">
        <v>9.64</v>
      </c>
      <c r="D1706" t="s">
        <v>7</v>
      </c>
      <c r="E1706" s="2" t="s">
        <v>12</v>
      </c>
      <c r="F1706">
        <f t="shared" si="26"/>
        <v>19.116120000000002</v>
      </c>
      <c r="G1706" t="s">
        <v>16</v>
      </c>
      <c r="J1706" t="str">
        <f>"06/01/1990 23:00"</f>
        <v>06/01/1990 23:00</v>
      </c>
    </row>
    <row r="1707" spans="1:10" x14ac:dyDescent="0.3">
      <c r="A1707" t="s">
        <v>6</v>
      </c>
      <c r="B1707" t="str">
        <f>"06/02/1990 00:00"</f>
        <v>06/02/1990 00:00</v>
      </c>
      <c r="C1707">
        <v>5.45</v>
      </c>
      <c r="D1707" t="s">
        <v>7</v>
      </c>
      <c r="E1707" s="2" t="s">
        <v>12</v>
      </c>
      <c r="F1707">
        <f t="shared" si="26"/>
        <v>10.807350000000001</v>
      </c>
      <c r="G1707" t="s">
        <v>16</v>
      </c>
      <c r="J1707" t="str">
        <f>"06/02/1990 23:00"</f>
        <v>06/02/1990 23:00</v>
      </c>
    </row>
    <row r="1708" spans="1:10" x14ac:dyDescent="0.3">
      <c r="A1708" t="s">
        <v>6</v>
      </c>
      <c r="B1708" t="str">
        <f>"06/03/1990 00:00"</f>
        <v>06/03/1990 00:00</v>
      </c>
      <c r="C1708">
        <v>1.34</v>
      </c>
      <c r="D1708" t="s">
        <v>7</v>
      </c>
      <c r="E1708" s="2" t="s">
        <v>12</v>
      </c>
      <c r="F1708">
        <f t="shared" si="26"/>
        <v>2.6572200000000001</v>
      </c>
      <c r="G1708" t="s">
        <v>16</v>
      </c>
      <c r="I1708" t="s">
        <v>8</v>
      </c>
      <c r="J1708" t="str">
        <f>"06/03/1990 23:00"</f>
        <v>06/03/1990 23:00</v>
      </c>
    </row>
    <row r="1709" spans="1:10" x14ac:dyDescent="0.3">
      <c r="A1709" t="s">
        <v>6</v>
      </c>
      <c r="B1709" t="str">
        <f>"06/04/1990 00:00"</f>
        <v>06/04/1990 00:00</v>
      </c>
      <c r="C1709">
        <v>1.34</v>
      </c>
      <c r="D1709" t="s">
        <v>7</v>
      </c>
      <c r="E1709" s="2" t="s">
        <v>12</v>
      </c>
      <c r="F1709">
        <f t="shared" si="26"/>
        <v>2.6572200000000001</v>
      </c>
      <c r="G1709" t="s">
        <v>16</v>
      </c>
      <c r="I1709" t="s">
        <v>8</v>
      </c>
      <c r="J1709" t="str">
        <f>"06/04/1990 23:00"</f>
        <v>06/04/1990 23:00</v>
      </c>
    </row>
    <row r="1710" spans="1:10" x14ac:dyDescent="0.3">
      <c r="A1710" t="s">
        <v>6</v>
      </c>
      <c r="B1710" t="str">
        <f>"06/05/1990 00:00"</f>
        <v>06/05/1990 00:00</v>
      </c>
      <c r="C1710">
        <v>1.24</v>
      </c>
      <c r="D1710" t="s">
        <v>7</v>
      </c>
      <c r="E1710" s="2" t="s">
        <v>12</v>
      </c>
      <c r="F1710">
        <f t="shared" si="26"/>
        <v>2.45892</v>
      </c>
      <c r="G1710" t="s">
        <v>16</v>
      </c>
      <c r="J1710" t="str">
        <f>"06/05/1990 23:00"</f>
        <v>06/05/1990 23:00</v>
      </c>
    </row>
    <row r="1711" spans="1:10" x14ac:dyDescent="0.3">
      <c r="A1711" t="s">
        <v>6</v>
      </c>
      <c r="B1711" t="str">
        <f>"06/06/1990 00:00"</f>
        <v>06/06/1990 00:00</v>
      </c>
      <c r="C1711">
        <v>1.08</v>
      </c>
      <c r="D1711" t="s">
        <v>7</v>
      </c>
      <c r="E1711" s="2" t="s">
        <v>12</v>
      </c>
      <c r="F1711">
        <f t="shared" si="26"/>
        <v>2.1416400000000002</v>
      </c>
      <c r="G1711" t="s">
        <v>16</v>
      </c>
      <c r="J1711" t="str">
        <f>"06/06/1990 23:00"</f>
        <v>06/06/1990 23:00</v>
      </c>
    </row>
    <row r="1712" spans="1:10" x14ac:dyDescent="0.3">
      <c r="A1712" t="s">
        <v>6</v>
      </c>
      <c r="B1712" t="str">
        <f>"06/07/1990 00:00"</f>
        <v>06/07/1990 00:00</v>
      </c>
      <c r="C1712">
        <v>1.08</v>
      </c>
      <c r="D1712" t="s">
        <v>7</v>
      </c>
      <c r="E1712" s="2" t="s">
        <v>12</v>
      </c>
      <c r="F1712">
        <f t="shared" si="26"/>
        <v>2.1416400000000002</v>
      </c>
      <c r="G1712" t="s">
        <v>16</v>
      </c>
      <c r="I1712" t="s">
        <v>35</v>
      </c>
      <c r="J1712" t="str">
        <f>"06/07/1990 23:00"</f>
        <v>06/07/1990 23:00</v>
      </c>
    </row>
    <row r="1713" spans="1:10" x14ac:dyDescent="0.3">
      <c r="A1713" t="s">
        <v>6</v>
      </c>
      <c r="B1713" t="str">
        <f>"06/08/1990 00:00"</f>
        <v>06/08/1990 00:00</v>
      </c>
      <c r="C1713">
        <v>1.08</v>
      </c>
      <c r="D1713" t="s">
        <v>7</v>
      </c>
      <c r="E1713" s="2" t="s">
        <v>12</v>
      </c>
      <c r="F1713">
        <f t="shared" si="26"/>
        <v>2.1416400000000002</v>
      </c>
      <c r="G1713" t="s">
        <v>16</v>
      </c>
      <c r="I1713" t="s">
        <v>35</v>
      </c>
      <c r="J1713" t="str">
        <f>"06/08/1990 23:00"</f>
        <v>06/08/1990 23:00</v>
      </c>
    </row>
    <row r="1714" spans="1:10" x14ac:dyDescent="0.3">
      <c r="A1714" t="s">
        <v>6</v>
      </c>
      <c r="B1714" t="str">
        <f>"06/09/1990 00:00"</f>
        <v>06/09/1990 00:00</v>
      </c>
      <c r="C1714">
        <v>1.08</v>
      </c>
      <c r="D1714" t="s">
        <v>7</v>
      </c>
      <c r="E1714" s="2" t="s">
        <v>12</v>
      </c>
      <c r="F1714">
        <f t="shared" si="26"/>
        <v>2.1416400000000002</v>
      </c>
      <c r="G1714" t="s">
        <v>16</v>
      </c>
      <c r="I1714" t="s">
        <v>35</v>
      </c>
      <c r="J1714" t="str">
        <f>"06/09/1990 23:00"</f>
        <v>06/09/1990 23:00</v>
      </c>
    </row>
    <row r="1715" spans="1:10" x14ac:dyDescent="0.3">
      <c r="A1715" t="s">
        <v>6</v>
      </c>
      <c r="B1715" t="str">
        <f>"06/10/1990 00:00"</f>
        <v>06/10/1990 00:00</v>
      </c>
      <c r="C1715">
        <v>1.08</v>
      </c>
      <c r="D1715" t="s">
        <v>7</v>
      </c>
      <c r="E1715" s="2" t="s">
        <v>12</v>
      </c>
      <c r="F1715">
        <f t="shared" si="26"/>
        <v>2.1416400000000002</v>
      </c>
      <c r="G1715" t="s">
        <v>16</v>
      </c>
      <c r="I1715" t="s">
        <v>35</v>
      </c>
      <c r="J1715" t="str">
        <f>"06/10/1990 23:00"</f>
        <v>06/10/1990 23:00</v>
      </c>
    </row>
    <row r="1716" spans="1:10" x14ac:dyDescent="0.3">
      <c r="A1716" t="s">
        <v>6</v>
      </c>
      <c r="B1716" t="str">
        <f>"06/11/1990 00:00"</f>
        <v>06/11/1990 00:00</v>
      </c>
      <c r="C1716">
        <v>1.08</v>
      </c>
      <c r="D1716" t="s">
        <v>7</v>
      </c>
      <c r="E1716" s="2" t="s">
        <v>12</v>
      </c>
      <c r="F1716">
        <f t="shared" si="26"/>
        <v>2.1416400000000002</v>
      </c>
      <c r="G1716" t="s">
        <v>16</v>
      </c>
      <c r="I1716" t="s">
        <v>35</v>
      </c>
      <c r="J1716" t="str">
        <f>"06/11/1990 23:00"</f>
        <v>06/11/1990 23:00</v>
      </c>
    </row>
    <row r="1717" spans="1:10" x14ac:dyDescent="0.3">
      <c r="A1717" t="s">
        <v>6</v>
      </c>
      <c r="B1717" t="str">
        <f>"06/12/1990 00:00"</f>
        <v>06/12/1990 00:00</v>
      </c>
      <c r="C1717">
        <v>1.08</v>
      </c>
      <c r="D1717" t="s">
        <v>7</v>
      </c>
      <c r="E1717" s="2" t="s">
        <v>12</v>
      </c>
      <c r="F1717">
        <f t="shared" si="26"/>
        <v>2.1416400000000002</v>
      </c>
      <c r="G1717" t="s">
        <v>16</v>
      </c>
      <c r="I1717" t="s">
        <v>35</v>
      </c>
      <c r="J1717" t="str">
        <f>"06/12/1990 23:00"</f>
        <v>06/12/1990 23:00</v>
      </c>
    </row>
    <row r="1718" spans="1:10" x14ac:dyDescent="0.3">
      <c r="A1718" t="s">
        <v>6</v>
      </c>
      <c r="B1718" t="str">
        <f>"06/13/1990 00:00"</f>
        <v>06/13/1990 00:00</v>
      </c>
      <c r="C1718">
        <v>1.08</v>
      </c>
      <c r="D1718" t="s">
        <v>7</v>
      </c>
      <c r="E1718" s="2" t="s">
        <v>12</v>
      </c>
      <c r="F1718">
        <f t="shared" si="26"/>
        <v>2.1416400000000002</v>
      </c>
      <c r="G1718" t="s">
        <v>16</v>
      </c>
      <c r="I1718" t="s">
        <v>35</v>
      </c>
      <c r="J1718" t="str">
        <f>"06/13/1990 23:00"</f>
        <v>06/13/1990 23:00</v>
      </c>
    </row>
    <row r="1719" spans="1:10" x14ac:dyDescent="0.3">
      <c r="A1719" t="s">
        <v>6</v>
      </c>
      <c r="B1719" t="str">
        <f>"06/14/1990 00:00"</f>
        <v>06/14/1990 00:00</v>
      </c>
      <c r="C1719">
        <v>1.08</v>
      </c>
      <c r="D1719" t="s">
        <v>7</v>
      </c>
      <c r="E1719" s="2" t="s">
        <v>12</v>
      </c>
      <c r="F1719">
        <f t="shared" si="26"/>
        <v>2.1416400000000002</v>
      </c>
      <c r="G1719" t="s">
        <v>16</v>
      </c>
      <c r="I1719" t="s">
        <v>35</v>
      </c>
      <c r="J1719" t="str">
        <f>"06/14/1990 23:00"</f>
        <v>06/14/1990 23:00</v>
      </c>
    </row>
    <row r="1720" spans="1:10" x14ac:dyDescent="0.3">
      <c r="A1720" t="s">
        <v>6</v>
      </c>
      <c r="B1720" t="str">
        <f>"06/15/1990 00:00"</f>
        <v>06/15/1990 00:00</v>
      </c>
      <c r="C1720">
        <v>1.08</v>
      </c>
      <c r="D1720" t="s">
        <v>7</v>
      </c>
      <c r="E1720" s="2" t="s">
        <v>12</v>
      </c>
      <c r="F1720">
        <f t="shared" si="26"/>
        <v>2.1416400000000002</v>
      </c>
      <c r="G1720" t="s">
        <v>16</v>
      </c>
      <c r="I1720" t="s">
        <v>35</v>
      </c>
      <c r="J1720" t="str">
        <f>"06/15/1990 02:00"</f>
        <v>06/15/1990 02:00</v>
      </c>
    </row>
    <row r="1721" spans="1:10" x14ac:dyDescent="0.3">
      <c r="A1721" t="s">
        <v>6</v>
      </c>
      <c r="B1721" t="str">
        <f>"06/16/1990 00:00"</f>
        <v>06/16/1990 00:00</v>
      </c>
      <c r="D1721" t="s">
        <v>7</v>
      </c>
      <c r="E1721" s="2" t="s">
        <v>12</v>
      </c>
      <c r="F1721">
        <f t="shared" si="26"/>
        <v>0</v>
      </c>
      <c r="G1721" t="s">
        <v>16</v>
      </c>
    </row>
    <row r="1722" spans="1:10" x14ac:dyDescent="0.3">
      <c r="A1722" t="s">
        <v>6</v>
      </c>
      <c r="B1722" t="str">
        <f>"06/17/1990 00:00"</f>
        <v>06/17/1990 00:00</v>
      </c>
      <c r="D1722" t="s">
        <v>7</v>
      </c>
      <c r="E1722" s="2" t="s">
        <v>12</v>
      </c>
      <c r="F1722">
        <f t="shared" si="26"/>
        <v>0</v>
      </c>
      <c r="G1722" t="s">
        <v>16</v>
      </c>
    </row>
    <row r="1723" spans="1:10" x14ac:dyDescent="0.3">
      <c r="A1723" t="s">
        <v>6</v>
      </c>
      <c r="B1723" t="str">
        <f>"06/18/1990 00:00"</f>
        <v>06/18/1990 00:00</v>
      </c>
      <c r="D1723" t="s">
        <v>7</v>
      </c>
      <c r="E1723" s="2" t="s">
        <v>12</v>
      </c>
      <c r="F1723">
        <f t="shared" si="26"/>
        <v>0</v>
      </c>
      <c r="G1723" t="s">
        <v>16</v>
      </c>
    </row>
    <row r="1724" spans="1:10" x14ac:dyDescent="0.3">
      <c r="A1724" t="s">
        <v>6</v>
      </c>
      <c r="B1724" t="str">
        <f>"06/19/1990 00:00"</f>
        <v>06/19/1990 00:00</v>
      </c>
      <c r="D1724" t="s">
        <v>7</v>
      </c>
      <c r="E1724" s="2" t="s">
        <v>12</v>
      </c>
      <c r="F1724">
        <f t="shared" si="26"/>
        <v>0</v>
      </c>
      <c r="G1724" t="s">
        <v>16</v>
      </c>
    </row>
    <row r="1725" spans="1:10" x14ac:dyDescent="0.3">
      <c r="A1725" t="s">
        <v>6</v>
      </c>
      <c r="B1725" t="str">
        <f>"06/20/1990 00:00"</f>
        <v>06/20/1990 00:00</v>
      </c>
      <c r="D1725" t="s">
        <v>7</v>
      </c>
      <c r="E1725" s="2" t="s">
        <v>12</v>
      </c>
      <c r="F1725">
        <f t="shared" si="26"/>
        <v>0</v>
      </c>
      <c r="G1725" t="s">
        <v>16</v>
      </c>
    </row>
    <row r="1726" spans="1:10" x14ac:dyDescent="0.3">
      <c r="A1726" t="s">
        <v>6</v>
      </c>
      <c r="B1726" t="str">
        <f>"06/21/1990 00:00"</f>
        <v>06/21/1990 00:00</v>
      </c>
      <c r="C1726">
        <v>57.8</v>
      </c>
      <c r="D1726" t="s">
        <v>7</v>
      </c>
      <c r="E1726" s="2" t="s">
        <v>12</v>
      </c>
      <c r="F1726">
        <f t="shared" si="26"/>
        <v>114.6174</v>
      </c>
      <c r="G1726" t="s">
        <v>16</v>
      </c>
      <c r="I1726" t="s">
        <v>8</v>
      </c>
      <c r="J1726" t="str">
        <f>"06/21/1990 23:00"</f>
        <v>06/21/1990 23:00</v>
      </c>
    </row>
    <row r="1727" spans="1:10" x14ac:dyDescent="0.3">
      <c r="A1727" t="s">
        <v>6</v>
      </c>
      <c r="B1727" t="str">
        <f>"06/22/1990 00:00"</f>
        <v>06/22/1990 00:00</v>
      </c>
      <c r="C1727">
        <v>122</v>
      </c>
      <c r="D1727" t="s">
        <v>7</v>
      </c>
      <c r="E1727" s="2" t="s">
        <v>12</v>
      </c>
      <c r="F1727">
        <f t="shared" si="26"/>
        <v>241.92600000000002</v>
      </c>
      <c r="G1727" t="s">
        <v>16</v>
      </c>
      <c r="J1727" t="str">
        <f>"06/22/1990 23:00"</f>
        <v>06/22/1990 23:00</v>
      </c>
    </row>
    <row r="1728" spans="1:10" x14ac:dyDescent="0.3">
      <c r="A1728" t="s">
        <v>6</v>
      </c>
      <c r="B1728" t="str">
        <f>"06/23/1990 00:00"</f>
        <v>06/23/1990 00:00</v>
      </c>
      <c r="C1728">
        <v>292</v>
      </c>
      <c r="D1728" t="s">
        <v>7</v>
      </c>
      <c r="E1728" s="2" t="s">
        <v>12</v>
      </c>
      <c r="F1728">
        <f t="shared" si="26"/>
        <v>579.03600000000006</v>
      </c>
      <c r="G1728" t="s">
        <v>16</v>
      </c>
      <c r="J1728" t="str">
        <f>"06/23/1990 23:00"</f>
        <v>06/23/1990 23:00</v>
      </c>
    </row>
    <row r="1729" spans="1:10" x14ac:dyDescent="0.3">
      <c r="A1729" t="s">
        <v>6</v>
      </c>
      <c r="B1729" t="str">
        <f>"06/24/1990 00:00"</f>
        <v>06/24/1990 00:00</v>
      </c>
      <c r="C1729">
        <v>292</v>
      </c>
      <c r="D1729" t="s">
        <v>7</v>
      </c>
      <c r="E1729" s="2" t="s">
        <v>12</v>
      </c>
      <c r="F1729">
        <f t="shared" si="26"/>
        <v>579.03600000000006</v>
      </c>
      <c r="G1729" t="s">
        <v>16</v>
      </c>
      <c r="J1729" t="str">
        <f>"06/24/1990 23:00"</f>
        <v>06/24/1990 23:00</v>
      </c>
    </row>
    <row r="1730" spans="1:10" x14ac:dyDescent="0.3">
      <c r="A1730" t="s">
        <v>6</v>
      </c>
      <c r="B1730" t="str">
        <f>"06/25/1990 00:00"</f>
        <v>06/25/1990 00:00</v>
      </c>
      <c r="C1730">
        <v>292</v>
      </c>
      <c r="D1730" t="s">
        <v>7</v>
      </c>
      <c r="E1730" s="2" t="s">
        <v>12</v>
      </c>
      <c r="F1730">
        <f t="shared" si="26"/>
        <v>579.03600000000006</v>
      </c>
      <c r="G1730" t="s">
        <v>16</v>
      </c>
      <c r="J1730" t="str">
        <f>"06/25/1990 23:00"</f>
        <v>06/25/1990 23:00</v>
      </c>
    </row>
    <row r="1731" spans="1:10" x14ac:dyDescent="0.3">
      <c r="A1731" t="s">
        <v>6</v>
      </c>
      <c r="B1731" t="str">
        <f>"06/26/1990 00:00"</f>
        <v>06/26/1990 00:00</v>
      </c>
      <c r="C1731">
        <v>302</v>
      </c>
      <c r="D1731" t="s">
        <v>7</v>
      </c>
      <c r="E1731" s="2" t="s">
        <v>12</v>
      </c>
      <c r="F1731">
        <f t="shared" ref="F1731:F1794" si="27">C1731*1.983</f>
        <v>598.86599999999999</v>
      </c>
      <c r="G1731" t="s">
        <v>16</v>
      </c>
      <c r="J1731" t="str">
        <f>"06/26/1990 23:00"</f>
        <v>06/26/1990 23:00</v>
      </c>
    </row>
    <row r="1732" spans="1:10" x14ac:dyDescent="0.3">
      <c r="A1732" t="s">
        <v>6</v>
      </c>
      <c r="B1732" t="str">
        <f>"06/27/1990 00:00"</f>
        <v>06/27/1990 00:00</v>
      </c>
      <c r="C1732">
        <v>323</v>
      </c>
      <c r="D1732" t="s">
        <v>7</v>
      </c>
      <c r="E1732" s="2" t="s">
        <v>12</v>
      </c>
      <c r="F1732">
        <f t="shared" si="27"/>
        <v>640.50900000000001</v>
      </c>
      <c r="G1732" t="s">
        <v>16</v>
      </c>
      <c r="J1732" t="str">
        <f>"06/27/1990 23:00"</f>
        <v>06/27/1990 23:00</v>
      </c>
    </row>
    <row r="1733" spans="1:10" x14ac:dyDescent="0.3">
      <c r="A1733" t="s">
        <v>6</v>
      </c>
      <c r="B1733" t="str">
        <f>"06/28/1990 00:00"</f>
        <v>06/28/1990 00:00</v>
      </c>
      <c r="C1733">
        <v>354</v>
      </c>
      <c r="D1733" t="s">
        <v>7</v>
      </c>
      <c r="E1733" s="2" t="s">
        <v>12</v>
      </c>
      <c r="F1733">
        <f t="shared" si="27"/>
        <v>701.98200000000008</v>
      </c>
      <c r="G1733" t="s">
        <v>16</v>
      </c>
      <c r="J1733" t="str">
        <f>"06/28/1990 23:00"</f>
        <v>06/28/1990 23:00</v>
      </c>
    </row>
    <row r="1734" spans="1:10" x14ac:dyDescent="0.3">
      <c r="A1734" t="s">
        <v>6</v>
      </c>
      <c r="B1734" t="str">
        <f>"06/29/1990 00:00"</f>
        <v>06/29/1990 00:00</v>
      </c>
      <c r="C1734">
        <v>331</v>
      </c>
      <c r="D1734" t="s">
        <v>7</v>
      </c>
      <c r="E1734" s="2" t="s">
        <v>12</v>
      </c>
      <c r="F1734">
        <f t="shared" si="27"/>
        <v>656.37300000000005</v>
      </c>
      <c r="G1734" t="s">
        <v>16</v>
      </c>
      <c r="J1734" t="str">
        <f>"06/29/1990 23:00"</f>
        <v>06/29/1990 23:00</v>
      </c>
    </row>
    <row r="1735" spans="1:10" x14ac:dyDescent="0.3">
      <c r="A1735" t="s">
        <v>6</v>
      </c>
      <c r="B1735" t="str">
        <f>"06/30/1990 00:00"</f>
        <v>06/30/1990 00:00</v>
      </c>
      <c r="C1735">
        <v>331</v>
      </c>
      <c r="D1735" t="s">
        <v>7</v>
      </c>
      <c r="E1735" s="2" t="s">
        <v>12</v>
      </c>
      <c r="F1735">
        <f t="shared" si="27"/>
        <v>656.37300000000005</v>
      </c>
      <c r="G1735" t="s">
        <v>16</v>
      </c>
      <c r="J1735" t="str">
        <f>"06/30/1990 23:00"</f>
        <v>06/30/1990 23:00</v>
      </c>
    </row>
    <row r="1736" spans="1:10" x14ac:dyDescent="0.3">
      <c r="A1736" t="s">
        <v>6</v>
      </c>
      <c r="B1736" t="str">
        <f>"07/01/1990 00:00"</f>
        <v>07/01/1990 00:00</v>
      </c>
      <c r="C1736">
        <v>342</v>
      </c>
      <c r="D1736" t="s">
        <v>7</v>
      </c>
      <c r="E1736" s="2" t="s">
        <v>12</v>
      </c>
      <c r="F1736">
        <f t="shared" si="27"/>
        <v>678.18600000000004</v>
      </c>
      <c r="G1736" t="s">
        <v>16</v>
      </c>
      <c r="J1736" t="str">
        <f>"07/01/1990 23:00"</f>
        <v>07/01/1990 23:00</v>
      </c>
    </row>
    <row r="1737" spans="1:10" x14ac:dyDescent="0.3">
      <c r="A1737" t="s">
        <v>6</v>
      </c>
      <c r="B1737" t="str">
        <f>"07/02/1990 00:00"</f>
        <v>07/02/1990 00:00</v>
      </c>
      <c r="C1737">
        <v>343</v>
      </c>
      <c r="D1737" t="s">
        <v>7</v>
      </c>
      <c r="E1737" s="2" t="s">
        <v>12</v>
      </c>
      <c r="F1737">
        <f t="shared" si="27"/>
        <v>680.16899999999998</v>
      </c>
      <c r="G1737" t="s">
        <v>16</v>
      </c>
      <c r="J1737" t="str">
        <f>"07/02/1990 23:00"</f>
        <v>07/02/1990 23:00</v>
      </c>
    </row>
    <row r="1738" spans="1:10" x14ac:dyDescent="0.3">
      <c r="A1738" t="s">
        <v>6</v>
      </c>
      <c r="B1738" t="str">
        <f>"07/03/1990 00:00"</f>
        <v>07/03/1990 00:00</v>
      </c>
      <c r="C1738">
        <v>331</v>
      </c>
      <c r="D1738" t="s">
        <v>7</v>
      </c>
      <c r="E1738" s="2" t="s">
        <v>12</v>
      </c>
      <c r="F1738">
        <f t="shared" si="27"/>
        <v>656.37300000000005</v>
      </c>
      <c r="G1738" t="s">
        <v>16</v>
      </c>
      <c r="J1738" t="str">
        <f>"07/03/1990 23:00"</f>
        <v>07/03/1990 23:00</v>
      </c>
    </row>
    <row r="1739" spans="1:10" x14ac:dyDescent="0.3">
      <c r="A1739" t="s">
        <v>6</v>
      </c>
      <c r="B1739" t="str">
        <f>"07/04/1990 00:00"</f>
        <v>07/04/1990 00:00</v>
      </c>
      <c r="C1739">
        <v>355</v>
      </c>
      <c r="D1739" t="s">
        <v>7</v>
      </c>
      <c r="E1739" s="2" t="s">
        <v>12</v>
      </c>
      <c r="F1739">
        <f t="shared" si="27"/>
        <v>703.96500000000003</v>
      </c>
      <c r="G1739" t="s">
        <v>16</v>
      </c>
      <c r="J1739" t="str">
        <f>"07/04/1990 23:00"</f>
        <v>07/04/1990 23:00</v>
      </c>
    </row>
    <row r="1740" spans="1:10" x14ac:dyDescent="0.3">
      <c r="A1740" t="s">
        <v>6</v>
      </c>
      <c r="B1740" t="str">
        <f>"07/05/1990 00:00"</f>
        <v>07/05/1990 00:00</v>
      </c>
      <c r="C1740">
        <v>342</v>
      </c>
      <c r="D1740" t="s">
        <v>7</v>
      </c>
      <c r="E1740" s="2" t="s">
        <v>12</v>
      </c>
      <c r="F1740">
        <f t="shared" si="27"/>
        <v>678.18600000000004</v>
      </c>
      <c r="G1740" t="s">
        <v>16</v>
      </c>
      <c r="J1740" t="str">
        <f>"07/05/1990 23:00"</f>
        <v>07/05/1990 23:00</v>
      </c>
    </row>
    <row r="1741" spans="1:10" x14ac:dyDescent="0.3">
      <c r="A1741" t="s">
        <v>6</v>
      </c>
      <c r="B1741" t="str">
        <f>"07/06/1990 00:00"</f>
        <v>07/06/1990 00:00</v>
      </c>
      <c r="C1741">
        <v>331</v>
      </c>
      <c r="D1741" t="s">
        <v>7</v>
      </c>
      <c r="E1741" s="2" t="s">
        <v>12</v>
      </c>
      <c r="F1741">
        <f t="shared" si="27"/>
        <v>656.37300000000005</v>
      </c>
      <c r="G1741" t="s">
        <v>16</v>
      </c>
      <c r="J1741" t="str">
        <f>"07/06/1990 23:00"</f>
        <v>07/06/1990 23:00</v>
      </c>
    </row>
    <row r="1742" spans="1:10" x14ac:dyDescent="0.3">
      <c r="A1742" t="s">
        <v>6</v>
      </c>
      <c r="B1742" t="str">
        <f>"07/07/1990 00:00"</f>
        <v>07/07/1990 00:00</v>
      </c>
      <c r="C1742">
        <v>343</v>
      </c>
      <c r="D1742" t="s">
        <v>7</v>
      </c>
      <c r="E1742" s="2" t="s">
        <v>12</v>
      </c>
      <c r="F1742">
        <f t="shared" si="27"/>
        <v>680.16899999999998</v>
      </c>
      <c r="G1742" t="s">
        <v>16</v>
      </c>
      <c r="J1742" t="str">
        <f>"07/07/1990 23:00"</f>
        <v>07/07/1990 23:00</v>
      </c>
    </row>
    <row r="1743" spans="1:10" x14ac:dyDescent="0.3">
      <c r="A1743" t="s">
        <v>6</v>
      </c>
      <c r="B1743" t="str">
        <f>"07/08/1990 00:00"</f>
        <v>07/08/1990 00:00</v>
      </c>
      <c r="C1743">
        <v>325</v>
      </c>
      <c r="D1743" t="s">
        <v>7</v>
      </c>
      <c r="E1743" s="2" t="s">
        <v>12</v>
      </c>
      <c r="F1743">
        <f t="shared" si="27"/>
        <v>644.47500000000002</v>
      </c>
      <c r="G1743" t="s">
        <v>16</v>
      </c>
      <c r="J1743" t="str">
        <f>"07/08/1990 23:00"</f>
        <v>07/08/1990 23:00</v>
      </c>
    </row>
    <row r="1744" spans="1:10" x14ac:dyDescent="0.3">
      <c r="A1744" t="s">
        <v>6</v>
      </c>
      <c r="B1744" t="str">
        <f>"07/09/1990 00:00"</f>
        <v>07/09/1990 00:00</v>
      </c>
      <c r="C1744">
        <v>260</v>
      </c>
      <c r="D1744" t="s">
        <v>7</v>
      </c>
      <c r="E1744" s="2" t="s">
        <v>12</v>
      </c>
      <c r="F1744">
        <f t="shared" si="27"/>
        <v>515.58000000000004</v>
      </c>
      <c r="G1744" t="s">
        <v>16</v>
      </c>
      <c r="J1744" t="str">
        <f>"07/09/1990 23:00"</f>
        <v>07/09/1990 23:00</v>
      </c>
    </row>
    <row r="1745" spans="1:10" x14ac:dyDescent="0.3">
      <c r="A1745" t="s">
        <v>6</v>
      </c>
      <c r="B1745" t="str">
        <f>"07/10/1990 00:00"</f>
        <v>07/10/1990 00:00</v>
      </c>
      <c r="C1745">
        <v>334</v>
      </c>
      <c r="D1745" t="s">
        <v>7</v>
      </c>
      <c r="E1745" s="2" t="s">
        <v>12</v>
      </c>
      <c r="F1745">
        <f t="shared" si="27"/>
        <v>662.322</v>
      </c>
      <c r="G1745" t="s">
        <v>16</v>
      </c>
      <c r="J1745" t="str">
        <f>"07/10/1990 23:00"</f>
        <v>07/10/1990 23:00</v>
      </c>
    </row>
    <row r="1746" spans="1:10" x14ac:dyDescent="0.3">
      <c r="A1746" t="s">
        <v>6</v>
      </c>
      <c r="B1746" t="str">
        <f>"07/11/1990 00:00"</f>
        <v>07/11/1990 00:00</v>
      </c>
      <c r="C1746">
        <v>372</v>
      </c>
      <c r="D1746" t="s">
        <v>7</v>
      </c>
      <c r="E1746" s="2" t="s">
        <v>12</v>
      </c>
      <c r="F1746">
        <f t="shared" si="27"/>
        <v>737.67600000000004</v>
      </c>
      <c r="G1746" t="s">
        <v>16</v>
      </c>
      <c r="J1746" t="str">
        <f>"07/11/1990 23:00"</f>
        <v>07/11/1990 23:00</v>
      </c>
    </row>
    <row r="1747" spans="1:10" x14ac:dyDescent="0.3">
      <c r="A1747" t="s">
        <v>6</v>
      </c>
      <c r="B1747" t="str">
        <f>"07/12/1990 00:00"</f>
        <v>07/12/1990 00:00</v>
      </c>
      <c r="C1747">
        <v>372</v>
      </c>
      <c r="D1747" t="s">
        <v>7</v>
      </c>
      <c r="E1747" s="2" t="s">
        <v>12</v>
      </c>
      <c r="F1747">
        <f t="shared" si="27"/>
        <v>737.67600000000004</v>
      </c>
      <c r="G1747" t="s">
        <v>16</v>
      </c>
      <c r="J1747" t="str">
        <f>"07/12/1990 23:00"</f>
        <v>07/12/1990 23:00</v>
      </c>
    </row>
    <row r="1748" spans="1:10" x14ac:dyDescent="0.3">
      <c r="A1748" t="s">
        <v>6</v>
      </c>
      <c r="B1748" t="str">
        <f>"07/13/1990 00:00"</f>
        <v>07/13/1990 00:00</v>
      </c>
      <c r="C1748">
        <v>358</v>
      </c>
      <c r="D1748" t="s">
        <v>7</v>
      </c>
      <c r="E1748" s="2" t="s">
        <v>12</v>
      </c>
      <c r="F1748">
        <f t="shared" si="27"/>
        <v>709.91399999999999</v>
      </c>
      <c r="G1748" t="s">
        <v>16</v>
      </c>
      <c r="J1748" t="str">
        <f>"07/13/1990 23:00"</f>
        <v>07/13/1990 23:00</v>
      </c>
    </row>
    <row r="1749" spans="1:10" x14ac:dyDescent="0.3">
      <c r="A1749" t="s">
        <v>6</v>
      </c>
      <c r="B1749" t="str">
        <f>"07/14/1990 00:00"</f>
        <v>07/14/1990 00:00</v>
      </c>
      <c r="C1749">
        <v>361</v>
      </c>
      <c r="D1749" t="s">
        <v>7</v>
      </c>
      <c r="E1749" s="2" t="s">
        <v>12</v>
      </c>
      <c r="F1749">
        <f t="shared" si="27"/>
        <v>715.86300000000006</v>
      </c>
      <c r="G1749" t="s">
        <v>16</v>
      </c>
      <c r="J1749" t="str">
        <f>"07/14/1990 23:00"</f>
        <v>07/14/1990 23:00</v>
      </c>
    </row>
    <row r="1750" spans="1:10" x14ac:dyDescent="0.3">
      <c r="A1750" t="s">
        <v>6</v>
      </c>
      <c r="B1750" t="str">
        <f>"07/15/1990 00:00"</f>
        <v>07/15/1990 00:00</v>
      </c>
      <c r="C1750">
        <v>357</v>
      </c>
      <c r="D1750" t="s">
        <v>7</v>
      </c>
      <c r="E1750" s="2" t="s">
        <v>12</v>
      </c>
      <c r="F1750">
        <f t="shared" si="27"/>
        <v>707.93100000000004</v>
      </c>
      <c r="G1750" t="s">
        <v>16</v>
      </c>
      <c r="J1750" t="str">
        <f>"07/15/1990 23:00"</f>
        <v>07/15/1990 23:00</v>
      </c>
    </row>
    <row r="1751" spans="1:10" x14ac:dyDescent="0.3">
      <c r="A1751" t="s">
        <v>6</v>
      </c>
      <c r="B1751" t="str">
        <f>"07/16/1990 00:00"</f>
        <v>07/16/1990 00:00</v>
      </c>
      <c r="C1751">
        <v>354</v>
      </c>
      <c r="D1751" t="s">
        <v>7</v>
      </c>
      <c r="E1751" s="2" t="s">
        <v>12</v>
      </c>
      <c r="F1751">
        <f t="shared" si="27"/>
        <v>701.98200000000008</v>
      </c>
      <c r="G1751" t="s">
        <v>16</v>
      </c>
      <c r="J1751" t="str">
        <f>"07/16/1990 23:00"</f>
        <v>07/16/1990 23:00</v>
      </c>
    </row>
    <row r="1752" spans="1:10" x14ac:dyDescent="0.3">
      <c r="A1752" t="s">
        <v>6</v>
      </c>
      <c r="B1752" t="str">
        <f>"07/17/1990 00:00"</f>
        <v>07/17/1990 00:00</v>
      </c>
      <c r="C1752">
        <v>355</v>
      </c>
      <c r="D1752" t="s">
        <v>7</v>
      </c>
      <c r="E1752" s="2" t="s">
        <v>12</v>
      </c>
      <c r="F1752">
        <f t="shared" si="27"/>
        <v>703.96500000000003</v>
      </c>
      <c r="G1752" t="s">
        <v>16</v>
      </c>
      <c r="J1752" t="str">
        <f>"07/17/1990 23:00"</f>
        <v>07/17/1990 23:00</v>
      </c>
    </row>
    <row r="1753" spans="1:10" x14ac:dyDescent="0.3">
      <c r="A1753" t="s">
        <v>6</v>
      </c>
      <c r="B1753" t="str">
        <f>"07/18/1990 00:00"</f>
        <v>07/18/1990 00:00</v>
      </c>
      <c r="C1753">
        <v>313</v>
      </c>
      <c r="D1753" t="s">
        <v>7</v>
      </c>
      <c r="E1753" s="2" t="s">
        <v>12</v>
      </c>
      <c r="F1753">
        <f t="shared" si="27"/>
        <v>620.67899999999997</v>
      </c>
      <c r="G1753" t="s">
        <v>16</v>
      </c>
      <c r="I1753" t="s">
        <v>8</v>
      </c>
      <c r="J1753" t="str">
        <f>"07/18/1990 23:00"</f>
        <v>07/18/1990 23:00</v>
      </c>
    </row>
    <row r="1754" spans="1:10" x14ac:dyDescent="0.3">
      <c r="A1754" t="s">
        <v>6</v>
      </c>
      <c r="B1754" t="str">
        <f>"07/19/1990 00:00"</f>
        <v>07/19/1990 00:00</v>
      </c>
      <c r="C1754">
        <v>259</v>
      </c>
      <c r="D1754" t="s">
        <v>7</v>
      </c>
      <c r="E1754" s="2" t="s">
        <v>12</v>
      </c>
      <c r="F1754">
        <f t="shared" si="27"/>
        <v>513.59699999999998</v>
      </c>
      <c r="G1754" t="s">
        <v>16</v>
      </c>
      <c r="J1754" t="str">
        <f>"07/19/1990 23:00"</f>
        <v>07/19/1990 23:00</v>
      </c>
    </row>
    <row r="1755" spans="1:10" x14ac:dyDescent="0.3">
      <c r="A1755" t="s">
        <v>6</v>
      </c>
      <c r="B1755" t="str">
        <f>"07/20/1990 00:00"</f>
        <v>07/20/1990 00:00</v>
      </c>
      <c r="C1755">
        <v>249</v>
      </c>
      <c r="D1755" t="s">
        <v>7</v>
      </c>
      <c r="E1755" s="2" t="s">
        <v>12</v>
      </c>
      <c r="F1755">
        <f t="shared" si="27"/>
        <v>493.767</v>
      </c>
      <c r="G1755" t="s">
        <v>16</v>
      </c>
      <c r="J1755" t="str">
        <f>"07/20/1990 23:00"</f>
        <v>07/20/1990 23:00</v>
      </c>
    </row>
    <row r="1756" spans="1:10" x14ac:dyDescent="0.3">
      <c r="A1756" t="s">
        <v>6</v>
      </c>
      <c r="B1756" t="str">
        <f>"07/21/1990 00:00"</f>
        <v>07/21/1990 00:00</v>
      </c>
      <c r="C1756">
        <v>239</v>
      </c>
      <c r="D1756" t="s">
        <v>7</v>
      </c>
      <c r="E1756" s="2" t="s">
        <v>12</v>
      </c>
      <c r="F1756">
        <f t="shared" si="27"/>
        <v>473.93700000000001</v>
      </c>
      <c r="G1756" t="s">
        <v>16</v>
      </c>
      <c r="J1756" t="str">
        <f>"07/21/1990 23:00"</f>
        <v>07/21/1990 23:00</v>
      </c>
    </row>
    <row r="1757" spans="1:10" x14ac:dyDescent="0.3">
      <c r="A1757" t="s">
        <v>6</v>
      </c>
      <c r="B1757" t="str">
        <f>"07/22/1990 00:00"</f>
        <v>07/22/1990 00:00</v>
      </c>
      <c r="C1757">
        <v>228</v>
      </c>
      <c r="D1757" t="s">
        <v>7</v>
      </c>
      <c r="E1757" s="2" t="s">
        <v>12</v>
      </c>
      <c r="F1757">
        <f t="shared" si="27"/>
        <v>452.12400000000002</v>
      </c>
      <c r="G1757" t="s">
        <v>16</v>
      </c>
      <c r="J1757" t="str">
        <f>"07/22/1990 23:00"</f>
        <v>07/22/1990 23:00</v>
      </c>
    </row>
    <row r="1758" spans="1:10" x14ac:dyDescent="0.3">
      <c r="A1758" t="s">
        <v>6</v>
      </c>
      <c r="B1758" t="str">
        <f>"07/23/1990 00:00"</f>
        <v>07/23/1990 00:00</v>
      </c>
      <c r="C1758">
        <v>227</v>
      </c>
      <c r="D1758" t="s">
        <v>7</v>
      </c>
      <c r="E1758" s="2" t="s">
        <v>12</v>
      </c>
      <c r="F1758">
        <f t="shared" si="27"/>
        <v>450.14100000000002</v>
      </c>
      <c r="G1758" t="s">
        <v>16</v>
      </c>
      <c r="I1758" t="s">
        <v>8</v>
      </c>
      <c r="J1758" t="str">
        <f>"07/23/1990 23:00"</f>
        <v>07/23/1990 23:00</v>
      </c>
    </row>
    <row r="1759" spans="1:10" x14ac:dyDescent="0.3">
      <c r="A1759" t="s">
        <v>6</v>
      </c>
      <c r="B1759" t="str">
        <f>"07/24/1990 00:00"</f>
        <v>07/24/1990 00:00</v>
      </c>
      <c r="C1759">
        <v>227</v>
      </c>
      <c r="D1759" t="s">
        <v>7</v>
      </c>
      <c r="E1759" s="2" t="s">
        <v>12</v>
      </c>
      <c r="F1759">
        <f t="shared" si="27"/>
        <v>450.14100000000002</v>
      </c>
      <c r="G1759" t="s">
        <v>16</v>
      </c>
      <c r="J1759" t="str">
        <f>"07/24/1990 23:00"</f>
        <v>07/24/1990 23:00</v>
      </c>
    </row>
    <row r="1760" spans="1:10" x14ac:dyDescent="0.3">
      <c r="A1760" t="s">
        <v>6</v>
      </c>
      <c r="B1760" t="str">
        <f>"07/25/1990 00:00"</f>
        <v>07/25/1990 00:00</v>
      </c>
      <c r="C1760">
        <v>229</v>
      </c>
      <c r="D1760" t="s">
        <v>7</v>
      </c>
      <c r="E1760" s="2" t="s">
        <v>12</v>
      </c>
      <c r="F1760">
        <f t="shared" si="27"/>
        <v>454.10700000000003</v>
      </c>
      <c r="G1760" t="s">
        <v>16</v>
      </c>
      <c r="J1760" t="str">
        <f>"07/25/1990 23:00"</f>
        <v>07/25/1990 23:00</v>
      </c>
    </row>
    <row r="1761" spans="1:10" x14ac:dyDescent="0.3">
      <c r="A1761" t="s">
        <v>6</v>
      </c>
      <c r="B1761" t="str">
        <f>"07/26/1990 00:00"</f>
        <v>07/26/1990 00:00</v>
      </c>
      <c r="C1761">
        <v>226</v>
      </c>
      <c r="D1761" t="s">
        <v>7</v>
      </c>
      <c r="E1761" s="2" t="s">
        <v>12</v>
      </c>
      <c r="F1761">
        <f t="shared" si="27"/>
        <v>448.15800000000002</v>
      </c>
      <c r="G1761" t="s">
        <v>16</v>
      </c>
      <c r="J1761" t="str">
        <f>"07/26/1990 23:00"</f>
        <v>07/26/1990 23:00</v>
      </c>
    </row>
    <row r="1762" spans="1:10" x14ac:dyDescent="0.3">
      <c r="A1762" t="s">
        <v>6</v>
      </c>
      <c r="B1762" t="str">
        <f>"07/27/1990 00:00"</f>
        <v>07/27/1990 00:00</v>
      </c>
      <c r="C1762">
        <v>227</v>
      </c>
      <c r="D1762" t="s">
        <v>7</v>
      </c>
      <c r="E1762" s="2" t="s">
        <v>12</v>
      </c>
      <c r="F1762">
        <f t="shared" si="27"/>
        <v>450.14100000000002</v>
      </c>
      <c r="G1762" t="s">
        <v>16</v>
      </c>
      <c r="J1762" t="str">
        <f>"07/27/1990 23:00"</f>
        <v>07/27/1990 23:00</v>
      </c>
    </row>
    <row r="1763" spans="1:10" x14ac:dyDescent="0.3">
      <c r="A1763" t="s">
        <v>6</v>
      </c>
      <c r="B1763" t="str">
        <f>"07/28/1990 00:00"</f>
        <v>07/28/1990 00:00</v>
      </c>
      <c r="C1763">
        <v>227</v>
      </c>
      <c r="D1763" t="s">
        <v>7</v>
      </c>
      <c r="E1763" s="2" t="s">
        <v>12</v>
      </c>
      <c r="F1763">
        <f t="shared" si="27"/>
        <v>450.14100000000002</v>
      </c>
      <c r="G1763" t="s">
        <v>16</v>
      </c>
      <c r="I1763" t="s">
        <v>8</v>
      </c>
      <c r="J1763" t="str">
        <f>"07/28/1990 23:00"</f>
        <v>07/28/1990 23:00</v>
      </c>
    </row>
    <row r="1764" spans="1:10" x14ac:dyDescent="0.3">
      <c r="A1764" t="s">
        <v>6</v>
      </c>
      <c r="B1764" t="str">
        <f>"07/29/1990 00:00"</f>
        <v>07/29/1990 00:00</v>
      </c>
      <c r="C1764">
        <v>220</v>
      </c>
      <c r="D1764" t="s">
        <v>7</v>
      </c>
      <c r="E1764" s="2" t="s">
        <v>12</v>
      </c>
      <c r="F1764">
        <f t="shared" si="27"/>
        <v>436.26000000000005</v>
      </c>
      <c r="G1764" t="s">
        <v>16</v>
      </c>
      <c r="I1764" t="s">
        <v>8</v>
      </c>
      <c r="J1764" t="str">
        <f>"07/29/1990 23:00"</f>
        <v>07/29/1990 23:00</v>
      </c>
    </row>
    <row r="1765" spans="1:10" x14ac:dyDescent="0.3">
      <c r="A1765" t="s">
        <v>6</v>
      </c>
      <c r="B1765" t="str">
        <f>"07/30/1990 00:00"</f>
        <v>07/30/1990 00:00</v>
      </c>
      <c r="C1765">
        <v>227</v>
      </c>
      <c r="D1765" t="s">
        <v>7</v>
      </c>
      <c r="E1765" s="2" t="s">
        <v>12</v>
      </c>
      <c r="F1765">
        <f t="shared" si="27"/>
        <v>450.14100000000002</v>
      </c>
      <c r="G1765" t="s">
        <v>16</v>
      </c>
      <c r="J1765" t="str">
        <f>"07/30/1990 23:00"</f>
        <v>07/30/1990 23:00</v>
      </c>
    </row>
    <row r="1766" spans="1:10" x14ac:dyDescent="0.3">
      <c r="A1766" t="s">
        <v>6</v>
      </c>
      <c r="B1766" t="str">
        <f>"07/31/1990 00:00"</f>
        <v>07/31/1990 00:00</v>
      </c>
      <c r="C1766">
        <v>227</v>
      </c>
      <c r="D1766" t="s">
        <v>7</v>
      </c>
      <c r="E1766" s="2" t="s">
        <v>12</v>
      </c>
      <c r="F1766">
        <f t="shared" si="27"/>
        <v>450.14100000000002</v>
      </c>
      <c r="G1766" t="s">
        <v>16</v>
      </c>
      <c r="J1766" t="str">
        <f>"07/31/1990 23:00"</f>
        <v>07/31/1990 23:00</v>
      </c>
    </row>
    <row r="1767" spans="1:10" x14ac:dyDescent="0.3">
      <c r="A1767" t="s">
        <v>6</v>
      </c>
      <c r="B1767" t="str">
        <f>"08/01/1990 00:00"</f>
        <v>08/01/1990 00:00</v>
      </c>
      <c r="C1767">
        <v>225</v>
      </c>
      <c r="D1767" t="s">
        <v>7</v>
      </c>
      <c r="E1767" s="2" t="s">
        <v>12</v>
      </c>
      <c r="F1767">
        <f t="shared" si="27"/>
        <v>446.17500000000001</v>
      </c>
      <c r="G1767" t="s">
        <v>16</v>
      </c>
      <c r="J1767" t="str">
        <f>"08/01/1990 23:00"</f>
        <v>08/01/1990 23:00</v>
      </c>
    </row>
    <row r="1768" spans="1:10" x14ac:dyDescent="0.3">
      <c r="A1768" t="s">
        <v>6</v>
      </c>
      <c r="B1768" t="str">
        <f>"08/02/1990 00:00"</f>
        <v>08/02/1990 00:00</v>
      </c>
      <c r="C1768">
        <v>227</v>
      </c>
      <c r="D1768" t="s">
        <v>7</v>
      </c>
      <c r="E1768" s="2" t="s">
        <v>12</v>
      </c>
      <c r="F1768">
        <f t="shared" si="27"/>
        <v>450.14100000000002</v>
      </c>
      <c r="G1768" t="s">
        <v>16</v>
      </c>
      <c r="J1768" t="str">
        <f>"08/02/1990 23:00"</f>
        <v>08/02/1990 23:00</v>
      </c>
    </row>
    <row r="1769" spans="1:10" x14ac:dyDescent="0.3">
      <c r="A1769" t="s">
        <v>6</v>
      </c>
      <c r="B1769" t="str">
        <f>"08/03/1990 00:00"</f>
        <v>08/03/1990 00:00</v>
      </c>
      <c r="C1769">
        <v>183</v>
      </c>
      <c r="D1769" t="s">
        <v>7</v>
      </c>
      <c r="E1769" s="2" t="s">
        <v>12</v>
      </c>
      <c r="F1769">
        <f t="shared" si="27"/>
        <v>362.88900000000001</v>
      </c>
      <c r="G1769" t="s">
        <v>16</v>
      </c>
      <c r="J1769" t="str">
        <f>"08/03/1990 23:00"</f>
        <v>08/03/1990 23:00</v>
      </c>
    </row>
    <row r="1770" spans="1:10" x14ac:dyDescent="0.3">
      <c r="A1770" t="s">
        <v>6</v>
      </c>
      <c r="B1770" t="str">
        <f>"08/04/1990 00:00"</f>
        <v>08/04/1990 00:00</v>
      </c>
      <c r="C1770">
        <v>86.2</v>
      </c>
      <c r="D1770" t="s">
        <v>7</v>
      </c>
      <c r="E1770" s="2" t="s">
        <v>12</v>
      </c>
      <c r="F1770">
        <f t="shared" si="27"/>
        <v>170.93460000000002</v>
      </c>
      <c r="G1770" t="s">
        <v>16</v>
      </c>
      <c r="J1770" t="str">
        <f>"08/04/1990 23:00"</f>
        <v>08/04/1990 23:00</v>
      </c>
    </row>
    <row r="1771" spans="1:10" x14ac:dyDescent="0.3">
      <c r="A1771" t="s">
        <v>6</v>
      </c>
      <c r="B1771" t="str">
        <f>"08/05/1990 00:00"</f>
        <v>08/05/1990 00:00</v>
      </c>
      <c r="C1771">
        <v>84.4</v>
      </c>
      <c r="D1771" t="s">
        <v>7</v>
      </c>
      <c r="E1771" s="2" t="s">
        <v>12</v>
      </c>
      <c r="F1771">
        <f t="shared" si="27"/>
        <v>167.36520000000002</v>
      </c>
      <c r="G1771" t="s">
        <v>16</v>
      </c>
      <c r="I1771" t="s">
        <v>8</v>
      </c>
      <c r="J1771" t="str">
        <f>"08/05/1990 23:00"</f>
        <v>08/05/1990 23:00</v>
      </c>
    </row>
    <row r="1772" spans="1:10" x14ac:dyDescent="0.3">
      <c r="A1772" t="s">
        <v>6</v>
      </c>
      <c r="B1772" t="str">
        <f>"08/06/1990 00:00"</f>
        <v>08/06/1990 00:00</v>
      </c>
      <c r="C1772">
        <v>86</v>
      </c>
      <c r="D1772" t="s">
        <v>7</v>
      </c>
      <c r="E1772" s="2" t="s">
        <v>12</v>
      </c>
      <c r="F1772">
        <f t="shared" si="27"/>
        <v>170.53800000000001</v>
      </c>
      <c r="G1772" t="s">
        <v>16</v>
      </c>
      <c r="J1772" t="str">
        <f>"08/06/1990 23:00"</f>
        <v>08/06/1990 23:00</v>
      </c>
    </row>
    <row r="1773" spans="1:10" x14ac:dyDescent="0.3">
      <c r="A1773" t="s">
        <v>6</v>
      </c>
      <c r="B1773" t="str">
        <f>"08/07/1990 00:00"</f>
        <v>08/07/1990 00:00</v>
      </c>
      <c r="C1773">
        <v>98.3</v>
      </c>
      <c r="D1773" t="s">
        <v>7</v>
      </c>
      <c r="E1773" s="2" t="s">
        <v>12</v>
      </c>
      <c r="F1773">
        <f t="shared" si="27"/>
        <v>194.9289</v>
      </c>
      <c r="G1773" t="s">
        <v>16</v>
      </c>
      <c r="I1773" t="s">
        <v>8</v>
      </c>
      <c r="J1773" t="str">
        <f>"08/07/1990 23:00"</f>
        <v>08/07/1990 23:00</v>
      </c>
    </row>
    <row r="1774" spans="1:10" x14ac:dyDescent="0.3">
      <c r="A1774" t="s">
        <v>6</v>
      </c>
      <c r="B1774" t="str">
        <f>"08/08/1990 00:00"</f>
        <v>08/08/1990 00:00</v>
      </c>
      <c r="C1774">
        <v>95.4</v>
      </c>
      <c r="D1774" t="s">
        <v>7</v>
      </c>
      <c r="E1774" s="2" t="s">
        <v>12</v>
      </c>
      <c r="F1774">
        <f t="shared" si="27"/>
        <v>189.17820000000003</v>
      </c>
      <c r="G1774" t="s">
        <v>16</v>
      </c>
      <c r="I1774" t="s">
        <v>8</v>
      </c>
      <c r="J1774" t="str">
        <f>"08/08/1990 23:00"</f>
        <v>08/08/1990 23:00</v>
      </c>
    </row>
    <row r="1775" spans="1:10" x14ac:dyDescent="0.3">
      <c r="A1775" t="s">
        <v>6</v>
      </c>
      <c r="B1775" t="str">
        <f>"08/09/1990 00:00"</f>
        <v>08/09/1990 00:00</v>
      </c>
      <c r="C1775">
        <v>95.4</v>
      </c>
      <c r="D1775" t="s">
        <v>7</v>
      </c>
      <c r="E1775" s="2" t="s">
        <v>12</v>
      </c>
      <c r="F1775">
        <f t="shared" si="27"/>
        <v>189.17820000000003</v>
      </c>
      <c r="G1775" t="s">
        <v>16</v>
      </c>
      <c r="J1775" t="str">
        <f>"08/09/1990 23:00"</f>
        <v>08/09/1990 23:00</v>
      </c>
    </row>
    <row r="1776" spans="1:10" x14ac:dyDescent="0.3">
      <c r="A1776" t="s">
        <v>6</v>
      </c>
      <c r="B1776" t="str">
        <f>"08/10/1990 00:00"</f>
        <v>08/10/1990 00:00</v>
      </c>
      <c r="C1776">
        <v>170</v>
      </c>
      <c r="D1776" t="s">
        <v>7</v>
      </c>
      <c r="E1776" s="2" t="s">
        <v>12</v>
      </c>
      <c r="F1776">
        <f t="shared" si="27"/>
        <v>337.11</v>
      </c>
      <c r="G1776" t="s">
        <v>16</v>
      </c>
      <c r="J1776" t="str">
        <f>"08/10/1990 23:00"</f>
        <v>08/10/1990 23:00</v>
      </c>
    </row>
    <row r="1777" spans="1:10" x14ac:dyDescent="0.3">
      <c r="A1777" t="s">
        <v>6</v>
      </c>
      <c r="B1777" t="str">
        <f>"08/11/1990 00:00"</f>
        <v>08/11/1990 00:00</v>
      </c>
      <c r="C1777">
        <v>289</v>
      </c>
      <c r="D1777" t="s">
        <v>7</v>
      </c>
      <c r="E1777" s="2" t="s">
        <v>12</v>
      </c>
      <c r="F1777">
        <f t="shared" si="27"/>
        <v>573.08699999999999</v>
      </c>
      <c r="G1777" t="s">
        <v>16</v>
      </c>
      <c r="J1777" t="str">
        <f>"08/11/1990 23:00"</f>
        <v>08/11/1990 23:00</v>
      </c>
    </row>
    <row r="1778" spans="1:10" x14ac:dyDescent="0.3">
      <c r="A1778" t="s">
        <v>6</v>
      </c>
      <c r="B1778" t="str">
        <f>"08/12/1990 00:00"</f>
        <v>08/12/1990 00:00</v>
      </c>
      <c r="C1778">
        <v>208</v>
      </c>
      <c r="D1778" t="s">
        <v>7</v>
      </c>
      <c r="E1778" s="2" t="s">
        <v>12</v>
      </c>
      <c r="F1778">
        <f t="shared" si="27"/>
        <v>412.464</v>
      </c>
      <c r="G1778" t="s">
        <v>16</v>
      </c>
      <c r="J1778" t="str">
        <f>"08/12/1990 23:00"</f>
        <v>08/12/1990 23:00</v>
      </c>
    </row>
    <row r="1779" spans="1:10" x14ac:dyDescent="0.3">
      <c r="A1779" t="s">
        <v>6</v>
      </c>
      <c r="B1779" t="str">
        <f>"08/13/1990 00:00"</f>
        <v>08/13/1990 00:00</v>
      </c>
      <c r="C1779">
        <v>159</v>
      </c>
      <c r="D1779" t="s">
        <v>7</v>
      </c>
      <c r="E1779" s="2" t="s">
        <v>12</v>
      </c>
      <c r="F1779">
        <f t="shared" si="27"/>
        <v>315.29700000000003</v>
      </c>
      <c r="G1779" t="s">
        <v>16</v>
      </c>
      <c r="I1779" t="s">
        <v>8</v>
      </c>
      <c r="J1779" t="str">
        <f>"08/13/1990 23:00"</f>
        <v>08/13/1990 23:00</v>
      </c>
    </row>
    <row r="1780" spans="1:10" x14ac:dyDescent="0.3">
      <c r="A1780" t="s">
        <v>6</v>
      </c>
      <c r="B1780" t="str">
        <f>"08/14/1990 00:00"</f>
        <v>08/14/1990 00:00</v>
      </c>
      <c r="C1780">
        <v>137</v>
      </c>
      <c r="D1780" t="s">
        <v>7</v>
      </c>
      <c r="E1780" s="2" t="s">
        <v>12</v>
      </c>
      <c r="F1780">
        <f t="shared" si="27"/>
        <v>271.67099999999999</v>
      </c>
      <c r="G1780" t="s">
        <v>16</v>
      </c>
      <c r="J1780" t="str">
        <f>"08/14/1990 23:00"</f>
        <v>08/14/1990 23:00</v>
      </c>
    </row>
    <row r="1781" spans="1:10" x14ac:dyDescent="0.3">
      <c r="A1781" t="s">
        <v>6</v>
      </c>
      <c r="B1781" t="str">
        <f>"08/15/1990 00:00"</f>
        <v>08/15/1990 00:00</v>
      </c>
      <c r="C1781">
        <v>162</v>
      </c>
      <c r="D1781" t="s">
        <v>7</v>
      </c>
      <c r="E1781" s="2" t="s">
        <v>12</v>
      </c>
      <c r="F1781">
        <f t="shared" si="27"/>
        <v>321.24600000000004</v>
      </c>
      <c r="G1781" t="s">
        <v>16</v>
      </c>
      <c r="J1781" t="str">
        <f>"08/15/1990 23:00"</f>
        <v>08/15/1990 23:00</v>
      </c>
    </row>
    <row r="1782" spans="1:10" x14ac:dyDescent="0.3">
      <c r="A1782" t="s">
        <v>6</v>
      </c>
      <c r="B1782" t="str">
        <f>"08/16/1990 00:00"</f>
        <v>08/16/1990 00:00</v>
      </c>
      <c r="C1782">
        <v>230</v>
      </c>
      <c r="D1782" t="s">
        <v>7</v>
      </c>
      <c r="E1782" s="2" t="s">
        <v>12</v>
      </c>
      <c r="F1782">
        <f t="shared" si="27"/>
        <v>456.09000000000003</v>
      </c>
      <c r="G1782" t="s">
        <v>16</v>
      </c>
      <c r="J1782" t="str">
        <f>"08/16/1990 23:00"</f>
        <v>08/16/1990 23:00</v>
      </c>
    </row>
    <row r="1783" spans="1:10" x14ac:dyDescent="0.3">
      <c r="A1783" t="s">
        <v>6</v>
      </c>
      <c r="B1783" t="str">
        <f>"08/17/1990 00:00"</f>
        <v>08/17/1990 00:00</v>
      </c>
      <c r="C1783">
        <v>124</v>
      </c>
      <c r="D1783" t="s">
        <v>7</v>
      </c>
      <c r="E1783" s="2" t="s">
        <v>12</v>
      </c>
      <c r="F1783">
        <f t="shared" si="27"/>
        <v>245.89200000000002</v>
      </c>
      <c r="G1783" t="s">
        <v>16</v>
      </c>
      <c r="J1783" t="str">
        <f>"08/17/1990 23:00"</f>
        <v>08/17/1990 23:00</v>
      </c>
    </row>
    <row r="1784" spans="1:10" x14ac:dyDescent="0.3">
      <c r="A1784" t="s">
        <v>6</v>
      </c>
      <c r="B1784" t="str">
        <f>"08/18/1990 00:00"</f>
        <v>08/18/1990 00:00</v>
      </c>
      <c r="C1784">
        <v>3.66</v>
      </c>
      <c r="D1784" t="s">
        <v>7</v>
      </c>
      <c r="E1784" s="2" t="s">
        <v>12</v>
      </c>
      <c r="F1784">
        <f t="shared" si="27"/>
        <v>7.2577800000000003</v>
      </c>
      <c r="G1784" t="s">
        <v>16</v>
      </c>
      <c r="J1784" t="str">
        <f>"08/18/1990 23:00"</f>
        <v>08/18/1990 23:00</v>
      </c>
    </row>
    <row r="1785" spans="1:10" x14ac:dyDescent="0.3">
      <c r="A1785" t="s">
        <v>6</v>
      </c>
      <c r="B1785" t="str">
        <f>"08/19/1990 00:00"</f>
        <v>08/19/1990 00:00</v>
      </c>
      <c r="C1785">
        <v>3.66</v>
      </c>
      <c r="D1785" t="s">
        <v>7</v>
      </c>
      <c r="E1785" s="2" t="s">
        <v>12</v>
      </c>
      <c r="F1785">
        <f t="shared" si="27"/>
        <v>7.2577800000000003</v>
      </c>
      <c r="G1785" t="s">
        <v>16</v>
      </c>
      <c r="I1785" t="s">
        <v>8</v>
      </c>
      <c r="J1785" t="str">
        <f>"08/19/1990 23:00"</f>
        <v>08/19/1990 23:00</v>
      </c>
    </row>
    <row r="1786" spans="1:10" x14ac:dyDescent="0.3">
      <c r="A1786" t="s">
        <v>6</v>
      </c>
      <c r="B1786" t="str">
        <f>"08/20/1990 00:00"</f>
        <v>08/20/1990 00:00</v>
      </c>
      <c r="C1786">
        <v>3.66</v>
      </c>
      <c r="D1786" t="s">
        <v>7</v>
      </c>
      <c r="E1786" s="2" t="s">
        <v>12</v>
      </c>
      <c r="F1786">
        <f t="shared" si="27"/>
        <v>7.2577800000000003</v>
      </c>
      <c r="G1786" t="s">
        <v>16</v>
      </c>
      <c r="I1786" t="s">
        <v>8</v>
      </c>
      <c r="J1786" t="str">
        <f>"08/20/1990 23:00"</f>
        <v>08/20/1990 23:00</v>
      </c>
    </row>
    <row r="1787" spans="1:10" x14ac:dyDescent="0.3">
      <c r="A1787" t="s">
        <v>6</v>
      </c>
      <c r="B1787" t="str">
        <f>"08/21/1990 00:00"</f>
        <v>08/21/1990 00:00</v>
      </c>
      <c r="C1787">
        <v>3.55</v>
      </c>
      <c r="D1787" t="s">
        <v>7</v>
      </c>
      <c r="E1787" s="2" t="s">
        <v>12</v>
      </c>
      <c r="F1787">
        <f t="shared" si="27"/>
        <v>7.03965</v>
      </c>
      <c r="G1787" t="s">
        <v>16</v>
      </c>
      <c r="I1787" t="s">
        <v>8</v>
      </c>
      <c r="J1787" t="str">
        <f>"08/21/1990 23:00"</f>
        <v>08/21/1990 23:00</v>
      </c>
    </row>
    <row r="1788" spans="1:10" x14ac:dyDescent="0.3">
      <c r="A1788" t="s">
        <v>6</v>
      </c>
      <c r="B1788" t="str">
        <f>"08/22/1990 00:00"</f>
        <v>08/22/1990 00:00</v>
      </c>
      <c r="C1788">
        <v>3.28</v>
      </c>
      <c r="D1788" t="s">
        <v>7</v>
      </c>
      <c r="E1788" s="2" t="s">
        <v>12</v>
      </c>
      <c r="F1788">
        <f t="shared" si="27"/>
        <v>6.5042400000000002</v>
      </c>
      <c r="G1788" t="s">
        <v>16</v>
      </c>
      <c r="I1788" t="s">
        <v>8</v>
      </c>
      <c r="J1788" t="str">
        <f>"08/22/1990 23:00"</f>
        <v>08/22/1990 23:00</v>
      </c>
    </row>
    <row r="1789" spans="1:10" x14ac:dyDescent="0.3">
      <c r="A1789" t="s">
        <v>6</v>
      </c>
      <c r="B1789" t="str">
        <f>"08/23/1990 00:00"</f>
        <v>08/23/1990 00:00</v>
      </c>
      <c r="C1789">
        <v>3.1</v>
      </c>
      <c r="D1789" t="s">
        <v>7</v>
      </c>
      <c r="E1789" s="2" t="s">
        <v>12</v>
      </c>
      <c r="F1789">
        <f t="shared" si="27"/>
        <v>6.1473000000000004</v>
      </c>
      <c r="G1789" t="s">
        <v>16</v>
      </c>
      <c r="J1789" t="str">
        <f>"08/23/1990 23:00"</f>
        <v>08/23/1990 23:00</v>
      </c>
    </row>
    <row r="1790" spans="1:10" x14ac:dyDescent="0.3">
      <c r="A1790" t="s">
        <v>6</v>
      </c>
      <c r="B1790" t="str">
        <f>"08/24/1990 00:00"</f>
        <v>08/24/1990 00:00</v>
      </c>
      <c r="C1790">
        <v>2.91</v>
      </c>
      <c r="D1790" t="s">
        <v>7</v>
      </c>
      <c r="E1790" s="2" t="s">
        <v>12</v>
      </c>
      <c r="F1790">
        <f t="shared" si="27"/>
        <v>5.7705300000000008</v>
      </c>
      <c r="G1790" t="s">
        <v>16</v>
      </c>
      <c r="J1790" t="str">
        <f>"08/24/1990 23:00"</f>
        <v>08/24/1990 23:00</v>
      </c>
    </row>
    <row r="1791" spans="1:10" x14ac:dyDescent="0.3">
      <c r="A1791" t="s">
        <v>6</v>
      </c>
      <c r="B1791" t="str">
        <f>"08/25/1990 00:00"</f>
        <v>08/25/1990 00:00</v>
      </c>
      <c r="C1791">
        <v>2.91</v>
      </c>
      <c r="D1791" t="s">
        <v>7</v>
      </c>
      <c r="E1791" s="2" t="s">
        <v>12</v>
      </c>
      <c r="F1791">
        <f t="shared" si="27"/>
        <v>5.7705300000000008</v>
      </c>
      <c r="G1791" t="s">
        <v>16</v>
      </c>
      <c r="I1791" t="s">
        <v>8</v>
      </c>
      <c r="J1791" t="str">
        <f>"08/25/1990 23:00"</f>
        <v>08/25/1990 23:00</v>
      </c>
    </row>
    <row r="1792" spans="1:10" x14ac:dyDescent="0.3">
      <c r="A1792" t="s">
        <v>6</v>
      </c>
      <c r="B1792" t="str">
        <f>"08/26/1990 00:00"</f>
        <v>08/26/1990 00:00</v>
      </c>
      <c r="C1792">
        <v>2.91</v>
      </c>
      <c r="D1792" t="s">
        <v>7</v>
      </c>
      <c r="E1792" s="2" t="s">
        <v>12</v>
      </c>
      <c r="F1792">
        <f t="shared" si="27"/>
        <v>5.7705300000000008</v>
      </c>
      <c r="G1792" t="s">
        <v>16</v>
      </c>
      <c r="I1792" t="s">
        <v>8</v>
      </c>
      <c r="J1792" t="str">
        <f>"08/26/1990 23:00"</f>
        <v>08/26/1990 23:00</v>
      </c>
    </row>
    <row r="1793" spans="1:10" x14ac:dyDescent="0.3">
      <c r="A1793" t="s">
        <v>6</v>
      </c>
      <c r="B1793" t="str">
        <f>"08/27/1990 00:00"</f>
        <v>08/27/1990 00:00</v>
      </c>
      <c r="C1793">
        <v>2.76</v>
      </c>
      <c r="D1793" t="s">
        <v>7</v>
      </c>
      <c r="E1793" s="2" t="s">
        <v>12</v>
      </c>
      <c r="F1793">
        <f t="shared" si="27"/>
        <v>5.4730799999999995</v>
      </c>
      <c r="G1793" t="s">
        <v>16</v>
      </c>
      <c r="J1793" t="str">
        <f>"08/27/1990 23:00"</f>
        <v>08/27/1990 23:00</v>
      </c>
    </row>
    <row r="1794" spans="1:10" x14ac:dyDescent="0.3">
      <c r="A1794" t="s">
        <v>6</v>
      </c>
      <c r="B1794" t="str">
        <f>"08/28/1990 00:00"</f>
        <v>08/28/1990 00:00</v>
      </c>
      <c r="C1794">
        <v>2.56</v>
      </c>
      <c r="D1794" t="s">
        <v>7</v>
      </c>
      <c r="E1794" s="2" t="s">
        <v>12</v>
      </c>
      <c r="F1794">
        <f t="shared" si="27"/>
        <v>5.0764800000000001</v>
      </c>
      <c r="G1794" t="s">
        <v>16</v>
      </c>
      <c r="I1794" t="s">
        <v>8</v>
      </c>
      <c r="J1794" t="str">
        <f>"08/28/1990 23:00"</f>
        <v>08/28/1990 23:00</v>
      </c>
    </row>
    <row r="1795" spans="1:10" x14ac:dyDescent="0.3">
      <c r="A1795" t="s">
        <v>6</v>
      </c>
      <c r="B1795" t="str">
        <f>"08/29/1990 00:00"</f>
        <v>08/29/1990 00:00</v>
      </c>
      <c r="C1795">
        <v>2.56</v>
      </c>
      <c r="D1795" t="s">
        <v>7</v>
      </c>
      <c r="E1795" s="2" t="s">
        <v>12</v>
      </c>
      <c r="F1795">
        <f t="shared" ref="F1795:F1858" si="28">C1795*1.983</f>
        <v>5.0764800000000001</v>
      </c>
      <c r="G1795" t="s">
        <v>16</v>
      </c>
      <c r="J1795" t="str">
        <f>"08/29/1990 23:00"</f>
        <v>08/29/1990 23:00</v>
      </c>
    </row>
    <row r="1796" spans="1:10" x14ac:dyDescent="0.3">
      <c r="A1796" t="s">
        <v>6</v>
      </c>
      <c r="B1796" t="str">
        <f>"08/30/1990 00:00"</f>
        <v>08/30/1990 00:00</v>
      </c>
      <c r="C1796">
        <v>2.56</v>
      </c>
      <c r="D1796" t="s">
        <v>7</v>
      </c>
      <c r="E1796" s="2" t="s">
        <v>12</v>
      </c>
      <c r="F1796">
        <f t="shared" si="28"/>
        <v>5.0764800000000001</v>
      </c>
      <c r="G1796" t="s">
        <v>16</v>
      </c>
      <c r="I1796" t="s">
        <v>8</v>
      </c>
      <c r="J1796" t="str">
        <f>"08/30/1990 23:00"</f>
        <v>08/30/1990 23:00</v>
      </c>
    </row>
    <row r="1797" spans="1:10" x14ac:dyDescent="0.3">
      <c r="A1797" t="s">
        <v>6</v>
      </c>
      <c r="B1797" t="str">
        <f>"08/31/1990 00:00"</f>
        <v>08/31/1990 00:00</v>
      </c>
      <c r="C1797">
        <v>2.56</v>
      </c>
      <c r="D1797" t="s">
        <v>7</v>
      </c>
      <c r="E1797" s="2" t="s">
        <v>12</v>
      </c>
      <c r="F1797">
        <f t="shared" si="28"/>
        <v>5.0764800000000001</v>
      </c>
      <c r="G1797" t="s">
        <v>16</v>
      </c>
      <c r="J1797" t="str">
        <f>"08/31/1990 23:00"</f>
        <v>08/31/1990 23:00</v>
      </c>
    </row>
    <row r="1798" spans="1:10" x14ac:dyDescent="0.3">
      <c r="A1798" t="s">
        <v>6</v>
      </c>
      <c r="B1798" t="str">
        <f>"09/01/1990 00:00"</f>
        <v>09/01/1990 00:00</v>
      </c>
      <c r="C1798">
        <v>2.56</v>
      </c>
      <c r="D1798" t="s">
        <v>7</v>
      </c>
      <c r="E1798" s="2" t="s">
        <v>12</v>
      </c>
      <c r="F1798">
        <f t="shared" si="28"/>
        <v>5.0764800000000001</v>
      </c>
      <c r="G1798" t="s">
        <v>16</v>
      </c>
      <c r="I1798" t="s">
        <v>8</v>
      </c>
      <c r="J1798" t="str">
        <f>"09/01/1990 23:00"</f>
        <v>09/01/1990 23:00</v>
      </c>
    </row>
    <row r="1799" spans="1:10" x14ac:dyDescent="0.3">
      <c r="A1799" t="s">
        <v>6</v>
      </c>
      <c r="B1799" t="str">
        <f>"09/02/1990 00:00"</f>
        <v>09/02/1990 00:00</v>
      </c>
      <c r="C1799">
        <v>2.56</v>
      </c>
      <c r="D1799" t="s">
        <v>7</v>
      </c>
      <c r="E1799" s="2" t="s">
        <v>12</v>
      </c>
      <c r="F1799">
        <f t="shared" si="28"/>
        <v>5.0764800000000001</v>
      </c>
      <c r="G1799" t="s">
        <v>16</v>
      </c>
      <c r="I1799" t="s">
        <v>35</v>
      </c>
      <c r="J1799" t="str">
        <f>"09/02/1990 23:00"</f>
        <v>09/02/1990 23:00</v>
      </c>
    </row>
    <row r="1800" spans="1:10" x14ac:dyDescent="0.3">
      <c r="A1800" t="s">
        <v>6</v>
      </c>
      <c r="B1800" t="str">
        <f>"09/03/1990 00:00"</f>
        <v>09/03/1990 00:00</v>
      </c>
      <c r="C1800">
        <v>2.56</v>
      </c>
      <c r="D1800" t="s">
        <v>7</v>
      </c>
      <c r="E1800" s="2" t="s">
        <v>12</v>
      </c>
      <c r="F1800">
        <f t="shared" si="28"/>
        <v>5.0764800000000001</v>
      </c>
      <c r="G1800" t="s">
        <v>16</v>
      </c>
      <c r="I1800" t="s">
        <v>35</v>
      </c>
      <c r="J1800" t="str">
        <f>"09/03/1990 23:00"</f>
        <v>09/03/1990 23:00</v>
      </c>
    </row>
    <row r="1801" spans="1:10" x14ac:dyDescent="0.3">
      <c r="A1801" t="s">
        <v>6</v>
      </c>
      <c r="B1801" t="str">
        <f>"09/04/1990 00:00"</f>
        <v>09/04/1990 00:00</v>
      </c>
      <c r="C1801">
        <v>2.56</v>
      </c>
      <c r="D1801" t="s">
        <v>7</v>
      </c>
      <c r="E1801" s="2" t="s">
        <v>12</v>
      </c>
      <c r="F1801">
        <f t="shared" si="28"/>
        <v>5.0764800000000001</v>
      </c>
      <c r="G1801" t="s">
        <v>16</v>
      </c>
      <c r="I1801" t="s">
        <v>35</v>
      </c>
      <c r="J1801" t="str">
        <f>"09/04/1990 23:00"</f>
        <v>09/04/1990 23:00</v>
      </c>
    </row>
    <row r="1802" spans="1:10" x14ac:dyDescent="0.3">
      <c r="A1802" t="s">
        <v>6</v>
      </c>
      <c r="B1802" t="str">
        <f>"09/05/1990 00:00"</f>
        <v>09/05/1990 00:00</v>
      </c>
      <c r="C1802">
        <v>2.56</v>
      </c>
      <c r="D1802" t="s">
        <v>7</v>
      </c>
      <c r="E1802" s="2" t="s">
        <v>12</v>
      </c>
      <c r="F1802">
        <f t="shared" si="28"/>
        <v>5.0764800000000001</v>
      </c>
      <c r="G1802" t="s">
        <v>16</v>
      </c>
      <c r="I1802" t="s">
        <v>35</v>
      </c>
      <c r="J1802" t="str">
        <f>"09/05/1990 23:00"</f>
        <v>09/05/1990 23:00</v>
      </c>
    </row>
    <row r="1803" spans="1:10" x14ac:dyDescent="0.3">
      <c r="A1803" t="s">
        <v>6</v>
      </c>
      <c r="B1803" t="str">
        <f>"09/06/1990 00:00"</f>
        <v>09/06/1990 00:00</v>
      </c>
      <c r="C1803">
        <v>2.56</v>
      </c>
      <c r="D1803" t="s">
        <v>7</v>
      </c>
      <c r="E1803" s="2" t="s">
        <v>12</v>
      </c>
      <c r="F1803">
        <f t="shared" si="28"/>
        <v>5.0764800000000001</v>
      </c>
      <c r="G1803" t="s">
        <v>16</v>
      </c>
      <c r="I1803" t="s">
        <v>8</v>
      </c>
      <c r="J1803" t="str">
        <f>"09/06/1990 23:00"</f>
        <v>09/06/1990 23:00</v>
      </c>
    </row>
    <row r="1804" spans="1:10" x14ac:dyDescent="0.3">
      <c r="A1804" t="s">
        <v>6</v>
      </c>
      <c r="B1804" t="str">
        <f>"09/07/1990 00:00"</f>
        <v>09/07/1990 00:00</v>
      </c>
      <c r="C1804">
        <v>2.56</v>
      </c>
      <c r="D1804" t="s">
        <v>7</v>
      </c>
      <c r="E1804" s="2" t="s">
        <v>12</v>
      </c>
      <c r="F1804">
        <f t="shared" si="28"/>
        <v>5.0764800000000001</v>
      </c>
      <c r="G1804" t="s">
        <v>16</v>
      </c>
      <c r="J1804" t="str">
        <f>"09/07/1990 23:00"</f>
        <v>09/07/1990 23:00</v>
      </c>
    </row>
    <row r="1805" spans="1:10" x14ac:dyDescent="0.3">
      <c r="A1805" t="s">
        <v>6</v>
      </c>
      <c r="B1805" t="str">
        <f>"09/08/1990 00:00"</f>
        <v>09/08/1990 00:00</v>
      </c>
      <c r="C1805">
        <v>2.56</v>
      </c>
      <c r="D1805" t="s">
        <v>7</v>
      </c>
      <c r="E1805" s="2" t="s">
        <v>12</v>
      </c>
      <c r="F1805">
        <f t="shared" si="28"/>
        <v>5.0764800000000001</v>
      </c>
      <c r="G1805" t="s">
        <v>16</v>
      </c>
      <c r="I1805" t="s">
        <v>35</v>
      </c>
      <c r="J1805" t="str">
        <f>"09/08/1990 23:00"</f>
        <v>09/08/1990 23:00</v>
      </c>
    </row>
    <row r="1806" spans="1:10" x14ac:dyDescent="0.3">
      <c r="A1806" t="s">
        <v>6</v>
      </c>
      <c r="B1806" t="str">
        <f>"09/09/1990 00:00"</f>
        <v>09/09/1990 00:00</v>
      </c>
      <c r="C1806">
        <v>2.56</v>
      </c>
      <c r="D1806" t="s">
        <v>7</v>
      </c>
      <c r="E1806" s="2" t="s">
        <v>12</v>
      </c>
      <c r="F1806">
        <f t="shared" si="28"/>
        <v>5.0764800000000001</v>
      </c>
      <c r="G1806" t="s">
        <v>16</v>
      </c>
      <c r="I1806" t="s">
        <v>35</v>
      </c>
      <c r="J1806" t="str">
        <f>"09/09/1990 23:00"</f>
        <v>09/09/1990 23:00</v>
      </c>
    </row>
    <row r="1807" spans="1:10" x14ac:dyDescent="0.3">
      <c r="A1807" t="s">
        <v>6</v>
      </c>
      <c r="B1807" t="str">
        <f>"09/10/1990 00:00"</f>
        <v>09/10/1990 00:00</v>
      </c>
      <c r="C1807">
        <v>2.56</v>
      </c>
      <c r="D1807" t="s">
        <v>7</v>
      </c>
      <c r="E1807" s="2" t="s">
        <v>12</v>
      </c>
      <c r="F1807">
        <f t="shared" si="28"/>
        <v>5.0764800000000001</v>
      </c>
      <c r="G1807" t="s">
        <v>16</v>
      </c>
      <c r="I1807" t="s">
        <v>35</v>
      </c>
      <c r="J1807" t="str">
        <f>"09/10/1990 23:00"</f>
        <v>09/10/1990 23:00</v>
      </c>
    </row>
    <row r="1808" spans="1:10" x14ac:dyDescent="0.3">
      <c r="A1808" t="s">
        <v>6</v>
      </c>
      <c r="B1808" t="str">
        <f>"09/11/1990 00:00"</f>
        <v>09/11/1990 00:00</v>
      </c>
      <c r="C1808">
        <v>2.56</v>
      </c>
      <c r="D1808" t="s">
        <v>7</v>
      </c>
      <c r="E1808" s="2" t="s">
        <v>12</v>
      </c>
      <c r="F1808">
        <f t="shared" si="28"/>
        <v>5.0764800000000001</v>
      </c>
      <c r="G1808" t="s">
        <v>16</v>
      </c>
      <c r="I1808" t="s">
        <v>35</v>
      </c>
      <c r="J1808" t="str">
        <f>"09/11/1990 23:00"</f>
        <v>09/11/1990 23:00</v>
      </c>
    </row>
    <row r="1809" spans="1:10" x14ac:dyDescent="0.3">
      <c r="A1809" t="s">
        <v>6</v>
      </c>
      <c r="B1809" t="str">
        <f>"09/12/1990 00:00"</f>
        <v>09/12/1990 00:00</v>
      </c>
      <c r="C1809">
        <v>2.56</v>
      </c>
      <c r="D1809" t="s">
        <v>7</v>
      </c>
      <c r="E1809" s="2" t="s">
        <v>12</v>
      </c>
      <c r="F1809">
        <f t="shared" si="28"/>
        <v>5.0764800000000001</v>
      </c>
      <c r="G1809" t="s">
        <v>16</v>
      </c>
      <c r="I1809" t="s">
        <v>8</v>
      </c>
      <c r="J1809" t="str">
        <f>"09/12/1990 23:00"</f>
        <v>09/12/1990 23:00</v>
      </c>
    </row>
    <row r="1810" spans="1:10" x14ac:dyDescent="0.3">
      <c r="A1810" t="s">
        <v>6</v>
      </c>
      <c r="B1810" t="str">
        <f>"09/13/1990 00:00"</f>
        <v>09/13/1990 00:00</v>
      </c>
      <c r="C1810">
        <v>2.56</v>
      </c>
      <c r="D1810" t="s">
        <v>7</v>
      </c>
      <c r="E1810" s="2" t="s">
        <v>12</v>
      </c>
      <c r="F1810">
        <f t="shared" si="28"/>
        <v>5.0764800000000001</v>
      </c>
      <c r="G1810" t="s">
        <v>16</v>
      </c>
      <c r="J1810" t="str">
        <f>"09/13/1990 23:00"</f>
        <v>09/13/1990 23:00</v>
      </c>
    </row>
    <row r="1811" spans="1:10" x14ac:dyDescent="0.3">
      <c r="A1811" t="s">
        <v>6</v>
      </c>
      <c r="B1811" t="str">
        <f>"09/14/1990 00:00"</f>
        <v>09/14/1990 00:00</v>
      </c>
      <c r="C1811">
        <v>2.44</v>
      </c>
      <c r="D1811" t="s">
        <v>7</v>
      </c>
      <c r="E1811" s="2" t="s">
        <v>12</v>
      </c>
      <c r="F1811">
        <f t="shared" si="28"/>
        <v>4.8385199999999999</v>
      </c>
      <c r="G1811" t="s">
        <v>16</v>
      </c>
      <c r="J1811" t="str">
        <f>"09/14/1990 23:00"</f>
        <v>09/14/1990 23:00</v>
      </c>
    </row>
    <row r="1812" spans="1:10" x14ac:dyDescent="0.3">
      <c r="A1812" t="s">
        <v>6</v>
      </c>
      <c r="B1812" t="str">
        <f>"09/15/1990 00:00"</f>
        <v>09/15/1990 00:00</v>
      </c>
      <c r="C1812">
        <v>2.23</v>
      </c>
      <c r="D1812" t="s">
        <v>7</v>
      </c>
      <c r="E1812" s="2" t="s">
        <v>12</v>
      </c>
      <c r="F1812">
        <f t="shared" si="28"/>
        <v>4.4220899999999999</v>
      </c>
      <c r="G1812" t="s">
        <v>16</v>
      </c>
      <c r="J1812" t="str">
        <f>"09/15/1990 23:00"</f>
        <v>09/15/1990 23:00</v>
      </c>
    </row>
    <row r="1813" spans="1:10" x14ac:dyDescent="0.3">
      <c r="A1813" t="s">
        <v>6</v>
      </c>
      <c r="B1813" t="str">
        <f>"09/16/1990 00:00"</f>
        <v>09/16/1990 00:00</v>
      </c>
      <c r="C1813">
        <v>2.23</v>
      </c>
      <c r="D1813" t="s">
        <v>7</v>
      </c>
      <c r="E1813" s="2" t="s">
        <v>12</v>
      </c>
      <c r="F1813">
        <f t="shared" si="28"/>
        <v>4.4220899999999999</v>
      </c>
      <c r="G1813" t="s">
        <v>16</v>
      </c>
      <c r="I1813" t="s">
        <v>8</v>
      </c>
      <c r="J1813" t="str">
        <f>"09/16/1990 23:00"</f>
        <v>09/16/1990 23:00</v>
      </c>
    </row>
    <row r="1814" spans="1:10" x14ac:dyDescent="0.3">
      <c r="A1814" t="s">
        <v>6</v>
      </c>
      <c r="B1814" t="str">
        <f>"09/17/1990 00:00"</f>
        <v>09/17/1990 00:00</v>
      </c>
      <c r="C1814">
        <v>2.23</v>
      </c>
      <c r="D1814" t="s">
        <v>7</v>
      </c>
      <c r="E1814" s="2" t="s">
        <v>12</v>
      </c>
      <c r="F1814">
        <f t="shared" si="28"/>
        <v>4.4220899999999999</v>
      </c>
      <c r="G1814" t="s">
        <v>16</v>
      </c>
      <c r="I1814" t="s">
        <v>35</v>
      </c>
      <c r="J1814" t="str">
        <f>"09/17/1990 23:00"</f>
        <v>09/17/1990 23:00</v>
      </c>
    </row>
    <row r="1815" spans="1:10" x14ac:dyDescent="0.3">
      <c r="A1815" t="s">
        <v>6</v>
      </c>
      <c r="B1815" t="str">
        <f>"09/18/1990 00:00"</f>
        <v>09/18/1990 00:00</v>
      </c>
      <c r="C1815">
        <v>2.23</v>
      </c>
      <c r="D1815" t="s">
        <v>7</v>
      </c>
      <c r="E1815" s="2" t="s">
        <v>12</v>
      </c>
      <c r="F1815">
        <f t="shared" si="28"/>
        <v>4.4220899999999999</v>
      </c>
      <c r="G1815" t="s">
        <v>16</v>
      </c>
      <c r="I1815" t="s">
        <v>35</v>
      </c>
      <c r="J1815" t="str">
        <f>"09/18/1990 23:00"</f>
        <v>09/18/1990 23:00</v>
      </c>
    </row>
    <row r="1816" spans="1:10" x14ac:dyDescent="0.3">
      <c r="A1816" t="s">
        <v>6</v>
      </c>
      <c r="B1816" t="str">
        <f>"09/19/1990 00:00"</f>
        <v>09/19/1990 00:00</v>
      </c>
      <c r="C1816">
        <v>2.23</v>
      </c>
      <c r="D1816" t="s">
        <v>7</v>
      </c>
      <c r="E1816" s="2" t="s">
        <v>12</v>
      </c>
      <c r="F1816">
        <f t="shared" si="28"/>
        <v>4.4220899999999999</v>
      </c>
      <c r="G1816" t="s">
        <v>16</v>
      </c>
      <c r="I1816" t="s">
        <v>35</v>
      </c>
      <c r="J1816" t="str">
        <f>"09/19/1990 23:00"</f>
        <v>09/19/1990 23:00</v>
      </c>
    </row>
    <row r="1817" spans="1:10" x14ac:dyDescent="0.3">
      <c r="A1817" t="s">
        <v>6</v>
      </c>
      <c r="B1817" t="str">
        <f>"09/20/1990 00:00"</f>
        <v>09/20/1990 00:00</v>
      </c>
      <c r="C1817">
        <v>2.23</v>
      </c>
      <c r="D1817" t="s">
        <v>7</v>
      </c>
      <c r="E1817" s="2" t="s">
        <v>12</v>
      </c>
      <c r="F1817">
        <f t="shared" si="28"/>
        <v>4.4220899999999999</v>
      </c>
      <c r="G1817" t="s">
        <v>16</v>
      </c>
      <c r="I1817" t="s">
        <v>35</v>
      </c>
      <c r="J1817" t="str">
        <f>"09/20/1990 23:00"</f>
        <v>09/20/1990 23:00</v>
      </c>
    </row>
    <row r="1818" spans="1:10" x14ac:dyDescent="0.3">
      <c r="A1818" t="s">
        <v>6</v>
      </c>
      <c r="B1818" t="str">
        <f>"09/21/1990 00:00"</f>
        <v>09/21/1990 00:00</v>
      </c>
      <c r="C1818">
        <v>2.23</v>
      </c>
      <c r="D1818" t="s">
        <v>7</v>
      </c>
      <c r="E1818" s="2" t="s">
        <v>12</v>
      </c>
      <c r="F1818">
        <f t="shared" si="28"/>
        <v>4.4220899999999999</v>
      </c>
      <c r="G1818" t="s">
        <v>16</v>
      </c>
      <c r="I1818" t="s">
        <v>8</v>
      </c>
      <c r="J1818" t="str">
        <f>"09/21/1990 18:00"</f>
        <v>09/21/1990 18:00</v>
      </c>
    </row>
    <row r="1819" spans="1:10" x14ac:dyDescent="0.3">
      <c r="A1819" t="s">
        <v>6</v>
      </c>
      <c r="B1819" t="str">
        <f>"09/22/1990 00:00"</f>
        <v>09/22/1990 00:00</v>
      </c>
      <c r="D1819" t="s">
        <v>7</v>
      </c>
      <c r="E1819" s="2" t="s">
        <v>12</v>
      </c>
      <c r="F1819">
        <f t="shared" si="28"/>
        <v>0</v>
      </c>
      <c r="G1819" t="s">
        <v>16</v>
      </c>
    </row>
    <row r="1820" spans="1:10" x14ac:dyDescent="0.3">
      <c r="A1820" t="s">
        <v>6</v>
      </c>
      <c r="B1820" t="str">
        <f>"09/23/1990 00:00"</f>
        <v>09/23/1990 00:00</v>
      </c>
      <c r="D1820" t="s">
        <v>7</v>
      </c>
      <c r="E1820" s="2" t="s">
        <v>12</v>
      </c>
      <c r="F1820">
        <f t="shared" si="28"/>
        <v>0</v>
      </c>
      <c r="G1820" t="s">
        <v>16</v>
      </c>
    </row>
    <row r="1821" spans="1:10" x14ac:dyDescent="0.3">
      <c r="A1821" t="s">
        <v>6</v>
      </c>
      <c r="B1821" t="str">
        <f>"09/24/1990 00:00"</f>
        <v>09/24/1990 00:00</v>
      </c>
      <c r="D1821" t="s">
        <v>7</v>
      </c>
      <c r="E1821" s="2" t="s">
        <v>12</v>
      </c>
      <c r="F1821">
        <f t="shared" si="28"/>
        <v>0</v>
      </c>
      <c r="G1821" t="s">
        <v>16</v>
      </c>
    </row>
    <row r="1822" spans="1:10" x14ac:dyDescent="0.3">
      <c r="A1822" t="s">
        <v>6</v>
      </c>
      <c r="B1822" t="str">
        <f>"09/25/1990 00:00"</f>
        <v>09/25/1990 00:00</v>
      </c>
      <c r="D1822" t="s">
        <v>7</v>
      </c>
      <c r="E1822" s="2" t="s">
        <v>12</v>
      </c>
      <c r="F1822">
        <f t="shared" si="28"/>
        <v>0</v>
      </c>
      <c r="G1822" t="s">
        <v>16</v>
      </c>
      <c r="I1822" t="s">
        <v>36</v>
      </c>
      <c r="J1822" t="str">
        <f>"09/25/1990 23:00"</f>
        <v>09/25/1990 23:00</v>
      </c>
    </row>
    <row r="1823" spans="1:10" x14ac:dyDescent="0.3">
      <c r="A1823" t="s">
        <v>6</v>
      </c>
      <c r="B1823" t="str">
        <f>"09/26/1990 00:00"</f>
        <v>09/26/1990 00:00</v>
      </c>
      <c r="D1823" t="s">
        <v>7</v>
      </c>
      <c r="E1823" s="2" t="s">
        <v>12</v>
      </c>
      <c r="F1823">
        <f t="shared" si="28"/>
        <v>0</v>
      </c>
      <c r="G1823" t="s">
        <v>16</v>
      </c>
    </row>
    <row r="1824" spans="1:10" x14ac:dyDescent="0.3">
      <c r="A1824" t="s">
        <v>6</v>
      </c>
      <c r="B1824" t="str">
        <f>"09/27/1990 00:00"</f>
        <v>09/27/1990 00:00</v>
      </c>
      <c r="D1824" t="s">
        <v>7</v>
      </c>
      <c r="E1824" s="2" t="s">
        <v>12</v>
      </c>
      <c r="F1824">
        <f t="shared" si="28"/>
        <v>0</v>
      </c>
      <c r="G1824" t="s">
        <v>16</v>
      </c>
    </row>
    <row r="1825" spans="1:10" x14ac:dyDescent="0.3">
      <c r="A1825" t="s">
        <v>6</v>
      </c>
      <c r="B1825" t="str">
        <f>"09/28/1990 00:00"</f>
        <v>09/28/1990 00:00</v>
      </c>
      <c r="D1825" t="s">
        <v>7</v>
      </c>
      <c r="E1825" s="2" t="s">
        <v>12</v>
      </c>
      <c r="F1825">
        <f t="shared" si="28"/>
        <v>0</v>
      </c>
      <c r="G1825" t="s">
        <v>16</v>
      </c>
    </row>
    <row r="1826" spans="1:10" x14ac:dyDescent="0.3">
      <c r="A1826" t="s">
        <v>6</v>
      </c>
      <c r="B1826" t="str">
        <f>"09/29/1990 00:00"</f>
        <v>09/29/1990 00:00</v>
      </c>
      <c r="D1826" t="s">
        <v>7</v>
      </c>
      <c r="E1826" s="2" t="s">
        <v>12</v>
      </c>
      <c r="F1826">
        <f t="shared" si="28"/>
        <v>0</v>
      </c>
      <c r="G1826" t="s">
        <v>16</v>
      </c>
      <c r="I1826" t="s">
        <v>36</v>
      </c>
      <c r="J1826" t="str">
        <f>"09/29/1990 18:00"</f>
        <v>09/29/1990 18:00</v>
      </c>
    </row>
    <row r="1827" spans="1:10" x14ac:dyDescent="0.3">
      <c r="A1827" t="s">
        <v>6</v>
      </c>
      <c r="B1827" t="str">
        <f>"09/30/1990 00:00"</f>
        <v>09/30/1990 00:00</v>
      </c>
      <c r="D1827" t="s">
        <v>7</v>
      </c>
      <c r="E1827" s="2" t="s">
        <v>12</v>
      </c>
      <c r="F1827">
        <f t="shared" si="28"/>
        <v>0</v>
      </c>
      <c r="G1827" t="s">
        <v>16</v>
      </c>
      <c r="I1827" t="s">
        <v>36</v>
      </c>
      <c r="J1827" t="str">
        <f>"09/30/1990 23:00"</f>
        <v>09/30/1990 23:00</v>
      </c>
    </row>
    <row r="1828" spans="1:10" x14ac:dyDescent="0.3">
      <c r="A1828" t="s">
        <v>6</v>
      </c>
      <c r="B1828" t="str">
        <f>"10/01/1990 00:00"</f>
        <v>10/01/1990 00:00</v>
      </c>
      <c r="C1828">
        <v>1.08</v>
      </c>
      <c r="D1828" t="s">
        <v>7</v>
      </c>
      <c r="E1828" s="2" t="s">
        <v>12</v>
      </c>
      <c r="F1828">
        <f t="shared" si="28"/>
        <v>2.1416400000000002</v>
      </c>
      <c r="G1828" t="s">
        <v>16</v>
      </c>
      <c r="I1828" t="s">
        <v>8</v>
      </c>
      <c r="J1828" t="str">
        <f>"10/01/1990 23:45"</f>
        <v>10/01/1990 23:45</v>
      </c>
    </row>
    <row r="1829" spans="1:10" x14ac:dyDescent="0.3">
      <c r="A1829" t="s">
        <v>6</v>
      </c>
      <c r="B1829" t="str">
        <f>"10/02/1990 00:00"</f>
        <v>10/02/1990 00:00</v>
      </c>
      <c r="C1829">
        <v>1.08</v>
      </c>
      <c r="D1829" t="s">
        <v>7</v>
      </c>
      <c r="E1829" s="2" t="s">
        <v>12</v>
      </c>
      <c r="F1829">
        <f t="shared" si="28"/>
        <v>2.1416400000000002</v>
      </c>
      <c r="G1829" t="s">
        <v>16</v>
      </c>
      <c r="I1829" t="s">
        <v>8</v>
      </c>
      <c r="J1829" t="str">
        <f>"10/02/1990 23:45"</f>
        <v>10/02/1990 23:45</v>
      </c>
    </row>
    <row r="1830" spans="1:10" x14ac:dyDescent="0.3">
      <c r="A1830" t="s">
        <v>6</v>
      </c>
      <c r="B1830" t="str">
        <f>"10/03/1990 00:00"</f>
        <v>10/03/1990 00:00</v>
      </c>
      <c r="C1830">
        <v>1.08</v>
      </c>
      <c r="D1830" t="s">
        <v>7</v>
      </c>
      <c r="E1830" s="2" t="s">
        <v>12</v>
      </c>
      <c r="F1830">
        <f t="shared" si="28"/>
        <v>2.1416400000000002</v>
      </c>
      <c r="G1830" t="s">
        <v>16</v>
      </c>
      <c r="I1830" t="s">
        <v>35</v>
      </c>
      <c r="J1830" t="str">
        <f>"10/03/1990 23:45"</f>
        <v>10/03/1990 23:45</v>
      </c>
    </row>
    <row r="1831" spans="1:10" x14ac:dyDescent="0.3">
      <c r="A1831" t="s">
        <v>6</v>
      </c>
      <c r="B1831" t="str">
        <f>"10/04/1990 00:00"</f>
        <v>10/04/1990 00:00</v>
      </c>
      <c r="C1831">
        <v>1.08</v>
      </c>
      <c r="D1831" t="s">
        <v>7</v>
      </c>
      <c r="E1831" s="2" t="s">
        <v>12</v>
      </c>
      <c r="F1831">
        <f t="shared" si="28"/>
        <v>2.1416400000000002</v>
      </c>
      <c r="G1831" t="s">
        <v>16</v>
      </c>
      <c r="I1831" t="s">
        <v>35</v>
      </c>
      <c r="J1831" t="str">
        <f>"10/04/1990 23:45"</f>
        <v>10/04/1990 23:45</v>
      </c>
    </row>
    <row r="1832" spans="1:10" x14ac:dyDescent="0.3">
      <c r="A1832" t="s">
        <v>6</v>
      </c>
      <c r="B1832" t="str">
        <f>"10/05/1990 00:00"</f>
        <v>10/05/1990 00:00</v>
      </c>
      <c r="C1832">
        <v>1.08</v>
      </c>
      <c r="D1832" t="s">
        <v>7</v>
      </c>
      <c r="E1832" s="2" t="s">
        <v>12</v>
      </c>
      <c r="F1832">
        <f t="shared" si="28"/>
        <v>2.1416400000000002</v>
      </c>
      <c r="G1832" t="s">
        <v>16</v>
      </c>
      <c r="I1832" t="s">
        <v>35</v>
      </c>
      <c r="J1832" t="str">
        <f>"10/05/1990 23:45"</f>
        <v>10/05/1990 23:45</v>
      </c>
    </row>
    <row r="1833" spans="1:10" x14ac:dyDescent="0.3">
      <c r="A1833" t="s">
        <v>6</v>
      </c>
      <c r="B1833" t="str">
        <f>"10/06/1990 00:00"</f>
        <v>10/06/1990 00:00</v>
      </c>
      <c r="C1833">
        <v>1.08</v>
      </c>
      <c r="D1833" t="s">
        <v>7</v>
      </c>
      <c r="E1833" s="2" t="s">
        <v>12</v>
      </c>
      <c r="F1833">
        <f t="shared" si="28"/>
        <v>2.1416400000000002</v>
      </c>
      <c r="G1833" t="s">
        <v>16</v>
      </c>
      <c r="I1833" t="s">
        <v>35</v>
      </c>
      <c r="J1833" t="str">
        <f>"10/06/1990 23:45"</f>
        <v>10/06/1990 23:45</v>
      </c>
    </row>
    <row r="1834" spans="1:10" x14ac:dyDescent="0.3">
      <c r="A1834" t="s">
        <v>6</v>
      </c>
      <c r="B1834" t="str">
        <f>"10/07/1990 00:00"</f>
        <v>10/07/1990 00:00</v>
      </c>
      <c r="C1834">
        <v>1.08</v>
      </c>
      <c r="D1834" t="s">
        <v>7</v>
      </c>
      <c r="E1834" s="2" t="s">
        <v>12</v>
      </c>
      <c r="F1834">
        <f t="shared" si="28"/>
        <v>2.1416400000000002</v>
      </c>
      <c r="G1834" t="s">
        <v>16</v>
      </c>
      <c r="I1834" t="s">
        <v>35</v>
      </c>
      <c r="J1834" t="str">
        <f>"10/07/1990 23:45"</f>
        <v>10/07/1990 23:45</v>
      </c>
    </row>
    <row r="1835" spans="1:10" x14ac:dyDescent="0.3">
      <c r="A1835" t="s">
        <v>6</v>
      </c>
      <c r="B1835" t="str">
        <f>"10/08/1990 00:00"</f>
        <v>10/08/1990 00:00</v>
      </c>
      <c r="C1835">
        <v>1.08</v>
      </c>
      <c r="D1835" t="s">
        <v>7</v>
      </c>
      <c r="E1835" s="2" t="s">
        <v>12</v>
      </c>
      <c r="F1835">
        <f t="shared" si="28"/>
        <v>2.1416400000000002</v>
      </c>
      <c r="G1835" t="s">
        <v>16</v>
      </c>
      <c r="I1835" t="s">
        <v>35</v>
      </c>
      <c r="J1835" t="str">
        <f>"10/08/1990 23:45"</f>
        <v>10/08/1990 23:45</v>
      </c>
    </row>
    <row r="1836" spans="1:10" x14ac:dyDescent="0.3">
      <c r="A1836" t="s">
        <v>6</v>
      </c>
      <c r="B1836" t="str">
        <f>"10/09/1990 00:00"</f>
        <v>10/09/1990 00:00</v>
      </c>
      <c r="C1836">
        <v>18.899999999999999</v>
      </c>
      <c r="D1836" t="s">
        <v>7</v>
      </c>
      <c r="E1836" s="2" t="s">
        <v>12</v>
      </c>
      <c r="F1836">
        <f t="shared" si="28"/>
        <v>37.478699999999996</v>
      </c>
      <c r="G1836" t="s">
        <v>16</v>
      </c>
      <c r="I1836" t="s">
        <v>8</v>
      </c>
      <c r="J1836" t="str">
        <f>"10/09/1990 23:45"</f>
        <v>10/09/1990 23:45</v>
      </c>
    </row>
    <row r="1837" spans="1:10" x14ac:dyDescent="0.3">
      <c r="A1837" t="s">
        <v>6</v>
      </c>
      <c r="B1837" t="str">
        <f>"10/10/1990 00:00"</f>
        <v>10/10/1990 00:00</v>
      </c>
      <c r="C1837">
        <v>11.8</v>
      </c>
      <c r="D1837" t="s">
        <v>7</v>
      </c>
      <c r="E1837" s="2" t="s">
        <v>12</v>
      </c>
      <c r="F1837">
        <f t="shared" si="28"/>
        <v>23.399400000000004</v>
      </c>
      <c r="G1837" t="s">
        <v>16</v>
      </c>
      <c r="I1837" t="s">
        <v>8</v>
      </c>
      <c r="J1837" t="str">
        <f>"10/10/1990 23:45"</f>
        <v>10/10/1990 23:45</v>
      </c>
    </row>
    <row r="1838" spans="1:10" x14ac:dyDescent="0.3">
      <c r="A1838" t="s">
        <v>6</v>
      </c>
      <c r="B1838" t="str">
        <f>"10/11/1990 00:00"</f>
        <v>10/11/1990 00:00</v>
      </c>
      <c r="D1838" t="s">
        <v>7</v>
      </c>
      <c r="E1838" s="2" t="s">
        <v>12</v>
      </c>
      <c r="F1838">
        <f t="shared" si="28"/>
        <v>0</v>
      </c>
      <c r="G1838" t="s">
        <v>16</v>
      </c>
    </row>
    <row r="1839" spans="1:10" x14ac:dyDescent="0.3">
      <c r="A1839" t="s">
        <v>6</v>
      </c>
      <c r="B1839" t="str">
        <f>"10/12/1990 00:00"</f>
        <v>10/12/1990 00:00</v>
      </c>
      <c r="D1839" t="s">
        <v>7</v>
      </c>
      <c r="E1839" s="2" t="s">
        <v>12</v>
      </c>
      <c r="F1839">
        <f t="shared" si="28"/>
        <v>0</v>
      </c>
      <c r="G1839" t="s">
        <v>16</v>
      </c>
    </row>
    <row r="1840" spans="1:10" x14ac:dyDescent="0.3">
      <c r="A1840" t="s">
        <v>6</v>
      </c>
      <c r="B1840" t="str">
        <f>"10/13/1990 00:00"</f>
        <v>10/13/1990 00:00</v>
      </c>
      <c r="D1840" t="s">
        <v>7</v>
      </c>
      <c r="E1840" s="2" t="s">
        <v>12</v>
      </c>
      <c r="F1840">
        <f t="shared" si="28"/>
        <v>0</v>
      </c>
      <c r="G1840" t="s">
        <v>16</v>
      </c>
    </row>
    <row r="1841" spans="1:10" x14ac:dyDescent="0.3">
      <c r="A1841" t="s">
        <v>6</v>
      </c>
      <c r="B1841" t="str">
        <f>"10/14/1990 00:00"</f>
        <v>10/14/1990 00:00</v>
      </c>
      <c r="D1841" t="s">
        <v>7</v>
      </c>
      <c r="E1841" s="2" t="s">
        <v>12</v>
      </c>
      <c r="F1841">
        <f t="shared" si="28"/>
        <v>0</v>
      </c>
      <c r="G1841" t="s">
        <v>16</v>
      </c>
    </row>
    <row r="1842" spans="1:10" x14ac:dyDescent="0.3">
      <c r="A1842" t="s">
        <v>6</v>
      </c>
      <c r="B1842" t="str">
        <f>"10/15/1990 00:00"</f>
        <v>10/15/1990 00:00</v>
      </c>
      <c r="D1842" t="s">
        <v>7</v>
      </c>
      <c r="E1842" s="2" t="s">
        <v>12</v>
      </c>
      <c r="F1842">
        <f t="shared" si="28"/>
        <v>0</v>
      </c>
      <c r="G1842" t="s">
        <v>16</v>
      </c>
    </row>
    <row r="1843" spans="1:10" x14ac:dyDescent="0.3">
      <c r="A1843" t="s">
        <v>6</v>
      </c>
      <c r="B1843" t="str">
        <f>"10/16/1990 00:00"</f>
        <v>10/16/1990 00:00</v>
      </c>
      <c r="D1843" t="s">
        <v>7</v>
      </c>
      <c r="E1843" s="2" t="s">
        <v>12</v>
      </c>
      <c r="F1843">
        <f t="shared" si="28"/>
        <v>0</v>
      </c>
      <c r="G1843" t="s">
        <v>16</v>
      </c>
    </row>
    <row r="1844" spans="1:10" x14ac:dyDescent="0.3">
      <c r="A1844" t="s">
        <v>6</v>
      </c>
      <c r="B1844" t="str">
        <f>"10/17/1990 00:00"</f>
        <v>10/17/1990 00:00</v>
      </c>
      <c r="D1844" t="s">
        <v>7</v>
      </c>
      <c r="E1844" s="2" t="s">
        <v>12</v>
      </c>
      <c r="F1844">
        <f t="shared" si="28"/>
        <v>0</v>
      </c>
      <c r="G1844" t="s">
        <v>16</v>
      </c>
    </row>
    <row r="1845" spans="1:10" x14ac:dyDescent="0.3">
      <c r="A1845" t="s">
        <v>6</v>
      </c>
      <c r="B1845" t="str">
        <f>"10/18/1990 00:00"</f>
        <v>10/18/1990 00:00</v>
      </c>
      <c r="C1845">
        <v>2.23</v>
      </c>
      <c r="D1845" t="s">
        <v>7</v>
      </c>
      <c r="E1845" s="2" t="s">
        <v>12</v>
      </c>
      <c r="F1845">
        <f t="shared" si="28"/>
        <v>4.4220899999999999</v>
      </c>
      <c r="G1845" t="s">
        <v>16</v>
      </c>
      <c r="J1845" t="str">
        <f>"10/18/1990 23:00"</f>
        <v>10/18/1990 23:00</v>
      </c>
    </row>
    <row r="1846" spans="1:10" x14ac:dyDescent="0.3">
      <c r="A1846" t="s">
        <v>6</v>
      </c>
      <c r="B1846" t="str">
        <f>"10/19/1990 00:00"</f>
        <v>10/19/1990 00:00</v>
      </c>
      <c r="C1846">
        <v>2.23</v>
      </c>
      <c r="D1846" t="s">
        <v>7</v>
      </c>
      <c r="E1846" s="2" t="s">
        <v>12</v>
      </c>
      <c r="F1846">
        <f t="shared" si="28"/>
        <v>4.4220899999999999</v>
      </c>
      <c r="G1846" t="s">
        <v>16</v>
      </c>
      <c r="J1846" t="str">
        <f>"10/19/1990 10:00"</f>
        <v>10/19/1990 10:00</v>
      </c>
    </row>
    <row r="1847" spans="1:10" x14ac:dyDescent="0.3">
      <c r="A1847" t="s">
        <v>6</v>
      </c>
      <c r="B1847" t="str">
        <f>"10/20/1990 00:00"</f>
        <v>10/20/1990 00:00</v>
      </c>
      <c r="D1847" t="s">
        <v>7</v>
      </c>
      <c r="E1847" s="2" t="s">
        <v>12</v>
      </c>
      <c r="F1847">
        <f t="shared" si="28"/>
        <v>0</v>
      </c>
      <c r="G1847" t="s">
        <v>16</v>
      </c>
    </row>
    <row r="1848" spans="1:10" x14ac:dyDescent="0.3">
      <c r="A1848" t="s">
        <v>6</v>
      </c>
      <c r="B1848" t="str">
        <f>"10/21/1990 00:00"</f>
        <v>10/21/1990 00:00</v>
      </c>
      <c r="D1848" t="s">
        <v>7</v>
      </c>
      <c r="E1848" s="2" t="s">
        <v>12</v>
      </c>
      <c r="F1848">
        <f t="shared" si="28"/>
        <v>0</v>
      </c>
      <c r="G1848" t="s">
        <v>16</v>
      </c>
    </row>
    <row r="1849" spans="1:10" x14ac:dyDescent="0.3">
      <c r="A1849" t="s">
        <v>6</v>
      </c>
      <c r="B1849" t="str">
        <f>"10/22/1990 00:00"</f>
        <v>10/22/1990 00:00</v>
      </c>
      <c r="D1849" t="s">
        <v>7</v>
      </c>
      <c r="E1849" s="2" t="s">
        <v>12</v>
      </c>
      <c r="F1849">
        <f t="shared" si="28"/>
        <v>0</v>
      </c>
      <c r="G1849" t="s">
        <v>16</v>
      </c>
    </row>
    <row r="1850" spans="1:10" x14ac:dyDescent="0.3">
      <c r="A1850" t="s">
        <v>6</v>
      </c>
      <c r="B1850" t="str">
        <f>"10/23/1990 00:00"</f>
        <v>10/23/1990 00:00</v>
      </c>
      <c r="D1850" t="s">
        <v>7</v>
      </c>
      <c r="E1850" s="2" t="s">
        <v>12</v>
      </c>
      <c r="F1850">
        <f t="shared" si="28"/>
        <v>0</v>
      </c>
      <c r="G1850" t="s">
        <v>16</v>
      </c>
    </row>
    <row r="1851" spans="1:10" x14ac:dyDescent="0.3">
      <c r="A1851" t="s">
        <v>6</v>
      </c>
      <c r="B1851" t="str">
        <f>"10/24/1990 00:00"</f>
        <v>10/24/1990 00:00</v>
      </c>
      <c r="D1851" t="s">
        <v>7</v>
      </c>
      <c r="E1851" s="2" t="s">
        <v>12</v>
      </c>
      <c r="F1851">
        <f t="shared" si="28"/>
        <v>0</v>
      </c>
      <c r="G1851" t="s">
        <v>16</v>
      </c>
    </row>
    <row r="1852" spans="1:10" x14ac:dyDescent="0.3">
      <c r="A1852" t="s">
        <v>6</v>
      </c>
      <c r="B1852" t="str">
        <f>"10/25/1990 00:00"</f>
        <v>10/25/1990 00:00</v>
      </c>
      <c r="D1852" t="s">
        <v>7</v>
      </c>
      <c r="E1852" s="2" t="s">
        <v>12</v>
      </c>
      <c r="F1852">
        <f t="shared" si="28"/>
        <v>0</v>
      </c>
      <c r="G1852" t="s">
        <v>16</v>
      </c>
    </row>
    <row r="1853" spans="1:10" x14ac:dyDescent="0.3">
      <c r="A1853" t="s">
        <v>6</v>
      </c>
      <c r="B1853" t="str">
        <f>"10/26/1990 00:00"</f>
        <v>10/26/1990 00:00</v>
      </c>
      <c r="D1853" t="s">
        <v>7</v>
      </c>
      <c r="E1853" s="2" t="s">
        <v>12</v>
      </c>
      <c r="F1853">
        <f t="shared" si="28"/>
        <v>0</v>
      </c>
      <c r="G1853" t="s">
        <v>16</v>
      </c>
    </row>
    <row r="1854" spans="1:10" x14ac:dyDescent="0.3">
      <c r="A1854" t="s">
        <v>6</v>
      </c>
      <c r="B1854" t="str">
        <f>"10/27/1990 00:00"</f>
        <v>10/27/1990 00:00</v>
      </c>
      <c r="D1854" t="s">
        <v>7</v>
      </c>
      <c r="E1854" s="2" t="s">
        <v>12</v>
      </c>
      <c r="F1854">
        <f t="shared" si="28"/>
        <v>0</v>
      </c>
      <c r="G1854" t="s">
        <v>16</v>
      </c>
    </row>
    <row r="1855" spans="1:10" x14ac:dyDescent="0.3">
      <c r="A1855" t="s">
        <v>6</v>
      </c>
      <c r="B1855" t="str">
        <f>"10/28/1990 00:00"</f>
        <v>10/28/1990 00:00</v>
      </c>
      <c r="D1855" t="s">
        <v>7</v>
      </c>
      <c r="E1855" s="2" t="s">
        <v>12</v>
      </c>
      <c r="F1855">
        <f t="shared" si="28"/>
        <v>0</v>
      </c>
      <c r="G1855" t="s">
        <v>16</v>
      </c>
    </row>
    <row r="1856" spans="1:10" x14ac:dyDescent="0.3">
      <c r="A1856" t="s">
        <v>6</v>
      </c>
      <c r="B1856" t="str">
        <f>"10/29/1990 00:00"</f>
        <v>10/29/1990 00:00</v>
      </c>
      <c r="D1856" t="s">
        <v>7</v>
      </c>
      <c r="E1856" s="2" t="s">
        <v>12</v>
      </c>
      <c r="F1856">
        <f t="shared" si="28"/>
        <v>0</v>
      </c>
      <c r="G1856" t="s">
        <v>16</v>
      </c>
    </row>
    <row r="1857" spans="1:10" x14ac:dyDescent="0.3">
      <c r="A1857" t="s">
        <v>6</v>
      </c>
      <c r="B1857" t="str">
        <f>"10/30/1990 00:00"</f>
        <v>10/30/1990 00:00</v>
      </c>
      <c r="D1857" t="s">
        <v>7</v>
      </c>
      <c r="E1857" s="2" t="s">
        <v>12</v>
      </c>
      <c r="F1857">
        <f t="shared" si="28"/>
        <v>0</v>
      </c>
      <c r="G1857" t="s">
        <v>16</v>
      </c>
    </row>
    <row r="1858" spans="1:10" x14ac:dyDescent="0.3">
      <c r="A1858" t="s">
        <v>6</v>
      </c>
      <c r="B1858" t="str">
        <f>"10/31/1990 00:00"</f>
        <v>10/31/1990 00:00</v>
      </c>
      <c r="D1858" t="s">
        <v>7</v>
      </c>
      <c r="E1858" s="2" t="s">
        <v>12</v>
      </c>
      <c r="F1858">
        <f t="shared" si="28"/>
        <v>0</v>
      </c>
      <c r="G1858" t="s">
        <v>16</v>
      </c>
    </row>
    <row r="1859" spans="1:10" x14ac:dyDescent="0.3">
      <c r="A1859" t="s">
        <v>6</v>
      </c>
      <c r="B1859" t="str">
        <f>"11/01/1990 00:00"</f>
        <v>11/01/1990 00:00</v>
      </c>
      <c r="D1859" t="s">
        <v>7</v>
      </c>
      <c r="E1859" s="2" t="s">
        <v>12</v>
      </c>
      <c r="F1859">
        <f t="shared" ref="F1859:F1922" si="29">C1859*1.983</f>
        <v>0</v>
      </c>
      <c r="G1859" t="s">
        <v>16</v>
      </c>
    </row>
    <row r="1860" spans="1:10" x14ac:dyDescent="0.3">
      <c r="A1860" t="s">
        <v>6</v>
      </c>
      <c r="B1860" t="str">
        <f>"11/02/1990 00:00"</f>
        <v>11/02/1990 00:00</v>
      </c>
      <c r="D1860" t="s">
        <v>7</v>
      </c>
      <c r="E1860" s="2" t="s">
        <v>12</v>
      </c>
      <c r="F1860">
        <f t="shared" si="29"/>
        <v>0</v>
      </c>
      <c r="G1860" t="s">
        <v>16</v>
      </c>
    </row>
    <row r="1861" spans="1:10" x14ac:dyDescent="0.3">
      <c r="A1861" t="s">
        <v>6</v>
      </c>
      <c r="B1861" t="str">
        <f>"11/03/1990 00:00"</f>
        <v>11/03/1990 00:00</v>
      </c>
      <c r="D1861" t="s">
        <v>7</v>
      </c>
      <c r="E1861" s="2" t="s">
        <v>12</v>
      </c>
      <c r="F1861">
        <f t="shared" si="29"/>
        <v>0</v>
      </c>
      <c r="G1861" t="s">
        <v>16</v>
      </c>
    </row>
    <row r="1862" spans="1:10" x14ac:dyDescent="0.3">
      <c r="A1862" t="s">
        <v>6</v>
      </c>
      <c r="B1862" t="str">
        <f>"11/04/1990 00:00"</f>
        <v>11/04/1990 00:00</v>
      </c>
      <c r="D1862" t="s">
        <v>7</v>
      </c>
      <c r="E1862" s="2" t="s">
        <v>12</v>
      </c>
      <c r="F1862">
        <f t="shared" si="29"/>
        <v>0</v>
      </c>
      <c r="G1862" t="s">
        <v>16</v>
      </c>
    </row>
    <row r="1863" spans="1:10" x14ac:dyDescent="0.3">
      <c r="A1863" t="s">
        <v>6</v>
      </c>
      <c r="B1863" t="str">
        <f>"11/05/1990 00:00"</f>
        <v>11/05/1990 00:00</v>
      </c>
      <c r="D1863" t="s">
        <v>7</v>
      </c>
      <c r="E1863" s="2" t="s">
        <v>12</v>
      </c>
      <c r="F1863">
        <f t="shared" si="29"/>
        <v>0</v>
      </c>
      <c r="G1863" t="s">
        <v>16</v>
      </c>
    </row>
    <row r="1864" spans="1:10" x14ac:dyDescent="0.3">
      <c r="A1864" t="s">
        <v>6</v>
      </c>
      <c r="B1864" t="str">
        <f>"11/06/1990 00:00"</f>
        <v>11/06/1990 00:00</v>
      </c>
      <c r="D1864" t="s">
        <v>7</v>
      </c>
      <c r="E1864" s="2" t="s">
        <v>12</v>
      </c>
      <c r="F1864">
        <f t="shared" si="29"/>
        <v>0</v>
      </c>
      <c r="G1864" t="s">
        <v>16</v>
      </c>
    </row>
    <row r="1865" spans="1:10" x14ac:dyDescent="0.3">
      <c r="A1865" t="s">
        <v>6</v>
      </c>
      <c r="B1865" t="str">
        <f>"11/07/1990 00:00"</f>
        <v>11/07/1990 00:00</v>
      </c>
      <c r="D1865" t="s">
        <v>7</v>
      </c>
      <c r="E1865" s="2" t="s">
        <v>12</v>
      </c>
      <c r="F1865">
        <f t="shared" si="29"/>
        <v>0</v>
      </c>
      <c r="G1865" t="s">
        <v>16</v>
      </c>
    </row>
    <row r="1866" spans="1:10" x14ac:dyDescent="0.3">
      <c r="A1866" t="s">
        <v>6</v>
      </c>
      <c r="B1866" t="str">
        <f>"11/08/1990 00:00"</f>
        <v>11/08/1990 00:00</v>
      </c>
      <c r="D1866" t="s">
        <v>7</v>
      </c>
      <c r="E1866" s="2" t="s">
        <v>12</v>
      </c>
      <c r="F1866">
        <f t="shared" si="29"/>
        <v>0</v>
      </c>
      <c r="G1866" t="s">
        <v>16</v>
      </c>
    </row>
    <row r="1867" spans="1:10" x14ac:dyDescent="0.3">
      <c r="A1867" t="s">
        <v>6</v>
      </c>
      <c r="B1867" t="str">
        <f>"11/09/1990 00:00"</f>
        <v>11/09/1990 00:00</v>
      </c>
      <c r="D1867" t="s">
        <v>7</v>
      </c>
      <c r="E1867" s="2" t="s">
        <v>12</v>
      </c>
      <c r="F1867">
        <f t="shared" si="29"/>
        <v>0</v>
      </c>
      <c r="G1867" t="s">
        <v>16</v>
      </c>
    </row>
    <row r="1868" spans="1:10" x14ac:dyDescent="0.3">
      <c r="A1868" t="s">
        <v>6</v>
      </c>
      <c r="B1868" t="str">
        <f>"11/10/1990 00:00"</f>
        <v>11/10/1990 00:00</v>
      </c>
      <c r="C1868">
        <v>41.1</v>
      </c>
      <c r="D1868" t="s">
        <v>7</v>
      </c>
      <c r="E1868" s="2" t="s">
        <v>12</v>
      </c>
      <c r="F1868">
        <f t="shared" si="29"/>
        <v>81.501300000000001</v>
      </c>
      <c r="G1868" t="s">
        <v>16</v>
      </c>
      <c r="J1868" t="str">
        <f>"11/10/1990 23:00"</f>
        <v>11/10/1990 23:00</v>
      </c>
    </row>
    <row r="1869" spans="1:10" x14ac:dyDescent="0.3">
      <c r="A1869" t="s">
        <v>6</v>
      </c>
      <c r="B1869" t="str">
        <f>"11/11/1990 00:00"</f>
        <v>11/11/1990 00:00</v>
      </c>
      <c r="C1869">
        <v>41</v>
      </c>
      <c r="D1869" t="s">
        <v>7</v>
      </c>
      <c r="E1869" s="2" t="s">
        <v>12</v>
      </c>
      <c r="F1869">
        <f t="shared" si="29"/>
        <v>81.302999999999997</v>
      </c>
      <c r="G1869" t="s">
        <v>16</v>
      </c>
      <c r="J1869" t="str">
        <f>"11/11/1990 23:00"</f>
        <v>11/11/1990 23:00</v>
      </c>
    </row>
    <row r="1870" spans="1:10" x14ac:dyDescent="0.3">
      <c r="A1870" t="s">
        <v>6</v>
      </c>
      <c r="B1870" t="str">
        <f>"11/12/1990 00:00"</f>
        <v>11/12/1990 00:00</v>
      </c>
      <c r="C1870">
        <v>41.1</v>
      </c>
      <c r="D1870" t="s">
        <v>7</v>
      </c>
      <c r="E1870" s="2" t="s">
        <v>12</v>
      </c>
      <c r="F1870">
        <f t="shared" si="29"/>
        <v>81.501300000000001</v>
      </c>
      <c r="G1870" t="s">
        <v>16</v>
      </c>
      <c r="J1870" t="str">
        <f>"11/12/1990 23:00"</f>
        <v>11/12/1990 23:00</v>
      </c>
    </row>
    <row r="1871" spans="1:10" x14ac:dyDescent="0.3">
      <c r="A1871" t="s">
        <v>6</v>
      </c>
      <c r="B1871" t="str">
        <f>"11/13/1990 00:00"</f>
        <v>11/13/1990 00:00</v>
      </c>
      <c r="C1871">
        <v>41</v>
      </c>
      <c r="D1871" t="s">
        <v>7</v>
      </c>
      <c r="E1871" s="2" t="s">
        <v>12</v>
      </c>
      <c r="F1871">
        <f t="shared" si="29"/>
        <v>81.302999999999997</v>
      </c>
      <c r="G1871" t="s">
        <v>16</v>
      </c>
      <c r="J1871" t="str">
        <f>"11/13/1990 23:00"</f>
        <v>11/13/1990 23:00</v>
      </c>
    </row>
    <row r="1872" spans="1:10" x14ac:dyDescent="0.3">
      <c r="A1872" t="s">
        <v>6</v>
      </c>
      <c r="B1872" t="str">
        <f>"11/14/1990 00:00"</f>
        <v>11/14/1990 00:00</v>
      </c>
      <c r="C1872">
        <v>41</v>
      </c>
      <c r="D1872" t="s">
        <v>7</v>
      </c>
      <c r="E1872" s="2" t="s">
        <v>12</v>
      </c>
      <c r="F1872">
        <f t="shared" si="29"/>
        <v>81.302999999999997</v>
      </c>
      <c r="G1872" t="s">
        <v>16</v>
      </c>
      <c r="J1872" t="str">
        <f>"11/14/1990 23:00"</f>
        <v>11/14/1990 23:00</v>
      </c>
    </row>
    <row r="1873" spans="1:10" x14ac:dyDescent="0.3">
      <c r="A1873" t="s">
        <v>6</v>
      </c>
      <c r="B1873" t="str">
        <f>"11/15/1990 00:00"</f>
        <v>11/15/1990 00:00</v>
      </c>
      <c r="C1873">
        <v>44</v>
      </c>
      <c r="D1873" t="s">
        <v>7</v>
      </c>
      <c r="E1873" s="2" t="s">
        <v>12</v>
      </c>
      <c r="F1873">
        <f t="shared" si="29"/>
        <v>87.25200000000001</v>
      </c>
      <c r="G1873" t="s">
        <v>16</v>
      </c>
      <c r="J1873" t="str">
        <f>"11/15/1990 23:00"</f>
        <v>11/15/1990 23:00</v>
      </c>
    </row>
    <row r="1874" spans="1:10" x14ac:dyDescent="0.3">
      <c r="A1874" t="s">
        <v>6</v>
      </c>
      <c r="B1874" t="str">
        <f>"11/16/1990 00:00"</f>
        <v>11/16/1990 00:00</v>
      </c>
      <c r="C1874">
        <v>51.6</v>
      </c>
      <c r="D1874" t="s">
        <v>7</v>
      </c>
      <c r="E1874" s="2" t="s">
        <v>12</v>
      </c>
      <c r="F1874">
        <f t="shared" si="29"/>
        <v>102.3228</v>
      </c>
      <c r="G1874" t="s">
        <v>16</v>
      </c>
      <c r="J1874" t="str">
        <f>"11/16/1990 23:00"</f>
        <v>11/16/1990 23:00</v>
      </c>
    </row>
    <row r="1875" spans="1:10" x14ac:dyDescent="0.3">
      <c r="A1875" t="s">
        <v>6</v>
      </c>
      <c r="B1875" t="str">
        <f>"11/17/1990 00:00"</f>
        <v>11/17/1990 00:00</v>
      </c>
      <c r="C1875">
        <v>66.7</v>
      </c>
      <c r="D1875" t="s">
        <v>7</v>
      </c>
      <c r="E1875" s="2" t="s">
        <v>12</v>
      </c>
      <c r="F1875">
        <f t="shared" si="29"/>
        <v>132.26610000000002</v>
      </c>
      <c r="G1875" t="s">
        <v>16</v>
      </c>
      <c r="J1875" t="str">
        <f>"11/17/1990 23:00"</f>
        <v>11/17/1990 23:00</v>
      </c>
    </row>
    <row r="1876" spans="1:10" x14ac:dyDescent="0.3">
      <c r="A1876" t="s">
        <v>6</v>
      </c>
      <c r="B1876" t="str">
        <f>"11/18/1990 00:00"</f>
        <v>11/18/1990 00:00</v>
      </c>
      <c r="C1876">
        <v>66.2</v>
      </c>
      <c r="D1876" t="s">
        <v>7</v>
      </c>
      <c r="E1876" s="2" t="s">
        <v>12</v>
      </c>
      <c r="F1876">
        <f t="shared" si="29"/>
        <v>131.27460000000002</v>
      </c>
      <c r="G1876" t="s">
        <v>16</v>
      </c>
      <c r="J1876" t="str">
        <f>"11/18/1990 23:00"</f>
        <v>11/18/1990 23:00</v>
      </c>
    </row>
    <row r="1877" spans="1:10" x14ac:dyDescent="0.3">
      <c r="A1877" t="s">
        <v>6</v>
      </c>
      <c r="B1877" t="str">
        <f>"11/19/1990 00:00"</f>
        <v>11/19/1990 00:00</v>
      </c>
      <c r="C1877">
        <v>65.7</v>
      </c>
      <c r="D1877" t="s">
        <v>7</v>
      </c>
      <c r="E1877" s="2" t="s">
        <v>12</v>
      </c>
      <c r="F1877">
        <f t="shared" si="29"/>
        <v>130.28310000000002</v>
      </c>
      <c r="G1877" t="s">
        <v>16</v>
      </c>
      <c r="J1877" t="str">
        <f>"11/19/1990 23:00"</f>
        <v>11/19/1990 23:00</v>
      </c>
    </row>
    <row r="1878" spans="1:10" x14ac:dyDescent="0.3">
      <c r="A1878" t="s">
        <v>6</v>
      </c>
      <c r="B1878" t="str">
        <f>"11/20/1990 00:00"</f>
        <v>11/20/1990 00:00</v>
      </c>
      <c r="C1878">
        <v>66.099999999999994</v>
      </c>
      <c r="D1878" t="s">
        <v>7</v>
      </c>
      <c r="E1878" s="2" t="s">
        <v>12</v>
      </c>
      <c r="F1878">
        <f t="shared" si="29"/>
        <v>131.0763</v>
      </c>
      <c r="G1878" t="s">
        <v>16</v>
      </c>
      <c r="I1878" t="s">
        <v>8</v>
      </c>
      <c r="J1878" t="str">
        <f>"11/20/1990 21:00"</f>
        <v>11/20/1990 21:00</v>
      </c>
    </row>
    <row r="1879" spans="1:10" x14ac:dyDescent="0.3">
      <c r="A1879" t="s">
        <v>6</v>
      </c>
      <c r="B1879" t="str">
        <f>"11/21/1990 00:00"</f>
        <v>11/21/1990 00:00</v>
      </c>
      <c r="D1879" t="s">
        <v>7</v>
      </c>
      <c r="E1879" s="2" t="s">
        <v>12</v>
      </c>
      <c r="F1879">
        <f t="shared" si="29"/>
        <v>0</v>
      </c>
      <c r="G1879" t="s">
        <v>16</v>
      </c>
    </row>
    <row r="1880" spans="1:10" x14ac:dyDescent="0.3">
      <c r="A1880" t="s">
        <v>6</v>
      </c>
      <c r="B1880" t="str">
        <f>"11/22/1990 00:00"</f>
        <v>11/22/1990 00:00</v>
      </c>
      <c r="D1880" t="s">
        <v>7</v>
      </c>
      <c r="E1880" s="2" t="s">
        <v>12</v>
      </c>
      <c r="F1880">
        <f t="shared" si="29"/>
        <v>0</v>
      </c>
      <c r="G1880" t="s">
        <v>16</v>
      </c>
    </row>
    <row r="1881" spans="1:10" x14ac:dyDescent="0.3">
      <c r="A1881" t="s">
        <v>6</v>
      </c>
      <c r="B1881" t="str">
        <f>"11/23/1990 00:00"</f>
        <v>11/23/1990 00:00</v>
      </c>
      <c r="D1881" t="s">
        <v>7</v>
      </c>
      <c r="E1881" s="2" t="s">
        <v>12</v>
      </c>
      <c r="F1881">
        <f t="shared" si="29"/>
        <v>0</v>
      </c>
      <c r="G1881" t="s">
        <v>16</v>
      </c>
    </row>
    <row r="1882" spans="1:10" x14ac:dyDescent="0.3">
      <c r="A1882" t="s">
        <v>6</v>
      </c>
      <c r="B1882" t="str">
        <f>"11/24/1990 00:00"</f>
        <v>11/24/1990 00:00</v>
      </c>
      <c r="C1882">
        <v>126</v>
      </c>
      <c r="D1882" t="s">
        <v>7</v>
      </c>
      <c r="E1882" s="2" t="s">
        <v>12</v>
      </c>
      <c r="F1882">
        <f t="shared" si="29"/>
        <v>249.858</v>
      </c>
      <c r="G1882" t="s">
        <v>16</v>
      </c>
      <c r="J1882" t="str">
        <f>"11/24/1990 23:00"</f>
        <v>11/24/1990 23:00</v>
      </c>
    </row>
    <row r="1883" spans="1:10" x14ac:dyDescent="0.3">
      <c r="A1883" t="s">
        <v>6</v>
      </c>
      <c r="B1883" t="str">
        <f>"11/25/1990 00:00"</f>
        <v>11/25/1990 00:00</v>
      </c>
      <c r="C1883">
        <v>126</v>
      </c>
      <c r="D1883" t="s">
        <v>7</v>
      </c>
      <c r="E1883" s="2" t="s">
        <v>12</v>
      </c>
      <c r="F1883">
        <f t="shared" si="29"/>
        <v>249.858</v>
      </c>
      <c r="G1883" t="s">
        <v>16</v>
      </c>
      <c r="I1883" t="s">
        <v>8</v>
      </c>
      <c r="J1883" t="str">
        <f>"11/25/1990 23:00"</f>
        <v>11/25/1990 23:00</v>
      </c>
    </row>
    <row r="1884" spans="1:10" x14ac:dyDescent="0.3">
      <c r="A1884" t="s">
        <v>6</v>
      </c>
      <c r="B1884" t="str">
        <f>"11/26/1990 00:00"</f>
        <v>11/26/1990 00:00</v>
      </c>
      <c r="C1884">
        <v>126</v>
      </c>
      <c r="D1884" t="s">
        <v>7</v>
      </c>
      <c r="E1884" s="2" t="s">
        <v>12</v>
      </c>
      <c r="F1884">
        <f t="shared" si="29"/>
        <v>249.858</v>
      </c>
      <c r="G1884" t="s">
        <v>16</v>
      </c>
      <c r="J1884" t="str">
        <f>"11/26/1990 21:00"</f>
        <v>11/26/1990 21:00</v>
      </c>
    </row>
    <row r="1885" spans="1:10" x14ac:dyDescent="0.3">
      <c r="A1885" t="s">
        <v>6</v>
      </c>
      <c r="B1885" t="str">
        <f>"11/27/1990 00:00"</f>
        <v>11/27/1990 00:00</v>
      </c>
      <c r="D1885" t="s">
        <v>7</v>
      </c>
      <c r="E1885" s="2" t="s">
        <v>12</v>
      </c>
      <c r="F1885">
        <f t="shared" si="29"/>
        <v>0</v>
      </c>
      <c r="G1885" t="s">
        <v>16</v>
      </c>
    </row>
    <row r="1886" spans="1:10" x14ac:dyDescent="0.3">
      <c r="A1886" t="s">
        <v>6</v>
      </c>
      <c r="B1886" t="str">
        <f>"11/28/1990 00:00"</f>
        <v>11/28/1990 00:00</v>
      </c>
      <c r="D1886" t="s">
        <v>7</v>
      </c>
      <c r="E1886" s="2" t="s">
        <v>12</v>
      </c>
      <c r="F1886">
        <f t="shared" si="29"/>
        <v>0</v>
      </c>
      <c r="G1886" t="s">
        <v>16</v>
      </c>
    </row>
    <row r="1887" spans="1:10" x14ac:dyDescent="0.3">
      <c r="A1887" t="s">
        <v>6</v>
      </c>
      <c r="B1887" t="str">
        <f>"11/29/1990 00:00"</f>
        <v>11/29/1990 00:00</v>
      </c>
      <c r="D1887" t="s">
        <v>7</v>
      </c>
      <c r="E1887" s="2" t="s">
        <v>12</v>
      </c>
      <c r="F1887">
        <f t="shared" si="29"/>
        <v>0</v>
      </c>
      <c r="G1887" t="s">
        <v>16</v>
      </c>
    </row>
    <row r="1888" spans="1:10" x14ac:dyDescent="0.3">
      <c r="A1888" t="s">
        <v>6</v>
      </c>
      <c r="B1888" t="str">
        <f>"11/30/1990 00:00"</f>
        <v>11/30/1990 00:00</v>
      </c>
      <c r="D1888" t="s">
        <v>7</v>
      </c>
      <c r="E1888" s="2" t="s">
        <v>12</v>
      </c>
      <c r="F1888">
        <f t="shared" si="29"/>
        <v>0</v>
      </c>
      <c r="G1888" t="s">
        <v>16</v>
      </c>
    </row>
    <row r="1889" spans="1:7" x14ac:dyDescent="0.3">
      <c r="A1889" t="s">
        <v>6</v>
      </c>
      <c r="B1889" t="str">
        <f>"12/01/1990 00:00"</f>
        <v>12/01/1990 00:00</v>
      </c>
      <c r="D1889" t="s">
        <v>7</v>
      </c>
      <c r="E1889" s="2" t="s">
        <v>12</v>
      </c>
      <c r="F1889">
        <f t="shared" si="29"/>
        <v>0</v>
      </c>
      <c r="G1889" t="s">
        <v>16</v>
      </c>
    </row>
    <row r="1890" spans="1:7" x14ac:dyDescent="0.3">
      <c r="A1890" t="s">
        <v>6</v>
      </c>
      <c r="B1890" t="str">
        <f>"12/02/1990 00:00"</f>
        <v>12/02/1990 00:00</v>
      </c>
      <c r="D1890" t="s">
        <v>7</v>
      </c>
      <c r="E1890" s="2" t="s">
        <v>12</v>
      </c>
      <c r="F1890">
        <f t="shared" si="29"/>
        <v>0</v>
      </c>
      <c r="G1890" t="s">
        <v>16</v>
      </c>
    </row>
    <row r="1891" spans="1:7" x14ac:dyDescent="0.3">
      <c r="A1891" t="s">
        <v>6</v>
      </c>
      <c r="B1891" t="str">
        <f>"12/03/1990 00:00"</f>
        <v>12/03/1990 00:00</v>
      </c>
      <c r="D1891" t="s">
        <v>7</v>
      </c>
      <c r="E1891" s="2" t="s">
        <v>12</v>
      </c>
      <c r="F1891">
        <f t="shared" si="29"/>
        <v>0</v>
      </c>
      <c r="G1891" t="s">
        <v>16</v>
      </c>
    </row>
    <row r="1892" spans="1:7" x14ac:dyDescent="0.3">
      <c r="A1892" t="s">
        <v>6</v>
      </c>
      <c r="B1892" t="str">
        <f>"12/04/1990 00:00"</f>
        <v>12/04/1990 00:00</v>
      </c>
      <c r="D1892" t="s">
        <v>7</v>
      </c>
      <c r="E1892" s="2" t="s">
        <v>12</v>
      </c>
      <c r="F1892">
        <f t="shared" si="29"/>
        <v>0</v>
      </c>
      <c r="G1892" t="s">
        <v>16</v>
      </c>
    </row>
    <row r="1893" spans="1:7" x14ac:dyDescent="0.3">
      <c r="A1893" t="s">
        <v>6</v>
      </c>
      <c r="B1893" t="str">
        <f>"12/05/1990 00:00"</f>
        <v>12/05/1990 00:00</v>
      </c>
      <c r="D1893" t="s">
        <v>7</v>
      </c>
      <c r="E1893" s="2" t="s">
        <v>12</v>
      </c>
      <c r="F1893">
        <f t="shared" si="29"/>
        <v>0</v>
      </c>
      <c r="G1893" t="s">
        <v>16</v>
      </c>
    </row>
    <row r="1894" spans="1:7" x14ac:dyDescent="0.3">
      <c r="A1894" t="s">
        <v>6</v>
      </c>
      <c r="B1894" t="str">
        <f>"12/06/1990 00:00"</f>
        <v>12/06/1990 00:00</v>
      </c>
      <c r="D1894" t="s">
        <v>7</v>
      </c>
      <c r="E1894" s="2" t="s">
        <v>12</v>
      </c>
      <c r="F1894">
        <f t="shared" si="29"/>
        <v>0</v>
      </c>
      <c r="G1894" t="s">
        <v>16</v>
      </c>
    </row>
    <row r="1895" spans="1:7" x14ac:dyDescent="0.3">
      <c r="A1895" t="s">
        <v>6</v>
      </c>
      <c r="B1895" t="str">
        <f>"12/07/1990 00:00"</f>
        <v>12/07/1990 00:00</v>
      </c>
      <c r="D1895" t="s">
        <v>7</v>
      </c>
      <c r="E1895" s="2" t="s">
        <v>12</v>
      </c>
      <c r="F1895">
        <f t="shared" si="29"/>
        <v>0</v>
      </c>
      <c r="G1895" t="s">
        <v>16</v>
      </c>
    </row>
    <row r="1896" spans="1:7" x14ac:dyDescent="0.3">
      <c r="A1896" t="s">
        <v>6</v>
      </c>
      <c r="B1896" t="str">
        <f>"12/08/1990 00:00"</f>
        <v>12/08/1990 00:00</v>
      </c>
      <c r="D1896" t="s">
        <v>7</v>
      </c>
      <c r="E1896" s="2" t="s">
        <v>12</v>
      </c>
      <c r="F1896">
        <f t="shared" si="29"/>
        <v>0</v>
      </c>
      <c r="G1896" t="s">
        <v>16</v>
      </c>
    </row>
    <row r="1897" spans="1:7" x14ac:dyDescent="0.3">
      <c r="A1897" t="s">
        <v>6</v>
      </c>
      <c r="B1897" t="str">
        <f>"12/09/1990 00:00"</f>
        <v>12/09/1990 00:00</v>
      </c>
      <c r="D1897" t="s">
        <v>7</v>
      </c>
      <c r="E1897" s="2" t="s">
        <v>12</v>
      </c>
      <c r="F1897">
        <f t="shared" si="29"/>
        <v>0</v>
      </c>
      <c r="G1897" t="s">
        <v>16</v>
      </c>
    </row>
    <row r="1898" spans="1:7" x14ac:dyDescent="0.3">
      <c r="A1898" t="s">
        <v>6</v>
      </c>
      <c r="B1898" t="str">
        <f>"12/10/1990 00:00"</f>
        <v>12/10/1990 00:00</v>
      </c>
      <c r="D1898" t="s">
        <v>7</v>
      </c>
      <c r="E1898" s="2" t="s">
        <v>12</v>
      </c>
      <c r="F1898">
        <f t="shared" si="29"/>
        <v>0</v>
      </c>
      <c r="G1898" t="s">
        <v>16</v>
      </c>
    </row>
    <row r="1899" spans="1:7" x14ac:dyDescent="0.3">
      <c r="A1899" t="s">
        <v>6</v>
      </c>
      <c r="B1899" t="str">
        <f>"12/11/1990 00:00"</f>
        <v>12/11/1990 00:00</v>
      </c>
      <c r="D1899" t="s">
        <v>7</v>
      </c>
      <c r="E1899" s="2" t="s">
        <v>12</v>
      </c>
      <c r="F1899">
        <f t="shared" si="29"/>
        <v>0</v>
      </c>
      <c r="G1899" t="s">
        <v>16</v>
      </c>
    </row>
    <row r="1900" spans="1:7" x14ac:dyDescent="0.3">
      <c r="A1900" t="s">
        <v>6</v>
      </c>
      <c r="B1900" t="str">
        <f>"12/12/1990 00:00"</f>
        <v>12/12/1990 00:00</v>
      </c>
      <c r="D1900" t="s">
        <v>7</v>
      </c>
      <c r="E1900" s="2" t="s">
        <v>12</v>
      </c>
      <c r="F1900">
        <f t="shared" si="29"/>
        <v>0</v>
      </c>
      <c r="G1900" t="s">
        <v>16</v>
      </c>
    </row>
    <row r="1901" spans="1:7" x14ac:dyDescent="0.3">
      <c r="A1901" t="s">
        <v>6</v>
      </c>
      <c r="B1901" t="str">
        <f>"12/13/1990 00:00"</f>
        <v>12/13/1990 00:00</v>
      </c>
      <c r="D1901" t="s">
        <v>7</v>
      </c>
      <c r="E1901" s="2" t="s">
        <v>12</v>
      </c>
      <c r="F1901">
        <f t="shared" si="29"/>
        <v>0</v>
      </c>
      <c r="G1901" t="s">
        <v>16</v>
      </c>
    </row>
    <row r="1902" spans="1:7" x14ac:dyDescent="0.3">
      <c r="A1902" t="s">
        <v>6</v>
      </c>
      <c r="B1902" t="str">
        <f>"12/14/1990 00:00"</f>
        <v>12/14/1990 00:00</v>
      </c>
      <c r="D1902" t="s">
        <v>7</v>
      </c>
      <c r="E1902" s="2" t="s">
        <v>12</v>
      </c>
      <c r="F1902">
        <f t="shared" si="29"/>
        <v>0</v>
      </c>
      <c r="G1902" t="s">
        <v>16</v>
      </c>
    </row>
    <row r="1903" spans="1:7" x14ac:dyDescent="0.3">
      <c r="A1903" t="s">
        <v>6</v>
      </c>
      <c r="B1903" t="str">
        <f>"12/15/1990 00:00"</f>
        <v>12/15/1990 00:00</v>
      </c>
      <c r="D1903" t="s">
        <v>7</v>
      </c>
      <c r="E1903" s="2" t="s">
        <v>12</v>
      </c>
      <c r="F1903">
        <f t="shared" si="29"/>
        <v>0</v>
      </c>
      <c r="G1903" t="s">
        <v>16</v>
      </c>
    </row>
    <row r="1904" spans="1:7" x14ac:dyDescent="0.3">
      <c r="A1904" t="s">
        <v>6</v>
      </c>
      <c r="B1904" t="str">
        <f>"12/16/1990 00:00"</f>
        <v>12/16/1990 00:00</v>
      </c>
      <c r="D1904" t="s">
        <v>7</v>
      </c>
      <c r="E1904" s="2" t="s">
        <v>12</v>
      </c>
      <c r="F1904">
        <f t="shared" si="29"/>
        <v>0</v>
      </c>
      <c r="G1904" t="s">
        <v>16</v>
      </c>
    </row>
    <row r="1905" spans="1:10" x14ac:dyDescent="0.3">
      <c r="A1905" t="s">
        <v>6</v>
      </c>
      <c r="B1905" t="str">
        <f>"12/17/1990 00:00"</f>
        <v>12/17/1990 00:00</v>
      </c>
      <c r="D1905" t="s">
        <v>7</v>
      </c>
      <c r="E1905" s="2" t="s">
        <v>12</v>
      </c>
      <c r="F1905">
        <f t="shared" si="29"/>
        <v>0</v>
      </c>
      <c r="G1905" t="s">
        <v>16</v>
      </c>
    </row>
    <row r="1906" spans="1:10" x14ac:dyDescent="0.3">
      <c r="A1906" t="s">
        <v>6</v>
      </c>
      <c r="B1906" t="str">
        <f>"12/18/1990 00:00"</f>
        <v>12/18/1990 00:00</v>
      </c>
      <c r="D1906" t="s">
        <v>7</v>
      </c>
      <c r="E1906" s="2" t="s">
        <v>12</v>
      </c>
      <c r="F1906">
        <f t="shared" si="29"/>
        <v>0</v>
      </c>
      <c r="G1906" t="s">
        <v>16</v>
      </c>
    </row>
    <row r="1907" spans="1:10" x14ac:dyDescent="0.3">
      <c r="A1907" t="s">
        <v>6</v>
      </c>
      <c r="B1907" t="str">
        <f>"12/19/1990 00:00"</f>
        <v>12/19/1990 00:00</v>
      </c>
      <c r="D1907" t="s">
        <v>7</v>
      </c>
      <c r="E1907" s="2" t="s">
        <v>12</v>
      </c>
      <c r="F1907">
        <f t="shared" si="29"/>
        <v>0</v>
      </c>
      <c r="G1907" t="s">
        <v>16</v>
      </c>
    </row>
    <row r="1908" spans="1:10" x14ac:dyDescent="0.3">
      <c r="A1908" t="s">
        <v>6</v>
      </c>
      <c r="B1908" t="str">
        <f>"12/20/1990 00:00"</f>
        <v>12/20/1990 00:00</v>
      </c>
      <c r="C1908">
        <v>116</v>
      </c>
      <c r="D1908" t="s">
        <v>7</v>
      </c>
      <c r="E1908" s="2" t="s">
        <v>12</v>
      </c>
      <c r="F1908">
        <f t="shared" si="29"/>
        <v>230.02800000000002</v>
      </c>
      <c r="G1908" t="s">
        <v>16</v>
      </c>
      <c r="J1908" t="str">
        <f>"12/20/1990 23:00"</f>
        <v>12/20/1990 23:00</v>
      </c>
    </row>
    <row r="1909" spans="1:10" x14ac:dyDescent="0.3">
      <c r="A1909" t="s">
        <v>6</v>
      </c>
      <c r="B1909" t="str">
        <f>"12/21/1990 00:00"</f>
        <v>12/21/1990 00:00</v>
      </c>
      <c r="C1909">
        <v>112</v>
      </c>
      <c r="D1909" t="s">
        <v>7</v>
      </c>
      <c r="E1909" s="2" t="s">
        <v>12</v>
      </c>
      <c r="F1909">
        <f t="shared" si="29"/>
        <v>222.096</v>
      </c>
      <c r="G1909" t="s">
        <v>16</v>
      </c>
      <c r="J1909" t="str">
        <f>"12/21/1990 23:00"</f>
        <v>12/21/1990 23:00</v>
      </c>
    </row>
    <row r="1910" spans="1:10" x14ac:dyDescent="0.3">
      <c r="A1910" t="s">
        <v>6</v>
      </c>
      <c r="B1910" t="str">
        <f>"12/22/1990 00:00"</f>
        <v>12/22/1990 00:00</v>
      </c>
      <c r="C1910">
        <v>116</v>
      </c>
      <c r="D1910" t="s">
        <v>7</v>
      </c>
      <c r="E1910" s="2" t="s">
        <v>12</v>
      </c>
      <c r="F1910">
        <f t="shared" si="29"/>
        <v>230.02800000000002</v>
      </c>
      <c r="G1910" t="s">
        <v>16</v>
      </c>
      <c r="J1910" t="str">
        <f>"12/22/1990 23:00"</f>
        <v>12/22/1990 23:00</v>
      </c>
    </row>
    <row r="1911" spans="1:10" x14ac:dyDescent="0.3">
      <c r="A1911" t="s">
        <v>6</v>
      </c>
      <c r="B1911" t="str">
        <f>"12/23/1990 00:00"</f>
        <v>12/23/1990 00:00</v>
      </c>
      <c r="C1911">
        <v>116</v>
      </c>
      <c r="D1911" t="s">
        <v>7</v>
      </c>
      <c r="E1911" s="2" t="s">
        <v>12</v>
      </c>
      <c r="F1911">
        <f t="shared" si="29"/>
        <v>230.02800000000002</v>
      </c>
      <c r="G1911" t="s">
        <v>16</v>
      </c>
      <c r="J1911" t="str">
        <f>"12/23/1990 23:00"</f>
        <v>12/23/1990 23:00</v>
      </c>
    </row>
    <row r="1912" spans="1:10" x14ac:dyDescent="0.3">
      <c r="A1912" t="s">
        <v>6</v>
      </c>
      <c r="B1912" t="str">
        <f>"12/24/1990 00:00"</f>
        <v>12/24/1990 00:00</v>
      </c>
      <c r="C1912">
        <v>116</v>
      </c>
      <c r="D1912" t="s">
        <v>7</v>
      </c>
      <c r="E1912" s="2" t="s">
        <v>12</v>
      </c>
      <c r="F1912">
        <f t="shared" si="29"/>
        <v>230.02800000000002</v>
      </c>
      <c r="G1912" t="s">
        <v>16</v>
      </c>
      <c r="J1912" t="str">
        <f>"12/24/1990 23:00"</f>
        <v>12/24/1990 23:00</v>
      </c>
    </row>
    <row r="1913" spans="1:10" x14ac:dyDescent="0.3">
      <c r="A1913" t="s">
        <v>6</v>
      </c>
      <c r="B1913" t="str">
        <f>"12/25/1990 00:00"</f>
        <v>12/25/1990 00:00</v>
      </c>
      <c r="C1913">
        <v>116</v>
      </c>
      <c r="D1913" t="s">
        <v>7</v>
      </c>
      <c r="E1913" s="2" t="s">
        <v>12</v>
      </c>
      <c r="F1913">
        <f t="shared" si="29"/>
        <v>230.02800000000002</v>
      </c>
      <c r="G1913" t="s">
        <v>16</v>
      </c>
      <c r="J1913" t="str">
        <f>"12/25/1990 23:00"</f>
        <v>12/25/1990 23:00</v>
      </c>
    </row>
    <row r="1914" spans="1:10" x14ac:dyDescent="0.3">
      <c r="A1914" t="s">
        <v>6</v>
      </c>
      <c r="B1914" t="str">
        <f>"12/26/1990 00:00"</f>
        <v>12/26/1990 00:00</v>
      </c>
      <c r="C1914">
        <v>116</v>
      </c>
      <c r="D1914" t="s">
        <v>7</v>
      </c>
      <c r="E1914" s="2" t="s">
        <v>12</v>
      </c>
      <c r="F1914">
        <f t="shared" si="29"/>
        <v>230.02800000000002</v>
      </c>
      <c r="G1914" t="s">
        <v>16</v>
      </c>
      <c r="I1914" t="s">
        <v>8</v>
      </c>
      <c r="J1914" t="str">
        <f>"12/26/1990 23:00"</f>
        <v>12/26/1990 23:00</v>
      </c>
    </row>
    <row r="1915" spans="1:10" x14ac:dyDescent="0.3">
      <c r="A1915" t="s">
        <v>6</v>
      </c>
      <c r="B1915" t="str">
        <f>"12/27/1990 00:00"</f>
        <v>12/27/1990 00:00</v>
      </c>
      <c r="C1915">
        <v>116</v>
      </c>
      <c r="D1915" t="s">
        <v>7</v>
      </c>
      <c r="E1915" s="2" t="s">
        <v>12</v>
      </c>
      <c r="F1915">
        <f t="shared" si="29"/>
        <v>230.02800000000002</v>
      </c>
      <c r="G1915" t="s">
        <v>16</v>
      </c>
      <c r="I1915" t="s">
        <v>35</v>
      </c>
      <c r="J1915" t="str">
        <f>"12/27/1990 13:00"</f>
        <v>12/27/1990 13:00</v>
      </c>
    </row>
    <row r="1916" spans="1:10" x14ac:dyDescent="0.3">
      <c r="A1916" t="s">
        <v>6</v>
      </c>
      <c r="B1916" t="str">
        <f>"12/28/1990 00:00"</f>
        <v>12/28/1990 00:00</v>
      </c>
      <c r="D1916" t="s">
        <v>7</v>
      </c>
      <c r="E1916" s="2" t="s">
        <v>12</v>
      </c>
      <c r="F1916">
        <f t="shared" si="29"/>
        <v>0</v>
      </c>
      <c r="G1916" t="s">
        <v>16</v>
      </c>
    </row>
    <row r="1917" spans="1:10" x14ac:dyDescent="0.3">
      <c r="A1917" t="s">
        <v>6</v>
      </c>
      <c r="B1917" t="str">
        <f>"12/29/1990 00:00"</f>
        <v>12/29/1990 00:00</v>
      </c>
      <c r="D1917" t="s">
        <v>7</v>
      </c>
      <c r="E1917" s="2" t="s">
        <v>12</v>
      </c>
      <c r="F1917">
        <f t="shared" si="29"/>
        <v>0</v>
      </c>
      <c r="G1917" t="s">
        <v>16</v>
      </c>
    </row>
    <row r="1918" spans="1:10" x14ac:dyDescent="0.3">
      <c r="A1918" t="s">
        <v>6</v>
      </c>
      <c r="B1918" t="str">
        <f>"12/30/1990 00:00"</f>
        <v>12/30/1990 00:00</v>
      </c>
      <c r="D1918" t="s">
        <v>7</v>
      </c>
      <c r="E1918" s="2" t="s">
        <v>12</v>
      </c>
      <c r="F1918">
        <f t="shared" si="29"/>
        <v>0</v>
      </c>
      <c r="G1918" t="s">
        <v>16</v>
      </c>
    </row>
    <row r="1919" spans="1:10" x14ac:dyDescent="0.3">
      <c r="A1919" t="s">
        <v>6</v>
      </c>
      <c r="B1919" t="str">
        <f>"12/31/1990 00:00"</f>
        <v>12/31/1990 00:00</v>
      </c>
      <c r="D1919" t="s">
        <v>7</v>
      </c>
      <c r="E1919" s="2" t="s">
        <v>12</v>
      </c>
      <c r="F1919">
        <f t="shared" si="29"/>
        <v>0</v>
      </c>
      <c r="G1919" t="s">
        <v>16</v>
      </c>
    </row>
    <row r="1920" spans="1:10" x14ac:dyDescent="0.3">
      <c r="A1920" t="s">
        <v>6</v>
      </c>
      <c r="B1920" t="str">
        <f>"01/01/1991 00:00"</f>
        <v>01/01/1991 00:00</v>
      </c>
      <c r="D1920" t="s">
        <v>7</v>
      </c>
      <c r="E1920" s="2" t="s">
        <v>12</v>
      </c>
      <c r="F1920">
        <f t="shared" si="29"/>
        <v>0</v>
      </c>
      <c r="G1920" t="s">
        <v>16</v>
      </c>
    </row>
    <row r="1921" spans="1:7" x14ac:dyDescent="0.3">
      <c r="A1921" t="s">
        <v>6</v>
      </c>
      <c r="B1921" t="str">
        <f>"01/02/1991 00:00"</f>
        <v>01/02/1991 00:00</v>
      </c>
      <c r="D1921" t="s">
        <v>7</v>
      </c>
      <c r="E1921" s="2" t="s">
        <v>12</v>
      </c>
      <c r="F1921">
        <f t="shared" si="29"/>
        <v>0</v>
      </c>
      <c r="G1921" t="s">
        <v>16</v>
      </c>
    </row>
    <row r="1922" spans="1:7" x14ac:dyDescent="0.3">
      <c r="A1922" t="s">
        <v>6</v>
      </c>
      <c r="B1922" t="str">
        <f>"01/03/1991 00:00"</f>
        <v>01/03/1991 00:00</v>
      </c>
      <c r="D1922" t="s">
        <v>7</v>
      </c>
      <c r="E1922" s="2" t="s">
        <v>12</v>
      </c>
      <c r="F1922">
        <f t="shared" si="29"/>
        <v>0</v>
      </c>
      <c r="G1922" t="s">
        <v>16</v>
      </c>
    </row>
    <row r="1923" spans="1:7" x14ac:dyDescent="0.3">
      <c r="A1923" t="s">
        <v>6</v>
      </c>
      <c r="B1923" t="str">
        <f>"01/04/1991 00:00"</f>
        <v>01/04/1991 00:00</v>
      </c>
      <c r="D1923" t="s">
        <v>7</v>
      </c>
      <c r="E1923" s="2" t="s">
        <v>12</v>
      </c>
      <c r="F1923">
        <f t="shared" ref="F1923:F1986" si="30">C1923*1.983</f>
        <v>0</v>
      </c>
      <c r="G1923" t="s">
        <v>16</v>
      </c>
    </row>
    <row r="1924" spans="1:7" x14ac:dyDescent="0.3">
      <c r="A1924" t="s">
        <v>6</v>
      </c>
      <c r="B1924" t="str">
        <f>"01/05/1991 00:00"</f>
        <v>01/05/1991 00:00</v>
      </c>
      <c r="D1924" t="s">
        <v>7</v>
      </c>
      <c r="E1924" s="2" t="s">
        <v>12</v>
      </c>
      <c r="F1924">
        <f t="shared" si="30"/>
        <v>0</v>
      </c>
      <c r="G1924" t="s">
        <v>16</v>
      </c>
    </row>
    <row r="1925" spans="1:7" x14ac:dyDescent="0.3">
      <c r="A1925" t="s">
        <v>6</v>
      </c>
      <c r="B1925" t="str">
        <f>"01/06/1991 00:00"</f>
        <v>01/06/1991 00:00</v>
      </c>
      <c r="D1925" t="s">
        <v>7</v>
      </c>
      <c r="E1925" s="2" t="s">
        <v>12</v>
      </c>
      <c r="F1925">
        <f t="shared" si="30"/>
        <v>0</v>
      </c>
      <c r="G1925" t="s">
        <v>16</v>
      </c>
    </row>
    <row r="1926" spans="1:7" x14ac:dyDescent="0.3">
      <c r="A1926" t="s">
        <v>6</v>
      </c>
      <c r="B1926" t="str">
        <f>"01/07/1991 00:00"</f>
        <v>01/07/1991 00:00</v>
      </c>
      <c r="D1926" t="s">
        <v>7</v>
      </c>
      <c r="E1926" s="2" t="s">
        <v>12</v>
      </c>
      <c r="F1926">
        <f t="shared" si="30"/>
        <v>0</v>
      </c>
      <c r="G1926" t="s">
        <v>16</v>
      </c>
    </row>
    <row r="1927" spans="1:7" x14ac:dyDescent="0.3">
      <c r="A1927" t="s">
        <v>6</v>
      </c>
      <c r="B1927" t="str">
        <f>"01/08/1991 00:00"</f>
        <v>01/08/1991 00:00</v>
      </c>
      <c r="D1927" t="s">
        <v>7</v>
      </c>
      <c r="E1927" s="2" t="s">
        <v>12</v>
      </c>
      <c r="F1927">
        <f t="shared" si="30"/>
        <v>0</v>
      </c>
      <c r="G1927" t="s">
        <v>16</v>
      </c>
    </row>
    <row r="1928" spans="1:7" x14ac:dyDescent="0.3">
      <c r="A1928" t="s">
        <v>6</v>
      </c>
      <c r="B1928" t="str">
        <f>"01/09/1991 00:00"</f>
        <v>01/09/1991 00:00</v>
      </c>
      <c r="D1928" t="s">
        <v>7</v>
      </c>
      <c r="E1928" s="2" t="s">
        <v>12</v>
      </c>
      <c r="F1928">
        <f t="shared" si="30"/>
        <v>0</v>
      </c>
      <c r="G1928" t="s">
        <v>16</v>
      </c>
    </row>
    <row r="1929" spans="1:7" x14ac:dyDescent="0.3">
      <c r="A1929" t="s">
        <v>6</v>
      </c>
      <c r="B1929" t="str">
        <f>"01/10/1991 00:00"</f>
        <v>01/10/1991 00:00</v>
      </c>
      <c r="D1929" t="s">
        <v>7</v>
      </c>
      <c r="E1929" s="2" t="s">
        <v>12</v>
      </c>
      <c r="F1929">
        <f t="shared" si="30"/>
        <v>0</v>
      </c>
      <c r="G1929" t="s">
        <v>16</v>
      </c>
    </row>
    <row r="1930" spans="1:7" x14ac:dyDescent="0.3">
      <c r="A1930" t="s">
        <v>6</v>
      </c>
      <c r="B1930" t="str">
        <f>"01/11/1991 00:00"</f>
        <v>01/11/1991 00:00</v>
      </c>
      <c r="D1930" t="s">
        <v>7</v>
      </c>
      <c r="E1930" s="2" t="s">
        <v>12</v>
      </c>
      <c r="F1930">
        <f t="shared" si="30"/>
        <v>0</v>
      </c>
      <c r="G1930" t="s">
        <v>16</v>
      </c>
    </row>
    <row r="1931" spans="1:7" x14ac:dyDescent="0.3">
      <c r="A1931" t="s">
        <v>6</v>
      </c>
      <c r="B1931" t="str">
        <f>"01/12/1991 00:00"</f>
        <v>01/12/1991 00:00</v>
      </c>
      <c r="D1931" t="s">
        <v>7</v>
      </c>
      <c r="E1931" s="2" t="s">
        <v>12</v>
      </c>
      <c r="F1931">
        <f t="shared" si="30"/>
        <v>0</v>
      </c>
      <c r="G1931" t="s">
        <v>16</v>
      </c>
    </row>
    <row r="1932" spans="1:7" x14ac:dyDescent="0.3">
      <c r="A1932" t="s">
        <v>6</v>
      </c>
      <c r="B1932" t="str">
        <f>"01/13/1991 00:00"</f>
        <v>01/13/1991 00:00</v>
      </c>
      <c r="D1932" t="s">
        <v>7</v>
      </c>
      <c r="E1932" s="2" t="s">
        <v>12</v>
      </c>
      <c r="F1932">
        <f t="shared" si="30"/>
        <v>0</v>
      </c>
      <c r="G1932" t="s">
        <v>16</v>
      </c>
    </row>
    <row r="1933" spans="1:7" x14ac:dyDescent="0.3">
      <c r="A1933" t="s">
        <v>6</v>
      </c>
      <c r="B1933" t="str">
        <f>"01/14/1991 00:00"</f>
        <v>01/14/1991 00:00</v>
      </c>
      <c r="D1933" t="s">
        <v>7</v>
      </c>
      <c r="E1933" s="2" t="s">
        <v>12</v>
      </c>
      <c r="F1933">
        <f t="shared" si="30"/>
        <v>0</v>
      </c>
      <c r="G1933" t="s">
        <v>16</v>
      </c>
    </row>
    <row r="1934" spans="1:7" x14ac:dyDescent="0.3">
      <c r="A1934" t="s">
        <v>6</v>
      </c>
      <c r="B1934" t="str">
        <f>"01/15/1991 00:00"</f>
        <v>01/15/1991 00:00</v>
      </c>
      <c r="D1934" t="s">
        <v>7</v>
      </c>
      <c r="E1934" s="2" t="s">
        <v>12</v>
      </c>
      <c r="F1934">
        <f t="shared" si="30"/>
        <v>0</v>
      </c>
      <c r="G1934" t="s">
        <v>16</v>
      </c>
    </row>
    <row r="1935" spans="1:7" x14ac:dyDescent="0.3">
      <c r="A1935" t="s">
        <v>6</v>
      </c>
      <c r="B1935" t="str">
        <f>"01/16/1991 00:00"</f>
        <v>01/16/1991 00:00</v>
      </c>
      <c r="D1935" t="s">
        <v>7</v>
      </c>
      <c r="E1935" s="2" t="s">
        <v>12</v>
      </c>
      <c r="F1935">
        <f t="shared" si="30"/>
        <v>0</v>
      </c>
      <c r="G1935" t="s">
        <v>16</v>
      </c>
    </row>
    <row r="1936" spans="1:7" x14ac:dyDescent="0.3">
      <c r="A1936" t="s">
        <v>6</v>
      </c>
      <c r="B1936" t="str">
        <f>"01/17/1991 00:00"</f>
        <v>01/17/1991 00:00</v>
      </c>
      <c r="D1936" t="s">
        <v>7</v>
      </c>
      <c r="E1936" s="2" t="s">
        <v>12</v>
      </c>
      <c r="F1936">
        <f t="shared" si="30"/>
        <v>0</v>
      </c>
      <c r="G1936" t="s">
        <v>16</v>
      </c>
    </row>
    <row r="1937" spans="1:10" x14ac:dyDescent="0.3">
      <c r="A1937" t="s">
        <v>6</v>
      </c>
      <c r="B1937" t="str">
        <f>"01/18/1991 00:00"</f>
        <v>01/18/1991 00:00</v>
      </c>
      <c r="D1937" t="s">
        <v>7</v>
      </c>
      <c r="E1937" s="2" t="s">
        <v>12</v>
      </c>
      <c r="F1937">
        <f t="shared" si="30"/>
        <v>0</v>
      </c>
      <c r="G1937" t="s">
        <v>16</v>
      </c>
    </row>
    <row r="1938" spans="1:10" x14ac:dyDescent="0.3">
      <c r="A1938" t="s">
        <v>6</v>
      </c>
      <c r="B1938" t="str">
        <f>"01/19/1991 00:00"</f>
        <v>01/19/1991 00:00</v>
      </c>
      <c r="D1938" t="s">
        <v>7</v>
      </c>
      <c r="E1938" s="2" t="s">
        <v>12</v>
      </c>
      <c r="F1938">
        <f t="shared" si="30"/>
        <v>0</v>
      </c>
      <c r="G1938" t="s">
        <v>16</v>
      </c>
    </row>
    <row r="1939" spans="1:10" x14ac:dyDescent="0.3">
      <c r="A1939" t="s">
        <v>6</v>
      </c>
      <c r="B1939" t="str">
        <f>"01/20/1991 00:00"</f>
        <v>01/20/1991 00:00</v>
      </c>
      <c r="D1939" t="s">
        <v>7</v>
      </c>
      <c r="E1939" s="2" t="s">
        <v>12</v>
      </c>
      <c r="F1939">
        <f t="shared" si="30"/>
        <v>0</v>
      </c>
      <c r="G1939" t="s">
        <v>16</v>
      </c>
    </row>
    <row r="1940" spans="1:10" x14ac:dyDescent="0.3">
      <c r="A1940" t="s">
        <v>6</v>
      </c>
      <c r="B1940" t="str">
        <f>"01/21/1991 00:00"</f>
        <v>01/21/1991 00:00</v>
      </c>
      <c r="D1940" t="s">
        <v>7</v>
      </c>
      <c r="E1940" s="2" t="s">
        <v>12</v>
      </c>
      <c r="F1940">
        <f t="shared" si="30"/>
        <v>0</v>
      </c>
      <c r="G1940" t="s">
        <v>16</v>
      </c>
      <c r="I1940" t="s">
        <v>8</v>
      </c>
      <c r="J1940" t="str">
        <f>"01/21/1991 23:00"</f>
        <v>01/21/1991 23:00</v>
      </c>
    </row>
    <row r="1941" spans="1:10" x14ac:dyDescent="0.3">
      <c r="A1941" t="s">
        <v>6</v>
      </c>
      <c r="B1941" t="str">
        <f>"01/22/1991 00:00"</f>
        <v>01/22/1991 00:00</v>
      </c>
      <c r="D1941" t="s">
        <v>7</v>
      </c>
      <c r="E1941" s="2" t="s">
        <v>12</v>
      </c>
      <c r="F1941">
        <f t="shared" si="30"/>
        <v>0</v>
      </c>
      <c r="G1941" t="s">
        <v>16</v>
      </c>
      <c r="I1941" t="s">
        <v>8</v>
      </c>
      <c r="J1941" t="str">
        <f>"01/22/1991 23:00"</f>
        <v>01/22/1991 23:00</v>
      </c>
    </row>
    <row r="1942" spans="1:10" x14ac:dyDescent="0.3">
      <c r="A1942" t="s">
        <v>6</v>
      </c>
      <c r="B1942" t="str">
        <f>"01/23/1991 00:00"</f>
        <v>01/23/1991 00:00</v>
      </c>
      <c r="D1942" t="s">
        <v>7</v>
      </c>
      <c r="E1942" s="2" t="s">
        <v>12</v>
      </c>
      <c r="F1942">
        <f t="shared" si="30"/>
        <v>0</v>
      </c>
      <c r="G1942" t="s">
        <v>16</v>
      </c>
      <c r="I1942" t="s">
        <v>8</v>
      </c>
      <c r="J1942" t="str">
        <f>"01/23/1991 23:00"</f>
        <v>01/23/1991 23:00</v>
      </c>
    </row>
    <row r="1943" spans="1:10" x14ac:dyDescent="0.3">
      <c r="A1943" t="s">
        <v>6</v>
      </c>
      <c r="B1943" t="str">
        <f>"01/24/1991 00:00"</f>
        <v>01/24/1991 00:00</v>
      </c>
      <c r="D1943" t="s">
        <v>7</v>
      </c>
      <c r="E1943" s="2" t="s">
        <v>12</v>
      </c>
      <c r="F1943">
        <f t="shared" si="30"/>
        <v>0</v>
      </c>
      <c r="G1943" t="s">
        <v>16</v>
      </c>
      <c r="I1943" t="s">
        <v>8</v>
      </c>
      <c r="J1943" t="str">
        <f>"01/24/1991 23:00"</f>
        <v>01/24/1991 23:00</v>
      </c>
    </row>
    <row r="1944" spans="1:10" x14ac:dyDescent="0.3">
      <c r="A1944" t="s">
        <v>6</v>
      </c>
      <c r="B1944" t="str">
        <f>"01/25/1991 00:00"</f>
        <v>01/25/1991 00:00</v>
      </c>
      <c r="D1944" t="s">
        <v>7</v>
      </c>
      <c r="E1944" s="2" t="s">
        <v>12</v>
      </c>
      <c r="F1944">
        <f t="shared" si="30"/>
        <v>0</v>
      </c>
      <c r="G1944" t="s">
        <v>16</v>
      </c>
      <c r="I1944" t="s">
        <v>8</v>
      </c>
      <c r="J1944" t="str">
        <f>"01/25/1991 23:00"</f>
        <v>01/25/1991 23:00</v>
      </c>
    </row>
    <row r="1945" spans="1:10" x14ac:dyDescent="0.3">
      <c r="A1945" t="s">
        <v>6</v>
      </c>
      <c r="B1945" t="str">
        <f>"01/26/1991 00:00"</f>
        <v>01/26/1991 00:00</v>
      </c>
      <c r="D1945" t="s">
        <v>7</v>
      </c>
      <c r="E1945" s="2" t="s">
        <v>12</v>
      </c>
      <c r="F1945">
        <f t="shared" si="30"/>
        <v>0</v>
      </c>
      <c r="G1945" t="s">
        <v>16</v>
      </c>
      <c r="I1945" t="s">
        <v>8</v>
      </c>
      <c r="J1945" t="str">
        <f>"01/26/1991 23:00"</f>
        <v>01/26/1991 23:00</v>
      </c>
    </row>
    <row r="1946" spans="1:10" x14ac:dyDescent="0.3">
      <c r="A1946" t="s">
        <v>6</v>
      </c>
      <c r="B1946" t="str">
        <f>"01/27/1991 00:00"</f>
        <v>01/27/1991 00:00</v>
      </c>
      <c r="D1946" t="s">
        <v>7</v>
      </c>
      <c r="E1946" s="2" t="s">
        <v>12</v>
      </c>
      <c r="F1946">
        <f t="shared" si="30"/>
        <v>0</v>
      </c>
      <c r="G1946" t="s">
        <v>16</v>
      </c>
      <c r="I1946" t="s">
        <v>8</v>
      </c>
      <c r="J1946" t="str">
        <f>"01/27/1991 23:00"</f>
        <v>01/27/1991 23:00</v>
      </c>
    </row>
    <row r="1947" spans="1:10" x14ac:dyDescent="0.3">
      <c r="A1947" t="s">
        <v>6</v>
      </c>
      <c r="B1947" t="str">
        <f>"01/28/1991 00:00"</f>
        <v>01/28/1991 00:00</v>
      </c>
      <c r="D1947" t="s">
        <v>7</v>
      </c>
      <c r="E1947" s="2" t="s">
        <v>12</v>
      </c>
      <c r="F1947">
        <f t="shared" si="30"/>
        <v>0</v>
      </c>
      <c r="G1947" t="s">
        <v>16</v>
      </c>
      <c r="I1947" t="s">
        <v>8</v>
      </c>
      <c r="J1947" t="str">
        <f>"01/28/1991 23:00"</f>
        <v>01/28/1991 23:00</v>
      </c>
    </row>
    <row r="1948" spans="1:10" x14ac:dyDescent="0.3">
      <c r="A1948" t="s">
        <v>6</v>
      </c>
      <c r="B1948" t="str">
        <f>"01/29/1991 00:00"</f>
        <v>01/29/1991 00:00</v>
      </c>
      <c r="D1948" t="s">
        <v>7</v>
      </c>
      <c r="E1948" s="2" t="s">
        <v>12</v>
      </c>
      <c r="F1948">
        <f t="shared" si="30"/>
        <v>0</v>
      </c>
      <c r="G1948" t="s">
        <v>16</v>
      </c>
      <c r="I1948" t="s">
        <v>8</v>
      </c>
      <c r="J1948" t="str">
        <f>"01/29/1991 23:00"</f>
        <v>01/29/1991 23:00</v>
      </c>
    </row>
    <row r="1949" spans="1:10" x14ac:dyDescent="0.3">
      <c r="A1949" t="s">
        <v>6</v>
      </c>
      <c r="B1949" t="str">
        <f>"01/30/1991 00:00"</f>
        <v>01/30/1991 00:00</v>
      </c>
      <c r="C1949">
        <v>110</v>
      </c>
      <c r="D1949" t="s">
        <v>7</v>
      </c>
      <c r="E1949" s="2" t="s">
        <v>12</v>
      </c>
      <c r="F1949">
        <f t="shared" si="30"/>
        <v>218.13000000000002</v>
      </c>
      <c r="G1949" t="s">
        <v>16</v>
      </c>
      <c r="I1949" t="s">
        <v>8</v>
      </c>
      <c r="J1949" t="str">
        <f>"01/30/1991 23:00"</f>
        <v>01/30/1991 23:00</v>
      </c>
    </row>
    <row r="1950" spans="1:10" x14ac:dyDescent="0.3">
      <c r="A1950" t="s">
        <v>6</v>
      </c>
      <c r="B1950" t="str">
        <f>"01/31/1991 00:00"</f>
        <v>01/31/1991 00:00</v>
      </c>
      <c r="C1950">
        <v>110</v>
      </c>
      <c r="D1950" t="s">
        <v>7</v>
      </c>
      <c r="E1950" s="2" t="s">
        <v>12</v>
      </c>
      <c r="F1950">
        <f t="shared" si="30"/>
        <v>218.13000000000002</v>
      </c>
      <c r="G1950" t="s">
        <v>16</v>
      </c>
      <c r="I1950" t="s">
        <v>8</v>
      </c>
      <c r="J1950" t="str">
        <f>"01/31/1991 22:00"</f>
        <v>01/31/1991 22:00</v>
      </c>
    </row>
    <row r="1951" spans="1:10" x14ac:dyDescent="0.3">
      <c r="A1951" t="s">
        <v>6</v>
      </c>
      <c r="B1951" t="str">
        <f>"02/01/1991 00:00"</f>
        <v>02/01/1991 00:00</v>
      </c>
      <c r="C1951">
        <v>110</v>
      </c>
      <c r="D1951" t="s">
        <v>7</v>
      </c>
      <c r="E1951" s="2" t="s">
        <v>12</v>
      </c>
      <c r="F1951">
        <f t="shared" si="30"/>
        <v>218.13000000000002</v>
      </c>
      <c r="G1951" t="s">
        <v>16</v>
      </c>
      <c r="I1951" t="s">
        <v>8</v>
      </c>
      <c r="J1951" t="str">
        <f>"02/01/1991 22:00"</f>
        <v>02/01/1991 22:00</v>
      </c>
    </row>
    <row r="1952" spans="1:10" x14ac:dyDescent="0.3">
      <c r="A1952" t="s">
        <v>6</v>
      </c>
      <c r="B1952" t="str">
        <f>"02/02/1991 00:00"</f>
        <v>02/02/1991 00:00</v>
      </c>
      <c r="C1952">
        <v>109</v>
      </c>
      <c r="D1952" t="s">
        <v>7</v>
      </c>
      <c r="E1952" s="2" t="s">
        <v>12</v>
      </c>
      <c r="F1952">
        <f t="shared" si="30"/>
        <v>216.14700000000002</v>
      </c>
      <c r="G1952" t="s">
        <v>16</v>
      </c>
      <c r="I1952" t="s">
        <v>8</v>
      </c>
      <c r="J1952" t="str">
        <f>"02/02/1991 22:00"</f>
        <v>02/02/1991 22:00</v>
      </c>
    </row>
    <row r="1953" spans="1:10" x14ac:dyDescent="0.3">
      <c r="A1953" t="s">
        <v>6</v>
      </c>
      <c r="B1953" t="str">
        <f>"02/03/1991 00:00"</f>
        <v>02/03/1991 00:00</v>
      </c>
      <c r="C1953">
        <v>108</v>
      </c>
      <c r="D1953" t="s">
        <v>7</v>
      </c>
      <c r="E1953" s="2" t="s">
        <v>12</v>
      </c>
      <c r="F1953">
        <f t="shared" si="30"/>
        <v>214.16400000000002</v>
      </c>
      <c r="G1953" t="s">
        <v>16</v>
      </c>
      <c r="I1953" t="s">
        <v>8</v>
      </c>
      <c r="J1953" t="str">
        <f>"02/03/1991 22:00"</f>
        <v>02/03/1991 22:00</v>
      </c>
    </row>
    <row r="1954" spans="1:10" x14ac:dyDescent="0.3">
      <c r="A1954" t="s">
        <v>6</v>
      </c>
      <c r="B1954" t="str">
        <f>"02/04/1991 00:00"</f>
        <v>02/04/1991 00:00</v>
      </c>
      <c r="C1954">
        <v>108</v>
      </c>
      <c r="D1954" t="s">
        <v>7</v>
      </c>
      <c r="E1954" s="2" t="s">
        <v>12</v>
      </c>
      <c r="F1954">
        <f t="shared" si="30"/>
        <v>214.16400000000002</v>
      </c>
      <c r="G1954" t="s">
        <v>16</v>
      </c>
      <c r="I1954" t="s">
        <v>8</v>
      </c>
      <c r="J1954" t="str">
        <f>"02/04/1991 22:00"</f>
        <v>02/04/1991 22:00</v>
      </c>
    </row>
    <row r="1955" spans="1:10" x14ac:dyDescent="0.3">
      <c r="A1955" t="s">
        <v>6</v>
      </c>
      <c r="B1955" t="str">
        <f>"02/05/1991 00:00"</f>
        <v>02/05/1991 00:00</v>
      </c>
      <c r="C1955">
        <v>108</v>
      </c>
      <c r="D1955" t="s">
        <v>7</v>
      </c>
      <c r="E1955" s="2" t="s">
        <v>12</v>
      </c>
      <c r="F1955">
        <f t="shared" si="30"/>
        <v>214.16400000000002</v>
      </c>
      <c r="G1955" t="s">
        <v>16</v>
      </c>
      <c r="J1955" t="str">
        <f>"02/05/1991 01:00"</f>
        <v>02/05/1991 01:00</v>
      </c>
    </row>
    <row r="1956" spans="1:10" x14ac:dyDescent="0.3">
      <c r="A1956" t="s">
        <v>6</v>
      </c>
      <c r="B1956" t="str">
        <f>"02/06/1991 00:00"</f>
        <v>02/06/1991 00:00</v>
      </c>
      <c r="D1956" t="s">
        <v>7</v>
      </c>
      <c r="E1956" s="2" t="s">
        <v>12</v>
      </c>
      <c r="F1956">
        <f t="shared" si="30"/>
        <v>0</v>
      </c>
      <c r="G1956" t="s">
        <v>16</v>
      </c>
    </row>
    <row r="1957" spans="1:10" x14ac:dyDescent="0.3">
      <c r="A1957" t="s">
        <v>6</v>
      </c>
      <c r="B1957" t="str">
        <f>"02/07/1991 00:00"</f>
        <v>02/07/1991 00:00</v>
      </c>
      <c r="D1957" t="s">
        <v>7</v>
      </c>
      <c r="E1957" s="2" t="s">
        <v>12</v>
      </c>
      <c r="F1957">
        <f t="shared" si="30"/>
        <v>0</v>
      </c>
      <c r="G1957" t="s">
        <v>16</v>
      </c>
    </row>
    <row r="1958" spans="1:10" x14ac:dyDescent="0.3">
      <c r="A1958" t="s">
        <v>6</v>
      </c>
      <c r="B1958" t="str">
        <f>"02/08/1991 00:00"</f>
        <v>02/08/1991 00:00</v>
      </c>
      <c r="D1958" t="s">
        <v>7</v>
      </c>
      <c r="E1958" s="2" t="s">
        <v>12</v>
      </c>
      <c r="F1958">
        <f t="shared" si="30"/>
        <v>0</v>
      </c>
      <c r="G1958" t="s">
        <v>16</v>
      </c>
    </row>
    <row r="1959" spans="1:10" x14ac:dyDescent="0.3">
      <c r="A1959" t="s">
        <v>6</v>
      </c>
      <c r="B1959" t="str">
        <f>"02/09/1991 00:00"</f>
        <v>02/09/1991 00:00</v>
      </c>
      <c r="D1959" t="s">
        <v>7</v>
      </c>
      <c r="E1959" s="2" t="s">
        <v>12</v>
      </c>
      <c r="F1959">
        <f t="shared" si="30"/>
        <v>0</v>
      </c>
      <c r="G1959" t="s">
        <v>16</v>
      </c>
    </row>
    <row r="1960" spans="1:10" x14ac:dyDescent="0.3">
      <c r="A1960" t="s">
        <v>6</v>
      </c>
      <c r="B1960" t="str">
        <f>"02/10/1991 00:00"</f>
        <v>02/10/1991 00:00</v>
      </c>
      <c r="D1960" t="s">
        <v>7</v>
      </c>
      <c r="E1960" s="2" t="s">
        <v>12</v>
      </c>
      <c r="F1960">
        <f t="shared" si="30"/>
        <v>0</v>
      </c>
      <c r="G1960" t="s">
        <v>16</v>
      </c>
    </row>
    <row r="1961" spans="1:10" x14ac:dyDescent="0.3">
      <c r="A1961" t="s">
        <v>6</v>
      </c>
      <c r="B1961" t="str">
        <f>"02/11/1991 00:00"</f>
        <v>02/11/1991 00:00</v>
      </c>
      <c r="D1961" t="s">
        <v>7</v>
      </c>
      <c r="E1961" s="2" t="s">
        <v>12</v>
      </c>
      <c r="F1961">
        <f t="shared" si="30"/>
        <v>0</v>
      </c>
      <c r="G1961" t="s">
        <v>16</v>
      </c>
    </row>
    <row r="1962" spans="1:10" x14ac:dyDescent="0.3">
      <c r="A1962" t="s">
        <v>6</v>
      </c>
      <c r="B1962" t="str">
        <f>"02/12/1991 00:00"</f>
        <v>02/12/1991 00:00</v>
      </c>
      <c r="D1962" t="s">
        <v>7</v>
      </c>
      <c r="E1962" s="2" t="s">
        <v>12</v>
      </c>
      <c r="F1962">
        <f t="shared" si="30"/>
        <v>0</v>
      </c>
      <c r="G1962" t="s">
        <v>16</v>
      </c>
    </row>
    <row r="1963" spans="1:10" x14ac:dyDescent="0.3">
      <c r="A1963" t="s">
        <v>6</v>
      </c>
      <c r="B1963" t="str">
        <f>"02/13/1991 00:00"</f>
        <v>02/13/1991 00:00</v>
      </c>
      <c r="D1963" t="s">
        <v>7</v>
      </c>
      <c r="E1963" s="2" t="s">
        <v>12</v>
      </c>
      <c r="F1963">
        <f t="shared" si="30"/>
        <v>0</v>
      </c>
      <c r="G1963" t="s">
        <v>16</v>
      </c>
    </row>
    <row r="1964" spans="1:10" x14ac:dyDescent="0.3">
      <c r="A1964" t="s">
        <v>6</v>
      </c>
      <c r="B1964" t="str">
        <f>"02/14/1991 00:00"</f>
        <v>02/14/1991 00:00</v>
      </c>
      <c r="D1964" t="s">
        <v>7</v>
      </c>
      <c r="E1964" s="2" t="s">
        <v>12</v>
      </c>
      <c r="F1964">
        <f t="shared" si="30"/>
        <v>0</v>
      </c>
      <c r="G1964" t="s">
        <v>16</v>
      </c>
    </row>
    <row r="1965" spans="1:10" x14ac:dyDescent="0.3">
      <c r="A1965" t="s">
        <v>6</v>
      </c>
      <c r="B1965" t="str">
        <f>"02/15/1991 00:00"</f>
        <v>02/15/1991 00:00</v>
      </c>
      <c r="D1965" t="s">
        <v>7</v>
      </c>
      <c r="E1965" s="2" t="s">
        <v>12</v>
      </c>
      <c r="F1965">
        <f t="shared" si="30"/>
        <v>0</v>
      </c>
      <c r="G1965" t="s">
        <v>16</v>
      </c>
    </row>
    <row r="1966" spans="1:10" x14ac:dyDescent="0.3">
      <c r="A1966" t="s">
        <v>6</v>
      </c>
      <c r="B1966" t="str">
        <f>"02/16/1991 00:00"</f>
        <v>02/16/1991 00:00</v>
      </c>
      <c r="D1966" t="s">
        <v>7</v>
      </c>
      <c r="E1966" s="2" t="s">
        <v>12</v>
      </c>
      <c r="F1966">
        <f t="shared" si="30"/>
        <v>0</v>
      </c>
      <c r="G1966" t="s">
        <v>16</v>
      </c>
    </row>
    <row r="1967" spans="1:10" x14ac:dyDescent="0.3">
      <c r="A1967" t="s">
        <v>6</v>
      </c>
      <c r="B1967" t="str">
        <f>"02/17/1991 00:00"</f>
        <v>02/17/1991 00:00</v>
      </c>
      <c r="D1967" t="s">
        <v>7</v>
      </c>
      <c r="E1967" s="2" t="s">
        <v>12</v>
      </c>
      <c r="F1967">
        <f t="shared" si="30"/>
        <v>0</v>
      </c>
      <c r="G1967" t="s">
        <v>16</v>
      </c>
    </row>
    <row r="1968" spans="1:10" x14ac:dyDescent="0.3">
      <c r="A1968" t="s">
        <v>6</v>
      </c>
      <c r="B1968" t="str">
        <f>"02/18/1991 00:00"</f>
        <v>02/18/1991 00:00</v>
      </c>
      <c r="D1968" t="s">
        <v>7</v>
      </c>
      <c r="E1968" s="2" t="s">
        <v>12</v>
      </c>
      <c r="F1968">
        <f t="shared" si="30"/>
        <v>0</v>
      </c>
      <c r="G1968" t="s">
        <v>16</v>
      </c>
    </row>
    <row r="1969" spans="1:10" x14ac:dyDescent="0.3">
      <c r="A1969" t="s">
        <v>6</v>
      </c>
      <c r="B1969" t="str">
        <f>"02/19/1991 00:00"</f>
        <v>02/19/1991 00:00</v>
      </c>
      <c r="D1969" t="s">
        <v>7</v>
      </c>
      <c r="E1969" s="2" t="s">
        <v>12</v>
      </c>
      <c r="F1969">
        <f t="shared" si="30"/>
        <v>0</v>
      </c>
      <c r="G1969" t="s">
        <v>16</v>
      </c>
    </row>
    <row r="1970" spans="1:10" x14ac:dyDescent="0.3">
      <c r="A1970" t="s">
        <v>6</v>
      </c>
      <c r="B1970" t="str">
        <f>"02/20/1991 00:00"</f>
        <v>02/20/1991 00:00</v>
      </c>
      <c r="D1970" t="s">
        <v>7</v>
      </c>
      <c r="E1970" s="2" t="s">
        <v>12</v>
      </c>
      <c r="F1970">
        <f t="shared" si="30"/>
        <v>0</v>
      </c>
      <c r="G1970" t="s">
        <v>16</v>
      </c>
    </row>
    <row r="1971" spans="1:10" x14ac:dyDescent="0.3">
      <c r="A1971" t="s">
        <v>6</v>
      </c>
      <c r="B1971" t="str">
        <f>"02/21/1991 00:00"</f>
        <v>02/21/1991 00:00</v>
      </c>
      <c r="D1971" t="s">
        <v>7</v>
      </c>
      <c r="E1971" s="2" t="s">
        <v>12</v>
      </c>
      <c r="F1971">
        <f t="shared" si="30"/>
        <v>0</v>
      </c>
      <c r="G1971" t="s">
        <v>16</v>
      </c>
      <c r="I1971" t="s">
        <v>37</v>
      </c>
      <c r="J1971" t="str">
        <f>"02/21/1991 23:00"</f>
        <v>02/21/1991 23:00</v>
      </c>
    </row>
    <row r="1972" spans="1:10" x14ac:dyDescent="0.3">
      <c r="A1972" t="s">
        <v>6</v>
      </c>
      <c r="B1972" t="str">
        <f>"02/22/1991 00:00"</f>
        <v>02/22/1991 00:00</v>
      </c>
      <c r="D1972" t="s">
        <v>7</v>
      </c>
      <c r="E1972" s="2" t="s">
        <v>12</v>
      </c>
      <c r="F1972">
        <f t="shared" si="30"/>
        <v>0</v>
      </c>
      <c r="G1972" t="s">
        <v>16</v>
      </c>
      <c r="I1972" t="s">
        <v>37</v>
      </c>
      <c r="J1972" t="str">
        <f>"02/22/1991 23:00"</f>
        <v>02/22/1991 23:00</v>
      </c>
    </row>
    <row r="1973" spans="1:10" x14ac:dyDescent="0.3">
      <c r="A1973" t="s">
        <v>6</v>
      </c>
      <c r="B1973" t="str">
        <f>"02/23/1991 00:00"</f>
        <v>02/23/1991 00:00</v>
      </c>
      <c r="D1973" t="s">
        <v>7</v>
      </c>
      <c r="E1973" s="2" t="s">
        <v>12</v>
      </c>
      <c r="F1973">
        <f t="shared" si="30"/>
        <v>0</v>
      </c>
      <c r="G1973" t="s">
        <v>16</v>
      </c>
      <c r="I1973" t="s">
        <v>37</v>
      </c>
      <c r="J1973" t="str">
        <f>"02/23/1991 23:00"</f>
        <v>02/23/1991 23:00</v>
      </c>
    </row>
    <row r="1974" spans="1:10" x14ac:dyDescent="0.3">
      <c r="A1974" t="s">
        <v>6</v>
      </c>
      <c r="B1974" t="str">
        <f>"02/24/1991 00:00"</f>
        <v>02/24/1991 00:00</v>
      </c>
      <c r="D1974" t="s">
        <v>7</v>
      </c>
      <c r="E1974" s="2" t="s">
        <v>12</v>
      </c>
      <c r="F1974">
        <f t="shared" si="30"/>
        <v>0</v>
      </c>
      <c r="G1974" t="s">
        <v>16</v>
      </c>
      <c r="I1974" t="s">
        <v>37</v>
      </c>
      <c r="J1974" t="str">
        <f>"02/24/1991 23:00"</f>
        <v>02/24/1991 23:00</v>
      </c>
    </row>
    <row r="1975" spans="1:10" x14ac:dyDescent="0.3">
      <c r="A1975" t="s">
        <v>6</v>
      </c>
      <c r="B1975" t="str">
        <f>"02/25/1991 00:00"</f>
        <v>02/25/1991 00:00</v>
      </c>
      <c r="D1975" t="s">
        <v>7</v>
      </c>
      <c r="E1975" s="2" t="s">
        <v>12</v>
      </c>
      <c r="F1975">
        <f t="shared" si="30"/>
        <v>0</v>
      </c>
      <c r="G1975" t="s">
        <v>16</v>
      </c>
      <c r="I1975" t="s">
        <v>37</v>
      </c>
      <c r="J1975" t="str">
        <f>"02/25/1991 23:00"</f>
        <v>02/25/1991 23:00</v>
      </c>
    </row>
    <row r="1976" spans="1:10" x14ac:dyDescent="0.3">
      <c r="A1976" t="s">
        <v>6</v>
      </c>
      <c r="B1976" t="str">
        <f>"02/26/1991 00:00"</f>
        <v>02/26/1991 00:00</v>
      </c>
      <c r="D1976" t="s">
        <v>7</v>
      </c>
      <c r="E1976" s="2" t="s">
        <v>12</v>
      </c>
      <c r="F1976">
        <f t="shared" si="30"/>
        <v>0</v>
      </c>
      <c r="G1976" t="s">
        <v>16</v>
      </c>
      <c r="I1976" t="s">
        <v>37</v>
      </c>
      <c r="J1976" t="str">
        <f>"02/26/1991 23:00"</f>
        <v>02/26/1991 23:00</v>
      </c>
    </row>
    <row r="1977" spans="1:10" x14ac:dyDescent="0.3">
      <c r="A1977" t="s">
        <v>6</v>
      </c>
      <c r="B1977" t="str">
        <f>"02/27/1991 00:00"</f>
        <v>02/27/1991 00:00</v>
      </c>
      <c r="D1977" t="s">
        <v>7</v>
      </c>
      <c r="E1977" s="2" t="s">
        <v>12</v>
      </c>
      <c r="F1977">
        <f t="shared" si="30"/>
        <v>0</v>
      </c>
      <c r="G1977" t="s">
        <v>16</v>
      </c>
      <c r="I1977" t="s">
        <v>37</v>
      </c>
      <c r="J1977" t="str">
        <f>"02/27/1991 23:00"</f>
        <v>02/27/1991 23:00</v>
      </c>
    </row>
    <row r="1978" spans="1:10" x14ac:dyDescent="0.3">
      <c r="A1978" t="s">
        <v>6</v>
      </c>
      <c r="B1978" t="str">
        <f>"02/28/1991 00:00"</f>
        <v>02/28/1991 00:00</v>
      </c>
      <c r="D1978" t="s">
        <v>7</v>
      </c>
      <c r="E1978" s="2" t="s">
        <v>12</v>
      </c>
      <c r="F1978">
        <f t="shared" si="30"/>
        <v>0</v>
      </c>
      <c r="G1978" t="s">
        <v>16</v>
      </c>
      <c r="I1978" t="s">
        <v>37</v>
      </c>
      <c r="J1978" t="str">
        <f>"02/28/1991 23:00"</f>
        <v>02/28/1991 23:00</v>
      </c>
    </row>
    <row r="1979" spans="1:10" x14ac:dyDescent="0.3">
      <c r="A1979" t="s">
        <v>6</v>
      </c>
      <c r="B1979" t="str">
        <f>"03/01/1991 00:00"</f>
        <v>03/01/1991 00:00</v>
      </c>
      <c r="D1979" t="s">
        <v>7</v>
      </c>
      <c r="E1979" s="2" t="s">
        <v>12</v>
      </c>
      <c r="F1979">
        <f t="shared" si="30"/>
        <v>0</v>
      </c>
      <c r="G1979" t="s">
        <v>16</v>
      </c>
      <c r="I1979" t="s">
        <v>37</v>
      </c>
      <c r="J1979" t="str">
        <f>"03/01/1991 23:00"</f>
        <v>03/01/1991 23:00</v>
      </c>
    </row>
    <row r="1980" spans="1:10" x14ac:dyDescent="0.3">
      <c r="A1980" t="s">
        <v>6</v>
      </c>
      <c r="B1980" t="str">
        <f>"03/02/1991 00:00"</f>
        <v>03/02/1991 00:00</v>
      </c>
      <c r="D1980" t="s">
        <v>7</v>
      </c>
      <c r="E1980" s="2" t="s">
        <v>12</v>
      </c>
      <c r="F1980">
        <f t="shared" si="30"/>
        <v>0</v>
      </c>
      <c r="G1980" t="s">
        <v>16</v>
      </c>
      <c r="I1980" t="s">
        <v>37</v>
      </c>
      <c r="J1980" t="str">
        <f>"03/02/1991 23:00"</f>
        <v>03/02/1991 23:00</v>
      </c>
    </row>
    <row r="1981" spans="1:10" x14ac:dyDescent="0.3">
      <c r="A1981" t="s">
        <v>6</v>
      </c>
      <c r="B1981" t="str">
        <f>"03/03/1991 00:00"</f>
        <v>03/03/1991 00:00</v>
      </c>
      <c r="D1981" t="s">
        <v>7</v>
      </c>
      <c r="E1981" s="2" t="s">
        <v>12</v>
      </c>
      <c r="F1981">
        <f t="shared" si="30"/>
        <v>0</v>
      </c>
      <c r="G1981" t="s">
        <v>16</v>
      </c>
      <c r="I1981" t="s">
        <v>37</v>
      </c>
      <c r="J1981" t="str">
        <f>"03/03/1991 23:00"</f>
        <v>03/03/1991 23:00</v>
      </c>
    </row>
    <row r="1982" spans="1:10" x14ac:dyDescent="0.3">
      <c r="A1982" t="s">
        <v>6</v>
      </c>
      <c r="B1982" t="str">
        <f>"03/04/1991 00:00"</f>
        <v>03/04/1991 00:00</v>
      </c>
      <c r="D1982" t="s">
        <v>7</v>
      </c>
      <c r="E1982" s="2" t="s">
        <v>12</v>
      </c>
      <c r="F1982">
        <f t="shared" si="30"/>
        <v>0</v>
      </c>
      <c r="G1982" t="s">
        <v>16</v>
      </c>
      <c r="I1982" t="s">
        <v>37</v>
      </c>
      <c r="J1982" t="str">
        <f>"03/04/1991 23:00"</f>
        <v>03/04/1991 23:00</v>
      </c>
    </row>
    <row r="1983" spans="1:10" x14ac:dyDescent="0.3">
      <c r="A1983" t="s">
        <v>6</v>
      </c>
      <c r="B1983" t="str">
        <f>"03/05/1991 00:00"</f>
        <v>03/05/1991 00:00</v>
      </c>
      <c r="D1983" t="s">
        <v>7</v>
      </c>
      <c r="E1983" s="2" t="s">
        <v>12</v>
      </c>
      <c r="F1983">
        <f t="shared" si="30"/>
        <v>0</v>
      </c>
      <c r="G1983" t="s">
        <v>16</v>
      </c>
      <c r="I1983" t="s">
        <v>37</v>
      </c>
      <c r="J1983" t="str">
        <f>"03/05/1991 23:00"</f>
        <v>03/05/1991 23:00</v>
      </c>
    </row>
    <row r="1984" spans="1:10" x14ac:dyDescent="0.3">
      <c r="A1984" t="s">
        <v>6</v>
      </c>
      <c r="B1984" t="str">
        <f>"03/06/1991 00:00"</f>
        <v>03/06/1991 00:00</v>
      </c>
      <c r="D1984" t="s">
        <v>7</v>
      </c>
      <c r="E1984" s="2" t="s">
        <v>12</v>
      </c>
      <c r="F1984">
        <f t="shared" si="30"/>
        <v>0</v>
      </c>
      <c r="G1984" t="s">
        <v>16</v>
      </c>
      <c r="I1984" t="s">
        <v>37</v>
      </c>
      <c r="J1984" t="str">
        <f>"03/06/1991 23:00"</f>
        <v>03/06/1991 23:00</v>
      </c>
    </row>
    <row r="1985" spans="1:10" x14ac:dyDescent="0.3">
      <c r="A1985" t="s">
        <v>6</v>
      </c>
      <c r="B1985" t="str">
        <f>"03/07/1991 00:00"</f>
        <v>03/07/1991 00:00</v>
      </c>
      <c r="D1985" t="s">
        <v>7</v>
      </c>
      <c r="E1985" s="2" t="s">
        <v>12</v>
      </c>
      <c r="F1985">
        <f t="shared" si="30"/>
        <v>0</v>
      </c>
      <c r="G1985" t="s">
        <v>16</v>
      </c>
      <c r="I1985" t="s">
        <v>37</v>
      </c>
      <c r="J1985" t="str">
        <f>"03/07/1991 23:00"</f>
        <v>03/07/1991 23:00</v>
      </c>
    </row>
    <row r="1986" spans="1:10" x14ac:dyDescent="0.3">
      <c r="A1986" t="s">
        <v>6</v>
      </c>
      <c r="B1986" t="str">
        <f>"03/08/1991 00:00"</f>
        <v>03/08/1991 00:00</v>
      </c>
      <c r="D1986" t="s">
        <v>7</v>
      </c>
      <c r="E1986" s="2" t="s">
        <v>12</v>
      </c>
      <c r="F1986">
        <f t="shared" si="30"/>
        <v>0</v>
      </c>
      <c r="G1986" t="s">
        <v>16</v>
      </c>
      <c r="I1986" t="s">
        <v>37</v>
      </c>
      <c r="J1986" t="str">
        <f>"03/08/1991 17:00"</f>
        <v>03/08/1991 17:00</v>
      </c>
    </row>
    <row r="1987" spans="1:10" x14ac:dyDescent="0.3">
      <c r="A1987" t="s">
        <v>6</v>
      </c>
      <c r="B1987" t="str">
        <f>"03/09/1991 00:00"</f>
        <v>03/09/1991 00:00</v>
      </c>
      <c r="D1987" t="s">
        <v>7</v>
      </c>
      <c r="E1987" s="2" t="s">
        <v>12</v>
      </c>
      <c r="F1987">
        <f t="shared" ref="F1987:F2050" si="31">C1987*1.983</f>
        <v>0</v>
      </c>
      <c r="G1987" t="s">
        <v>16</v>
      </c>
    </row>
    <row r="1988" spans="1:10" x14ac:dyDescent="0.3">
      <c r="A1988" t="s">
        <v>6</v>
      </c>
      <c r="B1988" t="str">
        <f>"03/10/1991 00:00"</f>
        <v>03/10/1991 00:00</v>
      </c>
      <c r="D1988" t="s">
        <v>7</v>
      </c>
      <c r="E1988" s="2" t="s">
        <v>12</v>
      </c>
      <c r="F1988">
        <f t="shared" si="31"/>
        <v>0</v>
      </c>
      <c r="G1988" t="s">
        <v>16</v>
      </c>
    </row>
    <row r="1989" spans="1:10" x14ac:dyDescent="0.3">
      <c r="A1989" t="s">
        <v>6</v>
      </c>
      <c r="B1989" t="str">
        <f>"03/11/1991 00:00"</f>
        <v>03/11/1991 00:00</v>
      </c>
      <c r="D1989" t="s">
        <v>7</v>
      </c>
      <c r="E1989" s="2" t="s">
        <v>12</v>
      </c>
      <c r="F1989">
        <f t="shared" si="31"/>
        <v>0</v>
      </c>
      <c r="G1989" t="s">
        <v>16</v>
      </c>
    </row>
    <row r="1990" spans="1:10" x14ac:dyDescent="0.3">
      <c r="A1990" t="s">
        <v>6</v>
      </c>
      <c r="B1990" t="str">
        <f>"03/12/1991 00:00"</f>
        <v>03/12/1991 00:00</v>
      </c>
      <c r="D1990" t="s">
        <v>7</v>
      </c>
      <c r="E1990" s="2" t="s">
        <v>12</v>
      </c>
      <c r="F1990">
        <f t="shared" si="31"/>
        <v>0</v>
      </c>
      <c r="G1990" t="s">
        <v>16</v>
      </c>
    </row>
    <row r="1991" spans="1:10" x14ac:dyDescent="0.3">
      <c r="A1991" t="s">
        <v>6</v>
      </c>
      <c r="B1991" t="str">
        <f>"03/13/1991 00:00"</f>
        <v>03/13/1991 00:00</v>
      </c>
      <c r="D1991" t="s">
        <v>7</v>
      </c>
      <c r="E1991" s="2" t="s">
        <v>12</v>
      </c>
      <c r="F1991">
        <f t="shared" si="31"/>
        <v>0</v>
      </c>
      <c r="G1991" t="s">
        <v>16</v>
      </c>
    </row>
    <row r="1992" spans="1:10" x14ac:dyDescent="0.3">
      <c r="A1992" t="s">
        <v>6</v>
      </c>
      <c r="B1992" t="str">
        <f>"03/14/1991 00:00"</f>
        <v>03/14/1991 00:00</v>
      </c>
      <c r="D1992" t="s">
        <v>7</v>
      </c>
      <c r="E1992" s="2" t="s">
        <v>12</v>
      </c>
      <c r="F1992">
        <f t="shared" si="31"/>
        <v>0</v>
      </c>
      <c r="G1992" t="s">
        <v>16</v>
      </c>
    </row>
    <row r="1993" spans="1:10" x14ac:dyDescent="0.3">
      <c r="A1993" t="s">
        <v>6</v>
      </c>
      <c r="B1993" t="str">
        <f>"03/15/1991 00:00"</f>
        <v>03/15/1991 00:00</v>
      </c>
      <c r="D1993" t="s">
        <v>7</v>
      </c>
      <c r="E1993" s="2" t="s">
        <v>12</v>
      </c>
      <c r="F1993">
        <f t="shared" si="31"/>
        <v>0</v>
      </c>
      <c r="G1993" t="s">
        <v>16</v>
      </c>
    </row>
    <row r="1994" spans="1:10" x14ac:dyDescent="0.3">
      <c r="A1994" t="s">
        <v>6</v>
      </c>
      <c r="B1994" t="str">
        <f>"03/16/1991 00:00"</f>
        <v>03/16/1991 00:00</v>
      </c>
      <c r="D1994" t="s">
        <v>7</v>
      </c>
      <c r="E1994" s="2" t="s">
        <v>12</v>
      </c>
      <c r="F1994">
        <f t="shared" si="31"/>
        <v>0</v>
      </c>
      <c r="G1994" t="s">
        <v>16</v>
      </c>
    </row>
    <row r="1995" spans="1:10" x14ac:dyDescent="0.3">
      <c r="A1995" t="s">
        <v>6</v>
      </c>
      <c r="B1995" t="str">
        <f>"03/17/1991 00:00"</f>
        <v>03/17/1991 00:00</v>
      </c>
      <c r="D1995" t="s">
        <v>7</v>
      </c>
      <c r="E1995" s="2" t="s">
        <v>12</v>
      </c>
      <c r="F1995">
        <f t="shared" si="31"/>
        <v>0</v>
      </c>
      <c r="G1995" t="s">
        <v>16</v>
      </c>
    </row>
    <row r="1996" spans="1:10" x14ac:dyDescent="0.3">
      <c r="A1996" t="s">
        <v>6</v>
      </c>
      <c r="B1996" t="str">
        <f>"03/18/1991 00:00"</f>
        <v>03/18/1991 00:00</v>
      </c>
      <c r="D1996" t="s">
        <v>7</v>
      </c>
      <c r="E1996" s="2" t="s">
        <v>12</v>
      </c>
      <c r="F1996">
        <f t="shared" si="31"/>
        <v>0</v>
      </c>
      <c r="G1996" t="s">
        <v>16</v>
      </c>
    </row>
    <row r="1997" spans="1:10" x14ac:dyDescent="0.3">
      <c r="A1997" t="s">
        <v>6</v>
      </c>
      <c r="B1997" t="str">
        <f>"03/19/1991 00:00"</f>
        <v>03/19/1991 00:00</v>
      </c>
      <c r="D1997" t="s">
        <v>7</v>
      </c>
      <c r="E1997" s="2" t="s">
        <v>12</v>
      </c>
      <c r="F1997">
        <f t="shared" si="31"/>
        <v>0</v>
      </c>
      <c r="G1997" t="s">
        <v>16</v>
      </c>
    </row>
    <row r="1998" spans="1:10" x14ac:dyDescent="0.3">
      <c r="A1998" t="s">
        <v>6</v>
      </c>
      <c r="B1998" t="str">
        <f>"03/20/1991 00:00"</f>
        <v>03/20/1991 00:00</v>
      </c>
      <c r="D1998" t="s">
        <v>7</v>
      </c>
      <c r="E1998" s="2" t="s">
        <v>12</v>
      </c>
      <c r="F1998">
        <f t="shared" si="31"/>
        <v>0</v>
      </c>
      <c r="G1998" t="s">
        <v>16</v>
      </c>
    </row>
    <row r="1999" spans="1:10" x14ac:dyDescent="0.3">
      <c r="A1999" t="s">
        <v>6</v>
      </c>
      <c r="B1999" t="str">
        <f>"03/21/1991 00:00"</f>
        <v>03/21/1991 00:00</v>
      </c>
      <c r="D1999" t="s">
        <v>7</v>
      </c>
      <c r="E1999" s="2" t="s">
        <v>12</v>
      </c>
      <c r="F1999">
        <f t="shared" si="31"/>
        <v>0</v>
      </c>
      <c r="G1999" t="s">
        <v>16</v>
      </c>
    </row>
    <row r="2000" spans="1:10" x14ac:dyDescent="0.3">
      <c r="A2000" t="s">
        <v>6</v>
      </c>
      <c r="B2000" t="str">
        <f>"03/22/1991 00:00"</f>
        <v>03/22/1991 00:00</v>
      </c>
      <c r="D2000" t="s">
        <v>7</v>
      </c>
      <c r="E2000" s="2" t="s">
        <v>12</v>
      </c>
      <c r="F2000">
        <f t="shared" si="31"/>
        <v>0</v>
      </c>
      <c r="G2000" t="s">
        <v>16</v>
      </c>
    </row>
    <row r="2001" spans="1:10" x14ac:dyDescent="0.3">
      <c r="A2001" t="s">
        <v>6</v>
      </c>
      <c r="B2001" t="str">
        <f>"03/23/1991 00:00"</f>
        <v>03/23/1991 00:00</v>
      </c>
      <c r="D2001" t="s">
        <v>7</v>
      </c>
      <c r="E2001" s="2" t="s">
        <v>12</v>
      </c>
      <c r="F2001">
        <f t="shared" si="31"/>
        <v>0</v>
      </c>
      <c r="G2001" t="s">
        <v>16</v>
      </c>
    </row>
    <row r="2002" spans="1:10" x14ac:dyDescent="0.3">
      <c r="A2002" t="s">
        <v>6</v>
      </c>
      <c r="B2002" t="str">
        <f>"03/24/1991 00:00"</f>
        <v>03/24/1991 00:00</v>
      </c>
      <c r="D2002" t="s">
        <v>7</v>
      </c>
      <c r="E2002" s="2" t="s">
        <v>12</v>
      </c>
      <c r="F2002">
        <f t="shared" si="31"/>
        <v>0</v>
      </c>
      <c r="G2002" t="s">
        <v>16</v>
      </c>
    </row>
    <row r="2003" spans="1:10" x14ac:dyDescent="0.3">
      <c r="A2003" t="s">
        <v>6</v>
      </c>
      <c r="B2003" t="str">
        <f>"03/25/1991 00:00"</f>
        <v>03/25/1991 00:00</v>
      </c>
      <c r="D2003" t="s">
        <v>7</v>
      </c>
      <c r="E2003" s="2" t="s">
        <v>12</v>
      </c>
      <c r="F2003">
        <f t="shared" si="31"/>
        <v>0</v>
      </c>
      <c r="G2003" t="s">
        <v>16</v>
      </c>
    </row>
    <row r="2004" spans="1:10" x14ac:dyDescent="0.3">
      <c r="A2004" t="s">
        <v>6</v>
      </c>
      <c r="B2004" t="str">
        <f>"03/26/1991 00:00"</f>
        <v>03/26/1991 00:00</v>
      </c>
      <c r="D2004" t="s">
        <v>7</v>
      </c>
      <c r="E2004" s="2" t="s">
        <v>12</v>
      </c>
      <c r="F2004">
        <f t="shared" si="31"/>
        <v>0</v>
      </c>
      <c r="G2004" t="s">
        <v>16</v>
      </c>
    </row>
    <row r="2005" spans="1:10" x14ac:dyDescent="0.3">
      <c r="A2005" t="s">
        <v>6</v>
      </c>
      <c r="B2005" t="str">
        <f>"03/27/1991 00:00"</f>
        <v>03/27/1991 00:00</v>
      </c>
      <c r="D2005" t="s">
        <v>7</v>
      </c>
      <c r="E2005" s="2" t="s">
        <v>12</v>
      </c>
      <c r="F2005">
        <f t="shared" si="31"/>
        <v>0</v>
      </c>
      <c r="G2005" t="s">
        <v>16</v>
      </c>
    </row>
    <row r="2006" spans="1:10" x14ac:dyDescent="0.3">
      <c r="A2006" t="s">
        <v>6</v>
      </c>
      <c r="B2006" t="str">
        <f>"03/28/1991 00:00"</f>
        <v>03/28/1991 00:00</v>
      </c>
      <c r="D2006" t="s">
        <v>7</v>
      </c>
      <c r="E2006" s="2" t="s">
        <v>12</v>
      </c>
      <c r="F2006">
        <f t="shared" si="31"/>
        <v>0</v>
      </c>
      <c r="G2006" t="s">
        <v>16</v>
      </c>
    </row>
    <row r="2007" spans="1:10" x14ac:dyDescent="0.3">
      <c r="A2007" t="s">
        <v>6</v>
      </c>
      <c r="B2007" t="str">
        <f>"03/29/1991 00:00"</f>
        <v>03/29/1991 00:00</v>
      </c>
      <c r="D2007" t="s">
        <v>7</v>
      </c>
      <c r="E2007" s="2" t="s">
        <v>12</v>
      </c>
      <c r="F2007">
        <f t="shared" si="31"/>
        <v>0</v>
      </c>
      <c r="G2007" t="s">
        <v>16</v>
      </c>
    </row>
    <row r="2008" spans="1:10" x14ac:dyDescent="0.3">
      <c r="A2008" t="s">
        <v>6</v>
      </c>
      <c r="B2008" t="str">
        <f>"03/30/1991 00:00"</f>
        <v>03/30/1991 00:00</v>
      </c>
      <c r="D2008" t="s">
        <v>7</v>
      </c>
      <c r="E2008" s="2" t="s">
        <v>12</v>
      </c>
      <c r="F2008">
        <f t="shared" si="31"/>
        <v>0</v>
      </c>
      <c r="G2008" t="s">
        <v>16</v>
      </c>
    </row>
    <row r="2009" spans="1:10" x14ac:dyDescent="0.3">
      <c r="A2009" t="s">
        <v>6</v>
      </c>
      <c r="B2009" t="str">
        <f>"03/31/1991 00:00"</f>
        <v>03/31/1991 00:00</v>
      </c>
      <c r="D2009" t="s">
        <v>7</v>
      </c>
      <c r="E2009" s="2" t="s">
        <v>12</v>
      </c>
      <c r="F2009">
        <f t="shared" si="31"/>
        <v>0</v>
      </c>
      <c r="G2009" t="s">
        <v>16</v>
      </c>
    </row>
    <row r="2010" spans="1:10" x14ac:dyDescent="0.3">
      <c r="A2010" t="s">
        <v>6</v>
      </c>
      <c r="B2010" t="str">
        <f>"04/01/1991 00:00"</f>
        <v>04/01/1991 00:00</v>
      </c>
      <c r="D2010" t="s">
        <v>7</v>
      </c>
      <c r="E2010" s="2" t="s">
        <v>12</v>
      </c>
      <c r="F2010">
        <f t="shared" si="31"/>
        <v>0</v>
      </c>
      <c r="G2010" t="s">
        <v>16</v>
      </c>
    </row>
    <row r="2011" spans="1:10" x14ac:dyDescent="0.3">
      <c r="A2011" t="s">
        <v>6</v>
      </c>
      <c r="B2011" t="str">
        <f>"04/02/1991 00:00"</f>
        <v>04/02/1991 00:00</v>
      </c>
      <c r="D2011" t="s">
        <v>7</v>
      </c>
      <c r="E2011" s="2" t="s">
        <v>12</v>
      </c>
      <c r="F2011">
        <f t="shared" si="31"/>
        <v>0</v>
      </c>
      <c r="G2011" t="s">
        <v>16</v>
      </c>
    </row>
    <row r="2012" spans="1:10" x14ac:dyDescent="0.3">
      <c r="A2012" t="s">
        <v>6</v>
      </c>
      <c r="B2012" t="str">
        <f>"04/03/1991 00:00"</f>
        <v>04/03/1991 00:00</v>
      </c>
      <c r="D2012" t="s">
        <v>7</v>
      </c>
      <c r="E2012" s="2" t="s">
        <v>12</v>
      </c>
      <c r="F2012">
        <f t="shared" si="31"/>
        <v>0</v>
      </c>
      <c r="G2012" t="s">
        <v>16</v>
      </c>
    </row>
    <row r="2013" spans="1:10" x14ac:dyDescent="0.3">
      <c r="A2013" t="s">
        <v>6</v>
      </c>
      <c r="B2013" t="str">
        <f>"04/04/1991 00:00"</f>
        <v>04/04/1991 00:00</v>
      </c>
      <c r="D2013" t="s">
        <v>7</v>
      </c>
      <c r="E2013" s="2" t="s">
        <v>12</v>
      </c>
      <c r="F2013">
        <f t="shared" si="31"/>
        <v>0</v>
      </c>
      <c r="G2013" t="s">
        <v>16</v>
      </c>
      <c r="I2013" t="s">
        <v>37</v>
      </c>
      <c r="J2013" t="str">
        <f>"04/04/1991 23:00"</f>
        <v>04/04/1991 23:00</v>
      </c>
    </row>
    <row r="2014" spans="1:10" x14ac:dyDescent="0.3">
      <c r="A2014" t="s">
        <v>6</v>
      </c>
      <c r="B2014" t="str">
        <f>"04/05/1991 00:00"</f>
        <v>04/05/1991 00:00</v>
      </c>
      <c r="D2014" t="s">
        <v>7</v>
      </c>
      <c r="E2014" s="2" t="s">
        <v>12</v>
      </c>
      <c r="F2014">
        <f t="shared" si="31"/>
        <v>0</v>
      </c>
      <c r="G2014" t="s">
        <v>16</v>
      </c>
      <c r="I2014" t="s">
        <v>37</v>
      </c>
      <c r="J2014" t="str">
        <f>"04/05/1991 23:00"</f>
        <v>04/05/1991 23:00</v>
      </c>
    </row>
    <row r="2015" spans="1:10" x14ac:dyDescent="0.3">
      <c r="A2015" t="s">
        <v>6</v>
      </c>
      <c r="B2015" t="str">
        <f>"04/06/1991 00:00"</f>
        <v>04/06/1991 00:00</v>
      </c>
      <c r="D2015" t="s">
        <v>7</v>
      </c>
      <c r="E2015" s="2" t="s">
        <v>12</v>
      </c>
      <c r="F2015">
        <f t="shared" si="31"/>
        <v>0</v>
      </c>
      <c r="G2015" t="s">
        <v>16</v>
      </c>
      <c r="I2015" t="s">
        <v>37</v>
      </c>
      <c r="J2015" t="str">
        <f>"04/06/1991 23:00"</f>
        <v>04/06/1991 23:00</v>
      </c>
    </row>
    <row r="2016" spans="1:10" x14ac:dyDescent="0.3">
      <c r="A2016" t="s">
        <v>6</v>
      </c>
      <c r="B2016" t="str">
        <f>"04/07/1991 00:00"</f>
        <v>04/07/1991 00:00</v>
      </c>
      <c r="D2016" t="s">
        <v>7</v>
      </c>
      <c r="E2016" s="2" t="s">
        <v>12</v>
      </c>
      <c r="F2016">
        <f t="shared" si="31"/>
        <v>0</v>
      </c>
      <c r="G2016" t="s">
        <v>16</v>
      </c>
      <c r="I2016" t="s">
        <v>37</v>
      </c>
      <c r="J2016" t="str">
        <f>"04/07/1991 23:00"</f>
        <v>04/07/1991 23:00</v>
      </c>
    </row>
    <row r="2017" spans="1:10" x14ac:dyDescent="0.3">
      <c r="A2017" t="s">
        <v>6</v>
      </c>
      <c r="B2017" t="str">
        <f>"04/08/1991 00:00"</f>
        <v>04/08/1991 00:00</v>
      </c>
      <c r="D2017" t="s">
        <v>7</v>
      </c>
      <c r="E2017" s="2" t="s">
        <v>12</v>
      </c>
      <c r="F2017">
        <f t="shared" si="31"/>
        <v>0</v>
      </c>
      <c r="G2017" t="s">
        <v>16</v>
      </c>
      <c r="I2017" t="s">
        <v>37</v>
      </c>
      <c r="J2017" t="str">
        <f>"04/08/1991 23:00"</f>
        <v>04/08/1991 23:00</v>
      </c>
    </row>
    <row r="2018" spans="1:10" x14ac:dyDescent="0.3">
      <c r="A2018" t="s">
        <v>6</v>
      </c>
      <c r="B2018" t="str">
        <f>"04/09/1991 00:00"</f>
        <v>04/09/1991 00:00</v>
      </c>
      <c r="D2018" t="s">
        <v>7</v>
      </c>
      <c r="E2018" s="2" t="s">
        <v>12</v>
      </c>
      <c r="F2018">
        <f t="shared" si="31"/>
        <v>0</v>
      </c>
      <c r="G2018" t="s">
        <v>16</v>
      </c>
      <c r="I2018" t="s">
        <v>8</v>
      </c>
      <c r="J2018" t="str">
        <f>"04/09/1991 23:00"</f>
        <v>04/09/1991 23:00</v>
      </c>
    </row>
    <row r="2019" spans="1:10" x14ac:dyDescent="0.3">
      <c r="A2019" t="s">
        <v>6</v>
      </c>
      <c r="B2019" t="str">
        <f>"04/10/1991 00:00"</f>
        <v>04/10/1991 00:00</v>
      </c>
      <c r="D2019" t="s">
        <v>7</v>
      </c>
      <c r="E2019" s="2" t="s">
        <v>12</v>
      </c>
      <c r="F2019">
        <f t="shared" si="31"/>
        <v>0</v>
      </c>
      <c r="G2019" t="s">
        <v>16</v>
      </c>
      <c r="I2019" t="s">
        <v>37</v>
      </c>
      <c r="J2019" t="str">
        <f>"04/10/1991 23:00"</f>
        <v>04/10/1991 23:00</v>
      </c>
    </row>
    <row r="2020" spans="1:10" x14ac:dyDescent="0.3">
      <c r="A2020" t="s">
        <v>6</v>
      </c>
      <c r="B2020" t="str">
        <f>"04/11/1991 00:00"</f>
        <v>04/11/1991 00:00</v>
      </c>
      <c r="D2020" t="s">
        <v>7</v>
      </c>
      <c r="E2020" s="2" t="s">
        <v>12</v>
      </c>
      <c r="F2020">
        <f t="shared" si="31"/>
        <v>0</v>
      </c>
      <c r="G2020" t="s">
        <v>16</v>
      </c>
      <c r="I2020" t="s">
        <v>37</v>
      </c>
      <c r="J2020" t="str">
        <f>"04/11/1991 23:00"</f>
        <v>04/11/1991 23:00</v>
      </c>
    </row>
    <row r="2021" spans="1:10" x14ac:dyDescent="0.3">
      <c r="A2021" t="s">
        <v>6</v>
      </c>
      <c r="B2021" t="str">
        <f>"04/12/1991 00:00"</f>
        <v>04/12/1991 00:00</v>
      </c>
      <c r="D2021" t="s">
        <v>7</v>
      </c>
      <c r="E2021" s="2" t="s">
        <v>12</v>
      </c>
      <c r="F2021">
        <f t="shared" si="31"/>
        <v>0</v>
      </c>
      <c r="G2021" t="s">
        <v>16</v>
      </c>
      <c r="I2021" t="s">
        <v>8</v>
      </c>
      <c r="J2021" t="str">
        <f>"04/12/1991 23:00"</f>
        <v>04/12/1991 23:00</v>
      </c>
    </row>
    <row r="2022" spans="1:10" x14ac:dyDescent="0.3">
      <c r="A2022" t="s">
        <v>6</v>
      </c>
      <c r="B2022" t="str">
        <f>"04/13/1991 00:00"</f>
        <v>04/13/1991 00:00</v>
      </c>
      <c r="D2022" t="s">
        <v>7</v>
      </c>
      <c r="E2022" s="2" t="s">
        <v>12</v>
      </c>
      <c r="F2022">
        <f t="shared" si="31"/>
        <v>0</v>
      </c>
      <c r="G2022" t="s">
        <v>16</v>
      </c>
      <c r="I2022" t="s">
        <v>37</v>
      </c>
      <c r="J2022" t="str">
        <f>"04/13/1991 23:00"</f>
        <v>04/13/1991 23:00</v>
      </c>
    </row>
    <row r="2023" spans="1:10" x14ac:dyDescent="0.3">
      <c r="A2023" t="s">
        <v>6</v>
      </c>
      <c r="B2023" t="str">
        <f>"04/14/1991 00:00"</f>
        <v>04/14/1991 00:00</v>
      </c>
      <c r="D2023" t="s">
        <v>7</v>
      </c>
      <c r="E2023" s="2" t="s">
        <v>12</v>
      </c>
      <c r="F2023">
        <f t="shared" si="31"/>
        <v>0</v>
      </c>
      <c r="G2023" t="s">
        <v>16</v>
      </c>
      <c r="I2023" t="s">
        <v>37</v>
      </c>
      <c r="J2023" t="str">
        <f>"04/14/1991 23:00"</f>
        <v>04/14/1991 23:00</v>
      </c>
    </row>
    <row r="2024" spans="1:10" x14ac:dyDescent="0.3">
      <c r="A2024" t="s">
        <v>6</v>
      </c>
      <c r="B2024" t="str">
        <f>"04/15/1991 00:00"</f>
        <v>04/15/1991 00:00</v>
      </c>
      <c r="D2024" t="s">
        <v>7</v>
      </c>
      <c r="E2024" s="2" t="s">
        <v>12</v>
      </c>
      <c r="F2024">
        <f t="shared" si="31"/>
        <v>0</v>
      </c>
      <c r="G2024" t="s">
        <v>16</v>
      </c>
      <c r="I2024" t="s">
        <v>37</v>
      </c>
      <c r="J2024" t="str">
        <f>"04/15/1991 23:00"</f>
        <v>04/15/1991 23:00</v>
      </c>
    </row>
    <row r="2025" spans="1:10" x14ac:dyDescent="0.3">
      <c r="A2025" t="s">
        <v>6</v>
      </c>
      <c r="B2025" t="str">
        <f>"04/16/1991 00:00"</f>
        <v>04/16/1991 00:00</v>
      </c>
      <c r="D2025" t="s">
        <v>7</v>
      </c>
      <c r="E2025" s="2" t="s">
        <v>12</v>
      </c>
      <c r="F2025">
        <f t="shared" si="31"/>
        <v>0</v>
      </c>
      <c r="G2025" t="s">
        <v>16</v>
      </c>
      <c r="I2025" t="s">
        <v>37</v>
      </c>
      <c r="J2025" t="str">
        <f>"04/16/1991 23:00"</f>
        <v>04/16/1991 23:00</v>
      </c>
    </row>
    <row r="2026" spans="1:10" x14ac:dyDescent="0.3">
      <c r="A2026" t="s">
        <v>6</v>
      </c>
      <c r="B2026" t="str">
        <f>"04/17/1991 00:00"</f>
        <v>04/17/1991 00:00</v>
      </c>
      <c r="D2026" t="s">
        <v>7</v>
      </c>
      <c r="E2026" s="2" t="s">
        <v>12</v>
      </c>
      <c r="F2026">
        <f t="shared" si="31"/>
        <v>0</v>
      </c>
      <c r="G2026" t="s">
        <v>16</v>
      </c>
      <c r="I2026" t="s">
        <v>37</v>
      </c>
      <c r="J2026" t="str">
        <f>"04/17/1991 23:00"</f>
        <v>04/17/1991 23:00</v>
      </c>
    </row>
    <row r="2027" spans="1:10" x14ac:dyDescent="0.3">
      <c r="A2027" t="s">
        <v>6</v>
      </c>
      <c r="B2027" t="str">
        <f>"04/18/1991 00:00"</f>
        <v>04/18/1991 00:00</v>
      </c>
      <c r="D2027" t="s">
        <v>7</v>
      </c>
      <c r="E2027" s="2" t="s">
        <v>12</v>
      </c>
      <c r="F2027">
        <f t="shared" si="31"/>
        <v>0</v>
      </c>
      <c r="G2027" t="s">
        <v>16</v>
      </c>
      <c r="I2027" t="s">
        <v>37</v>
      </c>
      <c r="J2027" t="str">
        <f>"04/18/1991 23:00"</f>
        <v>04/18/1991 23:00</v>
      </c>
    </row>
    <row r="2028" spans="1:10" x14ac:dyDescent="0.3">
      <c r="A2028" t="s">
        <v>6</v>
      </c>
      <c r="B2028" t="str">
        <f>"04/19/1991 00:00"</f>
        <v>04/19/1991 00:00</v>
      </c>
      <c r="D2028" t="s">
        <v>7</v>
      </c>
      <c r="E2028" s="2" t="s">
        <v>12</v>
      </c>
      <c r="F2028">
        <f t="shared" si="31"/>
        <v>0</v>
      </c>
      <c r="G2028" t="s">
        <v>16</v>
      </c>
      <c r="I2028" t="s">
        <v>37</v>
      </c>
      <c r="J2028" t="str">
        <f>"04/19/1991 23:00"</f>
        <v>04/19/1991 23:00</v>
      </c>
    </row>
    <row r="2029" spans="1:10" x14ac:dyDescent="0.3">
      <c r="A2029" t="s">
        <v>6</v>
      </c>
      <c r="B2029" t="str">
        <f>"04/20/1991 00:00"</f>
        <v>04/20/1991 00:00</v>
      </c>
      <c r="D2029" t="s">
        <v>7</v>
      </c>
      <c r="E2029" s="2" t="s">
        <v>12</v>
      </c>
      <c r="F2029">
        <f t="shared" si="31"/>
        <v>0</v>
      </c>
      <c r="G2029" t="s">
        <v>16</v>
      </c>
      <c r="I2029" t="s">
        <v>37</v>
      </c>
      <c r="J2029" t="str">
        <f>"04/20/1991 23:00"</f>
        <v>04/20/1991 23:00</v>
      </c>
    </row>
    <row r="2030" spans="1:10" x14ac:dyDescent="0.3">
      <c r="A2030" t="s">
        <v>6</v>
      </c>
      <c r="B2030" t="str">
        <f>"04/21/1991 00:00"</f>
        <v>04/21/1991 00:00</v>
      </c>
      <c r="D2030" t="s">
        <v>7</v>
      </c>
      <c r="E2030" s="2" t="s">
        <v>12</v>
      </c>
      <c r="F2030">
        <f t="shared" si="31"/>
        <v>0</v>
      </c>
      <c r="G2030" t="s">
        <v>16</v>
      </c>
      <c r="I2030" t="s">
        <v>37</v>
      </c>
      <c r="J2030" t="str">
        <f>"04/21/1991 23:00"</f>
        <v>04/21/1991 23:00</v>
      </c>
    </row>
    <row r="2031" spans="1:10" x14ac:dyDescent="0.3">
      <c r="A2031" t="s">
        <v>6</v>
      </c>
      <c r="B2031" t="str">
        <f>"04/22/1991 00:00"</f>
        <v>04/22/1991 00:00</v>
      </c>
      <c r="C2031">
        <v>82.4</v>
      </c>
      <c r="D2031" t="s">
        <v>7</v>
      </c>
      <c r="E2031" s="2" t="s">
        <v>12</v>
      </c>
      <c r="F2031">
        <f t="shared" si="31"/>
        <v>163.39920000000001</v>
      </c>
      <c r="G2031" t="s">
        <v>16</v>
      </c>
      <c r="I2031" t="s">
        <v>8</v>
      </c>
      <c r="J2031" t="str">
        <f>"04/22/1991 23:00"</f>
        <v>04/22/1991 23:00</v>
      </c>
    </row>
    <row r="2032" spans="1:10" x14ac:dyDescent="0.3">
      <c r="A2032" t="s">
        <v>6</v>
      </c>
      <c r="B2032" t="str">
        <f>"04/23/1991 00:00"</f>
        <v>04/23/1991 00:00</v>
      </c>
      <c r="C2032">
        <v>71.2</v>
      </c>
      <c r="D2032" t="s">
        <v>7</v>
      </c>
      <c r="E2032" s="2" t="s">
        <v>12</v>
      </c>
      <c r="F2032">
        <f t="shared" si="31"/>
        <v>141.18960000000001</v>
      </c>
      <c r="G2032" t="s">
        <v>16</v>
      </c>
      <c r="J2032" t="str">
        <f>"04/23/1991 12:00"</f>
        <v>04/23/1991 12:00</v>
      </c>
    </row>
    <row r="2033" spans="1:10" x14ac:dyDescent="0.3">
      <c r="A2033" t="s">
        <v>6</v>
      </c>
      <c r="B2033" t="str">
        <f>"04/24/1991 00:00"</f>
        <v>04/24/1991 00:00</v>
      </c>
      <c r="D2033" t="s">
        <v>7</v>
      </c>
      <c r="E2033" s="2" t="s">
        <v>12</v>
      </c>
      <c r="F2033">
        <f t="shared" si="31"/>
        <v>0</v>
      </c>
      <c r="G2033" t="s">
        <v>16</v>
      </c>
    </row>
    <row r="2034" spans="1:10" x14ac:dyDescent="0.3">
      <c r="A2034" t="s">
        <v>6</v>
      </c>
      <c r="B2034" t="str">
        <f>"04/25/1991 00:00"</f>
        <v>04/25/1991 00:00</v>
      </c>
      <c r="D2034" t="s">
        <v>7</v>
      </c>
      <c r="E2034" s="2" t="s">
        <v>12</v>
      </c>
      <c r="F2034">
        <f t="shared" si="31"/>
        <v>0</v>
      </c>
      <c r="G2034" t="s">
        <v>16</v>
      </c>
      <c r="I2034" t="s">
        <v>36</v>
      </c>
      <c r="J2034" t="str">
        <f>"04/25/1991 00:00"</f>
        <v>04/25/1991 00:00</v>
      </c>
    </row>
    <row r="2035" spans="1:10" x14ac:dyDescent="0.3">
      <c r="A2035" t="s">
        <v>6</v>
      </c>
      <c r="B2035" t="str">
        <f>"04/26/1991 00:00"</f>
        <v>04/26/1991 00:00</v>
      </c>
      <c r="D2035" t="s">
        <v>7</v>
      </c>
      <c r="E2035" s="2" t="s">
        <v>12</v>
      </c>
      <c r="F2035">
        <f t="shared" si="31"/>
        <v>0</v>
      </c>
      <c r="G2035" t="s">
        <v>16</v>
      </c>
    </row>
    <row r="2036" spans="1:10" x14ac:dyDescent="0.3">
      <c r="A2036" t="s">
        <v>6</v>
      </c>
      <c r="B2036" t="str">
        <f>"04/27/1991 00:00"</f>
        <v>04/27/1991 00:00</v>
      </c>
      <c r="D2036" t="s">
        <v>7</v>
      </c>
      <c r="E2036" s="2" t="s">
        <v>12</v>
      </c>
      <c r="F2036">
        <f t="shared" si="31"/>
        <v>0</v>
      </c>
      <c r="G2036" t="s">
        <v>16</v>
      </c>
    </row>
    <row r="2037" spans="1:10" x14ac:dyDescent="0.3">
      <c r="A2037" t="s">
        <v>6</v>
      </c>
      <c r="B2037" t="str">
        <f>"04/28/1991 00:00"</f>
        <v>04/28/1991 00:00</v>
      </c>
      <c r="D2037" t="s">
        <v>7</v>
      </c>
      <c r="E2037" s="2" t="s">
        <v>12</v>
      </c>
      <c r="F2037">
        <f t="shared" si="31"/>
        <v>0</v>
      </c>
      <c r="G2037" t="s">
        <v>16</v>
      </c>
    </row>
    <row r="2038" spans="1:10" x14ac:dyDescent="0.3">
      <c r="A2038" t="s">
        <v>6</v>
      </c>
      <c r="B2038" t="str">
        <f>"04/29/1991 00:00"</f>
        <v>04/29/1991 00:00</v>
      </c>
      <c r="D2038" t="s">
        <v>7</v>
      </c>
      <c r="E2038" s="2" t="s">
        <v>12</v>
      </c>
      <c r="F2038">
        <f t="shared" si="31"/>
        <v>0</v>
      </c>
      <c r="G2038" t="s">
        <v>16</v>
      </c>
    </row>
    <row r="2039" spans="1:10" x14ac:dyDescent="0.3">
      <c r="A2039" t="s">
        <v>6</v>
      </c>
      <c r="B2039" t="str">
        <f>"04/30/1991 00:00"</f>
        <v>04/30/1991 00:00</v>
      </c>
      <c r="D2039" t="s">
        <v>7</v>
      </c>
      <c r="E2039" s="2" t="s">
        <v>12</v>
      </c>
      <c r="F2039">
        <f t="shared" si="31"/>
        <v>0</v>
      </c>
      <c r="G2039" t="s">
        <v>16</v>
      </c>
    </row>
    <row r="2040" spans="1:10" x14ac:dyDescent="0.3">
      <c r="A2040" t="s">
        <v>6</v>
      </c>
      <c r="B2040" t="str">
        <f>"05/01/1991 00:00"</f>
        <v>05/01/1991 00:00</v>
      </c>
      <c r="D2040" t="s">
        <v>7</v>
      </c>
      <c r="E2040" s="2" t="s">
        <v>12</v>
      </c>
      <c r="F2040">
        <f t="shared" si="31"/>
        <v>0</v>
      </c>
      <c r="G2040" t="s">
        <v>16</v>
      </c>
    </row>
    <row r="2041" spans="1:10" x14ac:dyDescent="0.3">
      <c r="A2041" t="s">
        <v>6</v>
      </c>
      <c r="B2041" t="str">
        <f>"05/02/1991 00:00"</f>
        <v>05/02/1991 00:00</v>
      </c>
      <c r="D2041" t="s">
        <v>7</v>
      </c>
      <c r="E2041" s="2" t="s">
        <v>12</v>
      </c>
      <c r="F2041">
        <f t="shared" si="31"/>
        <v>0</v>
      </c>
      <c r="G2041" t="s">
        <v>16</v>
      </c>
    </row>
    <row r="2042" spans="1:10" x14ac:dyDescent="0.3">
      <c r="A2042" t="s">
        <v>6</v>
      </c>
      <c r="B2042" t="str">
        <f>"05/03/1991 00:00"</f>
        <v>05/03/1991 00:00</v>
      </c>
      <c r="D2042" t="s">
        <v>7</v>
      </c>
      <c r="E2042" s="2" t="s">
        <v>12</v>
      </c>
      <c r="F2042">
        <f t="shared" si="31"/>
        <v>0</v>
      </c>
      <c r="G2042" t="s">
        <v>16</v>
      </c>
    </row>
    <row r="2043" spans="1:10" x14ac:dyDescent="0.3">
      <c r="A2043" t="s">
        <v>6</v>
      </c>
      <c r="B2043" t="str">
        <f>"05/04/1991 00:00"</f>
        <v>05/04/1991 00:00</v>
      </c>
      <c r="D2043" t="s">
        <v>7</v>
      </c>
      <c r="E2043" s="2" t="s">
        <v>12</v>
      </c>
      <c r="F2043">
        <f t="shared" si="31"/>
        <v>0</v>
      </c>
      <c r="G2043" t="s">
        <v>16</v>
      </c>
    </row>
    <row r="2044" spans="1:10" x14ac:dyDescent="0.3">
      <c r="A2044" t="s">
        <v>6</v>
      </c>
      <c r="B2044" t="str">
        <f>"05/05/1991 00:00"</f>
        <v>05/05/1991 00:00</v>
      </c>
      <c r="D2044" t="s">
        <v>7</v>
      </c>
      <c r="E2044" s="2" t="s">
        <v>12</v>
      </c>
      <c r="F2044">
        <f t="shared" si="31"/>
        <v>0</v>
      </c>
      <c r="G2044" t="s">
        <v>16</v>
      </c>
    </row>
    <row r="2045" spans="1:10" x14ac:dyDescent="0.3">
      <c r="A2045" t="s">
        <v>6</v>
      </c>
      <c r="B2045" t="str">
        <f>"05/06/1991 00:00"</f>
        <v>05/06/1991 00:00</v>
      </c>
      <c r="D2045" t="s">
        <v>7</v>
      </c>
      <c r="E2045" s="2" t="s">
        <v>12</v>
      </c>
      <c r="F2045">
        <f t="shared" si="31"/>
        <v>0</v>
      </c>
      <c r="G2045" t="s">
        <v>16</v>
      </c>
    </row>
    <row r="2046" spans="1:10" x14ac:dyDescent="0.3">
      <c r="A2046" t="s">
        <v>6</v>
      </c>
      <c r="B2046" t="str">
        <f>"05/07/1991 00:00"</f>
        <v>05/07/1991 00:00</v>
      </c>
      <c r="D2046" t="s">
        <v>7</v>
      </c>
      <c r="E2046" s="2" t="s">
        <v>12</v>
      </c>
      <c r="F2046">
        <f t="shared" si="31"/>
        <v>0</v>
      </c>
      <c r="G2046" t="s">
        <v>16</v>
      </c>
    </row>
    <row r="2047" spans="1:10" x14ac:dyDescent="0.3">
      <c r="A2047" t="s">
        <v>6</v>
      </c>
      <c r="B2047" t="str">
        <f>"05/08/1991 00:00"</f>
        <v>05/08/1991 00:00</v>
      </c>
      <c r="D2047" t="s">
        <v>7</v>
      </c>
      <c r="E2047" s="2" t="s">
        <v>12</v>
      </c>
      <c r="F2047">
        <f t="shared" si="31"/>
        <v>0</v>
      </c>
      <c r="G2047" t="s">
        <v>16</v>
      </c>
    </row>
    <row r="2048" spans="1:10" x14ac:dyDescent="0.3">
      <c r="A2048" t="s">
        <v>6</v>
      </c>
      <c r="B2048" t="str">
        <f>"05/09/1991 00:00"</f>
        <v>05/09/1991 00:00</v>
      </c>
      <c r="D2048" t="s">
        <v>7</v>
      </c>
      <c r="E2048" s="2" t="s">
        <v>12</v>
      </c>
      <c r="F2048">
        <f t="shared" si="31"/>
        <v>0</v>
      </c>
      <c r="G2048" t="s">
        <v>16</v>
      </c>
    </row>
    <row r="2049" spans="1:10" x14ac:dyDescent="0.3">
      <c r="A2049" t="s">
        <v>6</v>
      </c>
      <c r="B2049" t="str">
        <f>"05/10/1991 00:00"</f>
        <v>05/10/1991 00:00</v>
      </c>
      <c r="D2049" t="s">
        <v>7</v>
      </c>
      <c r="E2049" s="2" t="s">
        <v>12</v>
      </c>
      <c r="F2049">
        <f t="shared" si="31"/>
        <v>0</v>
      </c>
      <c r="G2049" t="s">
        <v>16</v>
      </c>
    </row>
    <row r="2050" spans="1:10" x14ac:dyDescent="0.3">
      <c r="A2050" t="s">
        <v>6</v>
      </c>
      <c r="B2050" t="str">
        <f>"05/11/1991 00:00"</f>
        <v>05/11/1991 00:00</v>
      </c>
      <c r="D2050" t="s">
        <v>7</v>
      </c>
      <c r="E2050" s="2" t="s">
        <v>12</v>
      </c>
      <c r="F2050">
        <f t="shared" si="31"/>
        <v>0</v>
      </c>
      <c r="G2050" t="s">
        <v>16</v>
      </c>
    </row>
    <row r="2051" spans="1:10" x14ac:dyDescent="0.3">
      <c r="A2051" t="s">
        <v>6</v>
      </c>
      <c r="B2051" t="str">
        <f>"05/12/1991 00:00"</f>
        <v>05/12/1991 00:00</v>
      </c>
      <c r="D2051" t="s">
        <v>7</v>
      </c>
      <c r="E2051" s="2" t="s">
        <v>12</v>
      </c>
      <c r="F2051">
        <f t="shared" ref="F2051:F2114" si="32">C2051*1.983</f>
        <v>0</v>
      </c>
      <c r="G2051" t="s">
        <v>16</v>
      </c>
    </row>
    <row r="2052" spans="1:10" x14ac:dyDescent="0.3">
      <c r="A2052" t="s">
        <v>6</v>
      </c>
      <c r="B2052" t="str">
        <f>"05/13/1991 00:00"</f>
        <v>05/13/1991 00:00</v>
      </c>
      <c r="D2052" t="s">
        <v>7</v>
      </c>
      <c r="E2052" s="2" t="s">
        <v>12</v>
      </c>
      <c r="F2052">
        <f t="shared" si="32"/>
        <v>0</v>
      </c>
      <c r="G2052" t="s">
        <v>16</v>
      </c>
    </row>
    <row r="2053" spans="1:10" x14ac:dyDescent="0.3">
      <c r="A2053" t="s">
        <v>6</v>
      </c>
      <c r="B2053" t="str">
        <f>"05/14/1991 00:00"</f>
        <v>05/14/1991 00:00</v>
      </c>
      <c r="D2053" t="s">
        <v>7</v>
      </c>
      <c r="E2053" s="2" t="s">
        <v>12</v>
      </c>
      <c r="F2053">
        <f t="shared" si="32"/>
        <v>0</v>
      </c>
      <c r="G2053" t="s">
        <v>16</v>
      </c>
    </row>
    <row r="2054" spans="1:10" x14ac:dyDescent="0.3">
      <c r="A2054" t="s">
        <v>6</v>
      </c>
      <c r="B2054" t="str">
        <f>"05/15/1991 00:00"</f>
        <v>05/15/1991 00:00</v>
      </c>
      <c r="D2054" t="s">
        <v>7</v>
      </c>
      <c r="E2054" s="2" t="s">
        <v>12</v>
      </c>
      <c r="F2054">
        <f t="shared" si="32"/>
        <v>0</v>
      </c>
      <c r="G2054" t="s">
        <v>16</v>
      </c>
      <c r="I2054" t="s">
        <v>36</v>
      </c>
      <c r="J2054" t="str">
        <f>"05/15/1991 23:00"</f>
        <v>05/15/1991 23:00</v>
      </c>
    </row>
    <row r="2055" spans="1:10" x14ac:dyDescent="0.3">
      <c r="A2055" t="s">
        <v>6</v>
      </c>
      <c r="B2055" t="str">
        <f>"05/16/1991 00:00"</f>
        <v>05/16/1991 00:00</v>
      </c>
      <c r="D2055" t="s">
        <v>7</v>
      </c>
      <c r="E2055" s="2" t="s">
        <v>12</v>
      </c>
      <c r="F2055">
        <f t="shared" si="32"/>
        <v>0</v>
      </c>
      <c r="G2055" t="s">
        <v>16</v>
      </c>
      <c r="I2055" t="s">
        <v>36</v>
      </c>
      <c r="J2055" t="str">
        <f>"05/16/1991 02:00"</f>
        <v>05/16/1991 02:00</v>
      </c>
    </row>
    <row r="2056" spans="1:10" x14ac:dyDescent="0.3">
      <c r="A2056" t="s">
        <v>6</v>
      </c>
      <c r="B2056" t="str">
        <f>"05/17/1991 00:00"</f>
        <v>05/17/1991 00:00</v>
      </c>
      <c r="D2056" t="s">
        <v>7</v>
      </c>
      <c r="E2056" s="2" t="s">
        <v>12</v>
      </c>
      <c r="F2056">
        <f t="shared" si="32"/>
        <v>0</v>
      </c>
      <c r="G2056" t="s">
        <v>16</v>
      </c>
    </row>
    <row r="2057" spans="1:10" x14ac:dyDescent="0.3">
      <c r="A2057" t="s">
        <v>6</v>
      </c>
      <c r="B2057" t="str">
        <f>"05/18/1991 00:00"</f>
        <v>05/18/1991 00:00</v>
      </c>
      <c r="D2057" t="s">
        <v>7</v>
      </c>
      <c r="E2057" s="2" t="s">
        <v>12</v>
      </c>
      <c r="F2057">
        <f t="shared" si="32"/>
        <v>0</v>
      </c>
      <c r="G2057" t="s">
        <v>16</v>
      </c>
    </row>
    <row r="2058" spans="1:10" x14ac:dyDescent="0.3">
      <c r="A2058" t="s">
        <v>6</v>
      </c>
      <c r="B2058" t="str">
        <f>"05/19/1991 00:00"</f>
        <v>05/19/1991 00:00</v>
      </c>
      <c r="D2058" t="s">
        <v>7</v>
      </c>
      <c r="E2058" s="2" t="s">
        <v>12</v>
      </c>
      <c r="F2058">
        <f t="shared" si="32"/>
        <v>0</v>
      </c>
      <c r="G2058" t="s">
        <v>16</v>
      </c>
    </row>
    <row r="2059" spans="1:10" x14ac:dyDescent="0.3">
      <c r="A2059" t="s">
        <v>6</v>
      </c>
      <c r="B2059" t="str">
        <f>"05/20/1991 00:00"</f>
        <v>05/20/1991 00:00</v>
      </c>
      <c r="D2059" t="s">
        <v>7</v>
      </c>
      <c r="E2059" s="2" t="s">
        <v>12</v>
      </c>
      <c r="F2059">
        <f t="shared" si="32"/>
        <v>0</v>
      </c>
      <c r="G2059" t="s">
        <v>16</v>
      </c>
    </row>
    <row r="2060" spans="1:10" x14ac:dyDescent="0.3">
      <c r="A2060" t="s">
        <v>6</v>
      </c>
      <c r="B2060" t="str">
        <f>"05/21/1991 00:00"</f>
        <v>05/21/1991 00:00</v>
      </c>
      <c r="D2060" t="s">
        <v>7</v>
      </c>
      <c r="E2060" s="2" t="s">
        <v>12</v>
      </c>
      <c r="F2060">
        <f t="shared" si="32"/>
        <v>0</v>
      </c>
      <c r="G2060" t="s">
        <v>16</v>
      </c>
    </row>
    <row r="2061" spans="1:10" x14ac:dyDescent="0.3">
      <c r="A2061" t="s">
        <v>6</v>
      </c>
      <c r="B2061" t="str">
        <f>"05/22/1991 00:00"</f>
        <v>05/22/1991 00:00</v>
      </c>
      <c r="D2061" t="s">
        <v>7</v>
      </c>
      <c r="E2061" s="2" t="s">
        <v>12</v>
      </c>
      <c r="F2061">
        <f t="shared" si="32"/>
        <v>0</v>
      </c>
      <c r="G2061" t="s">
        <v>16</v>
      </c>
    </row>
    <row r="2062" spans="1:10" x14ac:dyDescent="0.3">
      <c r="A2062" t="s">
        <v>6</v>
      </c>
      <c r="B2062" t="str">
        <f>"05/23/1991 00:00"</f>
        <v>05/23/1991 00:00</v>
      </c>
      <c r="D2062" t="s">
        <v>7</v>
      </c>
      <c r="E2062" s="2" t="s">
        <v>12</v>
      </c>
      <c r="F2062">
        <f t="shared" si="32"/>
        <v>0</v>
      </c>
      <c r="G2062" t="s">
        <v>16</v>
      </c>
    </row>
    <row r="2063" spans="1:10" x14ac:dyDescent="0.3">
      <c r="A2063" t="s">
        <v>6</v>
      </c>
      <c r="B2063" t="str">
        <f>"05/24/1991 00:00"</f>
        <v>05/24/1991 00:00</v>
      </c>
      <c r="D2063" t="s">
        <v>7</v>
      </c>
      <c r="E2063" s="2" t="s">
        <v>12</v>
      </c>
      <c r="F2063">
        <f t="shared" si="32"/>
        <v>0</v>
      </c>
      <c r="G2063" t="s">
        <v>16</v>
      </c>
    </row>
    <row r="2064" spans="1:10" x14ac:dyDescent="0.3">
      <c r="A2064" t="s">
        <v>6</v>
      </c>
      <c r="B2064" t="str">
        <f>"05/25/1991 00:00"</f>
        <v>05/25/1991 00:00</v>
      </c>
      <c r="D2064" t="s">
        <v>7</v>
      </c>
      <c r="E2064" s="2" t="s">
        <v>12</v>
      </c>
      <c r="F2064">
        <f t="shared" si="32"/>
        <v>0</v>
      </c>
      <c r="G2064" t="s">
        <v>16</v>
      </c>
    </row>
    <row r="2065" spans="1:10" x14ac:dyDescent="0.3">
      <c r="A2065" t="s">
        <v>6</v>
      </c>
      <c r="B2065" t="str">
        <f>"05/26/1991 00:00"</f>
        <v>05/26/1991 00:00</v>
      </c>
      <c r="C2065">
        <v>44.1</v>
      </c>
      <c r="D2065" t="s">
        <v>7</v>
      </c>
      <c r="E2065" s="2" t="s">
        <v>12</v>
      </c>
      <c r="F2065">
        <f t="shared" si="32"/>
        <v>87.450300000000013</v>
      </c>
      <c r="G2065" t="s">
        <v>16</v>
      </c>
      <c r="J2065" t="str">
        <f>"05/26/1991 23:00"</f>
        <v>05/26/1991 23:00</v>
      </c>
    </row>
    <row r="2066" spans="1:10" x14ac:dyDescent="0.3">
      <c r="A2066" t="s">
        <v>6</v>
      </c>
      <c r="B2066" t="str">
        <f>"05/27/1991 00:00"</f>
        <v>05/27/1991 00:00</v>
      </c>
      <c r="C2066">
        <v>49.5</v>
      </c>
      <c r="D2066" t="s">
        <v>7</v>
      </c>
      <c r="E2066" s="2" t="s">
        <v>12</v>
      </c>
      <c r="F2066">
        <f t="shared" si="32"/>
        <v>98.158500000000004</v>
      </c>
      <c r="G2066" t="s">
        <v>16</v>
      </c>
      <c r="J2066" t="str">
        <f>"05/27/1991 23:00"</f>
        <v>05/27/1991 23:00</v>
      </c>
    </row>
    <row r="2067" spans="1:10" x14ac:dyDescent="0.3">
      <c r="A2067" t="s">
        <v>6</v>
      </c>
      <c r="B2067" t="str">
        <f>"05/28/1991 00:00"</f>
        <v>05/28/1991 00:00</v>
      </c>
      <c r="C2067">
        <v>49.6</v>
      </c>
      <c r="D2067" t="s">
        <v>7</v>
      </c>
      <c r="E2067" s="2" t="s">
        <v>12</v>
      </c>
      <c r="F2067">
        <f t="shared" si="32"/>
        <v>98.356800000000007</v>
      </c>
      <c r="G2067" t="s">
        <v>16</v>
      </c>
      <c r="J2067" t="str">
        <f>"05/28/1991 23:00"</f>
        <v>05/28/1991 23:00</v>
      </c>
    </row>
    <row r="2068" spans="1:10" x14ac:dyDescent="0.3">
      <c r="A2068" t="s">
        <v>6</v>
      </c>
      <c r="B2068" t="str">
        <f>"05/29/1991 00:00"</f>
        <v>05/29/1991 00:00</v>
      </c>
      <c r="C2068">
        <v>84.3</v>
      </c>
      <c r="D2068" t="s">
        <v>7</v>
      </c>
      <c r="E2068" s="2" t="s">
        <v>12</v>
      </c>
      <c r="F2068">
        <f t="shared" si="32"/>
        <v>167.1669</v>
      </c>
      <c r="G2068" t="s">
        <v>16</v>
      </c>
      <c r="J2068" t="str">
        <f>"05/29/1991 23:00"</f>
        <v>05/29/1991 23:00</v>
      </c>
    </row>
    <row r="2069" spans="1:10" x14ac:dyDescent="0.3">
      <c r="A2069" t="s">
        <v>6</v>
      </c>
      <c r="B2069" t="str">
        <f>"05/30/1991 00:00"</f>
        <v>05/30/1991 00:00</v>
      </c>
      <c r="C2069">
        <v>149</v>
      </c>
      <c r="D2069" t="s">
        <v>7</v>
      </c>
      <c r="E2069" s="2" t="s">
        <v>12</v>
      </c>
      <c r="F2069">
        <f t="shared" si="32"/>
        <v>295.46700000000004</v>
      </c>
      <c r="G2069" t="s">
        <v>16</v>
      </c>
      <c r="J2069" t="str">
        <f>"05/30/1991 23:00"</f>
        <v>05/30/1991 23:00</v>
      </c>
    </row>
    <row r="2070" spans="1:10" x14ac:dyDescent="0.3">
      <c r="A2070" t="s">
        <v>6</v>
      </c>
      <c r="B2070" t="str">
        <f>"05/31/1991 00:00"</f>
        <v>05/31/1991 00:00</v>
      </c>
      <c r="C2070">
        <v>150</v>
      </c>
      <c r="D2070" t="s">
        <v>7</v>
      </c>
      <c r="E2070" s="2" t="s">
        <v>12</v>
      </c>
      <c r="F2070">
        <f t="shared" si="32"/>
        <v>297.45</v>
      </c>
      <c r="G2070" t="s">
        <v>16</v>
      </c>
      <c r="J2070" t="str">
        <f>"05/31/1991 23:00"</f>
        <v>05/31/1991 23:00</v>
      </c>
    </row>
    <row r="2071" spans="1:10" x14ac:dyDescent="0.3">
      <c r="A2071" t="s">
        <v>6</v>
      </c>
      <c r="B2071" t="str">
        <f>"06/01/1991 00:00"</f>
        <v>06/01/1991 00:00</v>
      </c>
      <c r="C2071">
        <v>189</v>
      </c>
      <c r="D2071" t="s">
        <v>7</v>
      </c>
      <c r="E2071" s="2" t="s">
        <v>12</v>
      </c>
      <c r="F2071">
        <f t="shared" si="32"/>
        <v>374.78700000000003</v>
      </c>
      <c r="G2071" t="s">
        <v>16</v>
      </c>
      <c r="J2071" t="str">
        <f>"06/01/1991 23:00"</f>
        <v>06/01/1991 23:00</v>
      </c>
    </row>
    <row r="2072" spans="1:10" x14ac:dyDescent="0.3">
      <c r="A2072" t="s">
        <v>6</v>
      </c>
      <c r="B2072" t="str">
        <f>"06/02/1991 00:00"</f>
        <v>06/02/1991 00:00</v>
      </c>
      <c r="C2072">
        <v>215</v>
      </c>
      <c r="D2072" t="s">
        <v>7</v>
      </c>
      <c r="E2072" s="2" t="s">
        <v>12</v>
      </c>
      <c r="F2072">
        <f t="shared" si="32"/>
        <v>426.34500000000003</v>
      </c>
      <c r="G2072" t="s">
        <v>16</v>
      </c>
      <c r="J2072" t="str">
        <f>"06/02/1991 23:00"</f>
        <v>06/02/1991 23:00</v>
      </c>
    </row>
    <row r="2073" spans="1:10" x14ac:dyDescent="0.3">
      <c r="A2073" t="s">
        <v>6</v>
      </c>
      <c r="B2073" t="str">
        <f>"06/03/1991 00:00"</f>
        <v>06/03/1991 00:00</v>
      </c>
      <c r="C2073">
        <v>214</v>
      </c>
      <c r="D2073" t="s">
        <v>7</v>
      </c>
      <c r="E2073" s="2" t="s">
        <v>12</v>
      </c>
      <c r="F2073">
        <f t="shared" si="32"/>
        <v>424.36200000000002</v>
      </c>
      <c r="G2073" t="s">
        <v>16</v>
      </c>
      <c r="J2073" t="str">
        <f>"06/03/1991 23:00"</f>
        <v>06/03/1991 23:00</v>
      </c>
    </row>
    <row r="2074" spans="1:10" x14ac:dyDescent="0.3">
      <c r="A2074" t="s">
        <v>6</v>
      </c>
      <c r="B2074" t="str">
        <f>"06/04/1991 00:00"</f>
        <v>06/04/1991 00:00</v>
      </c>
      <c r="C2074">
        <v>214</v>
      </c>
      <c r="D2074" t="s">
        <v>7</v>
      </c>
      <c r="E2074" s="2" t="s">
        <v>12</v>
      </c>
      <c r="F2074">
        <f t="shared" si="32"/>
        <v>424.36200000000002</v>
      </c>
      <c r="G2074" t="s">
        <v>16</v>
      </c>
      <c r="J2074" t="str">
        <f>"06/04/1991 23:00"</f>
        <v>06/04/1991 23:00</v>
      </c>
    </row>
    <row r="2075" spans="1:10" x14ac:dyDescent="0.3">
      <c r="A2075" t="s">
        <v>6</v>
      </c>
      <c r="B2075" t="str">
        <f>"06/05/1991 00:00"</f>
        <v>06/05/1991 00:00</v>
      </c>
      <c r="C2075">
        <v>217</v>
      </c>
      <c r="D2075" t="s">
        <v>7</v>
      </c>
      <c r="E2075" s="2" t="s">
        <v>12</v>
      </c>
      <c r="F2075">
        <f t="shared" si="32"/>
        <v>430.31100000000004</v>
      </c>
      <c r="G2075" t="s">
        <v>16</v>
      </c>
      <c r="J2075" t="str">
        <f>"06/05/1991 23:00"</f>
        <v>06/05/1991 23:00</v>
      </c>
    </row>
    <row r="2076" spans="1:10" x14ac:dyDescent="0.3">
      <c r="A2076" t="s">
        <v>6</v>
      </c>
      <c r="B2076" t="str">
        <f>"06/06/1991 00:00"</f>
        <v>06/06/1991 00:00</v>
      </c>
      <c r="C2076">
        <v>216</v>
      </c>
      <c r="D2076" t="s">
        <v>7</v>
      </c>
      <c r="E2076" s="2" t="s">
        <v>12</v>
      </c>
      <c r="F2076">
        <f t="shared" si="32"/>
        <v>428.32800000000003</v>
      </c>
      <c r="G2076" t="s">
        <v>16</v>
      </c>
      <c r="J2076" t="str">
        <f>"06/06/1991 23:00"</f>
        <v>06/06/1991 23:00</v>
      </c>
    </row>
    <row r="2077" spans="1:10" x14ac:dyDescent="0.3">
      <c r="A2077" t="s">
        <v>6</v>
      </c>
      <c r="B2077" t="str">
        <f>"06/07/1991 00:00"</f>
        <v>06/07/1991 00:00</v>
      </c>
      <c r="C2077">
        <v>172</v>
      </c>
      <c r="D2077" t="s">
        <v>7</v>
      </c>
      <c r="E2077" s="2" t="s">
        <v>12</v>
      </c>
      <c r="F2077">
        <f t="shared" si="32"/>
        <v>341.07600000000002</v>
      </c>
      <c r="G2077" t="s">
        <v>16</v>
      </c>
      <c r="J2077" t="str">
        <f>"06/07/1991 14:00"</f>
        <v>06/07/1991 14:00</v>
      </c>
    </row>
    <row r="2078" spans="1:10" x14ac:dyDescent="0.3">
      <c r="A2078" t="s">
        <v>6</v>
      </c>
      <c r="B2078" t="str">
        <f>"06/08/1991 00:00"</f>
        <v>06/08/1991 00:00</v>
      </c>
      <c r="D2078" t="s">
        <v>7</v>
      </c>
      <c r="E2078" s="2" t="s">
        <v>12</v>
      </c>
      <c r="F2078">
        <f t="shared" si="32"/>
        <v>0</v>
      </c>
      <c r="G2078" t="s">
        <v>16</v>
      </c>
    </row>
    <row r="2079" spans="1:10" x14ac:dyDescent="0.3">
      <c r="A2079" t="s">
        <v>6</v>
      </c>
      <c r="B2079" t="str">
        <f>"06/09/1991 00:00"</f>
        <v>06/09/1991 00:00</v>
      </c>
      <c r="D2079" t="s">
        <v>7</v>
      </c>
      <c r="E2079" s="2" t="s">
        <v>12</v>
      </c>
      <c r="F2079">
        <f t="shared" si="32"/>
        <v>0</v>
      </c>
      <c r="G2079" t="s">
        <v>16</v>
      </c>
    </row>
    <row r="2080" spans="1:10" x14ac:dyDescent="0.3">
      <c r="A2080" t="s">
        <v>6</v>
      </c>
      <c r="B2080" t="str">
        <f>"06/10/1991 00:00"</f>
        <v>06/10/1991 00:00</v>
      </c>
      <c r="C2080">
        <v>0.15</v>
      </c>
      <c r="D2080" t="s">
        <v>7</v>
      </c>
      <c r="E2080" s="2" t="s">
        <v>12</v>
      </c>
      <c r="F2080">
        <f t="shared" si="32"/>
        <v>0.29744999999999999</v>
      </c>
      <c r="G2080" t="s">
        <v>16</v>
      </c>
      <c r="J2080" t="str">
        <f>"06/10/1991 23:00"</f>
        <v>06/10/1991 23:00</v>
      </c>
    </row>
    <row r="2081" spans="1:10" x14ac:dyDescent="0.3">
      <c r="A2081" t="s">
        <v>6</v>
      </c>
      <c r="B2081" t="str">
        <f>"06/11/1991 00:00"</f>
        <v>06/11/1991 00:00</v>
      </c>
      <c r="C2081">
        <v>0.17199999999999999</v>
      </c>
      <c r="D2081" t="s">
        <v>7</v>
      </c>
      <c r="E2081" s="2" t="s">
        <v>12</v>
      </c>
      <c r="F2081">
        <f t="shared" si="32"/>
        <v>0.34107599999999999</v>
      </c>
      <c r="G2081" t="s">
        <v>16</v>
      </c>
      <c r="I2081" t="s">
        <v>8</v>
      </c>
      <c r="J2081" t="str">
        <f>"06/11/1991 23:00"</f>
        <v>06/11/1991 23:00</v>
      </c>
    </row>
    <row r="2082" spans="1:10" x14ac:dyDescent="0.3">
      <c r="A2082" t="s">
        <v>6</v>
      </c>
      <c r="B2082" t="str">
        <f>"06/12/1991 00:00"</f>
        <v>06/12/1991 00:00</v>
      </c>
      <c r="C2082">
        <v>0.28000000000000003</v>
      </c>
      <c r="D2082" t="s">
        <v>7</v>
      </c>
      <c r="E2082" s="2" t="s">
        <v>12</v>
      </c>
      <c r="F2082">
        <f t="shared" si="32"/>
        <v>0.55524000000000007</v>
      </c>
      <c r="G2082" t="s">
        <v>16</v>
      </c>
      <c r="J2082" t="str">
        <f>"06/12/1991 23:00"</f>
        <v>06/12/1991 23:00</v>
      </c>
    </row>
    <row r="2083" spans="1:10" x14ac:dyDescent="0.3">
      <c r="A2083" t="s">
        <v>6</v>
      </c>
      <c r="B2083" t="str">
        <f>"06/13/1991 00:00"</f>
        <v>06/13/1991 00:00</v>
      </c>
      <c r="C2083">
        <v>0.215</v>
      </c>
      <c r="D2083" t="s">
        <v>7</v>
      </c>
      <c r="E2083" s="2" t="s">
        <v>12</v>
      </c>
      <c r="F2083">
        <f t="shared" si="32"/>
        <v>0.42634500000000003</v>
      </c>
      <c r="G2083" t="s">
        <v>16</v>
      </c>
      <c r="J2083" t="str">
        <f>"06/13/1991 23:00"</f>
        <v>06/13/1991 23:00</v>
      </c>
    </row>
    <row r="2084" spans="1:10" x14ac:dyDescent="0.3">
      <c r="A2084" t="s">
        <v>6</v>
      </c>
      <c r="B2084" t="str">
        <f>"06/14/1991 00:00"</f>
        <v>06/14/1991 00:00</v>
      </c>
      <c r="C2084">
        <v>0.15</v>
      </c>
      <c r="D2084" t="s">
        <v>7</v>
      </c>
      <c r="E2084" s="2" t="s">
        <v>12</v>
      </c>
      <c r="F2084">
        <f t="shared" si="32"/>
        <v>0.29744999999999999</v>
      </c>
      <c r="G2084" t="s">
        <v>16</v>
      </c>
      <c r="J2084" t="str">
        <f>"06/14/1991 23:00"</f>
        <v>06/14/1991 23:00</v>
      </c>
    </row>
    <row r="2085" spans="1:10" x14ac:dyDescent="0.3">
      <c r="A2085" t="s">
        <v>6</v>
      </c>
      <c r="B2085" t="str">
        <f>"06/15/1991 00:00"</f>
        <v>06/15/1991 00:00</v>
      </c>
      <c r="C2085">
        <v>0.155</v>
      </c>
      <c r="D2085" t="s">
        <v>7</v>
      </c>
      <c r="E2085" s="2" t="s">
        <v>12</v>
      </c>
      <c r="F2085">
        <f t="shared" si="32"/>
        <v>0.307365</v>
      </c>
      <c r="G2085" t="s">
        <v>16</v>
      </c>
      <c r="I2085" t="s">
        <v>8</v>
      </c>
      <c r="J2085" t="str">
        <f>"06/15/1991 23:00"</f>
        <v>06/15/1991 23:00</v>
      </c>
    </row>
    <row r="2086" spans="1:10" x14ac:dyDescent="0.3">
      <c r="A2086" t="s">
        <v>6</v>
      </c>
      <c r="B2086" t="str">
        <f>"06/16/1991 00:00"</f>
        <v>06/16/1991 00:00</v>
      </c>
      <c r="C2086">
        <v>0.28000000000000003</v>
      </c>
      <c r="D2086" t="s">
        <v>7</v>
      </c>
      <c r="E2086" s="2" t="s">
        <v>12</v>
      </c>
      <c r="F2086">
        <f t="shared" si="32"/>
        <v>0.55524000000000007</v>
      </c>
      <c r="G2086" t="s">
        <v>16</v>
      </c>
      <c r="J2086" t="str">
        <f>"06/16/1991 23:00"</f>
        <v>06/16/1991 23:00</v>
      </c>
    </row>
    <row r="2087" spans="1:10" x14ac:dyDescent="0.3">
      <c r="A2087" t="s">
        <v>6</v>
      </c>
      <c r="B2087" t="str">
        <f>"06/17/1991 00:00"</f>
        <v>06/17/1991 00:00</v>
      </c>
      <c r="C2087">
        <v>0.28000000000000003</v>
      </c>
      <c r="D2087" t="s">
        <v>7</v>
      </c>
      <c r="E2087" s="2" t="s">
        <v>12</v>
      </c>
      <c r="F2087">
        <f t="shared" si="32"/>
        <v>0.55524000000000007</v>
      </c>
      <c r="G2087" t="s">
        <v>16</v>
      </c>
      <c r="I2087" t="s">
        <v>8</v>
      </c>
      <c r="J2087" t="str">
        <f>"06/17/1991 23:00"</f>
        <v>06/17/1991 23:00</v>
      </c>
    </row>
    <row r="2088" spans="1:10" x14ac:dyDescent="0.3">
      <c r="A2088" t="s">
        <v>6</v>
      </c>
      <c r="B2088" t="str">
        <f>"06/18/1991 00:00"</f>
        <v>06/18/1991 00:00</v>
      </c>
      <c r="C2088">
        <v>0.28000000000000003</v>
      </c>
      <c r="D2088" t="s">
        <v>7</v>
      </c>
      <c r="E2088" s="2" t="s">
        <v>12</v>
      </c>
      <c r="F2088">
        <f t="shared" si="32"/>
        <v>0.55524000000000007</v>
      </c>
      <c r="G2088" t="s">
        <v>16</v>
      </c>
      <c r="I2088" t="s">
        <v>35</v>
      </c>
      <c r="J2088" t="str">
        <f>"06/18/1991 23:00"</f>
        <v>06/18/1991 23:00</v>
      </c>
    </row>
    <row r="2089" spans="1:10" x14ac:dyDescent="0.3">
      <c r="A2089" t="s">
        <v>6</v>
      </c>
      <c r="B2089" t="str">
        <f>"06/19/1991 00:00"</f>
        <v>06/19/1991 00:00</v>
      </c>
      <c r="C2089">
        <v>56.1</v>
      </c>
      <c r="D2089" t="s">
        <v>7</v>
      </c>
      <c r="E2089" s="2" t="s">
        <v>12</v>
      </c>
      <c r="F2089">
        <f t="shared" si="32"/>
        <v>111.24630000000001</v>
      </c>
      <c r="G2089" t="s">
        <v>16</v>
      </c>
      <c r="I2089" t="s">
        <v>8</v>
      </c>
      <c r="J2089" t="str">
        <f>"06/19/1991 23:00"</f>
        <v>06/19/1991 23:00</v>
      </c>
    </row>
    <row r="2090" spans="1:10" x14ac:dyDescent="0.3">
      <c r="A2090" t="s">
        <v>6</v>
      </c>
      <c r="B2090" t="str">
        <f>"06/20/1991 00:00"</f>
        <v>06/20/1991 00:00</v>
      </c>
      <c r="C2090">
        <v>218</v>
      </c>
      <c r="D2090" t="s">
        <v>7</v>
      </c>
      <c r="E2090" s="2" t="s">
        <v>12</v>
      </c>
      <c r="F2090">
        <f t="shared" si="32"/>
        <v>432.29400000000004</v>
      </c>
      <c r="G2090" t="s">
        <v>16</v>
      </c>
      <c r="J2090" t="str">
        <f>"06/20/1991 23:00"</f>
        <v>06/20/1991 23:00</v>
      </c>
    </row>
    <row r="2091" spans="1:10" x14ac:dyDescent="0.3">
      <c r="A2091" t="s">
        <v>6</v>
      </c>
      <c r="B2091" t="str">
        <f>"06/21/1991 00:00"</f>
        <v>06/21/1991 00:00</v>
      </c>
      <c r="C2091">
        <v>226</v>
      </c>
      <c r="D2091" t="s">
        <v>7</v>
      </c>
      <c r="E2091" s="2" t="s">
        <v>12</v>
      </c>
      <c r="F2091">
        <f t="shared" si="32"/>
        <v>448.15800000000002</v>
      </c>
      <c r="G2091" t="s">
        <v>16</v>
      </c>
      <c r="J2091" t="str">
        <f>"06/21/1991 23:00"</f>
        <v>06/21/1991 23:00</v>
      </c>
    </row>
    <row r="2092" spans="1:10" x14ac:dyDescent="0.3">
      <c r="A2092" t="s">
        <v>6</v>
      </c>
      <c r="B2092" t="str">
        <f>"06/22/1991 00:00"</f>
        <v>06/22/1991 00:00</v>
      </c>
      <c r="C2092">
        <v>226</v>
      </c>
      <c r="D2092" t="s">
        <v>7</v>
      </c>
      <c r="E2092" s="2" t="s">
        <v>12</v>
      </c>
      <c r="F2092">
        <f t="shared" si="32"/>
        <v>448.15800000000002</v>
      </c>
      <c r="G2092" t="s">
        <v>16</v>
      </c>
      <c r="J2092" t="str">
        <f>"06/22/1991 23:00"</f>
        <v>06/22/1991 23:00</v>
      </c>
    </row>
    <row r="2093" spans="1:10" x14ac:dyDescent="0.3">
      <c r="A2093" t="s">
        <v>6</v>
      </c>
      <c r="B2093" t="str">
        <f>"06/23/1991 00:00"</f>
        <v>06/23/1991 00:00</v>
      </c>
      <c r="C2093">
        <v>223</v>
      </c>
      <c r="D2093" t="s">
        <v>7</v>
      </c>
      <c r="E2093" s="2" t="s">
        <v>12</v>
      </c>
      <c r="F2093">
        <f t="shared" si="32"/>
        <v>442.209</v>
      </c>
      <c r="G2093" t="s">
        <v>16</v>
      </c>
      <c r="J2093" t="str">
        <f>"06/23/1991 23:00"</f>
        <v>06/23/1991 23:00</v>
      </c>
    </row>
    <row r="2094" spans="1:10" x14ac:dyDescent="0.3">
      <c r="A2094" t="s">
        <v>6</v>
      </c>
      <c r="B2094" t="str">
        <f>"06/24/1991 00:00"</f>
        <v>06/24/1991 00:00</v>
      </c>
      <c r="C2094">
        <v>240</v>
      </c>
      <c r="D2094" t="s">
        <v>7</v>
      </c>
      <c r="E2094" s="2" t="s">
        <v>12</v>
      </c>
      <c r="F2094">
        <f t="shared" si="32"/>
        <v>475.92</v>
      </c>
      <c r="G2094" t="s">
        <v>16</v>
      </c>
      <c r="J2094" t="str">
        <f>"06/24/1991 23:00"</f>
        <v>06/24/1991 23:00</v>
      </c>
    </row>
    <row r="2095" spans="1:10" x14ac:dyDescent="0.3">
      <c r="A2095" t="s">
        <v>6</v>
      </c>
      <c r="B2095" t="str">
        <f>"06/25/1991 00:00"</f>
        <v>06/25/1991 00:00</v>
      </c>
      <c r="C2095">
        <v>339</v>
      </c>
      <c r="D2095" t="s">
        <v>7</v>
      </c>
      <c r="E2095" s="2" t="s">
        <v>12</v>
      </c>
      <c r="F2095">
        <f t="shared" si="32"/>
        <v>672.23700000000008</v>
      </c>
      <c r="G2095" t="s">
        <v>16</v>
      </c>
      <c r="J2095" t="str">
        <f>"06/25/1991 23:00"</f>
        <v>06/25/1991 23:00</v>
      </c>
    </row>
    <row r="2096" spans="1:10" x14ac:dyDescent="0.3">
      <c r="A2096" t="s">
        <v>6</v>
      </c>
      <c r="B2096" t="str">
        <f>"06/26/1991 00:00"</f>
        <v>06/26/1991 00:00</v>
      </c>
      <c r="C2096">
        <v>422</v>
      </c>
      <c r="D2096" t="s">
        <v>7</v>
      </c>
      <c r="E2096" s="2" t="s">
        <v>12</v>
      </c>
      <c r="F2096">
        <f t="shared" si="32"/>
        <v>836.82600000000002</v>
      </c>
      <c r="G2096" t="s">
        <v>16</v>
      </c>
      <c r="J2096" t="str">
        <f>"06/26/1991 23:00"</f>
        <v>06/26/1991 23:00</v>
      </c>
    </row>
    <row r="2097" spans="1:10" x14ac:dyDescent="0.3">
      <c r="A2097" t="s">
        <v>6</v>
      </c>
      <c r="B2097" t="str">
        <f>"06/27/1991 00:00"</f>
        <v>06/27/1991 00:00</v>
      </c>
      <c r="C2097">
        <v>430</v>
      </c>
      <c r="D2097" t="s">
        <v>7</v>
      </c>
      <c r="E2097" s="2" t="s">
        <v>12</v>
      </c>
      <c r="F2097">
        <f t="shared" si="32"/>
        <v>852.69</v>
      </c>
      <c r="G2097" t="s">
        <v>16</v>
      </c>
      <c r="J2097" t="str">
        <f>"06/27/1991 23:00"</f>
        <v>06/27/1991 23:00</v>
      </c>
    </row>
    <row r="2098" spans="1:10" x14ac:dyDescent="0.3">
      <c r="A2098" t="s">
        <v>6</v>
      </c>
      <c r="B2098" t="str">
        <f>"06/28/1991 00:00"</f>
        <v>06/28/1991 00:00</v>
      </c>
      <c r="C2098">
        <v>433</v>
      </c>
      <c r="D2098" t="s">
        <v>7</v>
      </c>
      <c r="E2098" s="2" t="s">
        <v>12</v>
      </c>
      <c r="F2098">
        <f t="shared" si="32"/>
        <v>858.63900000000001</v>
      </c>
      <c r="G2098" t="s">
        <v>16</v>
      </c>
      <c r="J2098" t="str">
        <f>"06/28/1991 23:00"</f>
        <v>06/28/1991 23:00</v>
      </c>
    </row>
    <row r="2099" spans="1:10" x14ac:dyDescent="0.3">
      <c r="A2099" t="s">
        <v>6</v>
      </c>
      <c r="B2099" t="str">
        <f>"06/29/1991 00:00"</f>
        <v>06/29/1991 00:00</v>
      </c>
      <c r="C2099">
        <v>433</v>
      </c>
      <c r="D2099" t="s">
        <v>7</v>
      </c>
      <c r="E2099" s="2" t="s">
        <v>12</v>
      </c>
      <c r="F2099">
        <f t="shared" si="32"/>
        <v>858.63900000000001</v>
      </c>
      <c r="G2099" t="s">
        <v>16</v>
      </c>
      <c r="J2099" t="str">
        <f>"06/29/1991 23:00"</f>
        <v>06/29/1991 23:00</v>
      </c>
    </row>
    <row r="2100" spans="1:10" x14ac:dyDescent="0.3">
      <c r="A2100" t="s">
        <v>6</v>
      </c>
      <c r="B2100" t="str">
        <f>"06/30/1991 00:00"</f>
        <v>06/30/1991 00:00</v>
      </c>
      <c r="C2100">
        <v>433</v>
      </c>
      <c r="D2100" t="s">
        <v>7</v>
      </c>
      <c r="E2100" s="2" t="s">
        <v>12</v>
      </c>
      <c r="F2100">
        <f t="shared" si="32"/>
        <v>858.63900000000001</v>
      </c>
      <c r="G2100" t="s">
        <v>16</v>
      </c>
      <c r="J2100" t="str">
        <f>"06/30/1991 23:00"</f>
        <v>06/30/1991 23:00</v>
      </c>
    </row>
    <row r="2101" spans="1:10" x14ac:dyDescent="0.3">
      <c r="A2101" t="s">
        <v>6</v>
      </c>
      <c r="B2101" t="str">
        <f>"07/01/1991 00:00"</f>
        <v>07/01/1991 00:00</v>
      </c>
      <c r="C2101">
        <v>373</v>
      </c>
      <c r="D2101" t="s">
        <v>7</v>
      </c>
      <c r="E2101" s="2" t="s">
        <v>12</v>
      </c>
      <c r="F2101">
        <f t="shared" si="32"/>
        <v>739.65899999999999</v>
      </c>
      <c r="G2101" t="s">
        <v>16</v>
      </c>
      <c r="J2101" t="str">
        <f>"07/01/1991 23:00"</f>
        <v>07/01/1991 23:00</v>
      </c>
    </row>
    <row r="2102" spans="1:10" x14ac:dyDescent="0.3">
      <c r="A2102" t="s">
        <v>6</v>
      </c>
      <c r="B2102" t="str">
        <f>"07/02/1991 00:00"</f>
        <v>07/02/1991 00:00</v>
      </c>
      <c r="C2102">
        <v>362</v>
      </c>
      <c r="D2102" t="s">
        <v>7</v>
      </c>
      <c r="E2102" s="2" t="s">
        <v>12</v>
      </c>
      <c r="F2102">
        <f t="shared" si="32"/>
        <v>717.846</v>
      </c>
      <c r="G2102" t="s">
        <v>16</v>
      </c>
      <c r="J2102" t="str">
        <f>"07/02/1991 23:00"</f>
        <v>07/02/1991 23:00</v>
      </c>
    </row>
    <row r="2103" spans="1:10" x14ac:dyDescent="0.3">
      <c r="A2103" t="s">
        <v>6</v>
      </c>
      <c r="B2103" t="str">
        <f>"07/03/1991 00:00"</f>
        <v>07/03/1991 00:00</v>
      </c>
      <c r="C2103">
        <v>440</v>
      </c>
      <c r="D2103" t="s">
        <v>7</v>
      </c>
      <c r="E2103" s="2" t="s">
        <v>12</v>
      </c>
      <c r="F2103">
        <f t="shared" si="32"/>
        <v>872.5200000000001</v>
      </c>
      <c r="G2103" t="s">
        <v>16</v>
      </c>
      <c r="J2103" t="str">
        <f>"07/03/1991 23:00"</f>
        <v>07/03/1991 23:00</v>
      </c>
    </row>
    <row r="2104" spans="1:10" x14ac:dyDescent="0.3">
      <c r="A2104" t="s">
        <v>6</v>
      </c>
      <c r="B2104" t="str">
        <f>"07/04/1991 00:00"</f>
        <v>07/04/1991 00:00</v>
      </c>
      <c r="C2104">
        <v>440</v>
      </c>
      <c r="D2104" t="s">
        <v>7</v>
      </c>
      <c r="E2104" s="2" t="s">
        <v>12</v>
      </c>
      <c r="F2104">
        <f t="shared" si="32"/>
        <v>872.5200000000001</v>
      </c>
      <c r="G2104" t="s">
        <v>16</v>
      </c>
      <c r="J2104" t="str">
        <f>"07/04/1991 23:00"</f>
        <v>07/04/1991 23:00</v>
      </c>
    </row>
    <row r="2105" spans="1:10" x14ac:dyDescent="0.3">
      <c r="A2105" t="s">
        <v>6</v>
      </c>
      <c r="B2105" t="str">
        <f>"07/05/1991 00:00"</f>
        <v>07/05/1991 00:00</v>
      </c>
      <c r="C2105">
        <v>440</v>
      </c>
      <c r="D2105" t="s">
        <v>7</v>
      </c>
      <c r="E2105" s="2" t="s">
        <v>12</v>
      </c>
      <c r="F2105">
        <f t="shared" si="32"/>
        <v>872.5200000000001</v>
      </c>
      <c r="G2105" t="s">
        <v>16</v>
      </c>
      <c r="J2105" t="str">
        <f>"07/05/1991 23:00"</f>
        <v>07/05/1991 23:00</v>
      </c>
    </row>
    <row r="2106" spans="1:10" x14ac:dyDescent="0.3">
      <c r="A2106" t="s">
        <v>6</v>
      </c>
      <c r="B2106" t="str">
        <f>"07/06/1991 00:00"</f>
        <v>07/06/1991 00:00</v>
      </c>
      <c r="C2106">
        <v>440</v>
      </c>
      <c r="D2106" t="s">
        <v>7</v>
      </c>
      <c r="E2106" s="2" t="s">
        <v>12</v>
      </c>
      <c r="F2106">
        <f t="shared" si="32"/>
        <v>872.5200000000001</v>
      </c>
      <c r="G2106" t="s">
        <v>16</v>
      </c>
      <c r="J2106" t="str">
        <f>"07/06/1991 23:00"</f>
        <v>07/06/1991 23:00</v>
      </c>
    </row>
    <row r="2107" spans="1:10" x14ac:dyDescent="0.3">
      <c r="A2107" t="s">
        <v>6</v>
      </c>
      <c r="B2107" t="str">
        <f>"07/07/1991 00:00"</f>
        <v>07/07/1991 00:00</v>
      </c>
      <c r="C2107">
        <v>440</v>
      </c>
      <c r="D2107" t="s">
        <v>7</v>
      </c>
      <c r="E2107" s="2" t="s">
        <v>12</v>
      </c>
      <c r="F2107">
        <f t="shared" si="32"/>
        <v>872.5200000000001</v>
      </c>
      <c r="G2107" t="s">
        <v>16</v>
      </c>
      <c r="J2107" t="str">
        <f>"07/07/1991 23:00"</f>
        <v>07/07/1991 23:00</v>
      </c>
    </row>
    <row r="2108" spans="1:10" x14ac:dyDescent="0.3">
      <c r="A2108" t="s">
        <v>6</v>
      </c>
      <c r="B2108" t="str">
        <f>"07/08/1991 00:00"</f>
        <v>07/08/1991 00:00</v>
      </c>
      <c r="C2108">
        <v>443</v>
      </c>
      <c r="D2108" t="s">
        <v>7</v>
      </c>
      <c r="E2108" s="2" t="s">
        <v>12</v>
      </c>
      <c r="F2108">
        <f t="shared" si="32"/>
        <v>878.46900000000005</v>
      </c>
      <c r="G2108" t="s">
        <v>16</v>
      </c>
      <c r="J2108" t="str">
        <f>"07/08/1991 23:00"</f>
        <v>07/08/1991 23:00</v>
      </c>
    </row>
    <row r="2109" spans="1:10" x14ac:dyDescent="0.3">
      <c r="A2109" t="s">
        <v>6</v>
      </c>
      <c r="B2109" t="str">
        <f>"07/09/1991 00:00"</f>
        <v>07/09/1991 00:00</v>
      </c>
      <c r="C2109">
        <v>401</v>
      </c>
      <c r="D2109" t="s">
        <v>7</v>
      </c>
      <c r="E2109" s="2" t="s">
        <v>12</v>
      </c>
      <c r="F2109">
        <f t="shared" si="32"/>
        <v>795.18299999999999</v>
      </c>
      <c r="G2109" t="s">
        <v>16</v>
      </c>
      <c r="J2109" t="str">
        <f>"07/09/1991 23:00"</f>
        <v>07/09/1991 23:00</v>
      </c>
    </row>
    <row r="2110" spans="1:10" x14ac:dyDescent="0.3">
      <c r="A2110" t="s">
        <v>6</v>
      </c>
      <c r="B2110" t="str">
        <f>"07/10/1991 00:00"</f>
        <v>07/10/1991 00:00</v>
      </c>
      <c r="C2110">
        <v>324</v>
      </c>
      <c r="D2110" t="s">
        <v>7</v>
      </c>
      <c r="E2110" s="2" t="s">
        <v>12</v>
      </c>
      <c r="F2110">
        <f t="shared" si="32"/>
        <v>642.49200000000008</v>
      </c>
      <c r="G2110" t="s">
        <v>16</v>
      </c>
      <c r="J2110" t="str">
        <f>"07/10/1991 23:00"</f>
        <v>07/10/1991 23:00</v>
      </c>
    </row>
    <row r="2111" spans="1:10" x14ac:dyDescent="0.3">
      <c r="A2111" t="s">
        <v>6</v>
      </c>
      <c r="B2111" t="str">
        <f>"07/11/1991 00:00"</f>
        <v>07/11/1991 00:00</v>
      </c>
      <c r="C2111">
        <v>298</v>
      </c>
      <c r="D2111" t="s">
        <v>7</v>
      </c>
      <c r="E2111" s="2" t="s">
        <v>12</v>
      </c>
      <c r="F2111">
        <f t="shared" si="32"/>
        <v>590.93400000000008</v>
      </c>
      <c r="G2111" t="s">
        <v>16</v>
      </c>
      <c r="J2111" t="str">
        <f>"07/11/1991 23:00"</f>
        <v>07/11/1991 23:00</v>
      </c>
    </row>
    <row r="2112" spans="1:10" x14ac:dyDescent="0.3">
      <c r="A2112" t="s">
        <v>6</v>
      </c>
      <c r="B2112" t="str">
        <f>"07/12/1991 00:00"</f>
        <v>07/12/1991 00:00</v>
      </c>
      <c r="C2112">
        <v>298</v>
      </c>
      <c r="D2112" t="s">
        <v>7</v>
      </c>
      <c r="E2112" s="2" t="s">
        <v>12</v>
      </c>
      <c r="F2112">
        <f t="shared" si="32"/>
        <v>590.93400000000008</v>
      </c>
      <c r="G2112" t="s">
        <v>16</v>
      </c>
      <c r="J2112" t="str">
        <f>"07/12/1991 23:00"</f>
        <v>07/12/1991 23:00</v>
      </c>
    </row>
    <row r="2113" spans="1:10" x14ac:dyDescent="0.3">
      <c r="A2113" t="s">
        <v>6</v>
      </c>
      <c r="B2113" t="str">
        <f>"07/13/1991 00:00"</f>
        <v>07/13/1991 00:00</v>
      </c>
      <c r="C2113">
        <v>298</v>
      </c>
      <c r="D2113" t="s">
        <v>7</v>
      </c>
      <c r="E2113" s="2" t="s">
        <v>12</v>
      </c>
      <c r="F2113">
        <f t="shared" si="32"/>
        <v>590.93400000000008</v>
      </c>
      <c r="G2113" t="s">
        <v>16</v>
      </c>
      <c r="J2113" t="str">
        <f>"07/13/1991 23:00"</f>
        <v>07/13/1991 23:00</v>
      </c>
    </row>
    <row r="2114" spans="1:10" x14ac:dyDescent="0.3">
      <c r="A2114" t="s">
        <v>6</v>
      </c>
      <c r="B2114" t="str">
        <f>"07/14/1991 00:00"</f>
        <v>07/14/1991 00:00</v>
      </c>
      <c r="C2114">
        <v>299</v>
      </c>
      <c r="D2114" t="s">
        <v>7</v>
      </c>
      <c r="E2114" s="2" t="s">
        <v>12</v>
      </c>
      <c r="F2114">
        <f t="shared" si="32"/>
        <v>592.91700000000003</v>
      </c>
      <c r="G2114" t="s">
        <v>16</v>
      </c>
      <c r="J2114" t="str">
        <f>"07/14/1991 23:00"</f>
        <v>07/14/1991 23:00</v>
      </c>
    </row>
    <row r="2115" spans="1:10" x14ac:dyDescent="0.3">
      <c r="A2115" t="s">
        <v>6</v>
      </c>
      <c r="B2115" t="str">
        <f>"07/15/1991 00:00"</f>
        <v>07/15/1991 00:00</v>
      </c>
      <c r="C2115">
        <v>284</v>
      </c>
      <c r="D2115" t="s">
        <v>7</v>
      </c>
      <c r="E2115" s="2" t="s">
        <v>12</v>
      </c>
      <c r="F2115">
        <f t="shared" ref="F2115:F2178" si="33">C2115*1.983</f>
        <v>563.17200000000003</v>
      </c>
      <c r="G2115" t="s">
        <v>16</v>
      </c>
      <c r="J2115" t="str">
        <f>"07/15/1991 23:00"</f>
        <v>07/15/1991 23:00</v>
      </c>
    </row>
    <row r="2116" spans="1:10" x14ac:dyDescent="0.3">
      <c r="A2116" t="s">
        <v>6</v>
      </c>
      <c r="B2116" t="str">
        <f>"07/16/1991 00:00"</f>
        <v>07/16/1991 00:00</v>
      </c>
      <c r="C2116">
        <v>256</v>
      </c>
      <c r="D2116" t="s">
        <v>7</v>
      </c>
      <c r="E2116" s="2" t="s">
        <v>12</v>
      </c>
      <c r="F2116">
        <f t="shared" si="33"/>
        <v>507.64800000000002</v>
      </c>
      <c r="G2116" t="s">
        <v>16</v>
      </c>
      <c r="J2116" t="str">
        <f>"07/16/1991 23:00"</f>
        <v>07/16/1991 23:00</v>
      </c>
    </row>
    <row r="2117" spans="1:10" x14ac:dyDescent="0.3">
      <c r="A2117" t="s">
        <v>6</v>
      </c>
      <c r="B2117" t="str">
        <f>"07/17/1991 00:00"</f>
        <v>07/17/1991 00:00</v>
      </c>
      <c r="C2117">
        <v>256</v>
      </c>
      <c r="D2117" t="s">
        <v>7</v>
      </c>
      <c r="E2117" s="2" t="s">
        <v>12</v>
      </c>
      <c r="F2117">
        <f t="shared" si="33"/>
        <v>507.64800000000002</v>
      </c>
      <c r="G2117" t="s">
        <v>16</v>
      </c>
      <c r="I2117" t="s">
        <v>8</v>
      </c>
      <c r="J2117" t="str">
        <f>"07/17/1991 23:00"</f>
        <v>07/17/1991 23:00</v>
      </c>
    </row>
    <row r="2118" spans="1:10" x14ac:dyDescent="0.3">
      <c r="A2118" t="s">
        <v>6</v>
      </c>
      <c r="B2118" t="str">
        <f>"07/18/1991 00:00"</f>
        <v>07/18/1991 00:00</v>
      </c>
      <c r="C2118">
        <v>256</v>
      </c>
      <c r="D2118" t="s">
        <v>7</v>
      </c>
      <c r="E2118" s="2" t="s">
        <v>12</v>
      </c>
      <c r="F2118">
        <f t="shared" si="33"/>
        <v>507.64800000000002</v>
      </c>
      <c r="G2118" t="s">
        <v>16</v>
      </c>
      <c r="I2118" t="s">
        <v>8</v>
      </c>
      <c r="J2118" t="str">
        <f>"07/18/1991 23:00"</f>
        <v>07/18/1991 23:00</v>
      </c>
    </row>
    <row r="2119" spans="1:10" x14ac:dyDescent="0.3">
      <c r="A2119" t="s">
        <v>6</v>
      </c>
      <c r="B2119" t="str">
        <f>"07/19/1991 00:00"</f>
        <v>07/19/1991 00:00</v>
      </c>
      <c r="C2119">
        <v>256</v>
      </c>
      <c r="D2119" t="s">
        <v>7</v>
      </c>
      <c r="E2119" s="2" t="s">
        <v>12</v>
      </c>
      <c r="F2119">
        <f t="shared" si="33"/>
        <v>507.64800000000002</v>
      </c>
      <c r="G2119" t="s">
        <v>16</v>
      </c>
      <c r="J2119" t="str">
        <f>"07/19/1991 23:00"</f>
        <v>07/19/1991 23:00</v>
      </c>
    </row>
    <row r="2120" spans="1:10" x14ac:dyDescent="0.3">
      <c r="A2120" t="s">
        <v>6</v>
      </c>
      <c r="B2120" t="str">
        <f>"07/20/1991 00:00"</f>
        <v>07/20/1991 00:00</v>
      </c>
      <c r="C2120">
        <v>256</v>
      </c>
      <c r="D2120" t="s">
        <v>7</v>
      </c>
      <c r="E2120" s="2" t="s">
        <v>12</v>
      </c>
      <c r="F2120">
        <f t="shared" si="33"/>
        <v>507.64800000000002</v>
      </c>
      <c r="G2120" t="s">
        <v>16</v>
      </c>
      <c r="I2120" t="s">
        <v>35</v>
      </c>
      <c r="J2120" t="str">
        <f>"07/20/1991 23:00"</f>
        <v>07/20/1991 23:00</v>
      </c>
    </row>
    <row r="2121" spans="1:10" x14ac:dyDescent="0.3">
      <c r="A2121" t="s">
        <v>6</v>
      </c>
      <c r="B2121" t="str">
        <f>"07/21/1991 00:00"</f>
        <v>07/21/1991 00:00</v>
      </c>
      <c r="C2121">
        <v>256</v>
      </c>
      <c r="D2121" t="s">
        <v>7</v>
      </c>
      <c r="E2121" s="2" t="s">
        <v>12</v>
      </c>
      <c r="F2121">
        <f t="shared" si="33"/>
        <v>507.64800000000002</v>
      </c>
      <c r="G2121" t="s">
        <v>16</v>
      </c>
      <c r="I2121" t="s">
        <v>35</v>
      </c>
      <c r="J2121" t="str">
        <f>"07/21/1991 23:00"</f>
        <v>07/21/1991 23:00</v>
      </c>
    </row>
    <row r="2122" spans="1:10" x14ac:dyDescent="0.3">
      <c r="A2122" t="s">
        <v>6</v>
      </c>
      <c r="B2122" t="str">
        <f>"07/22/1991 00:00"</f>
        <v>07/22/1991 00:00</v>
      </c>
      <c r="C2122">
        <v>235</v>
      </c>
      <c r="D2122" t="s">
        <v>7</v>
      </c>
      <c r="E2122" s="2" t="s">
        <v>12</v>
      </c>
      <c r="F2122">
        <f t="shared" si="33"/>
        <v>466.005</v>
      </c>
      <c r="G2122" t="s">
        <v>16</v>
      </c>
      <c r="I2122" t="s">
        <v>8</v>
      </c>
      <c r="J2122" t="str">
        <f>"07/22/1991 23:00"</f>
        <v>07/22/1991 23:00</v>
      </c>
    </row>
    <row r="2123" spans="1:10" x14ac:dyDescent="0.3">
      <c r="A2123" t="s">
        <v>6</v>
      </c>
      <c r="B2123" t="str">
        <f>"07/23/1991 00:00"</f>
        <v>07/23/1991 00:00</v>
      </c>
      <c r="C2123">
        <v>218</v>
      </c>
      <c r="D2123" t="s">
        <v>7</v>
      </c>
      <c r="E2123" s="2" t="s">
        <v>12</v>
      </c>
      <c r="F2123">
        <f t="shared" si="33"/>
        <v>432.29400000000004</v>
      </c>
      <c r="G2123" t="s">
        <v>16</v>
      </c>
      <c r="J2123" t="str">
        <f>"07/23/1991 23:00"</f>
        <v>07/23/1991 23:00</v>
      </c>
    </row>
    <row r="2124" spans="1:10" x14ac:dyDescent="0.3">
      <c r="A2124" t="s">
        <v>6</v>
      </c>
      <c r="B2124" t="str">
        <f>"07/24/1991 00:00"</f>
        <v>07/24/1991 00:00</v>
      </c>
      <c r="C2124">
        <v>216</v>
      </c>
      <c r="D2124" t="s">
        <v>7</v>
      </c>
      <c r="E2124" s="2" t="s">
        <v>12</v>
      </c>
      <c r="F2124">
        <f t="shared" si="33"/>
        <v>428.32800000000003</v>
      </c>
      <c r="G2124" t="s">
        <v>16</v>
      </c>
      <c r="J2124" t="str">
        <f>"07/24/1991 23:00"</f>
        <v>07/24/1991 23:00</v>
      </c>
    </row>
    <row r="2125" spans="1:10" x14ac:dyDescent="0.3">
      <c r="A2125" t="s">
        <v>6</v>
      </c>
      <c r="B2125" t="str">
        <f>"07/25/1991 00:00"</f>
        <v>07/25/1991 00:00</v>
      </c>
      <c r="C2125">
        <v>215</v>
      </c>
      <c r="D2125" t="s">
        <v>7</v>
      </c>
      <c r="E2125" s="2" t="s">
        <v>12</v>
      </c>
      <c r="F2125">
        <f t="shared" si="33"/>
        <v>426.34500000000003</v>
      </c>
      <c r="G2125" t="s">
        <v>16</v>
      </c>
      <c r="J2125" t="str">
        <f>"07/25/1991 23:00"</f>
        <v>07/25/1991 23:00</v>
      </c>
    </row>
    <row r="2126" spans="1:10" x14ac:dyDescent="0.3">
      <c r="A2126" t="s">
        <v>6</v>
      </c>
      <c r="B2126" t="str">
        <f>"07/26/1991 00:00"</f>
        <v>07/26/1991 00:00</v>
      </c>
      <c r="C2126">
        <v>218</v>
      </c>
      <c r="D2126" t="s">
        <v>7</v>
      </c>
      <c r="E2126" s="2" t="s">
        <v>12</v>
      </c>
      <c r="F2126">
        <f t="shared" si="33"/>
        <v>432.29400000000004</v>
      </c>
      <c r="G2126" t="s">
        <v>16</v>
      </c>
      <c r="J2126" t="str">
        <f>"07/26/1991 23:00"</f>
        <v>07/26/1991 23:00</v>
      </c>
    </row>
    <row r="2127" spans="1:10" x14ac:dyDescent="0.3">
      <c r="A2127" t="s">
        <v>6</v>
      </c>
      <c r="B2127" t="str">
        <f>"07/27/1991 00:00"</f>
        <v>07/27/1991 00:00</v>
      </c>
      <c r="C2127">
        <v>217</v>
      </c>
      <c r="D2127" t="s">
        <v>7</v>
      </c>
      <c r="E2127" s="2" t="s">
        <v>12</v>
      </c>
      <c r="F2127">
        <f t="shared" si="33"/>
        <v>430.31100000000004</v>
      </c>
      <c r="G2127" t="s">
        <v>16</v>
      </c>
      <c r="J2127" t="str">
        <f>"07/27/1991 23:00"</f>
        <v>07/27/1991 23:00</v>
      </c>
    </row>
    <row r="2128" spans="1:10" x14ac:dyDescent="0.3">
      <c r="A2128" t="s">
        <v>6</v>
      </c>
      <c r="B2128" t="str">
        <f>"07/28/1991 00:00"</f>
        <v>07/28/1991 00:00</v>
      </c>
      <c r="C2128">
        <v>197</v>
      </c>
      <c r="D2128" t="s">
        <v>7</v>
      </c>
      <c r="E2128" s="2" t="s">
        <v>12</v>
      </c>
      <c r="F2128">
        <f t="shared" si="33"/>
        <v>390.65100000000001</v>
      </c>
      <c r="G2128" t="s">
        <v>16</v>
      </c>
      <c r="J2128" t="str">
        <f>"07/28/1991 23:00"</f>
        <v>07/28/1991 23:00</v>
      </c>
    </row>
    <row r="2129" spans="1:10" x14ac:dyDescent="0.3">
      <c r="A2129" t="s">
        <v>6</v>
      </c>
      <c r="B2129" t="str">
        <f>"07/29/1991 00:00"</f>
        <v>07/29/1991 00:00</v>
      </c>
      <c r="C2129">
        <v>173</v>
      </c>
      <c r="D2129" t="s">
        <v>7</v>
      </c>
      <c r="E2129" s="2" t="s">
        <v>12</v>
      </c>
      <c r="F2129">
        <f t="shared" si="33"/>
        <v>343.05900000000003</v>
      </c>
      <c r="G2129" t="s">
        <v>16</v>
      </c>
      <c r="J2129" t="str">
        <f>"07/29/1991 23:00"</f>
        <v>07/29/1991 23:00</v>
      </c>
    </row>
    <row r="2130" spans="1:10" x14ac:dyDescent="0.3">
      <c r="A2130" t="s">
        <v>6</v>
      </c>
      <c r="B2130" t="str">
        <f>"07/30/1991 00:00"</f>
        <v>07/30/1991 00:00</v>
      </c>
      <c r="C2130">
        <v>173</v>
      </c>
      <c r="D2130" t="s">
        <v>7</v>
      </c>
      <c r="E2130" s="2" t="s">
        <v>12</v>
      </c>
      <c r="F2130">
        <f t="shared" si="33"/>
        <v>343.05900000000003</v>
      </c>
      <c r="G2130" t="s">
        <v>16</v>
      </c>
      <c r="J2130" t="str">
        <f>"07/30/1991 23:00"</f>
        <v>07/30/1991 23:00</v>
      </c>
    </row>
    <row r="2131" spans="1:10" x14ac:dyDescent="0.3">
      <c r="A2131" t="s">
        <v>6</v>
      </c>
      <c r="B2131" t="str">
        <f>"07/31/1991 00:00"</f>
        <v>07/31/1991 00:00</v>
      </c>
      <c r="C2131">
        <v>173</v>
      </c>
      <c r="D2131" t="s">
        <v>7</v>
      </c>
      <c r="E2131" s="2" t="s">
        <v>12</v>
      </c>
      <c r="F2131">
        <f t="shared" si="33"/>
        <v>343.05900000000003</v>
      </c>
      <c r="G2131" t="s">
        <v>16</v>
      </c>
      <c r="J2131" t="str">
        <f>"07/31/1991 23:00"</f>
        <v>07/31/1991 23:00</v>
      </c>
    </row>
    <row r="2132" spans="1:10" x14ac:dyDescent="0.3">
      <c r="A2132" t="s">
        <v>6</v>
      </c>
      <c r="B2132" t="str">
        <f>"08/01/1991 00:00"</f>
        <v>08/01/1991 00:00</v>
      </c>
      <c r="C2132">
        <v>174</v>
      </c>
      <c r="D2132" t="s">
        <v>7</v>
      </c>
      <c r="E2132" s="2" t="s">
        <v>12</v>
      </c>
      <c r="F2132">
        <f t="shared" si="33"/>
        <v>345.04200000000003</v>
      </c>
      <c r="G2132" t="s">
        <v>16</v>
      </c>
      <c r="I2132" t="s">
        <v>8</v>
      </c>
      <c r="J2132" t="str">
        <f>"08/01/1991 23:00"</f>
        <v>08/01/1991 23:00</v>
      </c>
    </row>
    <row r="2133" spans="1:10" x14ac:dyDescent="0.3">
      <c r="A2133" t="s">
        <v>6</v>
      </c>
      <c r="B2133" t="str">
        <f>"08/02/1991 00:00"</f>
        <v>08/02/1991 00:00</v>
      </c>
      <c r="C2133">
        <v>174</v>
      </c>
      <c r="D2133" t="s">
        <v>7</v>
      </c>
      <c r="E2133" s="2" t="s">
        <v>12</v>
      </c>
      <c r="F2133">
        <f t="shared" si="33"/>
        <v>345.04200000000003</v>
      </c>
      <c r="G2133" t="s">
        <v>16</v>
      </c>
      <c r="J2133" t="str">
        <f>"08/02/1991 23:00"</f>
        <v>08/02/1991 23:00</v>
      </c>
    </row>
    <row r="2134" spans="1:10" x14ac:dyDescent="0.3">
      <c r="A2134" t="s">
        <v>6</v>
      </c>
      <c r="B2134" t="str">
        <f>"08/03/1991 00:00"</f>
        <v>08/03/1991 00:00</v>
      </c>
      <c r="C2134">
        <v>162</v>
      </c>
      <c r="D2134" t="s">
        <v>7</v>
      </c>
      <c r="E2134" s="2" t="s">
        <v>12</v>
      </c>
      <c r="F2134">
        <f t="shared" si="33"/>
        <v>321.24600000000004</v>
      </c>
      <c r="G2134" t="s">
        <v>16</v>
      </c>
      <c r="J2134" t="str">
        <f>"08/03/1991 23:00"</f>
        <v>08/03/1991 23:00</v>
      </c>
    </row>
    <row r="2135" spans="1:10" x14ac:dyDescent="0.3">
      <c r="A2135" t="s">
        <v>6</v>
      </c>
      <c r="B2135" t="str">
        <f>"08/04/1991 00:00"</f>
        <v>08/04/1991 00:00</v>
      </c>
      <c r="C2135">
        <v>147</v>
      </c>
      <c r="D2135" t="s">
        <v>7</v>
      </c>
      <c r="E2135" s="2" t="s">
        <v>12</v>
      </c>
      <c r="F2135">
        <f t="shared" si="33"/>
        <v>291.50100000000003</v>
      </c>
      <c r="G2135" t="s">
        <v>16</v>
      </c>
      <c r="J2135" t="str">
        <f>"08/04/1991 23:00"</f>
        <v>08/04/1991 23:00</v>
      </c>
    </row>
    <row r="2136" spans="1:10" x14ac:dyDescent="0.3">
      <c r="A2136" t="s">
        <v>6</v>
      </c>
      <c r="B2136" t="str">
        <f>"08/05/1991 00:00"</f>
        <v>08/05/1991 00:00</v>
      </c>
      <c r="C2136">
        <v>147</v>
      </c>
      <c r="D2136" t="s">
        <v>7</v>
      </c>
      <c r="E2136" s="2" t="s">
        <v>12</v>
      </c>
      <c r="F2136">
        <f t="shared" si="33"/>
        <v>291.50100000000003</v>
      </c>
      <c r="G2136" t="s">
        <v>16</v>
      </c>
      <c r="I2136" t="s">
        <v>8</v>
      </c>
      <c r="J2136" t="str">
        <f>"08/05/1991 23:00"</f>
        <v>08/05/1991 23:00</v>
      </c>
    </row>
    <row r="2137" spans="1:10" x14ac:dyDescent="0.3">
      <c r="A2137" t="s">
        <v>6</v>
      </c>
      <c r="B2137" t="str">
        <f>"08/06/1991 00:00"</f>
        <v>08/06/1991 00:00</v>
      </c>
      <c r="C2137">
        <v>147</v>
      </c>
      <c r="D2137" t="s">
        <v>7</v>
      </c>
      <c r="E2137" s="2" t="s">
        <v>12</v>
      </c>
      <c r="F2137">
        <f t="shared" si="33"/>
        <v>291.50100000000003</v>
      </c>
      <c r="G2137" t="s">
        <v>16</v>
      </c>
      <c r="I2137" t="s">
        <v>8</v>
      </c>
      <c r="J2137" t="str">
        <f>"08/06/1991 23:00"</f>
        <v>08/06/1991 23:00</v>
      </c>
    </row>
    <row r="2138" spans="1:10" x14ac:dyDescent="0.3">
      <c r="A2138" t="s">
        <v>6</v>
      </c>
      <c r="B2138" t="str">
        <f>"08/07/1991 00:00"</f>
        <v>08/07/1991 00:00</v>
      </c>
      <c r="C2138">
        <v>147</v>
      </c>
      <c r="D2138" t="s">
        <v>7</v>
      </c>
      <c r="E2138" s="2" t="s">
        <v>12</v>
      </c>
      <c r="F2138">
        <f t="shared" si="33"/>
        <v>291.50100000000003</v>
      </c>
      <c r="G2138" t="s">
        <v>16</v>
      </c>
      <c r="J2138" t="str">
        <f>"08/07/1991 23:00"</f>
        <v>08/07/1991 23:00</v>
      </c>
    </row>
    <row r="2139" spans="1:10" x14ac:dyDescent="0.3">
      <c r="A2139" t="s">
        <v>6</v>
      </c>
      <c r="B2139" t="str">
        <f>"08/08/1991 00:00"</f>
        <v>08/08/1991 00:00</v>
      </c>
      <c r="C2139">
        <v>87.9</v>
      </c>
      <c r="D2139" t="s">
        <v>7</v>
      </c>
      <c r="E2139" s="2" t="s">
        <v>12</v>
      </c>
      <c r="F2139">
        <f t="shared" si="33"/>
        <v>174.30570000000003</v>
      </c>
      <c r="G2139" t="s">
        <v>16</v>
      </c>
      <c r="I2139" t="s">
        <v>8</v>
      </c>
      <c r="J2139" t="str">
        <f>"08/08/1991 23:00"</f>
        <v>08/08/1991 23:00</v>
      </c>
    </row>
    <row r="2140" spans="1:10" x14ac:dyDescent="0.3">
      <c r="A2140" t="s">
        <v>6</v>
      </c>
      <c r="B2140" t="str">
        <f>"08/09/1991 00:00"</f>
        <v>08/09/1991 00:00</v>
      </c>
      <c r="C2140">
        <v>0.67600000000000005</v>
      </c>
      <c r="D2140" t="s">
        <v>7</v>
      </c>
      <c r="E2140" s="2" t="s">
        <v>12</v>
      </c>
      <c r="F2140">
        <f t="shared" si="33"/>
        <v>1.3405080000000003</v>
      </c>
      <c r="G2140" t="s">
        <v>16</v>
      </c>
      <c r="J2140" t="str">
        <f>"08/09/1991 23:00"</f>
        <v>08/09/1991 23:00</v>
      </c>
    </row>
    <row r="2141" spans="1:10" x14ac:dyDescent="0.3">
      <c r="A2141" t="s">
        <v>6</v>
      </c>
      <c r="B2141" t="str">
        <f>"08/10/1991 00:00"</f>
        <v>08/10/1991 00:00</v>
      </c>
      <c r="C2141">
        <v>0.63</v>
      </c>
      <c r="D2141" t="s">
        <v>7</v>
      </c>
      <c r="E2141" s="2" t="s">
        <v>12</v>
      </c>
      <c r="F2141">
        <f t="shared" si="33"/>
        <v>1.24929</v>
      </c>
      <c r="G2141" t="s">
        <v>16</v>
      </c>
      <c r="I2141" t="s">
        <v>8</v>
      </c>
      <c r="J2141" t="str">
        <f>"08/10/1991 23:00"</f>
        <v>08/10/1991 23:00</v>
      </c>
    </row>
    <row r="2142" spans="1:10" x14ac:dyDescent="0.3">
      <c r="A2142" t="s">
        <v>6</v>
      </c>
      <c r="B2142" t="str">
        <f>"08/11/1991 00:00"</f>
        <v>08/11/1991 00:00</v>
      </c>
      <c r="C2142">
        <v>0.63</v>
      </c>
      <c r="D2142" t="s">
        <v>7</v>
      </c>
      <c r="E2142" s="2" t="s">
        <v>12</v>
      </c>
      <c r="F2142">
        <f t="shared" si="33"/>
        <v>1.24929</v>
      </c>
      <c r="G2142" t="s">
        <v>16</v>
      </c>
      <c r="I2142" t="s">
        <v>35</v>
      </c>
      <c r="J2142" t="str">
        <f>"08/11/1991 23:00"</f>
        <v>08/11/1991 23:00</v>
      </c>
    </row>
    <row r="2143" spans="1:10" x14ac:dyDescent="0.3">
      <c r="A2143" t="s">
        <v>6</v>
      </c>
      <c r="B2143" t="str">
        <f>"08/12/1991 00:00"</f>
        <v>08/12/1991 00:00</v>
      </c>
      <c r="C2143">
        <v>0.63</v>
      </c>
      <c r="D2143" t="s">
        <v>7</v>
      </c>
      <c r="E2143" s="2" t="s">
        <v>12</v>
      </c>
      <c r="F2143">
        <f t="shared" si="33"/>
        <v>1.24929</v>
      </c>
      <c r="G2143" t="s">
        <v>16</v>
      </c>
      <c r="I2143" t="s">
        <v>35</v>
      </c>
      <c r="J2143" t="str">
        <f>"08/12/1991 23:00"</f>
        <v>08/12/1991 23:00</v>
      </c>
    </row>
    <row r="2144" spans="1:10" x14ac:dyDescent="0.3">
      <c r="A2144" t="s">
        <v>6</v>
      </c>
      <c r="B2144" t="str">
        <f>"08/13/1991 00:00"</f>
        <v>08/13/1991 00:00</v>
      </c>
      <c r="C2144">
        <v>0.63</v>
      </c>
      <c r="D2144" t="s">
        <v>7</v>
      </c>
      <c r="E2144" s="2" t="s">
        <v>12</v>
      </c>
      <c r="F2144">
        <f t="shared" si="33"/>
        <v>1.24929</v>
      </c>
      <c r="G2144" t="s">
        <v>16</v>
      </c>
      <c r="I2144" t="s">
        <v>35</v>
      </c>
      <c r="J2144" t="str">
        <f>"08/13/1991 23:00"</f>
        <v>08/13/1991 23:00</v>
      </c>
    </row>
    <row r="2145" spans="1:10" x14ac:dyDescent="0.3">
      <c r="A2145" t="s">
        <v>6</v>
      </c>
      <c r="B2145" t="str">
        <f>"08/14/1991 00:00"</f>
        <v>08/14/1991 00:00</v>
      </c>
      <c r="C2145">
        <v>0.63</v>
      </c>
      <c r="D2145" t="s">
        <v>7</v>
      </c>
      <c r="E2145" s="2" t="s">
        <v>12</v>
      </c>
      <c r="F2145">
        <f t="shared" si="33"/>
        <v>1.24929</v>
      </c>
      <c r="G2145" t="s">
        <v>16</v>
      </c>
      <c r="I2145" t="s">
        <v>8</v>
      </c>
      <c r="J2145" t="str">
        <f>"08/14/1991 23:00"</f>
        <v>08/14/1991 23:00</v>
      </c>
    </row>
    <row r="2146" spans="1:10" x14ac:dyDescent="0.3">
      <c r="A2146" t="s">
        <v>6</v>
      </c>
      <c r="B2146" t="str">
        <f>"08/15/1991 00:00"</f>
        <v>08/15/1991 00:00</v>
      </c>
      <c r="C2146">
        <v>0.53500000000000003</v>
      </c>
      <c r="D2146" t="s">
        <v>7</v>
      </c>
      <c r="E2146" s="2" t="s">
        <v>12</v>
      </c>
      <c r="F2146">
        <f t="shared" si="33"/>
        <v>1.0609050000000002</v>
      </c>
      <c r="G2146" t="s">
        <v>16</v>
      </c>
      <c r="J2146" t="str">
        <f>"08/15/1991 23:00"</f>
        <v>08/15/1991 23:00</v>
      </c>
    </row>
    <row r="2147" spans="1:10" x14ac:dyDescent="0.3">
      <c r="A2147" t="s">
        <v>6</v>
      </c>
      <c r="B2147" t="str">
        <f>"08/16/1991 00:00"</f>
        <v>08/16/1991 00:00</v>
      </c>
      <c r="C2147">
        <v>24.2</v>
      </c>
      <c r="D2147" t="s">
        <v>7</v>
      </c>
      <c r="E2147" s="2" t="s">
        <v>12</v>
      </c>
      <c r="F2147">
        <f t="shared" si="33"/>
        <v>47.988599999999998</v>
      </c>
      <c r="G2147" t="s">
        <v>16</v>
      </c>
      <c r="J2147" t="str">
        <f>"08/16/1991 23:00"</f>
        <v>08/16/1991 23:00</v>
      </c>
    </row>
    <row r="2148" spans="1:10" x14ac:dyDescent="0.3">
      <c r="A2148" t="s">
        <v>6</v>
      </c>
      <c r="B2148" t="str">
        <f>"08/17/1991 00:00"</f>
        <v>08/17/1991 00:00</v>
      </c>
      <c r="C2148">
        <v>90.9</v>
      </c>
      <c r="D2148" t="s">
        <v>7</v>
      </c>
      <c r="E2148" s="2" t="s">
        <v>12</v>
      </c>
      <c r="F2148">
        <f t="shared" si="33"/>
        <v>180.25470000000001</v>
      </c>
      <c r="G2148" t="s">
        <v>16</v>
      </c>
      <c r="J2148" t="str">
        <f>"08/17/1991 23:00"</f>
        <v>08/17/1991 23:00</v>
      </c>
    </row>
    <row r="2149" spans="1:10" x14ac:dyDescent="0.3">
      <c r="A2149" t="s">
        <v>6</v>
      </c>
      <c r="B2149" t="str">
        <f>"08/18/1991 00:00"</f>
        <v>08/18/1991 00:00</v>
      </c>
      <c r="C2149">
        <v>91.5</v>
      </c>
      <c r="D2149" t="s">
        <v>7</v>
      </c>
      <c r="E2149" s="2" t="s">
        <v>12</v>
      </c>
      <c r="F2149">
        <f t="shared" si="33"/>
        <v>181.44450000000001</v>
      </c>
      <c r="G2149" t="s">
        <v>16</v>
      </c>
      <c r="J2149" t="str">
        <f>"08/18/1991 23:00"</f>
        <v>08/18/1991 23:00</v>
      </c>
    </row>
    <row r="2150" spans="1:10" x14ac:dyDescent="0.3">
      <c r="A2150" t="s">
        <v>6</v>
      </c>
      <c r="B2150" t="str">
        <f>"08/19/1991 00:00"</f>
        <v>08/19/1991 00:00</v>
      </c>
      <c r="C2150">
        <v>91.4</v>
      </c>
      <c r="D2150" t="s">
        <v>7</v>
      </c>
      <c r="E2150" s="2" t="s">
        <v>12</v>
      </c>
      <c r="F2150">
        <f t="shared" si="33"/>
        <v>181.24620000000002</v>
      </c>
      <c r="G2150" t="s">
        <v>16</v>
      </c>
      <c r="J2150" t="str">
        <f>"08/19/1991 23:00"</f>
        <v>08/19/1991 23:00</v>
      </c>
    </row>
    <row r="2151" spans="1:10" x14ac:dyDescent="0.3">
      <c r="A2151" t="s">
        <v>6</v>
      </c>
      <c r="B2151" t="str">
        <f>"08/20/1991 00:00"</f>
        <v>08/20/1991 00:00</v>
      </c>
      <c r="C2151">
        <v>54.4</v>
      </c>
      <c r="D2151" t="s">
        <v>7</v>
      </c>
      <c r="E2151" s="2" t="s">
        <v>12</v>
      </c>
      <c r="F2151">
        <f t="shared" si="33"/>
        <v>107.87520000000001</v>
      </c>
      <c r="G2151" t="s">
        <v>16</v>
      </c>
      <c r="J2151" t="str">
        <f>"08/20/1991 23:00"</f>
        <v>08/20/1991 23:00</v>
      </c>
    </row>
    <row r="2152" spans="1:10" x14ac:dyDescent="0.3">
      <c r="A2152" t="s">
        <v>6</v>
      </c>
      <c r="B2152" t="str">
        <f>"08/21/1991 00:00"</f>
        <v>08/21/1991 00:00</v>
      </c>
      <c r="C2152">
        <v>1.08</v>
      </c>
      <c r="D2152" t="s">
        <v>7</v>
      </c>
      <c r="E2152" s="2" t="s">
        <v>12</v>
      </c>
      <c r="F2152">
        <f t="shared" si="33"/>
        <v>2.1416400000000002</v>
      </c>
      <c r="G2152" t="s">
        <v>16</v>
      </c>
      <c r="J2152" t="str">
        <f>"08/21/1991 23:00"</f>
        <v>08/21/1991 23:00</v>
      </c>
    </row>
    <row r="2153" spans="1:10" x14ac:dyDescent="0.3">
      <c r="A2153" t="s">
        <v>6</v>
      </c>
      <c r="B2153" t="str">
        <f>"08/22/1991 00:00"</f>
        <v>08/22/1991 00:00</v>
      </c>
      <c r="C2153">
        <v>1.08</v>
      </c>
      <c r="D2153" t="s">
        <v>7</v>
      </c>
      <c r="E2153" s="2" t="s">
        <v>12</v>
      </c>
      <c r="F2153">
        <f t="shared" si="33"/>
        <v>2.1416400000000002</v>
      </c>
      <c r="G2153" t="s">
        <v>16</v>
      </c>
      <c r="J2153" t="str">
        <f>"08/22/1991 23:00"</f>
        <v>08/22/1991 23:00</v>
      </c>
    </row>
    <row r="2154" spans="1:10" x14ac:dyDescent="0.3">
      <c r="A2154" t="s">
        <v>6</v>
      </c>
      <c r="B2154" t="str">
        <f>"08/23/1991 00:00"</f>
        <v>08/23/1991 00:00</v>
      </c>
      <c r="C2154">
        <v>1.0900000000000001</v>
      </c>
      <c r="D2154" t="s">
        <v>7</v>
      </c>
      <c r="E2154" s="2" t="s">
        <v>12</v>
      </c>
      <c r="F2154">
        <f t="shared" si="33"/>
        <v>2.1614700000000004</v>
      </c>
      <c r="G2154" t="s">
        <v>16</v>
      </c>
      <c r="I2154" t="s">
        <v>8</v>
      </c>
      <c r="J2154" t="str">
        <f>"08/23/1991 23:00"</f>
        <v>08/23/1991 23:00</v>
      </c>
    </row>
    <row r="2155" spans="1:10" x14ac:dyDescent="0.3">
      <c r="A2155" t="s">
        <v>6</v>
      </c>
      <c r="B2155" t="str">
        <f>"08/24/1991 00:00"</f>
        <v>08/24/1991 00:00</v>
      </c>
      <c r="C2155">
        <v>1.08</v>
      </c>
      <c r="D2155" t="s">
        <v>7</v>
      </c>
      <c r="E2155" s="2" t="s">
        <v>12</v>
      </c>
      <c r="F2155">
        <f t="shared" si="33"/>
        <v>2.1416400000000002</v>
      </c>
      <c r="G2155" t="s">
        <v>16</v>
      </c>
      <c r="J2155" t="str">
        <f>"08/24/1991 23:00"</f>
        <v>08/24/1991 23:00</v>
      </c>
    </row>
    <row r="2156" spans="1:10" x14ac:dyDescent="0.3">
      <c r="A2156" t="s">
        <v>6</v>
      </c>
      <c r="B2156" t="str">
        <f>"08/25/1991 00:00"</f>
        <v>08/25/1991 00:00</v>
      </c>
      <c r="C2156">
        <v>1.08</v>
      </c>
      <c r="D2156" t="s">
        <v>7</v>
      </c>
      <c r="E2156" s="2" t="s">
        <v>12</v>
      </c>
      <c r="F2156">
        <f t="shared" si="33"/>
        <v>2.1416400000000002</v>
      </c>
      <c r="G2156" t="s">
        <v>16</v>
      </c>
      <c r="I2156" t="s">
        <v>8</v>
      </c>
      <c r="J2156" t="str">
        <f>"08/25/1991 23:00"</f>
        <v>08/25/1991 23:00</v>
      </c>
    </row>
    <row r="2157" spans="1:10" x14ac:dyDescent="0.3">
      <c r="A2157" t="s">
        <v>6</v>
      </c>
      <c r="B2157" t="str">
        <f>"08/26/1991 00:00"</f>
        <v>08/26/1991 00:00</v>
      </c>
      <c r="C2157">
        <v>1.0900000000000001</v>
      </c>
      <c r="D2157" t="s">
        <v>7</v>
      </c>
      <c r="E2157" s="2" t="s">
        <v>12</v>
      </c>
      <c r="F2157">
        <f t="shared" si="33"/>
        <v>2.1614700000000004</v>
      </c>
      <c r="G2157" t="s">
        <v>16</v>
      </c>
      <c r="I2157" t="s">
        <v>8</v>
      </c>
      <c r="J2157" t="str">
        <f>"08/26/1991 23:00"</f>
        <v>08/26/1991 23:00</v>
      </c>
    </row>
    <row r="2158" spans="1:10" x14ac:dyDescent="0.3">
      <c r="A2158" t="s">
        <v>6</v>
      </c>
      <c r="B2158" t="str">
        <f>"08/27/1991 00:00"</f>
        <v>08/27/1991 00:00</v>
      </c>
      <c r="C2158">
        <v>1.08</v>
      </c>
      <c r="D2158" t="s">
        <v>7</v>
      </c>
      <c r="E2158" s="2" t="s">
        <v>12</v>
      </c>
      <c r="F2158">
        <f t="shared" si="33"/>
        <v>2.1416400000000002</v>
      </c>
      <c r="G2158" t="s">
        <v>16</v>
      </c>
      <c r="J2158" t="str">
        <f>"08/27/1991 23:00"</f>
        <v>08/27/1991 23:00</v>
      </c>
    </row>
    <row r="2159" spans="1:10" x14ac:dyDescent="0.3">
      <c r="A2159" t="s">
        <v>6</v>
      </c>
      <c r="B2159" t="str">
        <f>"08/28/1991 00:00"</f>
        <v>08/28/1991 00:00</v>
      </c>
      <c r="C2159">
        <v>1.08</v>
      </c>
      <c r="D2159" t="s">
        <v>7</v>
      </c>
      <c r="E2159" s="2" t="s">
        <v>12</v>
      </c>
      <c r="F2159">
        <f t="shared" si="33"/>
        <v>2.1416400000000002</v>
      </c>
      <c r="G2159" t="s">
        <v>16</v>
      </c>
      <c r="I2159" t="s">
        <v>8</v>
      </c>
      <c r="J2159" t="str">
        <f>"08/28/1991 23:00"</f>
        <v>08/28/1991 23:00</v>
      </c>
    </row>
    <row r="2160" spans="1:10" x14ac:dyDescent="0.3">
      <c r="A2160" t="s">
        <v>6</v>
      </c>
      <c r="B2160" t="str">
        <f>"08/29/1991 00:00"</f>
        <v>08/29/1991 00:00</v>
      </c>
      <c r="C2160">
        <v>1.08</v>
      </c>
      <c r="D2160" t="s">
        <v>7</v>
      </c>
      <c r="E2160" s="2" t="s">
        <v>12</v>
      </c>
      <c r="F2160">
        <f t="shared" si="33"/>
        <v>2.1416400000000002</v>
      </c>
      <c r="G2160" t="s">
        <v>16</v>
      </c>
      <c r="I2160" t="s">
        <v>35</v>
      </c>
      <c r="J2160" t="str">
        <f>"08/29/1991 23:00"</f>
        <v>08/29/1991 23:00</v>
      </c>
    </row>
    <row r="2161" spans="1:10" x14ac:dyDescent="0.3">
      <c r="A2161" t="s">
        <v>6</v>
      </c>
      <c r="B2161" t="str">
        <f>"08/30/1991 00:00"</f>
        <v>08/30/1991 00:00</v>
      </c>
      <c r="C2161">
        <v>1.08</v>
      </c>
      <c r="D2161" t="s">
        <v>7</v>
      </c>
      <c r="E2161" s="2" t="s">
        <v>12</v>
      </c>
      <c r="F2161">
        <f t="shared" si="33"/>
        <v>2.1416400000000002</v>
      </c>
      <c r="G2161" t="s">
        <v>16</v>
      </c>
      <c r="I2161" t="s">
        <v>35</v>
      </c>
      <c r="J2161" t="str">
        <f>"08/30/1991 23:00"</f>
        <v>08/30/1991 23:00</v>
      </c>
    </row>
    <row r="2162" spans="1:10" x14ac:dyDescent="0.3">
      <c r="A2162" t="s">
        <v>6</v>
      </c>
      <c r="B2162" t="str">
        <f>"08/31/1991 00:00"</f>
        <v>08/31/1991 00:00</v>
      </c>
      <c r="C2162">
        <v>1.02</v>
      </c>
      <c r="D2162" t="s">
        <v>7</v>
      </c>
      <c r="E2162" s="2" t="s">
        <v>12</v>
      </c>
      <c r="F2162">
        <f t="shared" si="33"/>
        <v>2.0226600000000001</v>
      </c>
      <c r="G2162" t="s">
        <v>16</v>
      </c>
      <c r="I2162" t="s">
        <v>8</v>
      </c>
      <c r="J2162" t="str">
        <f>"08/31/1991 23:00"</f>
        <v>08/31/1991 23:00</v>
      </c>
    </row>
    <row r="2163" spans="1:10" x14ac:dyDescent="0.3">
      <c r="A2163" t="s">
        <v>6</v>
      </c>
      <c r="B2163" t="str">
        <f>"09/01/1991 00:00"</f>
        <v>09/01/1991 00:00</v>
      </c>
      <c r="C2163">
        <v>0.85</v>
      </c>
      <c r="D2163" t="s">
        <v>7</v>
      </c>
      <c r="E2163" s="2" t="s">
        <v>12</v>
      </c>
      <c r="F2163">
        <f t="shared" si="33"/>
        <v>1.6855500000000001</v>
      </c>
      <c r="G2163" t="s">
        <v>16</v>
      </c>
      <c r="J2163" t="str">
        <f>"09/01/1991 23:00"</f>
        <v>09/01/1991 23:00</v>
      </c>
    </row>
    <row r="2164" spans="1:10" x14ac:dyDescent="0.3">
      <c r="A2164" t="s">
        <v>6</v>
      </c>
      <c r="B2164" t="str">
        <f>"09/02/1991 00:00"</f>
        <v>09/02/1991 00:00</v>
      </c>
      <c r="C2164">
        <v>0.85</v>
      </c>
      <c r="D2164" t="s">
        <v>7</v>
      </c>
      <c r="E2164" s="2" t="s">
        <v>12</v>
      </c>
      <c r="F2164">
        <f t="shared" si="33"/>
        <v>1.6855500000000001</v>
      </c>
      <c r="G2164" t="s">
        <v>16</v>
      </c>
      <c r="I2164" t="s">
        <v>8</v>
      </c>
      <c r="J2164" t="str">
        <f>"09/02/1991 23:00"</f>
        <v>09/02/1991 23:00</v>
      </c>
    </row>
    <row r="2165" spans="1:10" x14ac:dyDescent="0.3">
      <c r="A2165" t="s">
        <v>6</v>
      </c>
      <c r="B2165" t="str">
        <f>"09/03/1991 00:00"</f>
        <v>09/03/1991 00:00</v>
      </c>
      <c r="C2165">
        <v>0.85</v>
      </c>
      <c r="D2165" t="s">
        <v>7</v>
      </c>
      <c r="E2165" s="2" t="s">
        <v>12</v>
      </c>
      <c r="F2165">
        <f t="shared" si="33"/>
        <v>1.6855500000000001</v>
      </c>
      <c r="G2165" t="s">
        <v>16</v>
      </c>
      <c r="I2165" t="s">
        <v>35</v>
      </c>
      <c r="J2165" t="str">
        <f>"09/03/1991 23:00"</f>
        <v>09/03/1991 23:00</v>
      </c>
    </row>
    <row r="2166" spans="1:10" x14ac:dyDescent="0.3">
      <c r="A2166" t="s">
        <v>6</v>
      </c>
      <c r="B2166" t="str">
        <f>"09/04/1991 00:00"</f>
        <v>09/04/1991 00:00</v>
      </c>
      <c r="C2166">
        <v>0.85</v>
      </c>
      <c r="D2166" t="s">
        <v>7</v>
      </c>
      <c r="E2166" s="2" t="s">
        <v>12</v>
      </c>
      <c r="F2166">
        <f t="shared" si="33"/>
        <v>1.6855500000000001</v>
      </c>
      <c r="G2166" t="s">
        <v>16</v>
      </c>
      <c r="I2166" t="s">
        <v>35</v>
      </c>
      <c r="J2166" t="str">
        <f>"09/04/1991 23:00"</f>
        <v>09/04/1991 23:00</v>
      </c>
    </row>
    <row r="2167" spans="1:10" x14ac:dyDescent="0.3">
      <c r="A2167" t="s">
        <v>6</v>
      </c>
      <c r="B2167" t="str">
        <f>"09/05/1991 00:00"</f>
        <v>09/05/1991 00:00</v>
      </c>
      <c r="C2167">
        <v>0.85</v>
      </c>
      <c r="D2167" t="s">
        <v>7</v>
      </c>
      <c r="E2167" s="2" t="s">
        <v>12</v>
      </c>
      <c r="F2167">
        <f t="shared" si="33"/>
        <v>1.6855500000000001</v>
      </c>
      <c r="G2167" t="s">
        <v>16</v>
      </c>
      <c r="I2167" t="s">
        <v>35</v>
      </c>
      <c r="J2167" t="str">
        <f>"09/05/1991 23:00"</f>
        <v>09/05/1991 23:00</v>
      </c>
    </row>
    <row r="2168" spans="1:10" x14ac:dyDescent="0.3">
      <c r="A2168" t="s">
        <v>6</v>
      </c>
      <c r="B2168" t="str">
        <f>"09/06/1991 00:00"</f>
        <v>09/06/1991 00:00</v>
      </c>
      <c r="C2168">
        <v>0.85</v>
      </c>
      <c r="D2168" t="s">
        <v>7</v>
      </c>
      <c r="E2168" s="2" t="s">
        <v>12</v>
      </c>
      <c r="F2168">
        <f t="shared" si="33"/>
        <v>1.6855500000000001</v>
      </c>
      <c r="G2168" t="s">
        <v>16</v>
      </c>
      <c r="I2168" t="s">
        <v>35</v>
      </c>
      <c r="J2168" t="str">
        <f>"09/06/1991 23:00"</f>
        <v>09/06/1991 23:00</v>
      </c>
    </row>
    <row r="2169" spans="1:10" x14ac:dyDescent="0.3">
      <c r="A2169" t="s">
        <v>6</v>
      </c>
      <c r="B2169" t="str">
        <f>"09/07/1991 00:00"</f>
        <v>09/07/1991 00:00</v>
      </c>
      <c r="C2169">
        <v>0.85</v>
      </c>
      <c r="D2169" t="s">
        <v>7</v>
      </c>
      <c r="E2169" s="2" t="s">
        <v>12</v>
      </c>
      <c r="F2169">
        <f t="shared" si="33"/>
        <v>1.6855500000000001</v>
      </c>
      <c r="G2169" t="s">
        <v>16</v>
      </c>
      <c r="I2169" t="s">
        <v>35</v>
      </c>
      <c r="J2169" t="str">
        <f>"09/07/1991 23:00"</f>
        <v>09/07/1991 23:00</v>
      </c>
    </row>
    <row r="2170" spans="1:10" x14ac:dyDescent="0.3">
      <c r="A2170" t="s">
        <v>6</v>
      </c>
      <c r="B2170" t="str">
        <f>"09/08/1991 00:00"</f>
        <v>09/08/1991 00:00</v>
      </c>
      <c r="C2170">
        <v>0.85</v>
      </c>
      <c r="D2170" t="s">
        <v>7</v>
      </c>
      <c r="E2170" s="2" t="s">
        <v>12</v>
      </c>
      <c r="F2170">
        <f t="shared" si="33"/>
        <v>1.6855500000000001</v>
      </c>
      <c r="G2170" t="s">
        <v>16</v>
      </c>
      <c r="I2170" t="s">
        <v>35</v>
      </c>
      <c r="J2170" t="str">
        <f>"09/08/1991 23:00"</f>
        <v>09/08/1991 23:00</v>
      </c>
    </row>
    <row r="2171" spans="1:10" x14ac:dyDescent="0.3">
      <c r="A2171" t="s">
        <v>6</v>
      </c>
      <c r="B2171" t="str">
        <f>"09/09/1991 00:00"</f>
        <v>09/09/1991 00:00</v>
      </c>
      <c r="C2171">
        <v>0.85</v>
      </c>
      <c r="D2171" t="s">
        <v>7</v>
      </c>
      <c r="E2171" s="2" t="s">
        <v>12</v>
      </c>
      <c r="F2171">
        <f t="shared" si="33"/>
        <v>1.6855500000000001</v>
      </c>
      <c r="G2171" t="s">
        <v>16</v>
      </c>
      <c r="I2171" t="s">
        <v>35</v>
      </c>
      <c r="J2171" t="str">
        <f>"09/09/1991 23:00"</f>
        <v>09/09/1991 23:00</v>
      </c>
    </row>
    <row r="2172" spans="1:10" x14ac:dyDescent="0.3">
      <c r="A2172" t="s">
        <v>6</v>
      </c>
      <c r="B2172" t="str">
        <f>"09/10/1991 00:00"</f>
        <v>09/10/1991 00:00</v>
      </c>
      <c r="C2172">
        <v>0.85</v>
      </c>
      <c r="D2172" t="s">
        <v>7</v>
      </c>
      <c r="E2172" s="2" t="s">
        <v>12</v>
      </c>
      <c r="F2172">
        <f t="shared" si="33"/>
        <v>1.6855500000000001</v>
      </c>
      <c r="G2172" t="s">
        <v>16</v>
      </c>
      <c r="I2172" t="s">
        <v>35</v>
      </c>
      <c r="J2172" t="str">
        <f>"09/10/1991 10:00"</f>
        <v>09/10/1991 10:00</v>
      </c>
    </row>
    <row r="2173" spans="1:10" x14ac:dyDescent="0.3">
      <c r="A2173" t="s">
        <v>6</v>
      </c>
      <c r="B2173" t="str">
        <f>"09/11/1991 00:00"</f>
        <v>09/11/1991 00:00</v>
      </c>
      <c r="D2173" t="s">
        <v>7</v>
      </c>
      <c r="E2173" s="2" t="s">
        <v>12</v>
      </c>
      <c r="F2173">
        <f t="shared" si="33"/>
        <v>0</v>
      </c>
      <c r="G2173" t="s">
        <v>16</v>
      </c>
    </row>
    <row r="2174" spans="1:10" x14ac:dyDescent="0.3">
      <c r="A2174" t="s">
        <v>6</v>
      </c>
      <c r="B2174" t="str">
        <f>"09/12/1991 00:00"</f>
        <v>09/12/1991 00:00</v>
      </c>
      <c r="D2174" t="s">
        <v>7</v>
      </c>
      <c r="E2174" s="2" t="s">
        <v>12</v>
      </c>
      <c r="F2174">
        <f t="shared" si="33"/>
        <v>0</v>
      </c>
      <c r="G2174" t="s">
        <v>16</v>
      </c>
    </row>
    <row r="2175" spans="1:10" x14ac:dyDescent="0.3">
      <c r="A2175" t="s">
        <v>6</v>
      </c>
      <c r="B2175" t="str">
        <f>"09/13/1991 00:00"</f>
        <v>09/13/1991 00:00</v>
      </c>
      <c r="D2175" t="s">
        <v>7</v>
      </c>
      <c r="E2175" s="2" t="s">
        <v>12</v>
      </c>
      <c r="F2175">
        <f t="shared" si="33"/>
        <v>0</v>
      </c>
      <c r="G2175" t="s">
        <v>16</v>
      </c>
    </row>
    <row r="2176" spans="1:10" x14ac:dyDescent="0.3">
      <c r="A2176" t="s">
        <v>6</v>
      </c>
      <c r="B2176" t="str">
        <f>"09/14/1991 00:00"</f>
        <v>09/14/1991 00:00</v>
      </c>
      <c r="D2176" t="s">
        <v>7</v>
      </c>
      <c r="E2176" s="2" t="s">
        <v>12</v>
      </c>
      <c r="F2176">
        <f t="shared" si="33"/>
        <v>0</v>
      </c>
      <c r="G2176" t="s">
        <v>16</v>
      </c>
    </row>
    <row r="2177" spans="1:10" x14ac:dyDescent="0.3">
      <c r="A2177" t="s">
        <v>6</v>
      </c>
      <c r="B2177" t="str">
        <f>"09/15/1991 00:00"</f>
        <v>09/15/1991 00:00</v>
      </c>
      <c r="D2177" t="s">
        <v>7</v>
      </c>
      <c r="E2177" s="2" t="s">
        <v>12</v>
      </c>
      <c r="F2177">
        <f t="shared" si="33"/>
        <v>0</v>
      </c>
      <c r="G2177" t="s">
        <v>16</v>
      </c>
    </row>
    <row r="2178" spans="1:10" x14ac:dyDescent="0.3">
      <c r="A2178" t="s">
        <v>6</v>
      </c>
      <c r="B2178" t="str">
        <f>"09/16/1991 00:00"</f>
        <v>09/16/1991 00:00</v>
      </c>
      <c r="D2178" t="s">
        <v>7</v>
      </c>
      <c r="E2178" s="2" t="s">
        <v>12</v>
      </c>
      <c r="F2178">
        <f t="shared" si="33"/>
        <v>0</v>
      </c>
      <c r="G2178" t="s">
        <v>16</v>
      </c>
    </row>
    <row r="2179" spans="1:10" x14ac:dyDescent="0.3">
      <c r="A2179" t="s">
        <v>6</v>
      </c>
      <c r="B2179" t="str">
        <f>"09/17/1991 00:00"</f>
        <v>09/17/1991 00:00</v>
      </c>
      <c r="D2179" t="s">
        <v>7</v>
      </c>
      <c r="E2179" s="2" t="s">
        <v>12</v>
      </c>
      <c r="F2179">
        <f t="shared" ref="F2179:F2242" si="34">C2179*1.983</f>
        <v>0</v>
      </c>
      <c r="G2179" t="s">
        <v>16</v>
      </c>
    </row>
    <row r="2180" spans="1:10" x14ac:dyDescent="0.3">
      <c r="A2180" t="s">
        <v>6</v>
      </c>
      <c r="B2180" t="str">
        <f>"09/18/1991 00:00"</f>
        <v>09/18/1991 00:00</v>
      </c>
      <c r="D2180" t="s">
        <v>7</v>
      </c>
      <c r="E2180" s="2" t="s">
        <v>12</v>
      </c>
      <c r="F2180">
        <f t="shared" si="34"/>
        <v>0</v>
      </c>
      <c r="G2180" t="s">
        <v>16</v>
      </c>
    </row>
    <row r="2181" spans="1:10" x14ac:dyDescent="0.3">
      <c r="A2181" t="s">
        <v>6</v>
      </c>
      <c r="B2181" t="str">
        <f>"09/19/1991 00:00"</f>
        <v>09/19/1991 00:00</v>
      </c>
      <c r="D2181" t="s">
        <v>7</v>
      </c>
      <c r="E2181" s="2" t="s">
        <v>12</v>
      </c>
      <c r="F2181">
        <f t="shared" si="34"/>
        <v>0</v>
      </c>
      <c r="G2181" t="s">
        <v>16</v>
      </c>
    </row>
    <row r="2182" spans="1:10" x14ac:dyDescent="0.3">
      <c r="A2182" t="s">
        <v>6</v>
      </c>
      <c r="B2182" t="str">
        <f>"09/20/1991 00:00"</f>
        <v>09/20/1991 00:00</v>
      </c>
      <c r="D2182" t="s">
        <v>7</v>
      </c>
      <c r="E2182" s="2" t="s">
        <v>12</v>
      </c>
      <c r="F2182">
        <f t="shared" si="34"/>
        <v>0</v>
      </c>
      <c r="G2182" t="s">
        <v>16</v>
      </c>
    </row>
    <row r="2183" spans="1:10" x14ac:dyDescent="0.3">
      <c r="A2183" t="s">
        <v>6</v>
      </c>
      <c r="B2183" t="str">
        <f>"09/21/1991 00:00"</f>
        <v>09/21/1991 00:00</v>
      </c>
      <c r="D2183" t="s">
        <v>7</v>
      </c>
      <c r="E2183" s="2" t="s">
        <v>12</v>
      </c>
      <c r="F2183">
        <f t="shared" si="34"/>
        <v>0</v>
      </c>
      <c r="G2183" t="s">
        <v>16</v>
      </c>
    </row>
    <row r="2184" spans="1:10" x14ac:dyDescent="0.3">
      <c r="A2184" t="s">
        <v>6</v>
      </c>
      <c r="B2184" t="str">
        <f>"09/22/1991 00:00"</f>
        <v>09/22/1991 00:00</v>
      </c>
      <c r="D2184" t="s">
        <v>7</v>
      </c>
      <c r="E2184" s="2" t="s">
        <v>12</v>
      </c>
      <c r="F2184">
        <f t="shared" si="34"/>
        <v>0</v>
      </c>
      <c r="G2184" t="s">
        <v>16</v>
      </c>
    </row>
    <row r="2185" spans="1:10" x14ac:dyDescent="0.3">
      <c r="A2185" t="s">
        <v>6</v>
      </c>
      <c r="B2185" t="str">
        <f>"09/23/1991 00:00"</f>
        <v>09/23/1991 00:00</v>
      </c>
      <c r="D2185" t="s">
        <v>7</v>
      </c>
      <c r="E2185" s="2" t="s">
        <v>12</v>
      </c>
      <c r="F2185">
        <f t="shared" si="34"/>
        <v>0</v>
      </c>
      <c r="G2185" t="s">
        <v>16</v>
      </c>
    </row>
    <row r="2186" spans="1:10" x14ac:dyDescent="0.3">
      <c r="A2186" t="s">
        <v>6</v>
      </c>
      <c r="B2186" t="str">
        <f>"09/24/1991 00:00"</f>
        <v>09/24/1991 00:00</v>
      </c>
      <c r="C2186">
        <v>133</v>
      </c>
      <c r="D2186" t="s">
        <v>7</v>
      </c>
      <c r="E2186" s="2" t="s">
        <v>12</v>
      </c>
      <c r="F2186">
        <f t="shared" si="34"/>
        <v>263.73900000000003</v>
      </c>
      <c r="G2186" t="s">
        <v>16</v>
      </c>
      <c r="J2186" t="str">
        <f>"09/24/1991 23:00"</f>
        <v>09/24/1991 23:00</v>
      </c>
    </row>
    <row r="2187" spans="1:10" x14ac:dyDescent="0.3">
      <c r="A2187" t="s">
        <v>6</v>
      </c>
      <c r="B2187" t="str">
        <f>"09/25/1991 00:00"</f>
        <v>09/25/1991 00:00</v>
      </c>
      <c r="C2187">
        <v>215</v>
      </c>
      <c r="D2187" t="s">
        <v>7</v>
      </c>
      <c r="E2187" s="2" t="s">
        <v>12</v>
      </c>
      <c r="F2187">
        <f t="shared" si="34"/>
        <v>426.34500000000003</v>
      </c>
      <c r="G2187" t="s">
        <v>16</v>
      </c>
      <c r="J2187" t="str">
        <f>"09/25/1991 23:00"</f>
        <v>09/25/1991 23:00</v>
      </c>
    </row>
    <row r="2188" spans="1:10" x14ac:dyDescent="0.3">
      <c r="A2188" t="s">
        <v>6</v>
      </c>
      <c r="B2188" t="str">
        <f>"09/26/1991 00:00"</f>
        <v>09/26/1991 00:00</v>
      </c>
      <c r="C2188">
        <v>215</v>
      </c>
      <c r="D2188" t="s">
        <v>7</v>
      </c>
      <c r="E2188" s="2" t="s">
        <v>12</v>
      </c>
      <c r="F2188">
        <f t="shared" si="34"/>
        <v>426.34500000000003</v>
      </c>
      <c r="G2188" t="s">
        <v>16</v>
      </c>
      <c r="I2188" t="s">
        <v>8</v>
      </c>
      <c r="J2188" t="str">
        <f>"09/26/1991 23:00"</f>
        <v>09/26/1991 23:00</v>
      </c>
    </row>
    <row r="2189" spans="1:10" x14ac:dyDescent="0.3">
      <c r="A2189" t="s">
        <v>6</v>
      </c>
      <c r="B2189" t="str">
        <f>"09/27/1991 00:00"</f>
        <v>09/27/1991 00:00</v>
      </c>
      <c r="C2189">
        <v>215</v>
      </c>
      <c r="D2189" t="s">
        <v>7</v>
      </c>
      <c r="E2189" s="2" t="s">
        <v>12</v>
      </c>
      <c r="F2189">
        <f t="shared" si="34"/>
        <v>426.34500000000003</v>
      </c>
      <c r="G2189" t="s">
        <v>16</v>
      </c>
      <c r="I2189" t="s">
        <v>35</v>
      </c>
      <c r="J2189" t="str">
        <f>"09/27/1991 23:00"</f>
        <v>09/27/1991 23:00</v>
      </c>
    </row>
    <row r="2190" spans="1:10" x14ac:dyDescent="0.3">
      <c r="A2190" t="s">
        <v>6</v>
      </c>
      <c r="B2190" t="str">
        <f>"09/28/1991 00:00"</f>
        <v>09/28/1991 00:00</v>
      </c>
      <c r="C2190">
        <v>214</v>
      </c>
      <c r="D2190" t="s">
        <v>7</v>
      </c>
      <c r="E2190" s="2" t="s">
        <v>12</v>
      </c>
      <c r="F2190">
        <f t="shared" si="34"/>
        <v>424.36200000000002</v>
      </c>
      <c r="G2190" t="s">
        <v>16</v>
      </c>
      <c r="I2190" t="s">
        <v>8</v>
      </c>
      <c r="J2190" t="str">
        <f>"09/28/1991 23:00"</f>
        <v>09/28/1991 23:00</v>
      </c>
    </row>
    <row r="2191" spans="1:10" x14ac:dyDescent="0.3">
      <c r="A2191" t="s">
        <v>6</v>
      </c>
      <c r="B2191" t="str">
        <f>"09/29/1991 00:00"</f>
        <v>09/29/1991 00:00</v>
      </c>
      <c r="C2191">
        <v>213</v>
      </c>
      <c r="D2191" t="s">
        <v>7</v>
      </c>
      <c r="E2191" s="2" t="s">
        <v>12</v>
      </c>
      <c r="F2191">
        <f t="shared" si="34"/>
        <v>422.37900000000002</v>
      </c>
      <c r="G2191" t="s">
        <v>16</v>
      </c>
      <c r="J2191" t="str">
        <f>"09/29/1991 23:00"</f>
        <v>09/29/1991 23:00</v>
      </c>
    </row>
    <row r="2192" spans="1:10" x14ac:dyDescent="0.3">
      <c r="A2192" t="s">
        <v>6</v>
      </c>
      <c r="B2192" t="str">
        <f>"09/30/1991 00:00"</f>
        <v>09/30/1991 00:00</v>
      </c>
      <c r="C2192">
        <v>213</v>
      </c>
      <c r="D2192" t="s">
        <v>7</v>
      </c>
      <c r="E2192" s="2" t="s">
        <v>12</v>
      </c>
      <c r="F2192">
        <f t="shared" si="34"/>
        <v>422.37900000000002</v>
      </c>
      <c r="G2192" t="s">
        <v>16</v>
      </c>
      <c r="J2192" t="str">
        <f>"09/30/1991 23:00"</f>
        <v>09/30/1991 23:00</v>
      </c>
    </row>
    <row r="2193" spans="1:10" x14ac:dyDescent="0.3">
      <c r="A2193" t="s">
        <v>6</v>
      </c>
      <c r="B2193" t="str">
        <f>"10/01/1991 00:00"</f>
        <v>10/01/1991 00:00</v>
      </c>
      <c r="D2193" t="s">
        <v>7</v>
      </c>
      <c r="E2193" s="2" t="s">
        <v>12</v>
      </c>
      <c r="F2193">
        <f t="shared" si="34"/>
        <v>0</v>
      </c>
      <c r="G2193" t="s">
        <v>16</v>
      </c>
      <c r="I2193" t="s">
        <v>36</v>
      </c>
      <c r="J2193" t="str">
        <f>"10/01/1991 23:00"</f>
        <v>10/01/1991 23:00</v>
      </c>
    </row>
    <row r="2194" spans="1:10" x14ac:dyDescent="0.3">
      <c r="A2194" t="s">
        <v>6</v>
      </c>
      <c r="B2194" t="str">
        <f>"10/02/1991 00:00"</f>
        <v>10/02/1991 00:00</v>
      </c>
      <c r="D2194" t="s">
        <v>7</v>
      </c>
      <c r="E2194" s="2" t="s">
        <v>12</v>
      </c>
      <c r="F2194">
        <f t="shared" si="34"/>
        <v>0</v>
      </c>
      <c r="G2194" t="s">
        <v>16</v>
      </c>
      <c r="I2194" t="s">
        <v>36</v>
      </c>
      <c r="J2194" t="str">
        <f>"10/02/1991 23:00"</f>
        <v>10/02/1991 23:00</v>
      </c>
    </row>
    <row r="2195" spans="1:10" x14ac:dyDescent="0.3">
      <c r="A2195" t="s">
        <v>6</v>
      </c>
      <c r="B2195" t="str">
        <f>"10/03/1991 00:00"</f>
        <v>10/03/1991 00:00</v>
      </c>
      <c r="D2195" t="s">
        <v>7</v>
      </c>
      <c r="E2195" s="2" t="s">
        <v>12</v>
      </c>
      <c r="F2195">
        <f t="shared" si="34"/>
        <v>0</v>
      </c>
      <c r="G2195" t="s">
        <v>16</v>
      </c>
    </row>
    <row r="2196" spans="1:10" x14ac:dyDescent="0.3">
      <c r="A2196" t="s">
        <v>6</v>
      </c>
      <c r="B2196" t="str">
        <f>"10/04/1991 00:00"</f>
        <v>10/04/1991 00:00</v>
      </c>
      <c r="D2196" t="s">
        <v>7</v>
      </c>
      <c r="E2196" s="2" t="s">
        <v>12</v>
      </c>
      <c r="F2196">
        <f t="shared" si="34"/>
        <v>0</v>
      </c>
      <c r="G2196" t="s">
        <v>16</v>
      </c>
    </row>
    <row r="2197" spans="1:10" x14ac:dyDescent="0.3">
      <c r="A2197" t="s">
        <v>6</v>
      </c>
      <c r="B2197" t="str">
        <f>"10/05/1991 00:00"</f>
        <v>10/05/1991 00:00</v>
      </c>
      <c r="D2197" t="s">
        <v>7</v>
      </c>
      <c r="E2197" s="2" t="s">
        <v>12</v>
      </c>
      <c r="F2197">
        <f t="shared" si="34"/>
        <v>0</v>
      </c>
      <c r="G2197" t="s">
        <v>16</v>
      </c>
    </row>
    <row r="2198" spans="1:10" x14ac:dyDescent="0.3">
      <c r="A2198" t="s">
        <v>6</v>
      </c>
      <c r="B2198" t="str">
        <f>"10/06/1991 00:00"</f>
        <v>10/06/1991 00:00</v>
      </c>
      <c r="D2198" t="s">
        <v>7</v>
      </c>
      <c r="E2198" s="2" t="s">
        <v>12</v>
      </c>
      <c r="F2198">
        <f t="shared" si="34"/>
        <v>0</v>
      </c>
      <c r="G2198" t="s">
        <v>16</v>
      </c>
    </row>
    <row r="2199" spans="1:10" x14ac:dyDescent="0.3">
      <c r="A2199" t="s">
        <v>6</v>
      </c>
      <c r="B2199" t="str">
        <f>"10/07/1991 00:00"</f>
        <v>10/07/1991 00:00</v>
      </c>
      <c r="D2199" t="s">
        <v>7</v>
      </c>
      <c r="E2199" s="2" t="s">
        <v>12</v>
      </c>
      <c r="F2199">
        <f t="shared" si="34"/>
        <v>0</v>
      </c>
      <c r="G2199" t="s">
        <v>16</v>
      </c>
    </row>
    <row r="2200" spans="1:10" x14ac:dyDescent="0.3">
      <c r="A2200" t="s">
        <v>6</v>
      </c>
      <c r="B2200" t="str">
        <f>"10/08/1991 00:00"</f>
        <v>10/08/1991 00:00</v>
      </c>
      <c r="D2200" t="s">
        <v>7</v>
      </c>
      <c r="E2200" s="2" t="s">
        <v>12</v>
      </c>
      <c r="F2200">
        <f t="shared" si="34"/>
        <v>0</v>
      </c>
      <c r="G2200" t="s">
        <v>16</v>
      </c>
    </row>
    <row r="2201" spans="1:10" x14ac:dyDescent="0.3">
      <c r="A2201" t="s">
        <v>6</v>
      </c>
      <c r="B2201" t="str">
        <f>"10/09/1991 00:00"</f>
        <v>10/09/1991 00:00</v>
      </c>
      <c r="D2201" t="s">
        <v>7</v>
      </c>
      <c r="E2201" s="2" t="s">
        <v>12</v>
      </c>
      <c r="F2201">
        <f t="shared" si="34"/>
        <v>0</v>
      </c>
      <c r="G2201" t="s">
        <v>16</v>
      </c>
    </row>
    <row r="2202" spans="1:10" x14ac:dyDescent="0.3">
      <c r="A2202" t="s">
        <v>6</v>
      </c>
      <c r="B2202" t="str">
        <f>"10/10/1991 00:00"</f>
        <v>10/10/1991 00:00</v>
      </c>
      <c r="D2202" t="s">
        <v>7</v>
      </c>
      <c r="E2202" s="2" t="s">
        <v>12</v>
      </c>
      <c r="F2202">
        <f t="shared" si="34"/>
        <v>0</v>
      </c>
      <c r="G2202" t="s">
        <v>16</v>
      </c>
    </row>
    <row r="2203" spans="1:10" x14ac:dyDescent="0.3">
      <c r="A2203" t="s">
        <v>6</v>
      </c>
      <c r="B2203" t="str">
        <f>"10/11/1991 00:00"</f>
        <v>10/11/1991 00:00</v>
      </c>
      <c r="C2203">
        <v>215</v>
      </c>
      <c r="D2203" t="s">
        <v>7</v>
      </c>
      <c r="E2203" s="2" t="s">
        <v>12</v>
      </c>
      <c r="F2203">
        <f t="shared" si="34"/>
        <v>426.34500000000003</v>
      </c>
      <c r="G2203" t="s">
        <v>16</v>
      </c>
      <c r="J2203" t="str">
        <f>"10/11/1991 23:00"</f>
        <v>10/11/1991 23:00</v>
      </c>
    </row>
    <row r="2204" spans="1:10" x14ac:dyDescent="0.3">
      <c r="A2204" t="s">
        <v>6</v>
      </c>
      <c r="B2204" t="str">
        <f>"10/12/1991 00:00"</f>
        <v>10/12/1991 00:00</v>
      </c>
      <c r="C2204">
        <v>215</v>
      </c>
      <c r="D2204" t="s">
        <v>7</v>
      </c>
      <c r="E2204" s="2" t="s">
        <v>12</v>
      </c>
      <c r="F2204">
        <f t="shared" si="34"/>
        <v>426.34500000000003</v>
      </c>
      <c r="G2204" t="s">
        <v>16</v>
      </c>
      <c r="J2204" t="str">
        <f>"10/12/1991 23:00"</f>
        <v>10/12/1991 23:00</v>
      </c>
    </row>
    <row r="2205" spans="1:10" x14ac:dyDescent="0.3">
      <c r="A2205" t="s">
        <v>6</v>
      </c>
      <c r="B2205" t="str">
        <f>"10/13/1991 00:00"</f>
        <v>10/13/1991 00:00</v>
      </c>
      <c r="C2205">
        <v>215</v>
      </c>
      <c r="D2205" t="s">
        <v>7</v>
      </c>
      <c r="E2205" s="2" t="s">
        <v>12</v>
      </c>
      <c r="F2205">
        <f t="shared" si="34"/>
        <v>426.34500000000003</v>
      </c>
      <c r="G2205" t="s">
        <v>16</v>
      </c>
      <c r="I2205" t="s">
        <v>8</v>
      </c>
      <c r="J2205" t="str">
        <f>"10/13/1991 23:00"</f>
        <v>10/13/1991 23:00</v>
      </c>
    </row>
    <row r="2206" spans="1:10" x14ac:dyDescent="0.3">
      <c r="A2206" t="s">
        <v>6</v>
      </c>
      <c r="B2206" t="str">
        <f>"10/14/1991 00:00"</f>
        <v>10/14/1991 00:00</v>
      </c>
      <c r="C2206">
        <v>95</v>
      </c>
      <c r="D2206" t="s">
        <v>7</v>
      </c>
      <c r="E2206" s="2" t="s">
        <v>12</v>
      </c>
      <c r="F2206">
        <f t="shared" si="34"/>
        <v>188.38500000000002</v>
      </c>
      <c r="G2206" t="s">
        <v>16</v>
      </c>
      <c r="I2206" t="s">
        <v>8</v>
      </c>
      <c r="J2206" t="str">
        <f>"10/14/1991 23:00"</f>
        <v>10/14/1991 23:00</v>
      </c>
    </row>
    <row r="2207" spans="1:10" x14ac:dyDescent="0.3">
      <c r="A2207" t="s">
        <v>6</v>
      </c>
      <c r="B2207" t="str">
        <f>"10/15/1991 00:00"</f>
        <v>10/15/1991 00:00</v>
      </c>
      <c r="C2207">
        <v>0.63</v>
      </c>
      <c r="D2207" t="s">
        <v>7</v>
      </c>
      <c r="E2207" s="2" t="s">
        <v>12</v>
      </c>
      <c r="F2207">
        <f t="shared" si="34"/>
        <v>1.24929</v>
      </c>
      <c r="G2207" t="s">
        <v>16</v>
      </c>
      <c r="J2207" t="str">
        <f>"10/15/1991 23:00"</f>
        <v>10/15/1991 23:00</v>
      </c>
    </row>
    <row r="2208" spans="1:10" x14ac:dyDescent="0.3">
      <c r="A2208" t="s">
        <v>6</v>
      </c>
      <c r="B2208" t="str">
        <f>"10/16/1991 00:00"</f>
        <v>10/16/1991 00:00</v>
      </c>
      <c r="C2208">
        <v>0.63</v>
      </c>
      <c r="D2208" t="s">
        <v>7</v>
      </c>
      <c r="E2208" s="2" t="s">
        <v>12</v>
      </c>
      <c r="F2208">
        <f t="shared" si="34"/>
        <v>1.24929</v>
      </c>
      <c r="G2208" t="s">
        <v>16</v>
      </c>
      <c r="J2208" t="str">
        <f>"10/16/1991 23:00"</f>
        <v>10/16/1991 23:00</v>
      </c>
    </row>
    <row r="2209" spans="1:10" x14ac:dyDescent="0.3">
      <c r="A2209" t="s">
        <v>6</v>
      </c>
      <c r="B2209" t="str">
        <f>"10/17/1991 00:00"</f>
        <v>10/17/1991 00:00</v>
      </c>
      <c r="C2209">
        <v>0.63</v>
      </c>
      <c r="D2209" t="s">
        <v>7</v>
      </c>
      <c r="E2209" s="2" t="s">
        <v>12</v>
      </c>
      <c r="F2209">
        <f t="shared" si="34"/>
        <v>1.24929</v>
      </c>
      <c r="G2209" t="s">
        <v>16</v>
      </c>
      <c r="J2209" t="str">
        <f>"10/17/1991 23:00"</f>
        <v>10/17/1991 23:00</v>
      </c>
    </row>
    <row r="2210" spans="1:10" x14ac:dyDescent="0.3">
      <c r="A2210" t="s">
        <v>6</v>
      </c>
      <c r="B2210" t="str">
        <f>"10/18/1991 00:00"</f>
        <v>10/18/1991 00:00</v>
      </c>
      <c r="C2210">
        <v>0.63</v>
      </c>
      <c r="D2210" t="s">
        <v>7</v>
      </c>
      <c r="E2210" s="2" t="s">
        <v>12</v>
      </c>
      <c r="F2210">
        <f t="shared" si="34"/>
        <v>1.24929</v>
      </c>
      <c r="G2210" t="s">
        <v>16</v>
      </c>
      <c r="J2210" t="str">
        <f>"10/18/1991 23:00"</f>
        <v>10/18/1991 23:00</v>
      </c>
    </row>
    <row r="2211" spans="1:10" x14ac:dyDescent="0.3">
      <c r="A2211" t="s">
        <v>6</v>
      </c>
      <c r="B2211" t="str">
        <f>"10/19/1991 00:00"</f>
        <v>10/19/1991 00:00</v>
      </c>
      <c r="C2211">
        <v>0.63</v>
      </c>
      <c r="D2211" t="s">
        <v>7</v>
      </c>
      <c r="E2211" s="2" t="s">
        <v>12</v>
      </c>
      <c r="F2211">
        <f t="shared" si="34"/>
        <v>1.24929</v>
      </c>
      <c r="G2211" t="s">
        <v>16</v>
      </c>
      <c r="I2211" t="s">
        <v>8</v>
      </c>
      <c r="J2211" t="str">
        <f>"10/19/1991 23:00"</f>
        <v>10/19/1991 23:00</v>
      </c>
    </row>
    <row r="2212" spans="1:10" x14ac:dyDescent="0.3">
      <c r="A2212" t="s">
        <v>6</v>
      </c>
      <c r="B2212" t="str">
        <f>"10/20/1991 00:00"</f>
        <v>10/20/1991 00:00</v>
      </c>
      <c r="C2212">
        <v>0.78600000000000003</v>
      </c>
      <c r="D2212" t="s">
        <v>7</v>
      </c>
      <c r="E2212" s="2" t="s">
        <v>12</v>
      </c>
      <c r="F2212">
        <f t="shared" si="34"/>
        <v>1.5586380000000002</v>
      </c>
      <c r="G2212" t="s">
        <v>16</v>
      </c>
      <c r="I2212" t="s">
        <v>8</v>
      </c>
      <c r="J2212" t="str">
        <f>"10/20/1991 23:00"</f>
        <v>10/20/1991 23:00</v>
      </c>
    </row>
    <row r="2213" spans="1:10" x14ac:dyDescent="0.3">
      <c r="A2213" t="s">
        <v>6</v>
      </c>
      <c r="B2213" t="str">
        <f>"10/21/1991 00:00"</f>
        <v>10/21/1991 00:00</v>
      </c>
      <c r="C2213">
        <v>0.85</v>
      </c>
      <c r="D2213" t="s">
        <v>7</v>
      </c>
      <c r="E2213" s="2" t="s">
        <v>12</v>
      </c>
      <c r="F2213">
        <f t="shared" si="34"/>
        <v>1.6855500000000001</v>
      </c>
      <c r="G2213" t="s">
        <v>16</v>
      </c>
      <c r="J2213" t="str">
        <f>"10/21/1991 23:00"</f>
        <v>10/21/1991 23:00</v>
      </c>
    </row>
    <row r="2214" spans="1:10" x14ac:dyDescent="0.3">
      <c r="A2214" t="s">
        <v>6</v>
      </c>
      <c r="B2214" t="str">
        <f>"10/22/1991 00:00"</f>
        <v>10/22/1991 00:00</v>
      </c>
      <c r="C2214">
        <v>0.85</v>
      </c>
      <c r="D2214" t="s">
        <v>7</v>
      </c>
      <c r="E2214" s="2" t="s">
        <v>12</v>
      </c>
      <c r="F2214">
        <f t="shared" si="34"/>
        <v>1.6855500000000001</v>
      </c>
      <c r="G2214" t="s">
        <v>16</v>
      </c>
      <c r="I2214" t="s">
        <v>35</v>
      </c>
      <c r="J2214" t="str">
        <f>"10/22/1991 23:00"</f>
        <v>10/22/1991 23:00</v>
      </c>
    </row>
    <row r="2215" spans="1:10" x14ac:dyDescent="0.3">
      <c r="A2215" t="s">
        <v>6</v>
      </c>
      <c r="B2215" t="str">
        <f>"10/23/1991 00:00"</f>
        <v>10/23/1991 00:00</v>
      </c>
      <c r="C2215">
        <v>0.85</v>
      </c>
      <c r="D2215" t="s">
        <v>7</v>
      </c>
      <c r="E2215" s="2" t="s">
        <v>12</v>
      </c>
      <c r="F2215">
        <f t="shared" si="34"/>
        <v>1.6855500000000001</v>
      </c>
      <c r="G2215" t="s">
        <v>16</v>
      </c>
      <c r="I2215" t="s">
        <v>35</v>
      </c>
      <c r="J2215" t="str">
        <f>"10/23/1991 23:00"</f>
        <v>10/23/1991 23:00</v>
      </c>
    </row>
    <row r="2216" spans="1:10" x14ac:dyDescent="0.3">
      <c r="A2216" t="s">
        <v>6</v>
      </c>
      <c r="B2216" t="str">
        <f>"10/24/1991 00:00"</f>
        <v>10/24/1991 00:00</v>
      </c>
      <c r="C2216">
        <v>0.85</v>
      </c>
      <c r="D2216" t="s">
        <v>7</v>
      </c>
      <c r="E2216" s="2" t="s">
        <v>12</v>
      </c>
      <c r="F2216">
        <f t="shared" si="34"/>
        <v>1.6855500000000001</v>
      </c>
      <c r="G2216" t="s">
        <v>16</v>
      </c>
      <c r="I2216" t="s">
        <v>35</v>
      </c>
      <c r="J2216" t="str">
        <f>"10/24/1991 23:00"</f>
        <v>10/24/1991 23:00</v>
      </c>
    </row>
    <row r="2217" spans="1:10" x14ac:dyDescent="0.3">
      <c r="A2217" t="s">
        <v>6</v>
      </c>
      <c r="B2217" t="str">
        <f>"10/25/1991 00:00"</f>
        <v>10/25/1991 00:00</v>
      </c>
      <c r="C2217">
        <v>0.85</v>
      </c>
      <c r="D2217" t="s">
        <v>7</v>
      </c>
      <c r="E2217" s="2" t="s">
        <v>12</v>
      </c>
      <c r="F2217">
        <f t="shared" si="34"/>
        <v>1.6855500000000001</v>
      </c>
      <c r="G2217" t="s">
        <v>16</v>
      </c>
      <c r="I2217" t="s">
        <v>35</v>
      </c>
      <c r="J2217" t="str">
        <f>"10/25/1991 23:00"</f>
        <v>10/25/1991 23:00</v>
      </c>
    </row>
    <row r="2218" spans="1:10" x14ac:dyDescent="0.3">
      <c r="A2218" t="s">
        <v>6</v>
      </c>
      <c r="B2218" t="str">
        <f>"10/26/1991 00:00"</f>
        <v>10/26/1991 00:00</v>
      </c>
      <c r="C2218">
        <v>0.85</v>
      </c>
      <c r="D2218" t="s">
        <v>7</v>
      </c>
      <c r="E2218" s="2" t="s">
        <v>12</v>
      </c>
      <c r="F2218">
        <f t="shared" si="34"/>
        <v>1.6855500000000001</v>
      </c>
      <c r="G2218" t="s">
        <v>16</v>
      </c>
      <c r="I2218" t="s">
        <v>35</v>
      </c>
      <c r="J2218" t="str">
        <f>"10/26/1991 23:00"</f>
        <v>10/26/1991 23:00</v>
      </c>
    </row>
    <row r="2219" spans="1:10" x14ac:dyDescent="0.3">
      <c r="A2219" t="s">
        <v>6</v>
      </c>
      <c r="B2219" t="str">
        <f>"10/27/1991 00:00"</f>
        <v>10/27/1991 00:00</v>
      </c>
      <c r="C2219">
        <v>0.96499999999999997</v>
      </c>
      <c r="D2219" t="s">
        <v>7</v>
      </c>
      <c r="E2219" s="2" t="s">
        <v>12</v>
      </c>
      <c r="F2219">
        <f t="shared" si="34"/>
        <v>1.9135949999999999</v>
      </c>
      <c r="G2219" t="s">
        <v>16</v>
      </c>
      <c r="I2219" t="s">
        <v>8</v>
      </c>
      <c r="J2219" t="str">
        <f>"10/27/1991 23:00"</f>
        <v>10/27/1991 23:00</v>
      </c>
    </row>
    <row r="2220" spans="1:10" x14ac:dyDescent="0.3">
      <c r="A2220" t="s">
        <v>6</v>
      </c>
      <c r="B2220" t="str">
        <f>"10/28/1991 00:00"</f>
        <v>10/28/1991 00:00</v>
      </c>
      <c r="C2220">
        <v>1.08</v>
      </c>
      <c r="D2220" t="s">
        <v>7</v>
      </c>
      <c r="E2220" s="2" t="s">
        <v>12</v>
      </c>
      <c r="F2220">
        <f t="shared" si="34"/>
        <v>2.1416400000000002</v>
      </c>
      <c r="G2220" t="s">
        <v>16</v>
      </c>
      <c r="I2220" t="s">
        <v>8</v>
      </c>
      <c r="J2220" t="str">
        <f>"10/28/1991 23:00"</f>
        <v>10/28/1991 23:00</v>
      </c>
    </row>
    <row r="2221" spans="1:10" x14ac:dyDescent="0.3">
      <c r="A2221" t="s">
        <v>6</v>
      </c>
      <c r="B2221" t="str">
        <f>"10/29/1991 00:00"</f>
        <v>10/29/1991 00:00</v>
      </c>
      <c r="C2221">
        <v>1.23</v>
      </c>
      <c r="D2221" t="s">
        <v>7</v>
      </c>
      <c r="E2221" s="2" t="s">
        <v>12</v>
      </c>
      <c r="F2221">
        <f t="shared" si="34"/>
        <v>2.4390900000000002</v>
      </c>
      <c r="G2221" t="s">
        <v>16</v>
      </c>
      <c r="J2221" t="str">
        <f>"10/29/1991 23:00"</f>
        <v>10/29/1991 23:00</v>
      </c>
    </row>
    <row r="2222" spans="1:10" x14ac:dyDescent="0.3">
      <c r="A2222" t="s">
        <v>6</v>
      </c>
      <c r="B2222" t="str">
        <f>"10/30/1991 00:00"</f>
        <v>10/30/1991 00:00</v>
      </c>
      <c r="C2222">
        <v>1.34</v>
      </c>
      <c r="D2222" t="s">
        <v>7</v>
      </c>
      <c r="E2222" s="2" t="s">
        <v>12</v>
      </c>
      <c r="F2222">
        <f t="shared" si="34"/>
        <v>2.6572200000000001</v>
      </c>
      <c r="G2222" t="s">
        <v>16</v>
      </c>
      <c r="J2222" t="str">
        <f>"10/30/1991 05:00"</f>
        <v>10/30/1991 05:00</v>
      </c>
    </row>
    <row r="2223" spans="1:10" x14ac:dyDescent="0.3">
      <c r="A2223" t="s">
        <v>6</v>
      </c>
      <c r="B2223" t="str">
        <f>"10/31/1991 00:00"</f>
        <v>10/31/1991 00:00</v>
      </c>
      <c r="C2223">
        <v>73.8</v>
      </c>
      <c r="D2223" t="s">
        <v>7</v>
      </c>
      <c r="E2223" s="2" t="s">
        <v>12</v>
      </c>
      <c r="F2223">
        <f t="shared" si="34"/>
        <v>146.34540000000001</v>
      </c>
      <c r="G2223" t="s">
        <v>16</v>
      </c>
      <c r="J2223" t="str">
        <f>"10/31/1991 23:00"</f>
        <v>10/31/1991 23:00</v>
      </c>
    </row>
    <row r="2224" spans="1:10" x14ac:dyDescent="0.3">
      <c r="A2224" t="s">
        <v>6</v>
      </c>
      <c r="B2224" t="str">
        <f>"11/01/1991 00:00"</f>
        <v>11/01/1991 00:00</v>
      </c>
      <c r="C2224">
        <v>108</v>
      </c>
      <c r="D2224" t="s">
        <v>7</v>
      </c>
      <c r="E2224" s="2" t="s">
        <v>12</v>
      </c>
      <c r="F2224">
        <f t="shared" si="34"/>
        <v>214.16400000000002</v>
      </c>
      <c r="G2224" t="s">
        <v>16</v>
      </c>
      <c r="J2224" t="str">
        <f>"11/01/1991 23:00"</f>
        <v>11/01/1991 23:00</v>
      </c>
    </row>
    <row r="2225" spans="1:10" x14ac:dyDescent="0.3">
      <c r="A2225" t="s">
        <v>6</v>
      </c>
      <c r="B2225" t="str">
        <f>"11/02/1991 00:00"</f>
        <v>11/02/1991 00:00</v>
      </c>
      <c r="C2225">
        <v>140</v>
      </c>
      <c r="D2225" t="s">
        <v>7</v>
      </c>
      <c r="E2225" s="2" t="s">
        <v>12</v>
      </c>
      <c r="F2225">
        <f t="shared" si="34"/>
        <v>277.62</v>
      </c>
      <c r="G2225" t="s">
        <v>16</v>
      </c>
      <c r="J2225" t="str">
        <f>"11/02/1991 23:00"</f>
        <v>11/02/1991 23:00</v>
      </c>
    </row>
    <row r="2226" spans="1:10" x14ac:dyDescent="0.3">
      <c r="A2226" t="s">
        <v>6</v>
      </c>
      <c r="B2226" t="str">
        <f>"11/03/1991 00:00"</f>
        <v>11/03/1991 00:00</v>
      </c>
      <c r="C2226">
        <v>139</v>
      </c>
      <c r="D2226" t="s">
        <v>7</v>
      </c>
      <c r="E2226" s="2" t="s">
        <v>12</v>
      </c>
      <c r="F2226">
        <f t="shared" si="34"/>
        <v>275.637</v>
      </c>
      <c r="G2226" t="s">
        <v>16</v>
      </c>
      <c r="I2226" t="s">
        <v>8</v>
      </c>
      <c r="J2226" t="str">
        <f>"11/03/1991 23:00"</f>
        <v>11/03/1991 23:00</v>
      </c>
    </row>
    <row r="2227" spans="1:10" x14ac:dyDescent="0.3">
      <c r="A2227" t="s">
        <v>6</v>
      </c>
      <c r="B2227" t="str">
        <f>"11/04/1991 00:00"</f>
        <v>11/04/1991 00:00</v>
      </c>
      <c r="C2227">
        <v>138</v>
      </c>
      <c r="D2227" t="s">
        <v>7</v>
      </c>
      <c r="E2227" s="2" t="s">
        <v>12</v>
      </c>
      <c r="F2227">
        <f t="shared" si="34"/>
        <v>273.654</v>
      </c>
      <c r="G2227" t="s">
        <v>16</v>
      </c>
      <c r="J2227" t="str">
        <f>"11/04/1991 23:00"</f>
        <v>11/04/1991 23:00</v>
      </c>
    </row>
    <row r="2228" spans="1:10" x14ac:dyDescent="0.3">
      <c r="A2228" t="s">
        <v>6</v>
      </c>
      <c r="B2228" t="str">
        <f>"11/05/1991 00:00"</f>
        <v>11/05/1991 00:00</v>
      </c>
      <c r="C2228">
        <v>137</v>
      </c>
      <c r="D2228" t="s">
        <v>7</v>
      </c>
      <c r="E2228" s="2" t="s">
        <v>12</v>
      </c>
      <c r="F2228">
        <f t="shared" si="34"/>
        <v>271.67099999999999</v>
      </c>
      <c r="G2228" t="s">
        <v>16</v>
      </c>
      <c r="J2228" t="str">
        <f>"11/05/1991 23:00"</f>
        <v>11/05/1991 23:00</v>
      </c>
    </row>
    <row r="2229" spans="1:10" x14ac:dyDescent="0.3">
      <c r="A2229" t="s">
        <v>6</v>
      </c>
      <c r="B2229" t="str">
        <f>"11/06/1991 00:00"</f>
        <v>11/06/1991 00:00</v>
      </c>
      <c r="C2229">
        <v>137</v>
      </c>
      <c r="D2229" t="s">
        <v>7</v>
      </c>
      <c r="E2229" s="2" t="s">
        <v>12</v>
      </c>
      <c r="F2229">
        <f t="shared" si="34"/>
        <v>271.67099999999999</v>
      </c>
      <c r="G2229" t="s">
        <v>16</v>
      </c>
      <c r="J2229" t="str">
        <f>"11/06/1991 23:00"</f>
        <v>11/06/1991 23:00</v>
      </c>
    </row>
    <row r="2230" spans="1:10" x14ac:dyDescent="0.3">
      <c r="A2230" t="s">
        <v>6</v>
      </c>
      <c r="B2230" t="str">
        <f>"11/07/1991 00:00"</f>
        <v>11/07/1991 00:00</v>
      </c>
      <c r="C2230">
        <v>138</v>
      </c>
      <c r="D2230" t="s">
        <v>7</v>
      </c>
      <c r="E2230" s="2" t="s">
        <v>12</v>
      </c>
      <c r="F2230">
        <f t="shared" si="34"/>
        <v>273.654</v>
      </c>
      <c r="G2230" t="s">
        <v>16</v>
      </c>
      <c r="J2230" t="str">
        <f>"11/07/1991 23:00"</f>
        <v>11/07/1991 23:00</v>
      </c>
    </row>
    <row r="2231" spans="1:10" x14ac:dyDescent="0.3">
      <c r="A2231" t="s">
        <v>6</v>
      </c>
      <c r="B2231" t="str">
        <f>"11/08/1991 00:00"</f>
        <v>11/08/1991 00:00</v>
      </c>
      <c r="C2231">
        <v>161</v>
      </c>
      <c r="D2231" t="s">
        <v>7</v>
      </c>
      <c r="E2231" s="2" t="s">
        <v>12</v>
      </c>
      <c r="F2231">
        <f t="shared" si="34"/>
        <v>319.26300000000003</v>
      </c>
      <c r="G2231" t="s">
        <v>16</v>
      </c>
      <c r="J2231" t="str">
        <f>"11/08/1991 23:00"</f>
        <v>11/08/1991 23:00</v>
      </c>
    </row>
    <row r="2232" spans="1:10" x14ac:dyDescent="0.3">
      <c r="A2232" t="s">
        <v>6</v>
      </c>
      <c r="B2232" t="str">
        <f>"11/09/1991 00:00"</f>
        <v>11/09/1991 00:00</v>
      </c>
      <c r="C2232">
        <v>180</v>
      </c>
      <c r="D2232" t="s">
        <v>7</v>
      </c>
      <c r="E2232" s="2" t="s">
        <v>12</v>
      </c>
      <c r="F2232">
        <f t="shared" si="34"/>
        <v>356.94</v>
      </c>
      <c r="G2232" t="s">
        <v>16</v>
      </c>
      <c r="J2232" t="str">
        <f>"11/09/1991 23:00"</f>
        <v>11/09/1991 23:00</v>
      </c>
    </row>
    <row r="2233" spans="1:10" x14ac:dyDescent="0.3">
      <c r="A2233" t="s">
        <v>6</v>
      </c>
      <c r="B2233" t="str">
        <f>"11/10/1991 00:00"</f>
        <v>11/10/1991 00:00</v>
      </c>
      <c r="C2233">
        <v>178</v>
      </c>
      <c r="D2233" t="s">
        <v>7</v>
      </c>
      <c r="E2233" s="2" t="s">
        <v>12</v>
      </c>
      <c r="F2233">
        <f t="shared" si="34"/>
        <v>352.97399999999999</v>
      </c>
      <c r="G2233" t="s">
        <v>16</v>
      </c>
      <c r="J2233" t="str">
        <f>"11/10/1991 23:00"</f>
        <v>11/10/1991 23:00</v>
      </c>
    </row>
    <row r="2234" spans="1:10" x14ac:dyDescent="0.3">
      <c r="A2234" t="s">
        <v>6</v>
      </c>
      <c r="B2234" t="str">
        <f>"11/11/1991 00:00"</f>
        <v>11/11/1991 00:00</v>
      </c>
      <c r="C2234">
        <v>177</v>
      </c>
      <c r="D2234" t="s">
        <v>7</v>
      </c>
      <c r="E2234" s="2" t="s">
        <v>12</v>
      </c>
      <c r="F2234">
        <f t="shared" si="34"/>
        <v>350.99100000000004</v>
      </c>
      <c r="G2234" t="s">
        <v>16</v>
      </c>
      <c r="J2234" t="str">
        <f>"11/11/1991 23:00"</f>
        <v>11/11/1991 23:00</v>
      </c>
    </row>
    <row r="2235" spans="1:10" x14ac:dyDescent="0.3">
      <c r="A2235" t="s">
        <v>6</v>
      </c>
      <c r="B2235" t="str">
        <f>"11/12/1991 00:00"</f>
        <v>11/12/1991 00:00</v>
      </c>
      <c r="C2235">
        <v>177</v>
      </c>
      <c r="D2235" t="s">
        <v>7</v>
      </c>
      <c r="E2235" s="2" t="s">
        <v>12</v>
      </c>
      <c r="F2235">
        <f t="shared" si="34"/>
        <v>350.99100000000004</v>
      </c>
      <c r="G2235" t="s">
        <v>16</v>
      </c>
      <c r="J2235" t="str">
        <f>"11/12/1991 23:00"</f>
        <v>11/12/1991 23:00</v>
      </c>
    </row>
    <row r="2236" spans="1:10" x14ac:dyDescent="0.3">
      <c r="A2236" t="s">
        <v>6</v>
      </c>
      <c r="B2236" t="str">
        <f>"11/13/1991 00:00"</f>
        <v>11/13/1991 00:00</v>
      </c>
      <c r="C2236">
        <v>177</v>
      </c>
      <c r="D2236" t="s">
        <v>7</v>
      </c>
      <c r="E2236" s="2" t="s">
        <v>12</v>
      </c>
      <c r="F2236">
        <f t="shared" si="34"/>
        <v>350.99100000000004</v>
      </c>
      <c r="G2236" t="s">
        <v>16</v>
      </c>
      <c r="J2236" t="str">
        <f>"11/13/1991 23:00"</f>
        <v>11/13/1991 23:00</v>
      </c>
    </row>
    <row r="2237" spans="1:10" x14ac:dyDescent="0.3">
      <c r="A2237" t="s">
        <v>6</v>
      </c>
      <c r="B2237" t="str">
        <f>"11/14/1991 00:00"</f>
        <v>11/14/1991 00:00</v>
      </c>
      <c r="C2237">
        <v>181</v>
      </c>
      <c r="D2237" t="s">
        <v>7</v>
      </c>
      <c r="E2237" s="2" t="s">
        <v>12</v>
      </c>
      <c r="F2237">
        <f t="shared" si="34"/>
        <v>358.923</v>
      </c>
      <c r="G2237" t="s">
        <v>16</v>
      </c>
      <c r="J2237" t="str">
        <f>"11/14/1991 23:00"</f>
        <v>11/14/1991 23:00</v>
      </c>
    </row>
    <row r="2238" spans="1:10" x14ac:dyDescent="0.3">
      <c r="A2238" t="s">
        <v>6</v>
      </c>
      <c r="B2238" t="str">
        <f>"11/15/1991 00:00"</f>
        <v>11/15/1991 00:00</v>
      </c>
      <c r="C2238">
        <v>178</v>
      </c>
      <c r="D2238" t="s">
        <v>7</v>
      </c>
      <c r="E2238" s="2" t="s">
        <v>12</v>
      </c>
      <c r="F2238">
        <f t="shared" si="34"/>
        <v>352.97399999999999</v>
      </c>
      <c r="G2238" t="s">
        <v>16</v>
      </c>
      <c r="J2238" t="str">
        <f>"11/15/1991 23:00"</f>
        <v>11/15/1991 23:00</v>
      </c>
    </row>
    <row r="2239" spans="1:10" x14ac:dyDescent="0.3">
      <c r="A2239" t="s">
        <v>6</v>
      </c>
      <c r="B2239" t="str">
        <f>"11/16/1991 00:00"</f>
        <v>11/16/1991 00:00</v>
      </c>
      <c r="C2239">
        <v>152</v>
      </c>
      <c r="D2239" t="s">
        <v>7</v>
      </c>
      <c r="E2239" s="2" t="s">
        <v>12</v>
      </c>
      <c r="F2239">
        <f t="shared" si="34"/>
        <v>301.416</v>
      </c>
      <c r="G2239" t="s">
        <v>16</v>
      </c>
      <c r="J2239" t="str">
        <f>"11/16/1991 23:00"</f>
        <v>11/16/1991 23:00</v>
      </c>
    </row>
    <row r="2240" spans="1:10" x14ac:dyDescent="0.3">
      <c r="A2240" t="s">
        <v>6</v>
      </c>
      <c r="B2240" t="str">
        <f>"11/17/1991 00:00"</f>
        <v>11/17/1991 00:00</v>
      </c>
      <c r="C2240">
        <v>152</v>
      </c>
      <c r="D2240" t="s">
        <v>7</v>
      </c>
      <c r="E2240" s="2" t="s">
        <v>12</v>
      </c>
      <c r="F2240">
        <f t="shared" si="34"/>
        <v>301.416</v>
      </c>
      <c r="G2240" t="s">
        <v>16</v>
      </c>
      <c r="J2240" t="str">
        <f>"11/17/1991 23:00"</f>
        <v>11/17/1991 23:00</v>
      </c>
    </row>
    <row r="2241" spans="1:10" x14ac:dyDescent="0.3">
      <c r="A2241" t="s">
        <v>6</v>
      </c>
      <c r="B2241" t="str">
        <f>"11/18/1991 00:00"</f>
        <v>11/18/1991 00:00</v>
      </c>
      <c r="C2241">
        <v>152</v>
      </c>
      <c r="D2241" t="s">
        <v>7</v>
      </c>
      <c r="E2241" s="2" t="s">
        <v>12</v>
      </c>
      <c r="F2241">
        <f t="shared" si="34"/>
        <v>301.416</v>
      </c>
      <c r="G2241" t="s">
        <v>16</v>
      </c>
      <c r="I2241" t="s">
        <v>8</v>
      </c>
      <c r="J2241" t="str">
        <f>"11/18/1991 23:00"</f>
        <v>11/18/1991 23:00</v>
      </c>
    </row>
    <row r="2242" spans="1:10" x14ac:dyDescent="0.3">
      <c r="A2242" t="s">
        <v>6</v>
      </c>
      <c r="B2242" t="str">
        <f>"11/19/1991 00:00"</f>
        <v>11/19/1991 00:00</v>
      </c>
      <c r="C2242">
        <v>138</v>
      </c>
      <c r="D2242" t="s">
        <v>7</v>
      </c>
      <c r="E2242" s="2" t="s">
        <v>12</v>
      </c>
      <c r="F2242">
        <f t="shared" si="34"/>
        <v>273.654</v>
      </c>
      <c r="G2242" t="s">
        <v>16</v>
      </c>
      <c r="J2242" t="str">
        <f>"11/19/1991 23:00"</f>
        <v>11/19/1991 23:00</v>
      </c>
    </row>
    <row r="2243" spans="1:10" x14ac:dyDescent="0.3">
      <c r="A2243" t="s">
        <v>6</v>
      </c>
      <c r="B2243" t="str">
        <f>"11/20/1991 00:00"</f>
        <v>11/20/1991 00:00</v>
      </c>
      <c r="C2243">
        <v>117</v>
      </c>
      <c r="D2243" t="s">
        <v>7</v>
      </c>
      <c r="E2243" s="2" t="s">
        <v>12</v>
      </c>
      <c r="F2243">
        <f t="shared" ref="F2243:F2306" si="35">C2243*1.983</f>
        <v>232.01100000000002</v>
      </c>
      <c r="G2243" t="s">
        <v>16</v>
      </c>
      <c r="J2243" t="str">
        <f>"11/20/1991 23:00"</f>
        <v>11/20/1991 23:00</v>
      </c>
    </row>
    <row r="2244" spans="1:10" x14ac:dyDescent="0.3">
      <c r="A2244" t="s">
        <v>6</v>
      </c>
      <c r="B2244" t="str">
        <f>"11/21/1991 00:00"</f>
        <v>11/21/1991 00:00</v>
      </c>
      <c r="C2244">
        <v>120</v>
      </c>
      <c r="D2244" t="s">
        <v>7</v>
      </c>
      <c r="E2244" s="2" t="s">
        <v>12</v>
      </c>
      <c r="F2244">
        <f t="shared" si="35"/>
        <v>237.96</v>
      </c>
      <c r="G2244" t="s">
        <v>16</v>
      </c>
      <c r="J2244" t="str">
        <f>"11/21/1991 23:00"</f>
        <v>11/21/1991 23:00</v>
      </c>
    </row>
    <row r="2245" spans="1:10" x14ac:dyDescent="0.3">
      <c r="A2245" t="s">
        <v>6</v>
      </c>
      <c r="B2245" t="str">
        <f>"11/22/1991 00:00"</f>
        <v>11/22/1991 00:00</v>
      </c>
      <c r="C2245">
        <v>120</v>
      </c>
      <c r="D2245" t="s">
        <v>7</v>
      </c>
      <c r="E2245" s="2" t="s">
        <v>12</v>
      </c>
      <c r="F2245">
        <f t="shared" si="35"/>
        <v>237.96</v>
      </c>
      <c r="G2245" t="s">
        <v>16</v>
      </c>
      <c r="J2245" t="str">
        <f>"11/22/1991 23:00"</f>
        <v>11/22/1991 23:00</v>
      </c>
    </row>
    <row r="2246" spans="1:10" x14ac:dyDescent="0.3">
      <c r="A2246" t="s">
        <v>6</v>
      </c>
      <c r="B2246" t="str">
        <f>"11/23/1991 00:00"</f>
        <v>11/23/1991 00:00</v>
      </c>
      <c r="C2246">
        <v>120</v>
      </c>
      <c r="D2246" t="s">
        <v>7</v>
      </c>
      <c r="E2246" s="2" t="s">
        <v>12</v>
      </c>
      <c r="F2246">
        <f t="shared" si="35"/>
        <v>237.96</v>
      </c>
      <c r="G2246" t="s">
        <v>16</v>
      </c>
      <c r="I2246" t="s">
        <v>8</v>
      </c>
      <c r="J2246" t="str">
        <f>"11/23/1991 23:00"</f>
        <v>11/23/1991 23:00</v>
      </c>
    </row>
    <row r="2247" spans="1:10" x14ac:dyDescent="0.3">
      <c r="A2247" t="s">
        <v>6</v>
      </c>
      <c r="B2247" t="str">
        <f>"11/24/1991 00:00"</f>
        <v>11/24/1991 00:00</v>
      </c>
      <c r="C2247">
        <v>120</v>
      </c>
      <c r="D2247" t="s">
        <v>7</v>
      </c>
      <c r="E2247" s="2" t="s">
        <v>12</v>
      </c>
      <c r="F2247">
        <f t="shared" si="35"/>
        <v>237.96</v>
      </c>
      <c r="G2247" t="s">
        <v>16</v>
      </c>
      <c r="I2247" t="s">
        <v>8</v>
      </c>
      <c r="J2247" t="str">
        <f>"11/24/1991 23:00"</f>
        <v>11/24/1991 23:00</v>
      </c>
    </row>
    <row r="2248" spans="1:10" x14ac:dyDescent="0.3">
      <c r="A2248" t="s">
        <v>6</v>
      </c>
      <c r="B2248" t="str">
        <f>"11/25/1991 00:00"</f>
        <v>11/25/1991 00:00</v>
      </c>
      <c r="C2248">
        <v>119</v>
      </c>
      <c r="D2248" t="s">
        <v>7</v>
      </c>
      <c r="E2248" s="2" t="s">
        <v>12</v>
      </c>
      <c r="F2248">
        <f t="shared" si="35"/>
        <v>235.977</v>
      </c>
      <c r="G2248" t="s">
        <v>16</v>
      </c>
      <c r="I2248" t="s">
        <v>8</v>
      </c>
      <c r="J2248" t="str">
        <f>"11/25/1991 23:00"</f>
        <v>11/25/1991 23:00</v>
      </c>
    </row>
    <row r="2249" spans="1:10" x14ac:dyDescent="0.3">
      <c r="A2249" t="s">
        <v>6</v>
      </c>
      <c r="B2249" t="str">
        <f>"11/26/1991 00:00"</f>
        <v>11/26/1991 00:00</v>
      </c>
      <c r="C2249">
        <v>120</v>
      </c>
      <c r="D2249" t="s">
        <v>7</v>
      </c>
      <c r="E2249" s="2" t="s">
        <v>12</v>
      </c>
      <c r="F2249">
        <f t="shared" si="35"/>
        <v>237.96</v>
      </c>
      <c r="G2249" t="s">
        <v>16</v>
      </c>
      <c r="J2249" t="str">
        <f>"11/26/1991 23:00"</f>
        <v>11/26/1991 23:00</v>
      </c>
    </row>
    <row r="2250" spans="1:10" x14ac:dyDescent="0.3">
      <c r="A2250" t="s">
        <v>6</v>
      </c>
      <c r="B2250" t="str">
        <f>"11/27/1991 00:00"</f>
        <v>11/27/1991 00:00</v>
      </c>
      <c r="C2250">
        <v>120</v>
      </c>
      <c r="D2250" t="s">
        <v>7</v>
      </c>
      <c r="E2250" s="2" t="s">
        <v>12</v>
      </c>
      <c r="F2250">
        <f t="shared" si="35"/>
        <v>237.96</v>
      </c>
      <c r="G2250" t="s">
        <v>16</v>
      </c>
      <c r="I2250" t="s">
        <v>8</v>
      </c>
      <c r="J2250" t="str">
        <f>"11/27/1991 23:00"</f>
        <v>11/27/1991 23:00</v>
      </c>
    </row>
    <row r="2251" spans="1:10" x14ac:dyDescent="0.3">
      <c r="A2251" t="s">
        <v>6</v>
      </c>
      <c r="B2251" t="str">
        <f>"11/28/1991 00:00"</f>
        <v>11/28/1991 00:00</v>
      </c>
      <c r="C2251">
        <v>120</v>
      </c>
      <c r="D2251" t="s">
        <v>7</v>
      </c>
      <c r="E2251" s="2" t="s">
        <v>12</v>
      </c>
      <c r="F2251">
        <f t="shared" si="35"/>
        <v>237.96</v>
      </c>
      <c r="G2251" t="s">
        <v>16</v>
      </c>
      <c r="I2251" t="s">
        <v>35</v>
      </c>
      <c r="J2251" t="str">
        <f>"11/28/1991 23:00"</f>
        <v>11/28/1991 23:00</v>
      </c>
    </row>
    <row r="2252" spans="1:10" x14ac:dyDescent="0.3">
      <c r="A2252" t="s">
        <v>6</v>
      </c>
      <c r="B2252" t="str">
        <f>"11/29/1991 00:00"</f>
        <v>11/29/1991 00:00</v>
      </c>
      <c r="C2252">
        <v>121</v>
      </c>
      <c r="D2252" t="s">
        <v>7</v>
      </c>
      <c r="E2252" s="2" t="s">
        <v>12</v>
      </c>
      <c r="F2252">
        <f t="shared" si="35"/>
        <v>239.94300000000001</v>
      </c>
      <c r="G2252" t="s">
        <v>16</v>
      </c>
      <c r="I2252" t="s">
        <v>8</v>
      </c>
      <c r="J2252" t="str">
        <f>"11/29/1991 23:00"</f>
        <v>11/29/1991 23:00</v>
      </c>
    </row>
    <row r="2253" spans="1:10" x14ac:dyDescent="0.3">
      <c r="A2253" t="s">
        <v>6</v>
      </c>
      <c r="B2253" t="str">
        <f>"11/30/1991 00:00"</f>
        <v>11/30/1991 00:00</v>
      </c>
      <c r="C2253">
        <v>122</v>
      </c>
      <c r="D2253" t="s">
        <v>7</v>
      </c>
      <c r="E2253" s="2" t="s">
        <v>12</v>
      </c>
      <c r="F2253">
        <f t="shared" si="35"/>
        <v>241.92600000000002</v>
      </c>
      <c r="G2253" t="s">
        <v>16</v>
      </c>
      <c r="J2253" t="str">
        <f>"11/30/1991 23:00"</f>
        <v>11/30/1991 23:00</v>
      </c>
    </row>
    <row r="2254" spans="1:10" x14ac:dyDescent="0.3">
      <c r="A2254" t="s">
        <v>6</v>
      </c>
      <c r="B2254" t="str">
        <f>"12/01/1991 00:00"</f>
        <v>12/01/1991 00:00</v>
      </c>
      <c r="C2254">
        <v>122</v>
      </c>
      <c r="D2254" t="s">
        <v>7</v>
      </c>
      <c r="E2254" s="2" t="s">
        <v>12</v>
      </c>
      <c r="F2254">
        <f t="shared" si="35"/>
        <v>241.92600000000002</v>
      </c>
      <c r="G2254" t="s">
        <v>16</v>
      </c>
      <c r="J2254" t="str">
        <f>"12/01/1991 23:00"</f>
        <v>12/01/1991 23:00</v>
      </c>
    </row>
    <row r="2255" spans="1:10" x14ac:dyDescent="0.3">
      <c r="A2255" t="s">
        <v>6</v>
      </c>
      <c r="B2255" t="str">
        <f>"12/02/1991 00:00"</f>
        <v>12/02/1991 00:00</v>
      </c>
      <c r="C2255">
        <v>122</v>
      </c>
      <c r="D2255" t="s">
        <v>7</v>
      </c>
      <c r="E2255" s="2" t="s">
        <v>12</v>
      </c>
      <c r="F2255">
        <f t="shared" si="35"/>
        <v>241.92600000000002</v>
      </c>
      <c r="G2255" t="s">
        <v>16</v>
      </c>
      <c r="I2255" t="s">
        <v>8</v>
      </c>
      <c r="J2255" t="str">
        <f>"12/02/1991 23:00"</f>
        <v>12/02/1991 23:00</v>
      </c>
    </row>
    <row r="2256" spans="1:10" x14ac:dyDescent="0.3">
      <c r="A2256" t="s">
        <v>6</v>
      </c>
      <c r="B2256" t="str">
        <f>"12/03/1991 00:00"</f>
        <v>12/03/1991 00:00</v>
      </c>
      <c r="C2256">
        <v>122</v>
      </c>
      <c r="D2256" t="s">
        <v>7</v>
      </c>
      <c r="E2256" s="2" t="s">
        <v>12</v>
      </c>
      <c r="F2256">
        <f t="shared" si="35"/>
        <v>241.92600000000002</v>
      </c>
      <c r="G2256" t="s">
        <v>16</v>
      </c>
      <c r="I2256" t="s">
        <v>35</v>
      </c>
      <c r="J2256" t="str">
        <f>"12/03/1991 13:00"</f>
        <v>12/03/1991 13:00</v>
      </c>
    </row>
    <row r="2257" spans="1:10" x14ac:dyDescent="0.3">
      <c r="A2257" t="s">
        <v>6</v>
      </c>
      <c r="B2257" t="str">
        <f>"12/04/1991 00:00"</f>
        <v>12/04/1991 00:00</v>
      </c>
      <c r="C2257">
        <v>116</v>
      </c>
      <c r="D2257" t="s">
        <v>7</v>
      </c>
      <c r="E2257" s="2" t="s">
        <v>12</v>
      </c>
      <c r="F2257">
        <f t="shared" si="35"/>
        <v>230.02800000000002</v>
      </c>
      <c r="G2257" t="s">
        <v>16</v>
      </c>
      <c r="I2257" t="s">
        <v>8</v>
      </c>
      <c r="J2257" t="str">
        <f>"12/04/1991 23:00"</f>
        <v>12/04/1991 23:00</v>
      </c>
    </row>
    <row r="2258" spans="1:10" x14ac:dyDescent="0.3">
      <c r="A2258" t="s">
        <v>6</v>
      </c>
      <c r="B2258" t="str">
        <f>"12/05/1991 00:00"</f>
        <v>12/05/1991 00:00</v>
      </c>
      <c r="C2258">
        <v>107</v>
      </c>
      <c r="D2258" t="s">
        <v>7</v>
      </c>
      <c r="E2258" s="2" t="s">
        <v>12</v>
      </c>
      <c r="F2258">
        <f t="shared" si="35"/>
        <v>212.18100000000001</v>
      </c>
      <c r="G2258" t="s">
        <v>16</v>
      </c>
      <c r="J2258" t="str">
        <f>"12/05/1991 23:00"</f>
        <v>12/05/1991 23:00</v>
      </c>
    </row>
    <row r="2259" spans="1:10" x14ac:dyDescent="0.3">
      <c r="A2259" t="s">
        <v>6</v>
      </c>
      <c r="B2259" t="str">
        <f>"12/06/1991 00:00"</f>
        <v>12/06/1991 00:00</v>
      </c>
      <c r="C2259">
        <v>101</v>
      </c>
      <c r="D2259" t="s">
        <v>7</v>
      </c>
      <c r="E2259" s="2" t="s">
        <v>12</v>
      </c>
      <c r="F2259">
        <f t="shared" si="35"/>
        <v>200.28300000000002</v>
      </c>
      <c r="G2259" t="s">
        <v>16</v>
      </c>
      <c r="J2259" t="str">
        <f>"12/06/1991 23:00"</f>
        <v>12/06/1991 23:00</v>
      </c>
    </row>
    <row r="2260" spans="1:10" x14ac:dyDescent="0.3">
      <c r="A2260" t="s">
        <v>6</v>
      </c>
      <c r="B2260" t="str">
        <f>"12/07/1991 00:00"</f>
        <v>12/07/1991 00:00</v>
      </c>
      <c r="C2260">
        <v>101</v>
      </c>
      <c r="D2260" t="s">
        <v>7</v>
      </c>
      <c r="E2260" s="2" t="s">
        <v>12</v>
      </c>
      <c r="F2260">
        <f t="shared" si="35"/>
        <v>200.28300000000002</v>
      </c>
      <c r="G2260" t="s">
        <v>16</v>
      </c>
      <c r="I2260" t="s">
        <v>8</v>
      </c>
      <c r="J2260" t="str">
        <f>"12/07/1991 23:00"</f>
        <v>12/07/1991 23:00</v>
      </c>
    </row>
    <row r="2261" spans="1:10" x14ac:dyDescent="0.3">
      <c r="A2261" t="s">
        <v>6</v>
      </c>
      <c r="B2261" t="str">
        <f>"12/08/1991 00:00"</f>
        <v>12/08/1991 00:00</v>
      </c>
      <c r="C2261">
        <v>101</v>
      </c>
      <c r="D2261" t="s">
        <v>7</v>
      </c>
      <c r="E2261" s="2" t="s">
        <v>12</v>
      </c>
      <c r="F2261">
        <f t="shared" si="35"/>
        <v>200.28300000000002</v>
      </c>
      <c r="G2261" t="s">
        <v>16</v>
      </c>
      <c r="J2261" t="str">
        <f>"12/08/1991 23:00"</f>
        <v>12/08/1991 23:00</v>
      </c>
    </row>
    <row r="2262" spans="1:10" x14ac:dyDescent="0.3">
      <c r="A2262" t="s">
        <v>6</v>
      </c>
      <c r="B2262" t="str">
        <f>"12/09/1991 00:00"</f>
        <v>12/09/1991 00:00</v>
      </c>
      <c r="C2262">
        <v>102</v>
      </c>
      <c r="D2262" t="s">
        <v>7</v>
      </c>
      <c r="E2262" s="2" t="s">
        <v>12</v>
      </c>
      <c r="F2262">
        <f t="shared" si="35"/>
        <v>202.26600000000002</v>
      </c>
      <c r="G2262" t="s">
        <v>16</v>
      </c>
      <c r="J2262" t="str">
        <f>"12/09/1991 23:00"</f>
        <v>12/09/1991 23:00</v>
      </c>
    </row>
    <row r="2263" spans="1:10" x14ac:dyDescent="0.3">
      <c r="A2263" t="s">
        <v>6</v>
      </c>
      <c r="B2263" t="str">
        <f>"12/10/1991 00:00"</f>
        <v>12/10/1991 00:00</v>
      </c>
      <c r="C2263">
        <v>102</v>
      </c>
      <c r="D2263" t="s">
        <v>7</v>
      </c>
      <c r="E2263" s="2" t="s">
        <v>12</v>
      </c>
      <c r="F2263">
        <f t="shared" si="35"/>
        <v>202.26600000000002</v>
      </c>
      <c r="G2263" t="s">
        <v>16</v>
      </c>
      <c r="J2263" t="str">
        <f>"12/10/1991 23:00"</f>
        <v>12/10/1991 23:00</v>
      </c>
    </row>
    <row r="2264" spans="1:10" x14ac:dyDescent="0.3">
      <c r="A2264" t="s">
        <v>6</v>
      </c>
      <c r="B2264" t="str">
        <f>"12/11/1991 00:00"</f>
        <v>12/11/1991 00:00</v>
      </c>
      <c r="C2264">
        <v>102</v>
      </c>
      <c r="D2264" t="s">
        <v>7</v>
      </c>
      <c r="E2264" s="2" t="s">
        <v>12</v>
      </c>
      <c r="F2264">
        <f t="shared" si="35"/>
        <v>202.26600000000002</v>
      </c>
      <c r="G2264" t="s">
        <v>16</v>
      </c>
      <c r="I2264" t="s">
        <v>8</v>
      </c>
      <c r="J2264" t="str">
        <f>"12/11/1991 21:00"</f>
        <v>12/11/1991 21:00</v>
      </c>
    </row>
    <row r="2265" spans="1:10" x14ac:dyDescent="0.3">
      <c r="A2265" t="s">
        <v>6</v>
      </c>
      <c r="B2265" t="str">
        <f>"12/12/1991 00:00"</f>
        <v>12/12/1991 00:00</v>
      </c>
      <c r="C2265">
        <v>92</v>
      </c>
      <c r="D2265" t="s">
        <v>7</v>
      </c>
      <c r="E2265" s="2" t="s">
        <v>12</v>
      </c>
      <c r="F2265">
        <f t="shared" si="35"/>
        <v>182.43600000000001</v>
      </c>
      <c r="G2265" t="s">
        <v>16</v>
      </c>
      <c r="J2265" t="str">
        <f>"12/12/1991 23:00"</f>
        <v>12/12/1991 23:00</v>
      </c>
    </row>
    <row r="2266" spans="1:10" x14ac:dyDescent="0.3">
      <c r="A2266" t="s">
        <v>6</v>
      </c>
      <c r="B2266" t="str">
        <f>"12/13/1991 00:00"</f>
        <v>12/13/1991 00:00</v>
      </c>
      <c r="C2266">
        <v>86.5</v>
      </c>
      <c r="D2266" t="s">
        <v>7</v>
      </c>
      <c r="E2266" s="2" t="s">
        <v>12</v>
      </c>
      <c r="F2266">
        <f t="shared" si="35"/>
        <v>171.52950000000001</v>
      </c>
      <c r="G2266" t="s">
        <v>16</v>
      </c>
      <c r="J2266" t="str">
        <f>"12/13/1991 21:00"</f>
        <v>12/13/1991 21:00</v>
      </c>
    </row>
    <row r="2267" spans="1:10" x14ac:dyDescent="0.3">
      <c r="A2267" t="s">
        <v>6</v>
      </c>
      <c r="B2267" t="str">
        <f>"12/14/1991 00:00"</f>
        <v>12/14/1991 00:00</v>
      </c>
      <c r="C2267">
        <v>101</v>
      </c>
      <c r="D2267" t="s">
        <v>7</v>
      </c>
      <c r="E2267" s="2" t="s">
        <v>12</v>
      </c>
      <c r="F2267">
        <f t="shared" si="35"/>
        <v>200.28300000000002</v>
      </c>
      <c r="G2267" t="s">
        <v>16</v>
      </c>
      <c r="J2267" t="str">
        <f>"12/14/1991 23:00"</f>
        <v>12/14/1991 23:00</v>
      </c>
    </row>
    <row r="2268" spans="1:10" x14ac:dyDescent="0.3">
      <c r="A2268" t="s">
        <v>6</v>
      </c>
      <c r="B2268" t="str">
        <f>"12/15/1991 00:00"</f>
        <v>12/15/1991 00:00</v>
      </c>
      <c r="C2268">
        <v>101</v>
      </c>
      <c r="D2268" t="s">
        <v>7</v>
      </c>
      <c r="E2268" s="2" t="s">
        <v>12</v>
      </c>
      <c r="F2268">
        <f t="shared" si="35"/>
        <v>200.28300000000002</v>
      </c>
      <c r="G2268" t="s">
        <v>16</v>
      </c>
      <c r="J2268" t="str">
        <f>"12/15/1991 23:00"</f>
        <v>12/15/1991 23:00</v>
      </c>
    </row>
    <row r="2269" spans="1:10" x14ac:dyDescent="0.3">
      <c r="A2269" t="s">
        <v>6</v>
      </c>
      <c r="B2269" t="str">
        <f>"12/16/1991 00:00"</f>
        <v>12/16/1991 00:00</v>
      </c>
      <c r="C2269">
        <v>104</v>
      </c>
      <c r="D2269" t="s">
        <v>7</v>
      </c>
      <c r="E2269" s="2" t="s">
        <v>12</v>
      </c>
      <c r="F2269">
        <f t="shared" si="35"/>
        <v>206.232</v>
      </c>
      <c r="G2269" t="s">
        <v>16</v>
      </c>
      <c r="J2269" t="str">
        <f>"12/16/1991 23:00"</f>
        <v>12/16/1991 23:00</v>
      </c>
    </row>
    <row r="2270" spans="1:10" x14ac:dyDescent="0.3">
      <c r="A2270" t="s">
        <v>6</v>
      </c>
      <c r="B2270" t="str">
        <f>"12/17/1991 00:00"</f>
        <v>12/17/1991 00:00</v>
      </c>
      <c r="C2270">
        <v>91.7</v>
      </c>
      <c r="D2270" t="s">
        <v>7</v>
      </c>
      <c r="E2270" s="2" t="s">
        <v>12</v>
      </c>
      <c r="F2270">
        <f t="shared" si="35"/>
        <v>181.84110000000001</v>
      </c>
      <c r="G2270" t="s">
        <v>16</v>
      </c>
      <c r="J2270" t="str">
        <f>"12/17/1991 23:00"</f>
        <v>12/17/1991 23:00</v>
      </c>
    </row>
    <row r="2271" spans="1:10" x14ac:dyDescent="0.3">
      <c r="A2271" t="s">
        <v>6</v>
      </c>
      <c r="B2271" t="str">
        <f>"12/18/1991 00:00"</f>
        <v>12/18/1991 00:00</v>
      </c>
      <c r="C2271">
        <v>101</v>
      </c>
      <c r="D2271" t="s">
        <v>7</v>
      </c>
      <c r="E2271" s="2" t="s">
        <v>12</v>
      </c>
      <c r="F2271">
        <f t="shared" si="35"/>
        <v>200.28300000000002</v>
      </c>
      <c r="G2271" t="s">
        <v>16</v>
      </c>
      <c r="J2271" t="str">
        <f>"12/18/1991 23:00"</f>
        <v>12/18/1991 23:00</v>
      </c>
    </row>
    <row r="2272" spans="1:10" x14ac:dyDescent="0.3">
      <c r="A2272" t="s">
        <v>6</v>
      </c>
      <c r="B2272" t="str">
        <f>"12/19/1991 00:00"</f>
        <v>12/19/1991 00:00</v>
      </c>
      <c r="C2272">
        <v>105</v>
      </c>
      <c r="D2272" t="s">
        <v>7</v>
      </c>
      <c r="E2272" s="2" t="s">
        <v>12</v>
      </c>
      <c r="F2272">
        <f t="shared" si="35"/>
        <v>208.215</v>
      </c>
      <c r="G2272" t="s">
        <v>16</v>
      </c>
      <c r="J2272" t="str">
        <f>"12/19/1991 23:00"</f>
        <v>12/19/1991 23:00</v>
      </c>
    </row>
    <row r="2273" spans="1:10" x14ac:dyDescent="0.3">
      <c r="A2273" t="s">
        <v>6</v>
      </c>
      <c r="B2273" t="str">
        <f>"12/20/1991 00:00"</f>
        <v>12/20/1991 00:00</v>
      </c>
      <c r="C2273">
        <v>99.6</v>
      </c>
      <c r="D2273" t="s">
        <v>7</v>
      </c>
      <c r="E2273" s="2" t="s">
        <v>12</v>
      </c>
      <c r="F2273">
        <f t="shared" si="35"/>
        <v>197.5068</v>
      </c>
      <c r="G2273" t="s">
        <v>16</v>
      </c>
      <c r="J2273" t="str">
        <f>"12/20/1991 23:00"</f>
        <v>12/20/1991 23:00</v>
      </c>
    </row>
    <row r="2274" spans="1:10" x14ac:dyDescent="0.3">
      <c r="A2274" t="s">
        <v>6</v>
      </c>
      <c r="B2274" t="str">
        <f>"12/21/1991 00:00"</f>
        <v>12/21/1991 00:00</v>
      </c>
      <c r="C2274">
        <v>98.2</v>
      </c>
      <c r="D2274" t="s">
        <v>7</v>
      </c>
      <c r="E2274" s="2" t="s">
        <v>12</v>
      </c>
      <c r="F2274">
        <f t="shared" si="35"/>
        <v>194.73060000000001</v>
      </c>
      <c r="G2274" t="s">
        <v>16</v>
      </c>
      <c r="J2274" t="str">
        <f>"12/21/1991 23:00"</f>
        <v>12/21/1991 23:00</v>
      </c>
    </row>
    <row r="2275" spans="1:10" x14ac:dyDescent="0.3">
      <c r="A2275" t="s">
        <v>6</v>
      </c>
      <c r="B2275" t="str">
        <f>"12/22/1991 00:00"</f>
        <v>12/22/1991 00:00</v>
      </c>
      <c r="C2275">
        <v>98.6</v>
      </c>
      <c r="D2275" t="s">
        <v>7</v>
      </c>
      <c r="E2275" s="2" t="s">
        <v>12</v>
      </c>
      <c r="F2275">
        <f t="shared" si="35"/>
        <v>195.52379999999999</v>
      </c>
      <c r="G2275" t="s">
        <v>16</v>
      </c>
      <c r="J2275" t="str">
        <f>"12/22/1991 23:00"</f>
        <v>12/22/1991 23:00</v>
      </c>
    </row>
    <row r="2276" spans="1:10" x14ac:dyDescent="0.3">
      <c r="A2276" t="s">
        <v>6</v>
      </c>
      <c r="B2276" t="str">
        <f>"12/23/1991 00:00"</f>
        <v>12/23/1991 00:00</v>
      </c>
      <c r="C2276">
        <v>98</v>
      </c>
      <c r="D2276" t="s">
        <v>7</v>
      </c>
      <c r="E2276" s="2" t="s">
        <v>12</v>
      </c>
      <c r="F2276">
        <f t="shared" si="35"/>
        <v>194.334</v>
      </c>
      <c r="G2276" t="s">
        <v>16</v>
      </c>
      <c r="J2276" t="str">
        <f>"12/23/1991 23:00"</f>
        <v>12/23/1991 23:00</v>
      </c>
    </row>
    <row r="2277" spans="1:10" x14ac:dyDescent="0.3">
      <c r="A2277" t="s">
        <v>6</v>
      </c>
      <c r="B2277" t="str">
        <f>"12/24/1991 00:00"</f>
        <v>12/24/1991 00:00</v>
      </c>
      <c r="C2277">
        <v>98</v>
      </c>
      <c r="D2277" t="s">
        <v>7</v>
      </c>
      <c r="E2277" s="2" t="s">
        <v>12</v>
      </c>
      <c r="F2277">
        <f t="shared" si="35"/>
        <v>194.334</v>
      </c>
      <c r="G2277" t="s">
        <v>16</v>
      </c>
      <c r="I2277" t="s">
        <v>8</v>
      </c>
      <c r="J2277" t="str">
        <f>"12/24/1991 23:00"</f>
        <v>12/24/1991 23:00</v>
      </c>
    </row>
    <row r="2278" spans="1:10" x14ac:dyDescent="0.3">
      <c r="A2278" t="s">
        <v>6</v>
      </c>
      <c r="B2278" t="str">
        <f>"12/25/1991 00:00"</f>
        <v>12/25/1991 00:00</v>
      </c>
      <c r="C2278">
        <v>98.1</v>
      </c>
      <c r="D2278" t="s">
        <v>7</v>
      </c>
      <c r="E2278" s="2" t="s">
        <v>12</v>
      </c>
      <c r="F2278">
        <f t="shared" si="35"/>
        <v>194.53229999999999</v>
      </c>
      <c r="G2278" t="s">
        <v>16</v>
      </c>
      <c r="I2278" t="s">
        <v>8</v>
      </c>
      <c r="J2278" t="str">
        <f>"12/25/1991 23:00"</f>
        <v>12/25/1991 23:00</v>
      </c>
    </row>
    <row r="2279" spans="1:10" x14ac:dyDescent="0.3">
      <c r="A2279" t="s">
        <v>6</v>
      </c>
      <c r="B2279" t="str">
        <f>"12/26/1991 00:00"</f>
        <v>12/26/1991 00:00</v>
      </c>
      <c r="C2279">
        <v>98</v>
      </c>
      <c r="D2279" t="s">
        <v>7</v>
      </c>
      <c r="E2279" s="2" t="s">
        <v>12</v>
      </c>
      <c r="F2279">
        <f t="shared" si="35"/>
        <v>194.334</v>
      </c>
      <c r="G2279" t="s">
        <v>16</v>
      </c>
      <c r="J2279" t="str">
        <f>"12/26/1991 23:00"</f>
        <v>12/26/1991 23:00</v>
      </c>
    </row>
    <row r="2280" spans="1:10" x14ac:dyDescent="0.3">
      <c r="A2280" t="s">
        <v>6</v>
      </c>
      <c r="B2280" t="str">
        <f>"12/27/1991 00:00"</f>
        <v>12/27/1991 00:00</v>
      </c>
      <c r="C2280">
        <v>98</v>
      </c>
      <c r="D2280" t="s">
        <v>7</v>
      </c>
      <c r="E2280" s="2" t="s">
        <v>12</v>
      </c>
      <c r="F2280">
        <f t="shared" si="35"/>
        <v>194.334</v>
      </c>
      <c r="G2280" t="s">
        <v>16</v>
      </c>
      <c r="I2280" t="s">
        <v>35</v>
      </c>
      <c r="J2280" t="str">
        <f>"12/27/1991 23:00"</f>
        <v>12/27/1991 23:00</v>
      </c>
    </row>
    <row r="2281" spans="1:10" x14ac:dyDescent="0.3">
      <c r="A2281" t="s">
        <v>6</v>
      </c>
      <c r="B2281" t="str">
        <f>"12/28/1991 00:00"</f>
        <v>12/28/1991 00:00</v>
      </c>
      <c r="C2281">
        <v>98.6</v>
      </c>
      <c r="D2281" t="s">
        <v>7</v>
      </c>
      <c r="E2281" s="2" t="s">
        <v>12</v>
      </c>
      <c r="F2281">
        <f t="shared" si="35"/>
        <v>195.52379999999999</v>
      </c>
      <c r="G2281" t="s">
        <v>16</v>
      </c>
      <c r="I2281" t="s">
        <v>8</v>
      </c>
      <c r="J2281" t="str">
        <f>"12/28/1991 23:00"</f>
        <v>12/28/1991 23:00</v>
      </c>
    </row>
    <row r="2282" spans="1:10" x14ac:dyDescent="0.3">
      <c r="A2282" t="s">
        <v>6</v>
      </c>
      <c r="B2282" t="str">
        <f>"12/29/1991 00:00"</f>
        <v>12/29/1991 00:00</v>
      </c>
      <c r="C2282">
        <v>99.2</v>
      </c>
      <c r="D2282" t="s">
        <v>7</v>
      </c>
      <c r="E2282" s="2" t="s">
        <v>12</v>
      </c>
      <c r="F2282">
        <f t="shared" si="35"/>
        <v>196.71360000000001</v>
      </c>
      <c r="G2282" t="s">
        <v>16</v>
      </c>
      <c r="J2282" t="str">
        <f>"12/29/1991 23:00"</f>
        <v>12/29/1991 23:00</v>
      </c>
    </row>
    <row r="2283" spans="1:10" x14ac:dyDescent="0.3">
      <c r="A2283" t="s">
        <v>6</v>
      </c>
      <c r="B2283" t="str">
        <f>"12/30/1991 00:00"</f>
        <v>12/30/1991 00:00</v>
      </c>
      <c r="C2283">
        <v>98.9</v>
      </c>
      <c r="D2283" t="s">
        <v>7</v>
      </c>
      <c r="E2283" s="2" t="s">
        <v>12</v>
      </c>
      <c r="F2283">
        <f t="shared" si="35"/>
        <v>196.11870000000002</v>
      </c>
      <c r="G2283" t="s">
        <v>16</v>
      </c>
      <c r="J2283" t="str">
        <f>"12/30/1991 23:00"</f>
        <v>12/30/1991 23:00</v>
      </c>
    </row>
    <row r="2284" spans="1:10" x14ac:dyDescent="0.3">
      <c r="A2284" t="s">
        <v>6</v>
      </c>
      <c r="B2284" t="str">
        <f>"12/31/1991 00:00"</f>
        <v>12/31/1991 00:00</v>
      </c>
      <c r="C2284">
        <v>98.7</v>
      </c>
      <c r="D2284" t="s">
        <v>7</v>
      </c>
      <c r="E2284" s="2" t="s">
        <v>12</v>
      </c>
      <c r="F2284">
        <f t="shared" si="35"/>
        <v>195.72210000000001</v>
      </c>
      <c r="G2284" t="s">
        <v>16</v>
      </c>
      <c r="J2284" t="str">
        <f>"12/31/1991 23:00"</f>
        <v>12/31/1991 23:00</v>
      </c>
    </row>
    <row r="2285" spans="1:10" x14ac:dyDescent="0.3">
      <c r="A2285" t="s">
        <v>6</v>
      </c>
      <c r="B2285" t="str">
        <f>"01/01/1992 00:00"</f>
        <v>01/01/1992 00:00</v>
      </c>
      <c r="C2285">
        <v>98.5</v>
      </c>
      <c r="D2285" t="s">
        <v>7</v>
      </c>
      <c r="E2285" s="2" t="s">
        <v>12</v>
      </c>
      <c r="F2285">
        <f t="shared" si="35"/>
        <v>195.32550000000001</v>
      </c>
      <c r="G2285" t="s">
        <v>16</v>
      </c>
      <c r="J2285" t="str">
        <f>"01/01/1992 23:00"</f>
        <v>01/01/1992 23:00</v>
      </c>
    </row>
    <row r="2286" spans="1:10" x14ac:dyDescent="0.3">
      <c r="A2286" t="s">
        <v>6</v>
      </c>
      <c r="B2286" t="str">
        <f>"01/02/1992 00:00"</f>
        <v>01/02/1992 00:00</v>
      </c>
      <c r="C2286">
        <v>98.3</v>
      </c>
      <c r="D2286" t="s">
        <v>7</v>
      </c>
      <c r="E2286" s="2" t="s">
        <v>12</v>
      </c>
      <c r="F2286">
        <f t="shared" si="35"/>
        <v>194.9289</v>
      </c>
      <c r="G2286" t="s">
        <v>16</v>
      </c>
      <c r="J2286" t="str">
        <f>"01/02/1992 23:00"</f>
        <v>01/02/1992 23:00</v>
      </c>
    </row>
    <row r="2287" spans="1:10" x14ac:dyDescent="0.3">
      <c r="A2287" t="s">
        <v>6</v>
      </c>
      <c r="B2287" t="str">
        <f>"01/03/1992 00:00"</f>
        <v>01/03/1992 00:00</v>
      </c>
      <c r="C2287">
        <v>98.5</v>
      </c>
      <c r="D2287" t="s">
        <v>7</v>
      </c>
      <c r="E2287" s="2" t="s">
        <v>12</v>
      </c>
      <c r="F2287">
        <f t="shared" si="35"/>
        <v>195.32550000000001</v>
      </c>
      <c r="G2287" t="s">
        <v>16</v>
      </c>
      <c r="J2287" t="str">
        <f>"01/03/1992 23:00"</f>
        <v>01/03/1992 23:00</v>
      </c>
    </row>
    <row r="2288" spans="1:10" x14ac:dyDescent="0.3">
      <c r="A2288" t="s">
        <v>6</v>
      </c>
      <c r="B2288" t="str">
        <f>"01/04/1992 00:00"</f>
        <v>01/04/1992 00:00</v>
      </c>
      <c r="C2288">
        <v>99.4</v>
      </c>
      <c r="D2288" t="s">
        <v>7</v>
      </c>
      <c r="E2288" s="2" t="s">
        <v>12</v>
      </c>
      <c r="F2288">
        <f t="shared" si="35"/>
        <v>197.11020000000002</v>
      </c>
      <c r="G2288" t="s">
        <v>16</v>
      </c>
      <c r="J2288" t="str">
        <f>"01/04/1992 23:00"</f>
        <v>01/04/1992 23:00</v>
      </c>
    </row>
    <row r="2289" spans="1:10" x14ac:dyDescent="0.3">
      <c r="A2289" t="s">
        <v>6</v>
      </c>
      <c r="B2289" t="str">
        <f>"01/05/1992 00:00"</f>
        <v>01/05/1992 00:00</v>
      </c>
      <c r="C2289">
        <v>99.3</v>
      </c>
      <c r="D2289" t="s">
        <v>7</v>
      </c>
      <c r="E2289" s="2" t="s">
        <v>12</v>
      </c>
      <c r="F2289">
        <f t="shared" si="35"/>
        <v>196.9119</v>
      </c>
      <c r="G2289" t="s">
        <v>16</v>
      </c>
      <c r="J2289" t="str">
        <f>"01/05/1992 23:00"</f>
        <v>01/05/1992 23:00</v>
      </c>
    </row>
    <row r="2290" spans="1:10" x14ac:dyDescent="0.3">
      <c r="A2290" t="s">
        <v>6</v>
      </c>
      <c r="B2290" t="str">
        <f>"01/06/1992 00:00"</f>
        <v>01/06/1992 00:00</v>
      </c>
      <c r="C2290">
        <v>99.4</v>
      </c>
      <c r="D2290" t="s">
        <v>7</v>
      </c>
      <c r="E2290" s="2" t="s">
        <v>12</v>
      </c>
      <c r="F2290">
        <f t="shared" si="35"/>
        <v>197.11020000000002</v>
      </c>
      <c r="G2290" t="s">
        <v>16</v>
      </c>
      <c r="J2290" t="str">
        <f>"01/06/1992 23:00"</f>
        <v>01/06/1992 23:00</v>
      </c>
    </row>
    <row r="2291" spans="1:10" x14ac:dyDescent="0.3">
      <c r="A2291" t="s">
        <v>6</v>
      </c>
      <c r="B2291" t="str">
        <f>"01/07/1992 00:00"</f>
        <v>01/07/1992 00:00</v>
      </c>
      <c r="C2291">
        <v>99.6</v>
      </c>
      <c r="D2291" t="s">
        <v>7</v>
      </c>
      <c r="E2291" s="2" t="s">
        <v>12</v>
      </c>
      <c r="F2291">
        <f t="shared" si="35"/>
        <v>197.5068</v>
      </c>
      <c r="G2291" t="s">
        <v>16</v>
      </c>
      <c r="J2291" t="str">
        <f>"01/07/1992 23:00"</f>
        <v>01/07/1992 23:00</v>
      </c>
    </row>
    <row r="2292" spans="1:10" x14ac:dyDescent="0.3">
      <c r="A2292" t="s">
        <v>6</v>
      </c>
      <c r="B2292" t="str">
        <f>"01/08/1992 00:00"</f>
        <v>01/08/1992 00:00</v>
      </c>
      <c r="C2292">
        <v>99.4</v>
      </c>
      <c r="D2292" t="s">
        <v>7</v>
      </c>
      <c r="E2292" s="2" t="s">
        <v>12</v>
      </c>
      <c r="F2292">
        <f t="shared" si="35"/>
        <v>197.11020000000002</v>
      </c>
      <c r="G2292" t="s">
        <v>16</v>
      </c>
      <c r="J2292" t="str">
        <f>"01/08/1992 01:00"</f>
        <v>01/08/1992 01:00</v>
      </c>
    </row>
    <row r="2293" spans="1:10" x14ac:dyDescent="0.3">
      <c r="A2293" t="s">
        <v>6</v>
      </c>
      <c r="B2293" t="str">
        <f>"01/09/1992 00:00"</f>
        <v>01/09/1992 00:00</v>
      </c>
      <c r="D2293" t="s">
        <v>7</v>
      </c>
      <c r="E2293" s="2" t="s">
        <v>12</v>
      </c>
      <c r="F2293">
        <f t="shared" si="35"/>
        <v>0</v>
      </c>
      <c r="G2293" t="s">
        <v>16</v>
      </c>
    </row>
    <row r="2294" spans="1:10" x14ac:dyDescent="0.3">
      <c r="A2294" t="s">
        <v>6</v>
      </c>
      <c r="B2294" t="str">
        <f>"01/10/1992 00:00"</f>
        <v>01/10/1992 00:00</v>
      </c>
      <c r="D2294" t="s">
        <v>7</v>
      </c>
      <c r="E2294" s="2" t="s">
        <v>12</v>
      </c>
      <c r="F2294">
        <f t="shared" si="35"/>
        <v>0</v>
      </c>
      <c r="G2294" t="s">
        <v>16</v>
      </c>
    </row>
    <row r="2295" spans="1:10" x14ac:dyDescent="0.3">
      <c r="A2295" t="s">
        <v>6</v>
      </c>
      <c r="B2295" t="str">
        <f>"01/11/1992 00:00"</f>
        <v>01/11/1992 00:00</v>
      </c>
      <c r="D2295" t="s">
        <v>7</v>
      </c>
      <c r="E2295" s="2" t="s">
        <v>12</v>
      </c>
      <c r="F2295">
        <f t="shared" si="35"/>
        <v>0</v>
      </c>
      <c r="G2295" t="s">
        <v>16</v>
      </c>
    </row>
    <row r="2296" spans="1:10" x14ac:dyDescent="0.3">
      <c r="A2296" t="s">
        <v>6</v>
      </c>
      <c r="B2296" t="str">
        <f>"01/12/1992 00:00"</f>
        <v>01/12/1992 00:00</v>
      </c>
      <c r="D2296" t="s">
        <v>7</v>
      </c>
      <c r="E2296" s="2" t="s">
        <v>12</v>
      </c>
      <c r="F2296">
        <f t="shared" si="35"/>
        <v>0</v>
      </c>
      <c r="G2296" t="s">
        <v>16</v>
      </c>
    </row>
    <row r="2297" spans="1:10" x14ac:dyDescent="0.3">
      <c r="A2297" t="s">
        <v>6</v>
      </c>
      <c r="B2297" t="str">
        <f>"01/13/1992 00:00"</f>
        <v>01/13/1992 00:00</v>
      </c>
      <c r="D2297" t="s">
        <v>7</v>
      </c>
      <c r="E2297" s="2" t="s">
        <v>12</v>
      </c>
      <c r="F2297">
        <f t="shared" si="35"/>
        <v>0</v>
      </c>
      <c r="G2297" t="s">
        <v>16</v>
      </c>
    </row>
    <row r="2298" spans="1:10" x14ac:dyDescent="0.3">
      <c r="A2298" t="s">
        <v>6</v>
      </c>
      <c r="B2298" t="str">
        <f>"01/14/1992 00:00"</f>
        <v>01/14/1992 00:00</v>
      </c>
      <c r="D2298" t="s">
        <v>7</v>
      </c>
      <c r="E2298" s="2" t="s">
        <v>12</v>
      </c>
      <c r="F2298">
        <f t="shared" si="35"/>
        <v>0</v>
      </c>
      <c r="G2298" t="s">
        <v>16</v>
      </c>
    </row>
    <row r="2299" spans="1:10" x14ac:dyDescent="0.3">
      <c r="A2299" t="s">
        <v>6</v>
      </c>
      <c r="B2299" t="str">
        <f>"01/15/1992 00:00"</f>
        <v>01/15/1992 00:00</v>
      </c>
      <c r="D2299" t="s">
        <v>7</v>
      </c>
      <c r="E2299" s="2" t="s">
        <v>12</v>
      </c>
      <c r="F2299">
        <f t="shared" si="35"/>
        <v>0</v>
      </c>
      <c r="G2299" t="s">
        <v>16</v>
      </c>
    </row>
    <row r="2300" spans="1:10" x14ac:dyDescent="0.3">
      <c r="A2300" t="s">
        <v>6</v>
      </c>
      <c r="B2300" t="str">
        <f>"01/16/1992 00:00"</f>
        <v>01/16/1992 00:00</v>
      </c>
      <c r="D2300" t="s">
        <v>7</v>
      </c>
      <c r="E2300" s="2" t="s">
        <v>12</v>
      </c>
      <c r="F2300">
        <f t="shared" si="35"/>
        <v>0</v>
      </c>
      <c r="G2300" t="s">
        <v>16</v>
      </c>
    </row>
    <row r="2301" spans="1:10" x14ac:dyDescent="0.3">
      <c r="A2301" t="s">
        <v>6</v>
      </c>
      <c r="B2301" t="str">
        <f>"01/17/1992 00:00"</f>
        <v>01/17/1992 00:00</v>
      </c>
      <c r="D2301" t="s">
        <v>7</v>
      </c>
      <c r="E2301" s="2" t="s">
        <v>12</v>
      </c>
      <c r="F2301">
        <f t="shared" si="35"/>
        <v>0</v>
      </c>
      <c r="G2301" t="s">
        <v>16</v>
      </c>
    </row>
    <row r="2302" spans="1:10" x14ac:dyDescent="0.3">
      <c r="A2302" t="s">
        <v>6</v>
      </c>
      <c r="B2302" t="str">
        <f>"01/18/1992 00:00"</f>
        <v>01/18/1992 00:00</v>
      </c>
      <c r="D2302" t="s">
        <v>7</v>
      </c>
      <c r="E2302" s="2" t="s">
        <v>12</v>
      </c>
      <c r="F2302">
        <f t="shared" si="35"/>
        <v>0</v>
      </c>
      <c r="G2302" t="s">
        <v>16</v>
      </c>
    </row>
    <row r="2303" spans="1:10" x14ac:dyDescent="0.3">
      <c r="A2303" t="s">
        <v>6</v>
      </c>
      <c r="B2303" t="str">
        <f>"01/19/1992 00:00"</f>
        <v>01/19/1992 00:00</v>
      </c>
      <c r="D2303" t="s">
        <v>7</v>
      </c>
      <c r="E2303" s="2" t="s">
        <v>12</v>
      </c>
      <c r="F2303">
        <f t="shared" si="35"/>
        <v>0</v>
      </c>
      <c r="G2303" t="s">
        <v>16</v>
      </c>
    </row>
    <row r="2304" spans="1:10" x14ac:dyDescent="0.3">
      <c r="A2304" t="s">
        <v>6</v>
      </c>
      <c r="B2304" t="str">
        <f>"01/20/1992 00:00"</f>
        <v>01/20/1992 00:00</v>
      </c>
      <c r="C2304">
        <v>96.2</v>
      </c>
      <c r="D2304" t="s">
        <v>7</v>
      </c>
      <c r="E2304" s="2" t="s">
        <v>12</v>
      </c>
      <c r="F2304">
        <f t="shared" si="35"/>
        <v>190.7646</v>
      </c>
      <c r="G2304" t="s">
        <v>16</v>
      </c>
      <c r="J2304" t="str">
        <f>"01/20/1992 23:00"</f>
        <v>01/20/1992 23:00</v>
      </c>
    </row>
    <row r="2305" spans="1:10" x14ac:dyDescent="0.3">
      <c r="A2305" t="s">
        <v>6</v>
      </c>
      <c r="B2305" t="str">
        <f>"01/21/1992 00:00"</f>
        <v>01/21/1992 00:00</v>
      </c>
      <c r="C2305">
        <v>96.3</v>
      </c>
      <c r="D2305" t="s">
        <v>7</v>
      </c>
      <c r="E2305" s="2" t="s">
        <v>12</v>
      </c>
      <c r="F2305">
        <f t="shared" si="35"/>
        <v>190.96289999999999</v>
      </c>
      <c r="G2305" t="s">
        <v>16</v>
      </c>
      <c r="J2305" t="str">
        <f>"01/21/1992 23:00"</f>
        <v>01/21/1992 23:00</v>
      </c>
    </row>
    <row r="2306" spans="1:10" x14ac:dyDescent="0.3">
      <c r="A2306" t="s">
        <v>6</v>
      </c>
      <c r="B2306" t="str">
        <f>"01/22/1992 00:00"</f>
        <v>01/22/1992 00:00</v>
      </c>
      <c r="C2306">
        <v>95</v>
      </c>
      <c r="D2306" t="s">
        <v>7</v>
      </c>
      <c r="E2306" s="2" t="s">
        <v>12</v>
      </c>
      <c r="F2306">
        <f t="shared" si="35"/>
        <v>188.38500000000002</v>
      </c>
      <c r="G2306" t="s">
        <v>16</v>
      </c>
      <c r="J2306" t="str">
        <f>"01/22/1992 23:00"</f>
        <v>01/22/1992 23:00</v>
      </c>
    </row>
    <row r="2307" spans="1:10" x14ac:dyDescent="0.3">
      <c r="A2307" t="s">
        <v>6</v>
      </c>
      <c r="B2307" t="str">
        <f>"01/23/1992 00:00"</f>
        <v>01/23/1992 00:00</v>
      </c>
      <c r="C2307">
        <v>98.4</v>
      </c>
      <c r="D2307" t="s">
        <v>7</v>
      </c>
      <c r="E2307" s="2" t="s">
        <v>12</v>
      </c>
      <c r="F2307">
        <f t="shared" ref="F2307:F2370" si="36">C2307*1.983</f>
        <v>195.12720000000002</v>
      </c>
      <c r="G2307" t="s">
        <v>16</v>
      </c>
      <c r="J2307" t="str">
        <f>"01/23/1992 23:00"</f>
        <v>01/23/1992 23:00</v>
      </c>
    </row>
    <row r="2308" spans="1:10" x14ac:dyDescent="0.3">
      <c r="A2308" t="s">
        <v>6</v>
      </c>
      <c r="B2308" t="str">
        <f>"01/24/1992 00:00"</f>
        <v>01/24/1992 00:00</v>
      </c>
      <c r="C2308">
        <v>98.6</v>
      </c>
      <c r="D2308" t="s">
        <v>7</v>
      </c>
      <c r="E2308" s="2" t="s">
        <v>12</v>
      </c>
      <c r="F2308">
        <f t="shared" si="36"/>
        <v>195.52379999999999</v>
      </c>
      <c r="G2308" t="s">
        <v>16</v>
      </c>
      <c r="J2308" t="str">
        <f>"01/24/1992 23:00"</f>
        <v>01/24/1992 23:00</v>
      </c>
    </row>
    <row r="2309" spans="1:10" x14ac:dyDescent="0.3">
      <c r="A2309" t="s">
        <v>6</v>
      </c>
      <c r="B2309" t="str">
        <f>"01/25/1992 00:00"</f>
        <v>01/25/1992 00:00</v>
      </c>
      <c r="C2309">
        <v>97.2</v>
      </c>
      <c r="D2309" t="s">
        <v>7</v>
      </c>
      <c r="E2309" s="2" t="s">
        <v>12</v>
      </c>
      <c r="F2309">
        <f t="shared" si="36"/>
        <v>192.74760000000001</v>
      </c>
      <c r="G2309" t="s">
        <v>16</v>
      </c>
      <c r="J2309" t="str">
        <f>"01/25/1992 23:00"</f>
        <v>01/25/1992 23:00</v>
      </c>
    </row>
    <row r="2310" spans="1:10" x14ac:dyDescent="0.3">
      <c r="A2310" t="s">
        <v>6</v>
      </c>
      <c r="B2310" t="str">
        <f>"01/26/1992 00:00"</f>
        <v>01/26/1992 00:00</v>
      </c>
      <c r="C2310">
        <v>95.8</v>
      </c>
      <c r="D2310" t="s">
        <v>7</v>
      </c>
      <c r="E2310" s="2" t="s">
        <v>12</v>
      </c>
      <c r="F2310">
        <f t="shared" si="36"/>
        <v>189.97140000000002</v>
      </c>
      <c r="G2310" t="s">
        <v>16</v>
      </c>
      <c r="J2310" t="str">
        <f>"01/26/1992 23:00"</f>
        <v>01/26/1992 23:00</v>
      </c>
    </row>
    <row r="2311" spans="1:10" x14ac:dyDescent="0.3">
      <c r="A2311" t="s">
        <v>6</v>
      </c>
      <c r="B2311" t="str">
        <f>"01/27/1992 00:00"</f>
        <v>01/27/1992 00:00</v>
      </c>
      <c r="C2311">
        <v>95.4</v>
      </c>
      <c r="D2311" t="s">
        <v>7</v>
      </c>
      <c r="E2311" s="2" t="s">
        <v>12</v>
      </c>
      <c r="F2311">
        <f t="shared" si="36"/>
        <v>189.17820000000003</v>
      </c>
      <c r="G2311" t="s">
        <v>16</v>
      </c>
      <c r="I2311" t="s">
        <v>8</v>
      </c>
      <c r="J2311" t="str">
        <f>"01/27/1992 23:00"</f>
        <v>01/27/1992 23:00</v>
      </c>
    </row>
    <row r="2312" spans="1:10" x14ac:dyDescent="0.3">
      <c r="A2312" t="s">
        <v>6</v>
      </c>
      <c r="B2312" t="str">
        <f>"01/28/1992 00:00"</f>
        <v>01/28/1992 00:00</v>
      </c>
      <c r="C2312">
        <v>92.9</v>
      </c>
      <c r="D2312" t="s">
        <v>7</v>
      </c>
      <c r="E2312" s="2" t="s">
        <v>12</v>
      </c>
      <c r="F2312">
        <f t="shared" si="36"/>
        <v>184.22070000000002</v>
      </c>
      <c r="G2312" t="s">
        <v>16</v>
      </c>
      <c r="I2312" t="s">
        <v>8</v>
      </c>
      <c r="J2312" t="str">
        <f>"01/28/1992 23:00"</f>
        <v>01/28/1992 23:00</v>
      </c>
    </row>
    <row r="2313" spans="1:10" x14ac:dyDescent="0.3">
      <c r="A2313" t="s">
        <v>6</v>
      </c>
      <c r="B2313" t="str">
        <f>"01/29/1992 00:00"</f>
        <v>01/29/1992 00:00</v>
      </c>
      <c r="C2313">
        <v>96.9</v>
      </c>
      <c r="D2313" t="s">
        <v>7</v>
      </c>
      <c r="E2313" s="2" t="s">
        <v>12</v>
      </c>
      <c r="F2313">
        <f t="shared" si="36"/>
        <v>192.15270000000001</v>
      </c>
      <c r="G2313" t="s">
        <v>16</v>
      </c>
      <c r="J2313" t="str">
        <f>"01/29/1992 23:00"</f>
        <v>01/29/1992 23:00</v>
      </c>
    </row>
    <row r="2314" spans="1:10" x14ac:dyDescent="0.3">
      <c r="A2314" t="s">
        <v>6</v>
      </c>
      <c r="B2314" t="str">
        <f>"01/30/1992 00:00"</f>
        <v>01/30/1992 00:00</v>
      </c>
      <c r="C2314">
        <v>98</v>
      </c>
      <c r="D2314" t="s">
        <v>7</v>
      </c>
      <c r="E2314" s="2" t="s">
        <v>12</v>
      </c>
      <c r="F2314">
        <f t="shared" si="36"/>
        <v>194.334</v>
      </c>
      <c r="G2314" t="s">
        <v>16</v>
      </c>
      <c r="J2314" t="str">
        <f>"01/30/1992 23:00"</f>
        <v>01/30/1992 23:00</v>
      </c>
    </row>
    <row r="2315" spans="1:10" x14ac:dyDescent="0.3">
      <c r="A2315" t="s">
        <v>6</v>
      </c>
      <c r="B2315" t="str">
        <f>"01/31/1992 00:00"</f>
        <v>01/31/1992 00:00</v>
      </c>
      <c r="C2315">
        <v>97.4</v>
      </c>
      <c r="D2315" t="s">
        <v>7</v>
      </c>
      <c r="E2315" s="2" t="s">
        <v>12</v>
      </c>
      <c r="F2315">
        <f t="shared" si="36"/>
        <v>193.14420000000001</v>
      </c>
      <c r="G2315" t="s">
        <v>16</v>
      </c>
      <c r="J2315" t="str">
        <f>"01/31/1992 23:00"</f>
        <v>01/31/1992 23:00</v>
      </c>
    </row>
    <row r="2316" spans="1:10" x14ac:dyDescent="0.3">
      <c r="A2316" t="s">
        <v>6</v>
      </c>
      <c r="B2316" t="str">
        <f>"02/01/1992 00:00"</f>
        <v>02/01/1992 00:00</v>
      </c>
      <c r="C2316">
        <v>97</v>
      </c>
      <c r="D2316" t="s">
        <v>7</v>
      </c>
      <c r="E2316" s="2" t="s">
        <v>12</v>
      </c>
      <c r="F2316">
        <f t="shared" si="36"/>
        <v>192.351</v>
      </c>
      <c r="G2316" t="s">
        <v>16</v>
      </c>
      <c r="J2316" t="str">
        <f>"02/01/1992 23:00"</f>
        <v>02/01/1992 23:00</v>
      </c>
    </row>
    <row r="2317" spans="1:10" x14ac:dyDescent="0.3">
      <c r="A2317" t="s">
        <v>6</v>
      </c>
      <c r="B2317" t="str">
        <f>"02/02/1992 00:00"</f>
        <v>02/02/1992 00:00</v>
      </c>
      <c r="C2317">
        <v>97.6</v>
      </c>
      <c r="D2317" t="s">
        <v>7</v>
      </c>
      <c r="E2317" s="2" t="s">
        <v>12</v>
      </c>
      <c r="F2317">
        <f t="shared" si="36"/>
        <v>193.54079999999999</v>
      </c>
      <c r="G2317" t="s">
        <v>16</v>
      </c>
      <c r="J2317" t="str">
        <f>"02/02/1992 23:00"</f>
        <v>02/02/1992 23:00</v>
      </c>
    </row>
    <row r="2318" spans="1:10" x14ac:dyDescent="0.3">
      <c r="A2318" t="s">
        <v>6</v>
      </c>
      <c r="B2318" t="str">
        <f>"02/03/1992 00:00"</f>
        <v>02/03/1992 00:00</v>
      </c>
      <c r="C2318">
        <v>97.1</v>
      </c>
      <c r="D2318" t="s">
        <v>7</v>
      </c>
      <c r="E2318" s="2" t="s">
        <v>12</v>
      </c>
      <c r="F2318">
        <f t="shared" si="36"/>
        <v>192.54929999999999</v>
      </c>
      <c r="G2318" t="s">
        <v>16</v>
      </c>
      <c r="J2318" t="str">
        <f>"02/03/1992 23:00"</f>
        <v>02/03/1992 23:00</v>
      </c>
    </row>
    <row r="2319" spans="1:10" x14ac:dyDescent="0.3">
      <c r="A2319" t="s">
        <v>6</v>
      </c>
      <c r="B2319" t="str">
        <f>"02/04/1992 00:00"</f>
        <v>02/04/1992 00:00</v>
      </c>
      <c r="C2319">
        <v>96.9</v>
      </c>
      <c r="D2319" t="s">
        <v>7</v>
      </c>
      <c r="E2319" s="2" t="s">
        <v>12</v>
      </c>
      <c r="F2319">
        <f t="shared" si="36"/>
        <v>192.15270000000001</v>
      </c>
      <c r="G2319" t="s">
        <v>16</v>
      </c>
      <c r="J2319" t="str">
        <f>"02/04/1992 23:00"</f>
        <v>02/04/1992 23:00</v>
      </c>
    </row>
    <row r="2320" spans="1:10" x14ac:dyDescent="0.3">
      <c r="A2320" t="s">
        <v>6</v>
      </c>
      <c r="B2320" t="str">
        <f>"02/05/1992 00:00"</f>
        <v>02/05/1992 00:00</v>
      </c>
      <c r="C2320">
        <v>96.7</v>
      </c>
      <c r="D2320" t="s">
        <v>7</v>
      </c>
      <c r="E2320" s="2" t="s">
        <v>12</v>
      </c>
      <c r="F2320">
        <f t="shared" si="36"/>
        <v>191.7561</v>
      </c>
      <c r="G2320" t="s">
        <v>16</v>
      </c>
      <c r="J2320" t="str">
        <f>"02/05/1992 23:00"</f>
        <v>02/05/1992 23:00</v>
      </c>
    </row>
    <row r="2321" spans="1:10" x14ac:dyDescent="0.3">
      <c r="A2321" t="s">
        <v>6</v>
      </c>
      <c r="B2321" t="str">
        <f>"02/06/1992 00:00"</f>
        <v>02/06/1992 00:00</v>
      </c>
      <c r="C2321">
        <v>96.8</v>
      </c>
      <c r="D2321" t="s">
        <v>7</v>
      </c>
      <c r="E2321" s="2" t="s">
        <v>12</v>
      </c>
      <c r="F2321">
        <f t="shared" si="36"/>
        <v>191.95439999999999</v>
      </c>
      <c r="G2321" t="s">
        <v>16</v>
      </c>
      <c r="J2321" t="str">
        <f>"02/06/1992 23:00"</f>
        <v>02/06/1992 23:00</v>
      </c>
    </row>
    <row r="2322" spans="1:10" x14ac:dyDescent="0.3">
      <c r="A2322" t="s">
        <v>6</v>
      </c>
      <c r="B2322" t="str">
        <f>"02/07/1992 00:00"</f>
        <v>02/07/1992 00:00</v>
      </c>
      <c r="C2322">
        <v>96.7</v>
      </c>
      <c r="D2322" t="s">
        <v>7</v>
      </c>
      <c r="E2322" s="2" t="s">
        <v>12</v>
      </c>
      <c r="F2322">
        <f t="shared" si="36"/>
        <v>191.7561</v>
      </c>
      <c r="G2322" t="s">
        <v>16</v>
      </c>
      <c r="J2322" t="str">
        <f>"02/07/1992 23:00"</f>
        <v>02/07/1992 23:00</v>
      </c>
    </row>
    <row r="2323" spans="1:10" x14ac:dyDescent="0.3">
      <c r="A2323" t="s">
        <v>6</v>
      </c>
      <c r="B2323" t="str">
        <f>"02/08/1992 00:00"</f>
        <v>02/08/1992 00:00</v>
      </c>
      <c r="C2323">
        <v>96.7</v>
      </c>
      <c r="D2323" t="s">
        <v>7</v>
      </c>
      <c r="E2323" s="2" t="s">
        <v>12</v>
      </c>
      <c r="F2323">
        <f t="shared" si="36"/>
        <v>191.7561</v>
      </c>
      <c r="G2323" t="s">
        <v>16</v>
      </c>
      <c r="I2323" t="s">
        <v>8</v>
      </c>
      <c r="J2323" t="str">
        <f>"02/08/1992 23:00"</f>
        <v>02/08/1992 23:00</v>
      </c>
    </row>
    <row r="2324" spans="1:10" x14ac:dyDescent="0.3">
      <c r="A2324" t="s">
        <v>6</v>
      </c>
      <c r="B2324" t="str">
        <f>"02/09/1992 00:00"</f>
        <v>02/09/1992 00:00</v>
      </c>
      <c r="C2324">
        <v>96.7</v>
      </c>
      <c r="D2324" t="s">
        <v>7</v>
      </c>
      <c r="E2324" s="2" t="s">
        <v>12</v>
      </c>
      <c r="F2324">
        <f t="shared" si="36"/>
        <v>191.7561</v>
      </c>
      <c r="G2324" t="s">
        <v>16</v>
      </c>
      <c r="I2324" t="s">
        <v>35</v>
      </c>
      <c r="J2324" t="str">
        <f>"02/09/1992 23:00"</f>
        <v>02/09/1992 23:00</v>
      </c>
    </row>
    <row r="2325" spans="1:10" x14ac:dyDescent="0.3">
      <c r="A2325" t="s">
        <v>6</v>
      </c>
      <c r="B2325" t="str">
        <f>"02/10/1992 00:00"</f>
        <v>02/10/1992 00:00</v>
      </c>
      <c r="C2325">
        <v>96.7</v>
      </c>
      <c r="D2325" t="s">
        <v>7</v>
      </c>
      <c r="E2325" s="2" t="s">
        <v>12</v>
      </c>
      <c r="F2325">
        <f t="shared" si="36"/>
        <v>191.7561</v>
      </c>
      <c r="G2325" t="s">
        <v>16</v>
      </c>
      <c r="I2325" t="s">
        <v>35</v>
      </c>
      <c r="J2325" t="str">
        <f>"02/10/1992 23:00"</f>
        <v>02/10/1992 23:00</v>
      </c>
    </row>
    <row r="2326" spans="1:10" x14ac:dyDescent="0.3">
      <c r="A2326" t="s">
        <v>6</v>
      </c>
      <c r="B2326" t="str">
        <f>"02/11/1992 00:00"</f>
        <v>02/11/1992 00:00</v>
      </c>
      <c r="C2326">
        <v>96.7</v>
      </c>
      <c r="D2326" t="s">
        <v>7</v>
      </c>
      <c r="E2326" s="2" t="s">
        <v>12</v>
      </c>
      <c r="F2326">
        <f t="shared" si="36"/>
        <v>191.7561</v>
      </c>
      <c r="G2326" t="s">
        <v>16</v>
      </c>
      <c r="I2326" t="s">
        <v>35</v>
      </c>
      <c r="J2326" t="str">
        <f>"02/11/1992 23:00"</f>
        <v>02/11/1992 23:00</v>
      </c>
    </row>
    <row r="2327" spans="1:10" x14ac:dyDescent="0.3">
      <c r="A2327" t="s">
        <v>6</v>
      </c>
      <c r="B2327" t="str">
        <f>"02/12/1992 00:00"</f>
        <v>02/12/1992 00:00</v>
      </c>
      <c r="C2327">
        <v>97.3</v>
      </c>
      <c r="D2327" t="s">
        <v>7</v>
      </c>
      <c r="E2327" s="2" t="s">
        <v>12</v>
      </c>
      <c r="F2327">
        <f t="shared" si="36"/>
        <v>192.94589999999999</v>
      </c>
      <c r="G2327" t="s">
        <v>16</v>
      </c>
      <c r="I2327" t="s">
        <v>8</v>
      </c>
      <c r="J2327" t="str">
        <f>"02/12/1992 23:00"</f>
        <v>02/12/1992 23:00</v>
      </c>
    </row>
    <row r="2328" spans="1:10" x14ac:dyDescent="0.3">
      <c r="A2328" t="s">
        <v>6</v>
      </c>
      <c r="B2328" t="str">
        <f>"02/13/1992 00:00"</f>
        <v>02/13/1992 00:00</v>
      </c>
      <c r="C2328">
        <v>97.5</v>
      </c>
      <c r="D2328" t="s">
        <v>7</v>
      </c>
      <c r="E2328" s="2" t="s">
        <v>12</v>
      </c>
      <c r="F2328">
        <f t="shared" si="36"/>
        <v>193.3425</v>
      </c>
      <c r="G2328" t="s">
        <v>16</v>
      </c>
      <c r="J2328" t="str">
        <f>"02/13/1992 23:00"</f>
        <v>02/13/1992 23:00</v>
      </c>
    </row>
    <row r="2329" spans="1:10" x14ac:dyDescent="0.3">
      <c r="A2329" t="s">
        <v>6</v>
      </c>
      <c r="B2329" t="str">
        <f>"02/14/1992 00:00"</f>
        <v>02/14/1992 00:00</v>
      </c>
      <c r="C2329">
        <v>96.7</v>
      </c>
      <c r="D2329" t="s">
        <v>7</v>
      </c>
      <c r="E2329" s="2" t="s">
        <v>12</v>
      </c>
      <c r="F2329">
        <f t="shared" si="36"/>
        <v>191.7561</v>
      </c>
      <c r="G2329" t="s">
        <v>16</v>
      </c>
      <c r="I2329" t="s">
        <v>8</v>
      </c>
      <c r="J2329" t="str">
        <f>"02/14/1992 23:00"</f>
        <v>02/14/1992 23:00</v>
      </c>
    </row>
    <row r="2330" spans="1:10" x14ac:dyDescent="0.3">
      <c r="A2330" t="s">
        <v>6</v>
      </c>
      <c r="B2330" t="str">
        <f>"02/15/1992 00:00"</f>
        <v>02/15/1992 00:00</v>
      </c>
      <c r="C2330">
        <v>96.7</v>
      </c>
      <c r="D2330" t="s">
        <v>7</v>
      </c>
      <c r="E2330" s="2" t="s">
        <v>12</v>
      </c>
      <c r="F2330">
        <f t="shared" si="36"/>
        <v>191.7561</v>
      </c>
      <c r="G2330" t="s">
        <v>16</v>
      </c>
      <c r="I2330" t="s">
        <v>8</v>
      </c>
      <c r="J2330" t="str">
        <f>"02/15/1992 23:00"</f>
        <v>02/15/1992 23:00</v>
      </c>
    </row>
    <row r="2331" spans="1:10" x14ac:dyDescent="0.3">
      <c r="A2331" t="s">
        <v>6</v>
      </c>
      <c r="B2331" t="str">
        <f>"02/16/1992 00:00"</f>
        <v>02/16/1992 00:00</v>
      </c>
      <c r="C2331">
        <v>96.7</v>
      </c>
      <c r="D2331" t="s">
        <v>7</v>
      </c>
      <c r="E2331" s="2" t="s">
        <v>12</v>
      </c>
      <c r="F2331">
        <f t="shared" si="36"/>
        <v>191.7561</v>
      </c>
      <c r="G2331" t="s">
        <v>16</v>
      </c>
      <c r="I2331" t="s">
        <v>35</v>
      </c>
      <c r="J2331" t="str">
        <f>"02/16/1992 23:00"</f>
        <v>02/16/1992 23:00</v>
      </c>
    </row>
    <row r="2332" spans="1:10" x14ac:dyDescent="0.3">
      <c r="A2332" t="s">
        <v>6</v>
      </c>
      <c r="B2332" t="str">
        <f>"02/17/1992 00:00"</f>
        <v>02/17/1992 00:00</v>
      </c>
      <c r="C2332">
        <v>96.7</v>
      </c>
      <c r="D2332" t="s">
        <v>7</v>
      </c>
      <c r="E2332" s="2" t="s">
        <v>12</v>
      </c>
      <c r="F2332">
        <f t="shared" si="36"/>
        <v>191.7561</v>
      </c>
      <c r="G2332" t="s">
        <v>16</v>
      </c>
      <c r="I2332" t="s">
        <v>8</v>
      </c>
      <c r="J2332" t="str">
        <f>"02/17/1992 23:00"</f>
        <v>02/17/1992 23:00</v>
      </c>
    </row>
    <row r="2333" spans="1:10" x14ac:dyDescent="0.3">
      <c r="A2333" t="s">
        <v>6</v>
      </c>
      <c r="B2333" t="str">
        <f>"02/18/1992 00:00"</f>
        <v>02/18/1992 00:00</v>
      </c>
      <c r="C2333">
        <v>96.7</v>
      </c>
      <c r="D2333" t="s">
        <v>7</v>
      </c>
      <c r="E2333" s="2" t="s">
        <v>12</v>
      </c>
      <c r="F2333">
        <f t="shared" si="36"/>
        <v>191.7561</v>
      </c>
      <c r="G2333" t="s">
        <v>16</v>
      </c>
      <c r="I2333" t="s">
        <v>8</v>
      </c>
      <c r="J2333" t="str">
        <f>"02/18/1992 23:00"</f>
        <v>02/18/1992 23:00</v>
      </c>
    </row>
    <row r="2334" spans="1:10" x14ac:dyDescent="0.3">
      <c r="A2334" t="s">
        <v>6</v>
      </c>
      <c r="B2334" t="str">
        <f>"02/19/1992 00:00"</f>
        <v>02/19/1992 00:00</v>
      </c>
      <c r="C2334">
        <v>96.7</v>
      </c>
      <c r="D2334" t="s">
        <v>7</v>
      </c>
      <c r="E2334" s="2" t="s">
        <v>12</v>
      </c>
      <c r="F2334">
        <f t="shared" si="36"/>
        <v>191.7561</v>
      </c>
      <c r="G2334" t="s">
        <v>16</v>
      </c>
      <c r="I2334" t="s">
        <v>35</v>
      </c>
      <c r="J2334" t="str">
        <f>"02/19/1992 23:00"</f>
        <v>02/19/1992 23:00</v>
      </c>
    </row>
    <row r="2335" spans="1:10" x14ac:dyDescent="0.3">
      <c r="A2335" t="s">
        <v>6</v>
      </c>
      <c r="B2335" t="str">
        <f>"02/20/1992 00:00"</f>
        <v>02/20/1992 00:00</v>
      </c>
      <c r="C2335">
        <v>96</v>
      </c>
      <c r="D2335" t="s">
        <v>7</v>
      </c>
      <c r="E2335" s="2" t="s">
        <v>12</v>
      </c>
      <c r="F2335">
        <f t="shared" si="36"/>
        <v>190.36799999999999</v>
      </c>
      <c r="G2335" t="s">
        <v>16</v>
      </c>
      <c r="I2335" t="s">
        <v>8</v>
      </c>
      <c r="J2335" t="str">
        <f>"02/20/1992 23:00"</f>
        <v>02/20/1992 23:00</v>
      </c>
    </row>
    <row r="2336" spans="1:10" x14ac:dyDescent="0.3">
      <c r="A2336" t="s">
        <v>6</v>
      </c>
      <c r="B2336" t="str">
        <f>"02/21/1992 00:00"</f>
        <v>02/21/1992 00:00</v>
      </c>
      <c r="C2336">
        <v>95.4</v>
      </c>
      <c r="D2336" t="s">
        <v>7</v>
      </c>
      <c r="E2336" s="2" t="s">
        <v>12</v>
      </c>
      <c r="F2336">
        <f t="shared" si="36"/>
        <v>189.17820000000003</v>
      </c>
      <c r="G2336" t="s">
        <v>16</v>
      </c>
      <c r="I2336" t="s">
        <v>8</v>
      </c>
      <c r="J2336" t="str">
        <f>"02/21/1992 23:00"</f>
        <v>02/21/1992 23:00</v>
      </c>
    </row>
    <row r="2337" spans="1:10" x14ac:dyDescent="0.3">
      <c r="A2337" t="s">
        <v>6</v>
      </c>
      <c r="B2337" t="str">
        <f>"02/22/1992 00:00"</f>
        <v>02/22/1992 00:00</v>
      </c>
      <c r="C2337">
        <v>95.4</v>
      </c>
      <c r="D2337" t="s">
        <v>7</v>
      </c>
      <c r="E2337" s="2" t="s">
        <v>12</v>
      </c>
      <c r="F2337">
        <f t="shared" si="36"/>
        <v>189.17820000000003</v>
      </c>
      <c r="G2337" t="s">
        <v>16</v>
      </c>
      <c r="I2337" t="s">
        <v>8</v>
      </c>
      <c r="J2337" t="str">
        <f>"02/22/1992 23:00"</f>
        <v>02/22/1992 23:00</v>
      </c>
    </row>
    <row r="2338" spans="1:10" x14ac:dyDescent="0.3">
      <c r="A2338" t="s">
        <v>6</v>
      </c>
      <c r="B2338" t="str">
        <f>"02/23/1992 00:00"</f>
        <v>02/23/1992 00:00</v>
      </c>
      <c r="C2338">
        <v>95.4</v>
      </c>
      <c r="D2338" t="s">
        <v>7</v>
      </c>
      <c r="E2338" s="2" t="s">
        <v>12</v>
      </c>
      <c r="F2338">
        <f t="shared" si="36"/>
        <v>189.17820000000003</v>
      </c>
      <c r="G2338" t="s">
        <v>16</v>
      </c>
      <c r="I2338" t="s">
        <v>8</v>
      </c>
      <c r="J2338" t="str">
        <f>"02/23/1992 23:00"</f>
        <v>02/23/1992 23:00</v>
      </c>
    </row>
    <row r="2339" spans="1:10" x14ac:dyDescent="0.3">
      <c r="A2339" t="s">
        <v>6</v>
      </c>
      <c r="B2339" t="str">
        <f>"02/24/1992 00:00"</f>
        <v>02/24/1992 00:00</v>
      </c>
      <c r="C2339">
        <v>95.4</v>
      </c>
      <c r="D2339" t="s">
        <v>7</v>
      </c>
      <c r="E2339" s="2" t="s">
        <v>12</v>
      </c>
      <c r="F2339">
        <f t="shared" si="36"/>
        <v>189.17820000000003</v>
      </c>
      <c r="G2339" t="s">
        <v>16</v>
      </c>
      <c r="I2339" t="s">
        <v>35</v>
      </c>
      <c r="J2339" t="str">
        <f>"02/24/1992 23:00"</f>
        <v>02/24/1992 23:00</v>
      </c>
    </row>
    <row r="2340" spans="1:10" x14ac:dyDescent="0.3">
      <c r="A2340" t="s">
        <v>6</v>
      </c>
      <c r="B2340" t="str">
        <f>"02/25/1992 00:00"</f>
        <v>02/25/1992 00:00</v>
      </c>
      <c r="C2340">
        <v>95.4</v>
      </c>
      <c r="D2340" t="s">
        <v>7</v>
      </c>
      <c r="E2340" s="2" t="s">
        <v>12</v>
      </c>
      <c r="F2340">
        <f t="shared" si="36"/>
        <v>189.17820000000003</v>
      </c>
      <c r="G2340" t="s">
        <v>16</v>
      </c>
      <c r="I2340" t="s">
        <v>35</v>
      </c>
      <c r="J2340" t="str">
        <f>"02/25/1992 23:00"</f>
        <v>02/25/1992 23:00</v>
      </c>
    </row>
    <row r="2341" spans="1:10" x14ac:dyDescent="0.3">
      <c r="A2341" t="s">
        <v>6</v>
      </c>
      <c r="B2341" t="str">
        <f>"02/26/1992 00:00"</f>
        <v>02/26/1992 00:00</v>
      </c>
      <c r="C2341">
        <v>95.4</v>
      </c>
      <c r="D2341" t="s">
        <v>7</v>
      </c>
      <c r="E2341" s="2" t="s">
        <v>12</v>
      </c>
      <c r="F2341">
        <f t="shared" si="36"/>
        <v>189.17820000000003</v>
      </c>
      <c r="G2341" t="s">
        <v>16</v>
      </c>
      <c r="I2341" t="s">
        <v>8</v>
      </c>
      <c r="J2341" t="str">
        <f>"02/26/1992 23:00"</f>
        <v>02/26/1992 23:00</v>
      </c>
    </row>
    <row r="2342" spans="1:10" x14ac:dyDescent="0.3">
      <c r="A2342" t="s">
        <v>6</v>
      </c>
      <c r="B2342" t="str">
        <f>"02/27/1992 00:00"</f>
        <v>02/27/1992 00:00</v>
      </c>
      <c r="C2342">
        <v>94.9</v>
      </c>
      <c r="D2342" t="s">
        <v>7</v>
      </c>
      <c r="E2342" s="2" t="s">
        <v>12</v>
      </c>
      <c r="F2342">
        <f t="shared" si="36"/>
        <v>188.18670000000003</v>
      </c>
      <c r="G2342" t="s">
        <v>16</v>
      </c>
      <c r="J2342" t="str">
        <f>"02/27/1992 23:00"</f>
        <v>02/27/1992 23:00</v>
      </c>
    </row>
    <row r="2343" spans="1:10" x14ac:dyDescent="0.3">
      <c r="A2343" t="s">
        <v>6</v>
      </c>
      <c r="B2343" t="str">
        <f>"02/28/1992 00:00"</f>
        <v>02/28/1992 00:00</v>
      </c>
      <c r="D2343" t="s">
        <v>7</v>
      </c>
      <c r="E2343" s="2" t="s">
        <v>12</v>
      </c>
      <c r="F2343">
        <f t="shared" si="36"/>
        <v>0</v>
      </c>
      <c r="G2343" t="s">
        <v>16</v>
      </c>
    </row>
    <row r="2344" spans="1:10" x14ac:dyDescent="0.3">
      <c r="A2344" t="s">
        <v>6</v>
      </c>
      <c r="B2344" t="str">
        <f>"02/29/1992 00:00"</f>
        <v>02/29/1992 00:00</v>
      </c>
      <c r="D2344" t="s">
        <v>7</v>
      </c>
      <c r="E2344" s="2" t="s">
        <v>12</v>
      </c>
      <c r="F2344">
        <f t="shared" si="36"/>
        <v>0</v>
      </c>
      <c r="G2344" t="s">
        <v>16</v>
      </c>
    </row>
    <row r="2345" spans="1:10" x14ac:dyDescent="0.3">
      <c r="A2345" t="s">
        <v>6</v>
      </c>
      <c r="B2345" t="str">
        <f>"03/01/1992 00:00"</f>
        <v>03/01/1992 00:00</v>
      </c>
      <c r="C2345">
        <v>92.7</v>
      </c>
      <c r="D2345" t="s">
        <v>7</v>
      </c>
      <c r="E2345" s="2" t="s">
        <v>12</v>
      </c>
      <c r="F2345">
        <f t="shared" si="36"/>
        <v>183.82410000000002</v>
      </c>
      <c r="G2345" t="s">
        <v>16</v>
      </c>
      <c r="J2345" t="str">
        <f>"03/01/1992 23:00"</f>
        <v>03/01/1992 23:00</v>
      </c>
    </row>
    <row r="2346" spans="1:10" x14ac:dyDescent="0.3">
      <c r="A2346" t="s">
        <v>6</v>
      </c>
      <c r="B2346" t="str">
        <f>"03/02/1992 00:00"</f>
        <v>03/02/1992 00:00</v>
      </c>
      <c r="C2346">
        <v>92.7</v>
      </c>
      <c r="D2346" t="s">
        <v>7</v>
      </c>
      <c r="E2346" s="2" t="s">
        <v>12</v>
      </c>
      <c r="F2346">
        <f t="shared" si="36"/>
        <v>183.82410000000002</v>
      </c>
      <c r="G2346" t="s">
        <v>16</v>
      </c>
      <c r="I2346" t="s">
        <v>8</v>
      </c>
      <c r="J2346" t="str">
        <f>"03/02/1992 23:00"</f>
        <v>03/02/1992 23:00</v>
      </c>
    </row>
    <row r="2347" spans="1:10" x14ac:dyDescent="0.3">
      <c r="A2347" t="s">
        <v>6</v>
      </c>
      <c r="B2347" t="str">
        <f>"03/03/1992 00:00"</f>
        <v>03/03/1992 00:00</v>
      </c>
      <c r="C2347">
        <v>97.1</v>
      </c>
      <c r="D2347" t="s">
        <v>7</v>
      </c>
      <c r="E2347" s="2" t="s">
        <v>12</v>
      </c>
      <c r="F2347">
        <f t="shared" si="36"/>
        <v>192.54929999999999</v>
      </c>
      <c r="G2347" t="s">
        <v>16</v>
      </c>
      <c r="J2347" t="str">
        <f>"03/03/1992 23:00"</f>
        <v>03/03/1992 23:00</v>
      </c>
    </row>
    <row r="2348" spans="1:10" x14ac:dyDescent="0.3">
      <c r="A2348" t="s">
        <v>6</v>
      </c>
      <c r="B2348" t="str">
        <f>"03/04/1992 00:00"</f>
        <v>03/04/1992 00:00</v>
      </c>
      <c r="C2348">
        <v>98</v>
      </c>
      <c r="D2348" t="s">
        <v>7</v>
      </c>
      <c r="E2348" s="2" t="s">
        <v>12</v>
      </c>
      <c r="F2348">
        <f t="shared" si="36"/>
        <v>194.334</v>
      </c>
      <c r="G2348" t="s">
        <v>16</v>
      </c>
      <c r="J2348" t="str">
        <f>"03/04/1992 23:00"</f>
        <v>03/04/1992 23:00</v>
      </c>
    </row>
    <row r="2349" spans="1:10" x14ac:dyDescent="0.3">
      <c r="A2349" t="s">
        <v>6</v>
      </c>
      <c r="B2349" t="str">
        <f>"03/05/1992 00:00"</f>
        <v>03/05/1992 00:00</v>
      </c>
      <c r="C2349">
        <v>98.1</v>
      </c>
      <c r="D2349" t="s">
        <v>7</v>
      </c>
      <c r="E2349" s="2" t="s">
        <v>12</v>
      </c>
      <c r="F2349">
        <f t="shared" si="36"/>
        <v>194.53229999999999</v>
      </c>
      <c r="G2349" t="s">
        <v>16</v>
      </c>
      <c r="J2349" t="str">
        <f>"03/05/1992 23:00"</f>
        <v>03/05/1992 23:00</v>
      </c>
    </row>
    <row r="2350" spans="1:10" x14ac:dyDescent="0.3">
      <c r="A2350" t="s">
        <v>6</v>
      </c>
      <c r="B2350" t="str">
        <f>"03/06/1992 00:00"</f>
        <v>03/06/1992 00:00</v>
      </c>
      <c r="C2350">
        <v>98.6</v>
      </c>
      <c r="D2350" t="s">
        <v>7</v>
      </c>
      <c r="E2350" s="2" t="s">
        <v>12</v>
      </c>
      <c r="F2350">
        <f t="shared" si="36"/>
        <v>195.52379999999999</v>
      </c>
      <c r="G2350" t="s">
        <v>16</v>
      </c>
      <c r="J2350" t="str">
        <f>"03/06/1992 23:00"</f>
        <v>03/06/1992 23:00</v>
      </c>
    </row>
    <row r="2351" spans="1:10" x14ac:dyDescent="0.3">
      <c r="A2351" t="s">
        <v>6</v>
      </c>
      <c r="B2351" t="str">
        <f>"03/07/1992 00:00"</f>
        <v>03/07/1992 00:00</v>
      </c>
      <c r="C2351">
        <v>98.7</v>
      </c>
      <c r="D2351" t="s">
        <v>7</v>
      </c>
      <c r="E2351" s="2" t="s">
        <v>12</v>
      </c>
      <c r="F2351">
        <f t="shared" si="36"/>
        <v>195.72210000000001</v>
      </c>
      <c r="G2351" t="s">
        <v>16</v>
      </c>
      <c r="J2351" t="str">
        <f>"03/07/1992 23:00"</f>
        <v>03/07/1992 23:00</v>
      </c>
    </row>
    <row r="2352" spans="1:10" x14ac:dyDescent="0.3">
      <c r="A2352" t="s">
        <v>6</v>
      </c>
      <c r="B2352" t="str">
        <f>"03/08/1992 00:00"</f>
        <v>03/08/1992 00:00</v>
      </c>
      <c r="C2352">
        <v>96.9</v>
      </c>
      <c r="D2352" t="s">
        <v>7</v>
      </c>
      <c r="E2352" s="2" t="s">
        <v>12</v>
      </c>
      <c r="F2352">
        <f t="shared" si="36"/>
        <v>192.15270000000001</v>
      </c>
      <c r="G2352" t="s">
        <v>16</v>
      </c>
      <c r="J2352" t="str">
        <f>"03/08/1992 23:00"</f>
        <v>03/08/1992 23:00</v>
      </c>
    </row>
    <row r="2353" spans="1:10" x14ac:dyDescent="0.3">
      <c r="A2353" t="s">
        <v>6</v>
      </c>
      <c r="B2353" t="str">
        <f>"03/09/1992 00:00"</f>
        <v>03/09/1992 00:00</v>
      </c>
      <c r="C2353">
        <v>94.6</v>
      </c>
      <c r="D2353" t="s">
        <v>7</v>
      </c>
      <c r="E2353" s="2" t="s">
        <v>12</v>
      </c>
      <c r="F2353">
        <f t="shared" si="36"/>
        <v>187.59180000000001</v>
      </c>
      <c r="G2353" t="s">
        <v>16</v>
      </c>
      <c r="J2353" t="str">
        <f>"03/09/1992 23:00"</f>
        <v>03/09/1992 23:00</v>
      </c>
    </row>
    <row r="2354" spans="1:10" x14ac:dyDescent="0.3">
      <c r="A2354" t="s">
        <v>6</v>
      </c>
      <c r="B2354" t="str">
        <f>"03/10/1992 00:00"</f>
        <v>03/10/1992 00:00</v>
      </c>
      <c r="C2354">
        <v>99.3</v>
      </c>
      <c r="D2354" t="s">
        <v>7</v>
      </c>
      <c r="E2354" s="2" t="s">
        <v>12</v>
      </c>
      <c r="F2354">
        <f t="shared" si="36"/>
        <v>196.9119</v>
      </c>
      <c r="G2354" t="s">
        <v>16</v>
      </c>
      <c r="J2354" t="str">
        <f>"03/10/1992 23:00"</f>
        <v>03/10/1992 23:00</v>
      </c>
    </row>
    <row r="2355" spans="1:10" x14ac:dyDescent="0.3">
      <c r="A2355" t="s">
        <v>6</v>
      </c>
      <c r="B2355" t="str">
        <f>"03/11/1992 00:00"</f>
        <v>03/11/1992 00:00</v>
      </c>
      <c r="C2355">
        <v>97.9</v>
      </c>
      <c r="D2355" t="s">
        <v>7</v>
      </c>
      <c r="E2355" s="2" t="s">
        <v>12</v>
      </c>
      <c r="F2355">
        <f t="shared" si="36"/>
        <v>194.13570000000001</v>
      </c>
      <c r="G2355" t="s">
        <v>16</v>
      </c>
      <c r="J2355" t="str">
        <f>"03/11/1992 23:00"</f>
        <v>03/11/1992 23:00</v>
      </c>
    </row>
    <row r="2356" spans="1:10" x14ac:dyDescent="0.3">
      <c r="A2356" t="s">
        <v>6</v>
      </c>
      <c r="B2356" t="str">
        <f>"03/12/1992 00:00"</f>
        <v>03/12/1992 00:00</v>
      </c>
      <c r="C2356">
        <v>99.1</v>
      </c>
      <c r="D2356" t="s">
        <v>7</v>
      </c>
      <c r="E2356" s="2" t="s">
        <v>12</v>
      </c>
      <c r="F2356">
        <f t="shared" si="36"/>
        <v>196.5153</v>
      </c>
      <c r="G2356" t="s">
        <v>16</v>
      </c>
      <c r="J2356" t="str">
        <f>"03/12/1992 23:00"</f>
        <v>03/12/1992 23:00</v>
      </c>
    </row>
    <row r="2357" spans="1:10" x14ac:dyDescent="0.3">
      <c r="A2357" t="s">
        <v>6</v>
      </c>
      <c r="B2357" t="str">
        <f>"03/13/1992 00:00"</f>
        <v>03/13/1992 00:00</v>
      </c>
      <c r="C2357">
        <v>99.3</v>
      </c>
      <c r="D2357" t="s">
        <v>7</v>
      </c>
      <c r="E2357" s="2" t="s">
        <v>12</v>
      </c>
      <c r="F2357">
        <f t="shared" si="36"/>
        <v>196.9119</v>
      </c>
      <c r="G2357" t="s">
        <v>16</v>
      </c>
      <c r="J2357" t="str">
        <f>"03/13/1992 23:00"</f>
        <v>03/13/1992 23:00</v>
      </c>
    </row>
    <row r="2358" spans="1:10" x14ac:dyDescent="0.3">
      <c r="A2358" t="s">
        <v>6</v>
      </c>
      <c r="B2358" t="str">
        <f>"03/14/1992 00:00"</f>
        <v>03/14/1992 00:00</v>
      </c>
      <c r="C2358">
        <v>98.4</v>
      </c>
      <c r="D2358" t="s">
        <v>7</v>
      </c>
      <c r="E2358" s="2" t="s">
        <v>12</v>
      </c>
      <c r="F2358">
        <f t="shared" si="36"/>
        <v>195.12720000000002</v>
      </c>
      <c r="G2358" t="s">
        <v>16</v>
      </c>
      <c r="J2358" t="str">
        <f>"03/14/1992 23:00"</f>
        <v>03/14/1992 23:00</v>
      </c>
    </row>
    <row r="2359" spans="1:10" x14ac:dyDescent="0.3">
      <c r="A2359" t="s">
        <v>6</v>
      </c>
      <c r="B2359" t="str">
        <f>"03/15/1992 00:00"</f>
        <v>03/15/1992 00:00</v>
      </c>
      <c r="C2359">
        <v>97.1</v>
      </c>
      <c r="D2359" t="s">
        <v>7</v>
      </c>
      <c r="E2359" s="2" t="s">
        <v>12</v>
      </c>
      <c r="F2359">
        <f t="shared" si="36"/>
        <v>192.54929999999999</v>
      </c>
      <c r="G2359" t="s">
        <v>16</v>
      </c>
      <c r="J2359" t="str">
        <f>"03/15/1992 23:00"</f>
        <v>03/15/1992 23:00</v>
      </c>
    </row>
    <row r="2360" spans="1:10" x14ac:dyDescent="0.3">
      <c r="A2360" t="s">
        <v>6</v>
      </c>
      <c r="B2360" t="str">
        <f>"03/16/1992 00:00"</f>
        <v>03/16/1992 00:00</v>
      </c>
      <c r="C2360">
        <v>96.7</v>
      </c>
      <c r="D2360" t="s">
        <v>7</v>
      </c>
      <c r="E2360" s="2" t="s">
        <v>12</v>
      </c>
      <c r="F2360">
        <f t="shared" si="36"/>
        <v>191.7561</v>
      </c>
      <c r="G2360" t="s">
        <v>16</v>
      </c>
      <c r="I2360" t="s">
        <v>8</v>
      </c>
      <c r="J2360" t="str">
        <f>"03/16/1992 23:00"</f>
        <v>03/16/1992 23:00</v>
      </c>
    </row>
    <row r="2361" spans="1:10" x14ac:dyDescent="0.3">
      <c r="A2361" t="s">
        <v>6</v>
      </c>
      <c r="B2361" t="str">
        <f>"03/17/1992 00:00"</f>
        <v>03/17/1992 00:00</v>
      </c>
      <c r="C2361">
        <v>96.2</v>
      </c>
      <c r="D2361" t="s">
        <v>7</v>
      </c>
      <c r="E2361" s="2" t="s">
        <v>12</v>
      </c>
      <c r="F2361">
        <f t="shared" si="36"/>
        <v>190.7646</v>
      </c>
      <c r="G2361" t="s">
        <v>16</v>
      </c>
      <c r="I2361" t="s">
        <v>8</v>
      </c>
      <c r="J2361" t="str">
        <f>"03/17/1992 23:00"</f>
        <v>03/17/1992 23:00</v>
      </c>
    </row>
    <row r="2362" spans="1:10" x14ac:dyDescent="0.3">
      <c r="A2362" t="s">
        <v>6</v>
      </c>
      <c r="B2362" t="str">
        <f>"03/18/1992 00:00"</f>
        <v>03/18/1992 00:00</v>
      </c>
      <c r="C2362">
        <v>95.4</v>
      </c>
      <c r="D2362" t="s">
        <v>7</v>
      </c>
      <c r="E2362" s="2" t="s">
        <v>12</v>
      </c>
      <c r="F2362">
        <f t="shared" si="36"/>
        <v>189.17820000000003</v>
      </c>
      <c r="G2362" t="s">
        <v>16</v>
      </c>
      <c r="J2362" t="str">
        <f>"03/18/1992 23:00"</f>
        <v>03/18/1992 23:00</v>
      </c>
    </row>
    <row r="2363" spans="1:10" x14ac:dyDescent="0.3">
      <c r="A2363" t="s">
        <v>6</v>
      </c>
      <c r="B2363" t="str">
        <f>"03/19/1992 00:00"</f>
        <v>03/19/1992 00:00</v>
      </c>
      <c r="C2363">
        <v>95.4</v>
      </c>
      <c r="D2363" t="s">
        <v>7</v>
      </c>
      <c r="E2363" s="2" t="s">
        <v>12</v>
      </c>
      <c r="F2363">
        <f t="shared" si="36"/>
        <v>189.17820000000003</v>
      </c>
      <c r="G2363" t="s">
        <v>16</v>
      </c>
      <c r="I2363" t="s">
        <v>8</v>
      </c>
      <c r="J2363" t="str">
        <f>"03/19/1992 23:00"</f>
        <v>03/19/1992 23:00</v>
      </c>
    </row>
    <row r="2364" spans="1:10" x14ac:dyDescent="0.3">
      <c r="A2364" t="s">
        <v>6</v>
      </c>
      <c r="B2364" t="str">
        <f>"03/20/1992 00:00"</f>
        <v>03/20/1992 00:00</v>
      </c>
      <c r="C2364">
        <v>92.8</v>
      </c>
      <c r="D2364" t="s">
        <v>7</v>
      </c>
      <c r="E2364" s="2" t="s">
        <v>12</v>
      </c>
      <c r="F2364">
        <f t="shared" si="36"/>
        <v>184.0224</v>
      </c>
      <c r="G2364" t="s">
        <v>16</v>
      </c>
      <c r="J2364" t="str">
        <f>"03/20/1992 23:00"</f>
        <v>03/20/1992 23:00</v>
      </c>
    </row>
    <row r="2365" spans="1:10" x14ac:dyDescent="0.3">
      <c r="A2365" t="s">
        <v>6</v>
      </c>
      <c r="B2365" t="str">
        <f>"03/21/1992 00:00"</f>
        <v>03/21/1992 00:00</v>
      </c>
      <c r="C2365">
        <v>78.8</v>
      </c>
      <c r="D2365" t="s">
        <v>7</v>
      </c>
      <c r="E2365" s="2" t="s">
        <v>12</v>
      </c>
      <c r="F2365">
        <f t="shared" si="36"/>
        <v>156.2604</v>
      </c>
      <c r="G2365" t="s">
        <v>16</v>
      </c>
      <c r="J2365" t="str">
        <f>"03/21/1992 23:00"</f>
        <v>03/21/1992 23:00</v>
      </c>
    </row>
    <row r="2366" spans="1:10" x14ac:dyDescent="0.3">
      <c r="A2366" t="s">
        <v>6</v>
      </c>
      <c r="B2366" t="str">
        <f>"03/22/1992 00:00"</f>
        <v>03/22/1992 00:00</v>
      </c>
      <c r="C2366">
        <v>67.599999999999994</v>
      </c>
      <c r="D2366" t="s">
        <v>7</v>
      </c>
      <c r="E2366" s="2" t="s">
        <v>12</v>
      </c>
      <c r="F2366">
        <f t="shared" si="36"/>
        <v>134.05079999999998</v>
      </c>
      <c r="G2366" t="s">
        <v>16</v>
      </c>
      <c r="J2366" t="str">
        <f>"03/22/1992 23:00"</f>
        <v>03/22/1992 23:00</v>
      </c>
    </row>
    <row r="2367" spans="1:10" x14ac:dyDescent="0.3">
      <c r="A2367" t="s">
        <v>6</v>
      </c>
      <c r="B2367" t="str">
        <f>"03/23/1992 00:00"</f>
        <v>03/23/1992 00:00</v>
      </c>
      <c r="C2367">
        <v>61</v>
      </c>
      <c r="D2367" t="s">
        <v>7</v>
      </c>
      <c r="E2367" s="2" t="s">
        <v>12</v>
      </c>
      <c r="F2367">
        <f t="shared" si="36"/>
        <v>120.96300000000001</v>
      </c>
      <c r="G2367" t="s">
        <v>16</v>
      </c>
      <c r="J2367" t="str">
        <f>"03/23/1992 23:00"</f>
        <v>03/23/1992 23:00</v>
      </c>
    </row>
    <row r="2368" spans="1:10" x14ac:dyDescent="0.3">
      <c r="A2368" t="s">
        <v>6</v>
      </c>
      <c r="B2368" t="str">
        <f>"03/24/1992 00:00"</f>
        <v>03/24/1992 00:00</v>
      </c>
      <c r="C2368">
        <v>29.3</v>
      </c>
      <c r="D2368" t="s">
        <v>7</v>
      </c>
      <c r="E2368" s="2" t="s">
        <v>12</v>
      </c>
      <c r="F2368">
        <f t="shared" si="36"/>
        <v>58.101900000000008</v>
      </c>
      <c r="G2368" t="s">
        <v>16</v>
      </c>
      <c r="J2368" t="str">
        <f>"03/24/1992 23:00"</f>
        <v>03/24/1992 23:00</v>
      </c>
    </row>
    <row r="2369" spans="1:10" x14ac:dyDescent="0.3">
      <c r="A2369" t="s">
        <v>6</v>
      </c>
      <c r="B2369" t="str">
        <f>"03/25/1992 00:00"</f>
        <v>03/25/1992 00:00</v>
      </c>
      <c r="C2369">
        <v>1.62</v>
      </c>
      <c r="D2369" t="s">
        <v>7</v>
      </c>
      <c r="E2369" s="2" t="s">
        <v>12</v>
      </c>
      <c r="F2369">
        <f t="shared" si="36"/>
        <v>3.2124600000000005</v>
      </c>
      <c r="G2369" t="s">
        <v>16</v>
      </c>
      <c r="J2369" t="str">
        <f>"03/25/1992 23:00"</f>
        <v>03/25/1992 23:00</v>
      </c>
    </row>
    <row r="2370" spans="1:10" x14ac:dyDescent="0.3">
      <c r="A2370" t="s">
        <v>6</v>
      </c>
      <c r="B2370" t="str">
        <f>"03/26/1992 00:00"</f>
        <v>03/26/1992 00:00</v>
      </c>
      <c r="C2370">
        <v>1.62</v>
      </c>
      <c r="D2370" t="s">
        <v>7</v>
      </c>
      <c r="E2370" s="2" t="s">
        <v>12</v>
      </c>
      <c r="F2370">
        <f t="shared" si="36"/>
        <v>3.2124600000000005</v>
      </c>
      <c r="G2370" t="s">
        <v>16</v>
      </c>
      <c r="I2370" t="s">
        <v>8</v>
      </c>
      <c r="J2370" t="str">
        <f>"03/26/1992 23:00"</f>
        <v>03/26/1992 23:00</v>
      </c>
    </row>
    <row r="2371" spans="1:10" x14ac:dyDescent="0.3">
      <c r="A2371" t="s">
        <v>6</v>
      </c>
      <c r="B2371" t="str">
        <f>"03/27/1992 00:00"</f>
        <v>03/27/1992 00:00</v>
      </c>
      <c r="C2371">
        <v>2.15</v>
      </c>
      <c r="D2371" t="s">
        <v>7</v>
      </c>
      <c r="E2371" s="2" t="s">
        <v>12</v>
      </c>
      <c r="F2371">
        <f t="shared" ref="F2371:F2434" si="37">C2371*1.983</f>
        <v>4.2634499999999997</v>
      </c>
      <c r="G2371" t="s">
        <v>16</v>
      </c>
      <c r="J2371" t="str">
        <f>"03/27/1992 23:00"</f>
        <v>03/27/1992 23:00</v>
      </c>
    </row>
    <row r="2372" spans="1:10" x14ac:dyDescent="0.3">
      <c r="A2372" t="s">
        <v>6</v>
      </c>
      <c r="B2372" t="str">
        <f>"03/28/1992 00:00"</f>
        <v>03/28/1992 00:00</v>
      </c>
      <c r="C2372">
        <v>2.38</v>
      </c>
      <c r="D2372" t="s">
        <v>7</v>
      </c>
      <c r="E2372" s="2" t="s">
        <v>12</v>
      </c>
      <c r="F2372">
        <f t="shared" si="37"/>
        <v>4.7195400000000003</v>
      </c>
      <c r="G2372" t="s">
        <v>16</v>
      </c>
      <c r="J2372" t="str">
        <f>"03/28/1992 23:00"</f>
        <v>03/28/1992 23:00</v>
      </c>
    </row>
    <row r="2373" spans="1:10" x14ac:dyDescent="0.3">
      <c r="A2373" t="s">
        <v>6</v>
      </c>
      <c r="B2373" t="str">
        <f>"03/29/1992 00:00"</f>
        <v>03/29/1992 00:00</v>
      </c>
      <c r="C2373">
        <v>2.56</v>
      </c>
      <c r="D2373" t="s">
        <v>7</v>
      </c>
      <c r="E2373" s="2" t="s">
        <v>12</v>
      </c>
      <c r="F2373">
        <f t="shared" si="37"/>
        <v>5.0764800000000001</v>
      </c>
      <c r="G2373" t="s">
        <v>16</v>
      </c>
      <c r="J2373" t="str">
        <f>"03/29/1992 23:00"</f>
        <v>03/29/1992 23:00</v>
      </c>
    </row>
    <row r="2374" spans="1:10" x14ac:dyDescent="0.3">
      <c r="A2374" t="s">
        <v>6</v>
      </c>
      <c r="B2374" t="str">
        <f>"03/30/1992 00:00"</f>
        <v>03/30/1992 00:00</v>
      </c>
      <c r="C2374">
        <v>2.74</v>
      </c>
      <c r="D2374" t="s">
        <v>7</v>
      </c>
      <c r="E2374" s="2" t="s">
        <v>12</v>
      </c>
      <c r="F2374">
        <f t="shared" si="37"/>
        <v>5.4334200000000008</v>
      </c>
      <c r="G2374" t="s">
        <v>16</v>
      </c>
      <c r="I2374" t="s">
        <v>8</v>
      </c>
      <c r="J2374" t="str">
        <f>"03/30/1992 23:00"</f>
        <v>03/30/1992 23:00</v>
      </c>
    </row>
    <row r="2375" spans="1:10" x14ac:dyDescent="0.3">
      <c r="A2375" t="s">
        <v>6</v>
      </c>
      <c r="B2375" t="str">
        <f>"03/31/1992 00:00"</f>
        <v>03/31/1992 00:00</v>
      </c>
      <c r="C2375">
        <v>2.72</v>
      </c>
      <c r="D2375" t="s">
        <v>7</v>
      </c>
      <c r="E2375" s="2" t="s">
        <v>12</v>
      </c>
      <c r="F2375">
        <f t="shared" si="37"/>
        <v>5.3937600000000003</v>
      </c>
      <c r="G2375" t="s">
        <v>16</v>
      </c>
      <c r="J2375" t="str">
        <f>"03/31/1992 23:00"</f>
        <v>03/31/1992 23:00</v>
      </c>
    </row>
    <row r="2376" spans="1:10" x14ac:dyDescent="0.3">
      <c r="A2376" t="s">
        <v>6</v>
      </c>
      <c r="B2376" t="str">
        <f>"04/01/1992 00:00"</f>
        <v>04/01/1992 00:00</v>
      </c>
      <c r="C2376">
        <v>2.23</v>
      </c>
      <c r="D2376" t="s">
        <v>7</v>
      </c>
      <c r="E2376" s="2" t="s">
        <v>12</v>
      </c>
      <c r="F2376">
        <f t="shared" si="37"/>
        <v>4.4220899999999999</v>
      </c>
      <c r="G2376" t="s">
        <v>16</v>
      </c>
      <c r="J2376" t="str">
        <f>"04/01/1992 23:00"</f>
        <v>04/01/1992 23:00</v>
      </c>
    </row>
    <row r="2377" spans="1:10" x14ac:dyDescent="0.3">
      <c r="A2377" t="s">
        <v>6</v>
      </c>
      <c r="B2377" t="str">
        <f>"04/02/1992 00:00"</f>
        <v>04/02/1992 00:00</v>
      </c>
      <c r="C2377">
        <v>1.62</v>
      </c>
      <c r="D2377" t="s">
        <v>7</v>
      </c>
      <c r="E2377" s="2" t="s">
        <v>12</v>
      </c>
      <c r="F2377">
        <f t="shared" si="37"/>
        <v>3.2124600000000005</v>
      </c>
      <c r="G2377" t="s">
        <v>16</v>
      </c>
      <c r="J2377" t="str">
        <f>"04/02/1992 23:00"</f>
        <v>04/02/1992 23:00</v>
      </c>
    </row>
    <row r="2378" spans="1:10" x14ac:dyDescent="0.3">
      <c r="A2378" t="s">
        <v>6</v>
      </c>
      <c r="B2378" t="str">
        <f>"04/03/1992 00:00"</f>
        <v>04/03/1992 00:00</v>
      </c>
      <c r="C2378">
        <v>1.62</v>
      </c>
      <c r="D2378" t="s">
        <v>7</v>
      </c>
      <c r="E2378" s="2" t="s">
        <v>12</v>
      </c>
      <c r="F2378">
        <f t="shared" si="37"/>
        <v>3.2124600000000005</v>
      </c>
      <c r="G2378" t="s">
        <v>16</v>
      </c>
      <c r="J2378" t="str">
        <f>"04/03/1992 23:00"</f>
        <v>04/03/1992 23:00</v>
      </c>
    </row>
    <row r="2379" spans="1:10" x14ac:dyDescent="0.3">
      <c r="A2379" t="s">
        <v>6</v>
      </c>
      <c r="B2379" t="str">
        <f>"04/04/1992 00:00"</f>
        <v>04/04/1992 00:00</v>
      </c>
      <c r="C2379">
        <v>1.62</v>
      </c>
      <c r="D2379" t="s">
        <v>7</v>
      </c>
      <c r="E2379" s="2" t="s">
        <v>12</v>
      </c>
      <c r="F2379">
        <f t="shared" si="37"/>
        <v>3.2124600000000005</v>
      </c>
      <c r="G2379" t="s">
        <v>16</v>
      </c>
      <c r="I2379" t="s">
        <v>8</v>
      </c>
      <c r="J2379" t="str">
        <f>"04/04/1992 23:00"</f>
        <v>04/04/1992 23:00</v>
      </c>
    </row>
    <row r="2380" spans="1:10" x14ac:dyDescent="0.3">
      <c r="A2380" t="s">
        <v>6</v>
      </c>
      <c r="B2380" t="str">
        <f>"04/05/1992 00:00"</f>
        <v>04/05/1992 00:00</v>
      </c>
      <c r="C2380">
        <v>1.62</v>
      </c>
      <c r="D2380" t="s">
        <v>7</v>
      </c>
      <c r="E2380" s="2" t="s">
        <v>12</v>
      </c>
      <c r="F2380">
        <f t="shared" si="37"/>
        <v>3.2124600000000005</v>
      </c>
      <c r="G2380" t="s">
        <v>16</v>
      </c>
      <c r="J2380" t="str">
        <f>"04/05/1992 23:00"</f>
        <v>04/05/1992 23:00</v>
      </c>
    </row>
    <row r="2381" spans="1:10" x14ac:dyDescent="0.3">
      <c r="A2381" t="s">
        <v>6</v>
      </c>
      <c r="B2381" t="str">
        <f>"04/06/1992 00:00"</f>
        <v>04/06/1992 00:00</v>
      </c>
      <c r="C2381">
        <v>1.62</v>
      </c>
      <c r="D2381" t="s">
        <v>7</v>
      </c>
      <c r="E2381" s="2" t="s">
        <v>12</v>
      </c>
      <c r="F2381">
        <f t="shared" si="37"/>
        <v>3.2124600000000005</v>
      </c>
      <c r="G2381" t="s">
        <v>16</v>
      </c>
      <c r="J2381" t="str">
        <f>"04/06/1992 23:00"</f>
        <v>04/06/1992 23:00</v>
      </c>
    </row>
    <row r="2382" spans="1:10" x14ac:dyDescent="0.3">
      <c r="A2382" t="s">
        <v>6</v>
      </c>
      <c r="B2382" t="str">
        <f>"04/07/1992 00:00"</f>
        <v>04/07/1992 00:00</v>
      </c>
      <c r="C2382">
        <v>1.62</v>
      </c>
      <c r="D2382" t="s">
        <v>7</v>
      </c>
      <c r="E2382" s="2" t="s">
        <v>12</v>
      </c>
      <c r="F2382">
        <f t="shared" si="37"/>
        <v>3.2124600000000005</v>
      </c>
      <c r="G2382" t="s">
        <v>16</v>
      </c>
      <c r="I2382" t="s">
        <v>8</v>
      </c>
      <c r="J2382" t="str">
        <f>"04/07/1992 23:00"</f>
        <v>04/07/1992 23:00</v>
      </c>
    </row>
    <row r="2383" spans="1:10" x14ac:dyDescent="0.3">
      <c r="A2383" t="s">
        <v>6</v>
      </c>
      <c r="B2383" t="str">
        <f>"04/08/1992 00:00"</f>
        <v>04/08/1992 00:00</v>
      </c>
      <c r="C2383">
        <v>1.59</v>
      </c>
      <c r="D2383" t="s">
        <v>7</v>
      </c>
      <c r="E2383" s="2" t="s">
        <v>12</v>
      </c>
      <c r="F2383">
        <f t="shared" si="37"/>
        <v>3.1529700000000003</v>
      </c>
      <c r="G2383" t="s">
        <v>16</v>
      </c>
      <c r="I2383" t="s">
        <v>8</v>
      </c>
      <c r="J2383" t="str">
        <f>"04/08/1992 23:00"</f>
        <v>04/08/1992 23:00</v>
      </c>
    </row>
    <row r="2384" spans="1:10" x14ac:dyDescent="0.3">
      <c r="A2384" t="s">
        <v>6</v>
      </c>
      <c r="B2384" t="str">
        <f>"04/09/1992 00:00"</f>
        <v>04/09/1992 00:00</v>
      </c>
      <c r="C2384">
        <v>1.34</v>
      </c>
      <c r="D2384" t="s">
        <v>7</v>
      </c>
      <c r="E2384" s="2" t="s">
        <v>12</v>
      </c>
      <c r="F2384">
        <f t="shared" si="37"/>
        <v>2.6572200000000001</v>
      </c>
      <c r="G2384" t="s">
        <v>16</v>
      </c>
      <c r="J2384" t="str">
        <f>"04/09/1992 23:00"</f>
        <v>04/09/1992 23:00</v>
      </c>
    </row>
    <row r="2385" spans="1:10" x14ac:dyDescent="0.3">
      <c r="A2385" t="s">
        <v>6</v>
      </c>
      <c r="B2385" t="str">
        <f>"04/10/1992 00:00"</f>
        <v>04/10/1992 00:00</v>
      </c>
      <c r="C2385">
        <v>1.34</v>
      </c>
      <c r="D2385" t="s">
        <v>7</v>
      </c>
      <c r="E2385" s="2" t="s">
        <v>12</v>
      </c>
      <c r="F2385">
        <f t="shared" si="37"/>
        <v>2.6572200000000001</v>
      </c>
      <c r="G2385" t="s">
        <v>16</v>
      </c>
      <c r="I2385" t="s">
        <v>8</v>
      </c>
      <c r="J2385" t="str">
        <f>"04/10/1992 23:00"</f>
        <v>04/10/1992 23:00</v>
      </c>
    </row>
    <row r="2386" spans="1:10" x14ac:dyDescent="0.3">
      <c r="A2386" t="s">
        <v>6</v>
      </c>
      <c r="B2386" t="str">
        <f>"04/11/1992 00:00"</f>
        <v>04/11/1992 00:00</v>
      </c>
      <c r="C2386">
        <v>1.34</v>
      </c>
      <c r="D2386" t="s">
        <v>7</v>
      </c>
      <c r="E2386" s="2" t="s">
        <v>12</v>
      </c>
      <c r="F2386">
        <f t="shared" si="37"/>
        <v>2.6572200000000001</v>
      </c>
      <c r="G2386" t="s">
        <v>16</v>
      </c>
      <c r="I2386" t="s">
        <v>35</v>
      </c>
      <c r="J2386" t="str">
        <f>"04/11/1992 23:00"</f>
        <v>04/11/1992 23:00</v>
      </c>
    </row>
    <row r="2387" spans="1:10" x14ac:dyDescent="0.3">
      <c r="A2387" t="s">
        <v>6</v>
      </c>
      <c r="B2387" t="str">
        <f>"04/12/1992 00:00"</f>
        <v>04/12/1992 00:00</v>
      </c>
      <c r="C2387">
        <v>1.34</v>
      </c>
      <c r="D2387" t="s">
        <v>7</v>
      </c>
      <c r="E2387" s="2" t="s">
        <v>12</v>
      </c>
      <c r="F2387">
        <f t="shared" si="37"/>
        <v>2.6572200000000001</v>
      </c>
      <c r="G2387" t="s">
        <v>16</v>
      </c>
      <c r="I2387" t="s">
        <v>35</v>
      </c>
      <c r="J2387" t="str">
        <f>"04/12/1992 23:00"</f>
        <v>04/12/1992 23:00</v>
      </c>
    </row>
    <row r="2388" spans="1:10" x14ac:dyDescent="0.3">
      <c r="A2388" t="s">
        <v>6</v>
      </c>
      <c r="B2388" t="str">
        <f>"04/13/1992 00:00"</f>
        <v>04/13/1992 00:00</v>
      </c>
      <c r="C2388">
        <v>1.34</v>
      </c>
      <c r="D2388" t="s">
        <v>7</v>
      </c>
      <c r="E2388" s="2" t="s">
        <v>12</v>
      </c>
      <c r="F2388">
        <f t="shared" si="37"/>
        <v>2.6572200000000001</v>
      </c>
      <c r="G2388" t="s">
        <v>16</v>
      </c>
      <c r="I2388" t="s">
        <v>35</v>
      </c>
      <c r="J2388" t="str">
        <f>"04/13/1992 23:00"</f>
        <v>04/13/1992 23:00</v>
      </c>
    </row>
    <row r="2389" spans="1:10" x14ac:dyDescent="0.3">
      <c r="A2389" t="s">
        <v>6</v>
      </c>
      <c r="B2389" t="str">
        <f>"04/14/1992 00:00"</f>
        <v>04/14/1992 00:00</v>
      </c>
      <c r="C2389">
        <v>1.34</v>
      </c>
      <c r="D2389" t="s">
        <v>7</v>
      </c>
      <c r="E2389" s="2" t="s">
        <v>12</v>
      </c>
      <c r="F2389">
        <f t="shared" si="37"/>
        <v>2.6572200000000001</v>
      </c>
      <c r="G2389" t="s">
        <v>16</v>
      </c>
      <c r="I2389" t="s">
        <v>35</v>
      </c>
      <c r="J2389" t="str">
        <f>"04/14/1992 23:00"</f>
        <v>04/14/1992 23:00</v>
      </c>
    </row>
    <row r="2390" spans="1:10" x14ac:dyDescent="0.3">
      <c r="A2390" t="s">
        <v>6</v>
      </c>
      <c r="B2390" t="str">
        <f>"04/15/1992 00:00"</f>
        <v>04/15/1992 00:00</v>
      </c>
      <c r="C2390">
        <v>1.34</v>
      </c>
      <c r="D2390" t="s">
        <v>7</v>
      </c>
      <c r="E2390" s="2" t="s">
        <v>12</v>
      </c>
      <c r="F2390">
        <f t="shared" si="37"/>
        <v>2.6572200000000001</v>
      </c>
      <c r="G2390" t="s">
        <v>16</v>
      </c>
      <c r="I2390" t="s">
        <v>35</v>
      </c>
      <c r="J2390" t="str">
        <f>"04/15/1992 23:00"</f>
        <v>04/15/1992 23:00</v>
      </c>
    </row>
    <row r="2391" spans="1:10" x14ac:dyDescent="0.3">
      <c r="A2391" t="s">
        <v>6</v>
      </c>
      <c r="B2391" t="str">
        <f>"04/16/1992 00:00"</f>
        <v>04/16/1992 00:00</v>
      </c>
      <c r="C2391">
        <v>1.34</v>
      </c>
      <c r="D2391" t="s">
        <v>7</v>
      </c>
      <c r="E2391" s="2" t="s">
        <v>12</v>
      </c>
      <c r="F2391">
        <f t="shared" si="37"/>
        <v>2.6572200000000001</v>
      </c>
      <c r="G2391" t="s">
        <v>16</v>
      </c>
      <c r="I2391" t="s">
        <v>35</v>
      </c>
      <c r="J2391" t="str">
        <f>"04/16/1992 23:00"</f>
        <v>04/16/1992 23:00</v>
      </c>
    </row>
    <row r="2392" spans="1:10" x14ac:dyDescent="0.3">
      <c r="A2392" t="s">
        <v>6</v>
      </c>
      <c r="B2392" t="str">
        <f>"04/17/1992 00:00"</f>
        <v>04/17/1992 00:00</v>
      </c>
      <c r="C2392">
        <v>1.34</v>
      </c>
      <c r="D2392" t="s">
        <v>7</v>
      </c>
      <c r="E2392" s="2" t="s">
        <v>12</v>
      </c>
      <c r="F2392">
        <f t="shared" si="37"/>
        <v>2.6572200000000001</v>
      </c>
      <c r="G2392" t="s">
        <v>16</v>
      </c>
      <c r="I2392" t="s">
        <v>35</v>
      </c>
      <c r="J2392" t="str">
        <f>"04/17/1992 23:00"</f>
        <v>04/17/1992 23:00</v>
      </c>
    </row>
    <row r="2393" spans="1:10" x14ac:dyDescent="0.3">
      <c r="A2393" t="s">
        <v>6</v>
      </c>
      <c r="B2393" t="str">
        <f>"04/18/1992 00:00"</f>
        <v>04/18/1992 00:00</v>
      </c>
      <c r="C2393">
        <v>1.34</v>
      </c>
      <c r="D2393" t="s">
        <v>7</v>
      </c>
      <c r="E2393" s="2" t="s">
        <v>12</v>
      </c>
      <c r="F2393">
        <f t="shared" si="37"/>
        <v>2.6572200000000001</v>
      </c>
      <c r="G2393" t="s">
        <v>16</v>
      </c>
      <c r="I2393" t="s">
        <v>35</v>
      </c>
      <c r="J2393" t="str">
        <f>"04/18/1992 23:00"</f>
        <v>04/18/1992 23:00</v>
      </c>
    </row>
    <row r="2394" spans="1:10" x14ac:dyDescent="0.3">
      <c r="A2394" t="s">
        <v>6</v>
      </c>
      <c r="B2394" t="str">
        <f>"04/19/1992 00:00"</f>
        <v>04/19/1992 00:00</v>
      </c>
      <c r="C2394">
        <v>1.34</v>
      </c>
      <c r="D2394" t="s">
        <v>7</v>
      </c>
      <c r="E2394" s="2" t="s">
        <v>12</v>
      </c>
      <c r="F2394">
        <f t="shared" si="37"/>
        <v>2.6572200000000001</v>
      </c>
      <c r="G2394" t="s">
        <v>16</v>
      </c>
      <c r="I2394" t="s">
        <v>35</v>
      </c>
      <c r="J2394" t="str">
        <f>"04/19/1992 23:00"</f>
        <v>04/19/1992 23:00</v>
      </c>
    </row>
    <row r="2395" spans="1:10" x14ac:dyDescent="0.3">
      <c r="A2395" t="s">
        <v>6</v>
      </c>
      <c r="B2395" t="str">
        <f>"04/20/1992 00:00"</f>
        <v>04/20/1992 00:00</v>
      </c>
      <c r="C2395">
        <v>1.34</v>
      </c>
      <c r="D2395" t="s">
        <v>7</v>
      </c>
      <c r="E2395" s="2" t="s">
        <v>12</v>
      </c>
      <c r="F2395">
        <f t="shared" si="37"/>
        <v>2.6572200000000001</v>
      </c>
      <c r="G2395" t="s">
        <v>16</v>
      </c>
      <c r="I2395" t="s">
        <v>35</v>
      </c>
      <c r="J2395" t="str">
        <f>"04/20/1992 23:00"</f>
        <v>04/20/1992 23:00</v>
      </c>
    </row>
    <row r="2396" spans="1:10" x14ac:dyDescent="0.3">
      <c r="A2396" t="s">
        <v>6</v>
      </c>
      <c r="B2396" t="str">
        <f>"04/21/1992 00:00"</f>
        <v>04/21/1992 00:00</v>
      </c>
      <c r="C2396">
        <v>1.34</v>
      </c>
      <c r="D2396" t="s">
        <v>7</v>
      </c>
      <c r="E2396" s="2" t="s">
        <v>12</v>
      </c>
      <c r="F2396">
        <f t="shared" si="37"/>
        <v>2.6572200000000001</v>
      </c>
      <c r="G2396" t="s">
        <v>16</v>
      </c>
      <c r="I2396" t="s">
        <v>35</v>
      </c>
      <c r="J2396" t="str">
        <f>"04/21/1992 23:00"</f>
        <v>04/21/1992 23:00</v>
      </c>
    </row>
    <row r="2397" spans="1:10" x14ac:dyDescent="0.3">
      <c r="A2397" t="s">
        <v>6</v>
      </c>
      <c r="B2397" t="str">
        <f>"04/22/1992 00:00"</f>
        <v>04/22/1992 00:00</v>
      </c>
      <c r="C2397">
        <v>7.16</v>
      </c>
      <c r="D2397" t="s">
        <v>7</v>
      </c>
      <c r="E2397" s="2" t="s">
        <v>12</v>
      </c>
      <c r="F2397">
        <f t="shared" si="37"/>
        <v>14.19828</v>
      </c>
      <c r="G2397" t="s">
        <v>16</v>
      </c>
      <c r="I2397" t="s">
        <v>8</v>
      </c>
      <c r="J2397" t="str">
        <f>"04/22/1992 23:00"</f>
        <v>04/22/1992 23:00</v>
      </c>
    </row>
    <row r="2398" spans="1:10" x14ac:dyDescent="0.3">
      <c r="A2398" t="s">
        <v>6</v>
      </c>
      <c r="B2398" t="str">
        <f>"04/23/1992 00:00"</f>
        <v>04/23/1992 00:00</v>
      </c>
      <c r="C2398">
        <v>35.799999999999997</v>
      </c>
      <c r="D2398" t="s">
        <v>7</v>
      </c>
      <c r="E2398" s="2" t="s">
        <v>12</v>
      </c>
      <c r="F2398">
        <f t="shared" si="37"/>
        <v>70.991399999999999</v>
      </c>
      <c r="G2398" t="s">
        <v>16</v>
      </c>
      <c r="J2398" t="str">
        <f>"04/23/1992 23:00"</f>
        <v>04/23/1992 23:00</v>
      </c>
    </row>
    <row r="2399" spans="1:10" x14ac:dyDescent="0.3">
      <c r="A2399" t="s">
        <v>6</v>
      </c>
      <c r="B2399" t="str">
        <f>"04/24/1992 00:00"</f>
        <v>04/24/1992 00:00</v>
      </c>
      <c r="C2399">
        <v>33.5</v>
      </c>
      <c r="D2399" t="s">
        <v>7</v>
      </c>
      <c r="E2399" s="2" t="s">
        <v>12</v>
      </c>
      <c r="F2399">
        <f t="shared" si="37"/>
        <v>66.430500000000009</v>
      </c>
      <c r="G2399" t="s">
        <v>16</v>
      </c>
      <c r="J2399" t="str">
        <f>"04/24/1992 23:00"</f>
        <v>04/24/1992 23:00</v>
      </c>
    </row>
    <row r="2400" spans="1:10" x14ac:dyDescent="0.3">
      <c r="A2400" t="s">
        <v>6</v>
      </c>
      <c r="B2400" t="str">
        <f>"04/25/1992 00:00"</f>
        <v>04/25/1992 00:00</v>
      </c>
      <c r="C2400">
        <v>1.34</v>
      </c>
      <c r="D2400" t="s">
        <v>7</v>
      </c>
      <c r="E2400" s="2" t="s">
        <v>12</v>
      </c>
      <c r="F2400">
        <f t="shared" si="37"/>
        <v>2.6572200000000001</v>
      </c>
      <c r="G2400" t="s">
        <v>16</v>
      </c>
      <c r="I2400" t="s">
        <v>8</v>
      </c>
      <c r="J2400" t="str">
        <f>"04/25/1992 23:00"</f>
        <v>04/25/1992 23:00</v>
      </c>
    </row>
    <row r="2401" spans="1:10" x14ac:dyDescent="0.3">
      <c r="A2401" t="s">
        <v>6</v>
      </c>
      <c r="B2401" t="str">
        <f>"04/26/1992 00:00"</f>
        <v>04/26/1992 00:00</v>
      </c>
      <c r="C2401">
        <v>1.34</v>
      </c>
      <c r="D2401" t="s">
        <v>7</v>
      </c>
      <c r="E2401" s="2" t="s">
        <v>12</v>
      </c>
      <c r="F2401">
        <f t="shared" si="37"/>
        <v>2.6572200000000001</v>
      </c>
      <c r="G2401" t="s">
        <v>16</v>
      </c>
      <c r="I2401" t="s">
        <v>8</v>
      </c>
      <c r="J2401" t="str">
        <f>"04/26/1992 23:00"</f>
        <v>04/26/1992 23:00</v>
      </c>
    </row>
    <row r="2402" spans="1:10" x14ac:dyDescent="0.3">
      <c r="A2402" t="s">
        <v>6</v>
      </c>
      <c r="B2402" t="str">
        <f>"04/27/1992 00:00"</f>
        <v>04/27/1992 00:00</v>
      </c>
      <c r="C2402">
        <v>1.34</v>
      </c>
      <c r="D2402" t="s">
        <v>7</v>
      </c>
      <c r="E2402" s="2" t="s">
        <v>12</v>
      </c>
      <c r="F2402">
        <f t="shared" si="37"/>
        <v>2.6572200000000001</v>
      </c>
      <c r="G2402" t="s">
        <v>16</v>
      </c>
      <c r="I2402" t="s">
        <v>8</v>
      </c>
      <c r="J2402" t="str">
        <f>"04/27/1992 23:00"</f>
        <v>04/27/1992 23:00</v>
      </c>
    </row>
    <row r="2403" spans="1:10" x14ac:dyDescent="0.3">
      <c r="A2403" t="s">
        <v>6</v>
      </c>
      <c r="B2403" t="str">
        <f>"04/28/1992 00:00"</f>
        <v>04/28/1992 00:00</v>
      </c>
      <c r="C2403">
        <v>1.34</v>
      </c>
      <c r="D2403" t="s">
        <v>7</v>
      </c>
      <c r="E2403" s="2" t="s">
        <v>12</v>
      </c>
      <c r="F2403">
        <f t="shared" si="37"/>
        <v>2.6572200000000001</v>
      </c>
      <c r="G2403" t="s">
        <v>16</v>
      </c>
      <c r="I2403" t="s">
        <v>8</v>
      </c>
      <c r="J2403" t="str">
        <f>"04/28/1992 23:00"</f>
        <v>04/28/1992 23:00</v>
      </c>
    </row>
    <row r="2404" spans="1:10" x14ac:dyDescent="0.3">
      <c r="A2404" t="s">
        <v>6</v>
      </c>
      <c r="B2404" t="str">
        <f>"04/29/1992 00:00"</f>
        <v>04/29/1992 00:00</v>
      </c>
      <c r="C2404">
        <v>1.28</v>
      </c>
      <c r="D2404" t="s">
        <v>7</v>
      </c>
      <c r="E2404" s="2" t="s">
        <v>12</v>
      </c>
      <c r="F2404">
        <f t="shared" si="37"/>
        <v>2.5382400000000001</v>
      </c>
      <c r="G2404" t="s">
        <v>16</v>
      </c>
      <c r="I2404" t="s">
        <v>8</v>
      </c>
      <c r="J2404" t="str">
        <f>"04/29/1992 23:00"</f>
        <v>04/29/1992 23:00</v>
      </c>
    </row>
    <row r="2405" spans="1:10" x14ac:dyDescent="0.3">
      <c r="A2405" t="s">
        <v>6</v>
      </c>
      <c r="B2405" t="str">
        <f>"04/30/1992 00:00"</f>
        <v>04/30/1992 00:00</v>
      </c>
      <c r="C2405">
        <v>1.17</v>
      </c>
      <c r="D2405" t="s">
        <v>7</v>
      </c>
      <c r="E2405" s="2" t="s">
        <v>12</v>
      </c>
      <c r="F2405">
        <f t="shared" si="37"/>
        <v>2.3201100000000001</v>
      </c>
      <c r="G2405" t="s">
        <v>16</v>
      </c>
      <c r="J2405" t="str">
        <f>"04/30/1992 23:00"</f>
        <v>04/30/1992 23:00</v>
      </c>
    </row>
    <row r="2406" spans="1:10" x14ac:dyDescent="0.3">
      <c r="A2406" t="s">
        <v>6</v>
      </c>
      <c r="B2406" t="str">
        <f>"05/01/1992 00:00"</f>
        <v>05/01/1992 00:00</v>
      </c>
      <c r="C2406">
        <v>1.08</v>
      </c>
      <c r="D2406" t="s">
        <v>7</v>
      </c>
      <c r="E2406" s="2" t="s">
        <v>12</v>
      </c>
      <c r="F2406">
        <f t="shared" si="37"/>
        <v>2.1416400000000002</v>
      </c>
      <c r="G2406" t="s">
        <v>16</v>
      </c>
      <c r="J2406" t="str">
        <f>"05/01/1992 23:00"</f>
        <v>05/01/1992 23:00</v>
      </c>
    </row>
    <row r="2407" spans="1:10" x14ac:dyDescent="0.3">
      <c r="A2407" t="s">
        <v>6</v>
      </c>
      <c r="B2407" t="str">
        <f>"05/02/1992 00:00"</f>
        <v>05/02/1992 00:00</v>
      </c>
      <c r="C2407">
        <v>1.08</v>
      </c>
      <c r="D2407" t="s">
        <v>7</v>
      </c>
      <c r="E2407" s="2" t="s">
        <v>12</v>
      </c>
      <c r="F2407">
        <f t="shared" si="37"/>
        <v>2.1416400000000002</v>
      </c>
      <c r="G2407" t="s">
        <v>16</v>
      </c>
      <c r="I2407" t="s">
        <v>8</v>
      </c>
      <c r="J2407" t="str">
        <f>"05/02/1992 23:00"</f>
        <v>05/02/1992 23:00</v>
      </c>
    </row>
    <row r="2408" spans="1:10" x14ac:dyDescent="0.3">
      <c r="A2408" t="s">
        <v>6</v>
      </c>
      <c r="B2408" t="str">
        <f>"05/03/1992 00:00"</f>
        <v>05/03/1992 00:00</v>
      </c>
      <c r="C2408">
        <v>1.08</v>
      </c>
      <c r="D2408" t="s">
        <v>7</v>
      </c>
      <c r="E2408" s="2" t="s">
        <v>12</v>
      </c>
      <c r="F2408">
        <f t="shared" si="37"/>
        <v>2.1416400000000002</v>
      </c>
      <c r="G2408" t="s">
        <v>16</v>
      </c>
      <c r="I2408" t="s">
        <v>35</v>
      </c>
      <c r="J2408" t="str">
        <f>"05/03/1992 23:00"</f>
        <v>05/03/1992 23:00</v>
      </c>
    </row>
    <row r="2409" spans="1:10" x14ac:dyDescent="0.3">
      <c r="A2409" t="s">
        <v>6</v>
      </c>
      <c r="B2409" t="str">
        <f>"05/04/1992 00:00"</f>
        <v>05/04/1992 00:00</v>
      </c>
      <c r="C2409">
        <v>1.08</v>
      </c>
      <c r="D2409" t="s">
        <v>7</v>
      </c>
      <c r="E2409" s="2" t="s">
        <v>12</v>
      </c>
      <c r="F2409">
        <f t="shared" si="37"/>
        <v>2.1416400000000002</v>
      </c>
      <c r="G2409" t="s">
        <v>16</v>
      </c>
      <c r="I2409" t="s">
        <v>35</v>
      </c>
      <c r="J2409" t="str">
        <f>"05/04/1992 23:00"</f>
        <v>05/04/1992 23:00</v>
      </c>
    </row>
    <row r="2410" spans="1:10" x14ac:dyDescent="0.3">
      <c r="A2410" t="s">
        <v>6</v>
      </c>
      <c r="B2410" t="str">
        <f>"05/05/1992 00:00"</f>
        <v>05/05/1992 00:00</v>
      </c>
      <c r="C2410">
        <v>1.08</v>
      </c>
      <c r="D2410" t="s">
        <v>7</v>
      </c>
      <c r="E2410" s="2" t="s">
        <v>12</v>
      </c>
      <c r="F2410">
        <f t="shared" si="37"/>
        <v>2.1416400000000002</v>
      </c>
      <c r="G2410" t="s">
        <v>16</v>
      </c>
      <c r="I2410" t="s">
        <v>35</v>
      </c>
      <c r="J2410" t="str">
        <f>"05/05/1992 23:00"</f>
        <v>05/05/1992 23:00</v>
      </c>
    </row>
    <row r="2411" spans="1:10" x14ac:dyDescent="0.3">
      <c r="A2411" t="s">
        <v>6</v>
      </c>
      <c r="B2411" t="str">
        <f>"05/06/1992 00:00"</f>
        <v>05/06/1992 00:00</v>
      </c>
      <c r="C2411">
        <v>1.08</v>
      </c>
      <c r="D2411" t="s">
        <v>7</v>
      </c>
      <c r="E2411" s="2" t="s">
        <v>12</v>
      </c>
      <c r="F2411">
        <f t="shared" si="37"/>
        <v>2.1416400000000002</v>
      </c>
      <c r="G2411" t="s">
        <v>16</v>
      </c>
      <c r="I2411" t="s">
        <v>8</v>
      </c>
      <c r="J2411" t="str">
        <f>"05/06/1992 23:00"</f>
        <v>05/06/1992 23:00</v>
      </c>
    </row>
    <row r="2412" spans="1:10" x14ac:dyDescent="0.3">
      <c r="A2412" t="s">
        <v>6</v>
      </c>
      <c r="B2412" t="str">
        <f>"05/07/1992 00:00"</f>
        <v>05/07/1992 00:00</v>
      </c>
      <c r="C2412">
        <v>43.4</v>
      </c>
      <c r="D2412" t="s">
        <v>7</v>
      </c>
      <c r="E2412" s="2" t="s">
        <v>12</v>
      </c>
      <c r="F2412">
        <f t="shared" si="37"/>
        <v>86.062200000000004</v>
      </c>
      <c r="G2412" t="s">
        <v>16</v>
      </c>
      <c r="J2412" t="str">
        <f>"05/07/1992 23:00"</f>
        <v>05/07/1992 23:00</v>
      </c>
    </row>
    <row r="2413" spans="1:10" x14ac:dyDescent="0.3">
      <c r="A2413" t="s">
        <v>6</v>
      </c>
      <c r="B2413" t="str">
        <f>"05/08/1992 00:00"</f>
        <v>05/08/1992 00:00</v>
      </c>
      <c r="C2413">
        <v>76.400000000000006</v>
      </c>
      <c r="D2413" t="s">
        <v>7</v>
      </c>
      <c r="E2413" s="2" t="s">
        <v>12</v>
      </c>
      <c r="F2413">
        <f t="shared" si="37"/>
        <v>151.50120000000001</v>
      </c>
      <c r="G2413" t="s">
        <v>16</v>
      </c>
      <c r="J2413" t="str">
        <f>"05/08/1992 23:00"</f>
        <v>05/08/1992 23:00</v>
      </c>
    </row>
    <row r="2414" spans="1:10" x14ac:dyDescent="0.3">
      <c r="A2414" t="s">
        <v>6</v>
      </c>
      <c r="B2414" t="str">
        <f>"05/09/1992 00:00"</f>
        <v>05/09/1992 00:00</v>
      </c>
      <c r="C2414">
        <v>50.4</v>
      </c>
      <c r="D2414" t="s">
        <v>7</v>
      </c>
      <c r="E2414" s="2" t="s">
        <v>12</v>
      </c>
      <c r="F2414">
        <f t="shared" si="37"/>
        <v>99.943200000000004</v>
      </c>
      <c r="G2414" t="s">
        <v>16</v>
      </c>
      <c r="J2414" t="str">
        <f>"05/09/1992 23:00"</f>
        <v>05/09/1992 23:00</v>
      </c>
    </row>
    <row r="2415" spans="1:10" x14ac:dyDescent="0.3">
      <c r="A2415" t="s">
        <v>6</v>
      </c>
      <c r="B2415" t="str">
        <f>"05/10/1992 00:00"</f>
        <v>05/10/1992 00:00</v>
      </c>
      <c r="C2415">
        <v>13.7</v>
      </c>
      <c r="D2415" t="s">
        <v>7</v>
      </c>
      <c r="E2415" s="2" t="s">
        <v>12</v>
      </c>
      <c r="F2415">
        <f t="shared" si="37"/>
        <v>27.167100000000001</v>
      </c>
      <c r="G2415" t="s">
        <v>16</v>
      </c>
      <c r="J2415" t="str">
        <f>"05/10/1992 23:00"</f>
        <v>05/10/1992 23:00</v>
      </c>
    </row>
    <row r="2416" spans="1:10" x14ac:dyDescent="0.3">
      <c r="A2416" t="s">
        <v>6</v>
      </c>
      <c r="B2416" t="str">
        <f>"05/11/1992 00:00"</f>
        <v>05/11/1992 00:00</v>
      </c>
      <c r="C2416">
        <v>12</v>
      </c>
      <c r="D2416" t="s">
        <v>7</v>
      </c>
      <c r="E2416" s="2" t="s">
        <v>12</v>
      </c>
      <c r="F2416">
        <f t="shared" si="37"/>
        <v>23.795999999999999</v>
      </c>
      <c r="G2416" t="s">
        <v>16</v>
      </c>
      <c r="J2416" t="str">
        <f>"05/11/1992 23:00"</f>
        <v>05/11/1992 23:00</v>
      </c>
    </row>
    <row r="2417" spans="1:10" x14ac:dyDescent="0.3">
      <c r="A2417" t="s">
        <v>6</v>
      </c>
      <c r="B2417" t="str">
        <f>"05/12/1992 00:00"</f>
        <v>05/12/1992 00:00</v>
      </c>
      <c r="C2417">
        <v>11.7</v>
      </c>
      <c r="D2417" t="s">
        <v>7</v>
      </c>
      <c r="E2417" s="2" t="s">
        <v>12</v>
      </c>
      <c r="F2417">
        <f t="shared" si="37"/>
        <v>23.2011</v>
      </c>
      <c r="G2417" t="s">
        <v>16</v>
      </c>
      <c r="J2417" t="str">
        <f>"05/12/1992 23:00"</f>
        <v>05/12/1992 23:00</v>
      </c>
    </row>
    <row r="2418" spans="1:10" x14ac:dyDescent="0.3">
      <c r="A2418" t="s">
        <v>6</v>
      </c>
      <c r="B2418" t="str">
        <f>"05/13/1992 00:00"</f>
        <v>05/13/1992 00:00</v>
      </c>
      <c r="C2418">
        <v>7.42</v>
      </c>
      <c r="D2418" t="s">
        <v>7</v>
      </c>
      <c r="E2418" s="2" t="s">
        <v>12</v>
      </c>
      <c r="F2418">
        <f t="shared" si="37"/>
        <v>14.71386</v>
      </c>
      <c r="G2418" t="s">
        <v>16</v>
      </c>
      <c r="J2418" t="str">
        <f>"05/13/1992 23:00"</f>
        <v>05/13/1992 23:00</v>
      </c>
    </row>
    <row r="2419" spans="1:10" x14ac:dyDescent="0.3">
      <c r="A2419" t="s">
        <v>6</v>
      </c>
      <c r="B2419" t="str">
        <f>"05/14/1992 00:00"</f>
        <v>05/14/1992 00:00</v>
      </c>
      <c r="C2419">
        <v>1.08</v>
      </c>
      <c r="D2419" t="s">
        <v>7</v>
      </c>
      <c r="E2419" s="2" t="s">
        <v>12</v>
      </c>
      <c r="F2419">
        <f t="shared" si="37"/>
        <v>2.1416400000000002</v>
      </c>
      <c r="G2419" t="s">
        <v>16</v>
      </c>
      <c r="J2419" t="str">
        <f>"05/14/1992 23:00"</f>
        <v>05/14/1992 23:00</v>
      </c>
    </row>
    <row r="2420" spans="1:10" x14ac:dyDescent="0.3">
      <c r="A2420" t="s">
        <v>6</v>
      </c>
      <c r="B2420" t="str">
        <f>"05/15/1992 00:00"</f>
        <v>05/15/1992 00:00</v>
      </c>
      <c r="C2420">
        <v>1.08</v>
      </c>
      <c r="D2420" t="s">
        <v>7</v>
      </c>
      <c r="E2420" s="2" t="s">
        <v>12</v>
      </c>
      <c r="F2420">
        <f t="shared" si="37"/>
        <v>2.1416400000000002</v>
      </c>
      <c r="G2420" t="s">
        <v>16</v>
      </c>
      <c r="J2420" t="str">
        <f>"05/15/1992 23:00"</f>
        <v>05/15/1992 23:00</v>
      </c>
    </row>
    <row r="2421" spans="1:10" x14ac:dyDescent="0.3">
      <c r="A2421" t="s">
        <v>6</v>
      </c>
      <c r="B2421" t="str">
        <f>"05/16/1992 00:00"</f>
        <v>05/16/1992 00:00</v>
      </c>
      <c r="C2421">
        <v>1.08</v>
      </c>
      <c r="D2421" t="s">
        <v>7</v>
      </c>
      <c r="E2421" s="2" t="s">
        <v>12</v>
      </c>
      <c r="F2421">
        <f t="shared" si="37"/>
        <v>2.1416400000000002</v>
      </c>
      <c r="G2421" t="s">
        <v>16</v>
      </c>
      <c r="I2421" t="s">
        <v>8</v>
      </c>
      <c r="J2421" t="str">
        <f>"05/16/1992 23:00"</f>
        <v>05/16/1992 23:00</v>
      </c>
    </row>
    <row r="2422" spans="1:10" x14ac:dyDescent="0.3">
      <c r="A2422" t="s">
        <v>6</v>
      </c>
      <c r="B2422" t="str">
        <f>"05/17/1992 00:00"</f>
        <v>05/17/1992 00:00</v>
      </c>
      <c r="C2422">
        <v>1.08</v>
      </c>
      <c r="D2422" t="s">
        <v>7</v>
      </c>
      <c r="E2422" s="2" t="s">
        <v>12</v>
      </c>
      <c r="F2422">
        <f t="shared" si="37"/>
        <v>2.1416400000000002</v>
      </c>
      <c r="G2422" t="s">
        <v>16</v>
      </c>
      <c r="I2422" t="s">
        <v>35</v>
      </c>
      <c r="J2422" t="str">
        <f>"05/17/1992 23:00"</f>
        <v>05/17/1992 23:00</v>
      </c>
    </row>
    <row r="2423" spans="1:10" x14ac:dyDescent="0.3">
      <c r="A2423" t="s">
        <v>6</v>
      </c>
      <c r="B2423" t="str">
        <f>"05/18/1992 00:00"</f>
        <v>05/18/1992 00:00</v>
      </c>
      <c r="C2423">
        <v>1.08</v>
      </c>
      <c r="D2423" t="s">
        <v>7</v>
      </c>
      <c r="E2423" s="2" t="s">
        <v>12</v>
      </c>
      <c r="F2423">
        <f t="shared" si="37"/>
        <v>2.1416400000000002</v>
      </c>
      <c r="G2423" t="s">
        <v>16</v>
      </c>
      <c r="I2423" t="s">
        <v>35</v>
      </c>
      <c r="J2423" t="str">
        <f>"05/18/1992 23:00"</f>
        <v>05/18/1992 23:00</v>
      </c>
    </row>
    <row r="2424" spans="1:10" x14ac:dyDescent="0.3">
      <c r="A2424" t="s">
        <v>6</v>
      </c>
      <c r="B2424" t="str">
        <f>"05/19/1992 00:00"</f>
        <v>05/19/1992 00:00</v>
      </c>
      <c r="C2424">
        <v>1.08</v>
      </c>
      <c r="D2424" t="s">
        <v>7</v>
      </c>
      <c r="E2424" s="2" t="s">
        <v>12</v>
      </c>
      <c r="F2424">
        <f t="shared" si="37"/>
        <v>2.1416400000000002</v>
      </c>
      <c r="G2424" t="s">
        <v>16</v>
      </c>
      <c r="I2424" t="s">
        <v>35</v>
      </c>
      <c r="J2424" t="str">
        <f>"05/19/1992 23:00"</f>
        <v>05/19/1992 23:00</v>
      </c>
    </row>
    <row r="2425" spans="1:10" x14ac:dyDescent="0.3">
      <c r="A2425" t="s">
        <v>6</v>
      </c>
      <c r="B2425" t="str">
        <f>"05/20/1992 00:00"</f>
        <v>05/20/1992 00:00</v>
      </c>
      <c r="C2425">
        <v>1.08</v>
      </c>
      <c r="D2425" t="s">
        <v>7</v>
      </c>
      <c r="E2425" s="2" t="s">
        <v>12</v>
      </c>
      <c r="F2425">
        <f t="shared" si="37"/>
        <v>2.1416400000000002</v>
      </c>
      <c r="G2425" t="s">
        <v>16</v>
      </c>
      <c r="I2425" t="s">
        <v>8</v>
      </c>
      <c r="J2425" t="str">
        <f>"05/20/1992 23:00"</f>
        <v>05/20/1992 23:00</v>
      </c>
    </row>
    <row r="2426" spans="1:10" x14ac:dyDescent="0.3">
      <c r="A2426" t="s">
        <v>6</v>
      </c>
      <c r="B2426" t="str">
        <f>"05/21/1992 00:00"</f>
        <v>05/21/1992 00:00</v>
      </c>
      <c r="C2426">
        <v>1.08</v>
      </c>
      <c r="D2426" t="s">
        <v>7</v>
      </c>
      <c r="E2426" s="2" t="s">
        <v>12</v>
      </c>
      <c r="F2426">
        <f t="shared" si="37"/>
        <v>2.1416400000000002</v>
      </c>
      <c r="G2426" t="s">
        <v>16</v>
      </c>
      <c r="I2426" t="s">
        <v>8</v>
      </c>
      <c r="J2426" t="str">
        <f>"05/21/1992 23:00"</f>
        <v>05/21/1992 23:00</v>
      </c>
    </row>
    <row r="2427" spans="1:10" x14ac:dyDescent="0.3">
      <c r="A2427" t="s">
        <v>6</v>
      </c>
      <c r="B2427" t="str">
        <f>"05/22/1992 00:00"</f>
        <v>05/22/1992 00:00</v>
      </c>
      <c r="C2427">
        <v>1.04</v>
      </c>
      <c r="D2427" t="s">
        <v>7</v>
      </c>
      <c r="E2427" s="2" t="s">
        <v>12</v>
      </c>
      <c r="F2427">
        <f t="shared" si="37"/>
        <v>2.0623200000000002</v>
      </c>
      <c r="G2427" t="s">
        <v>16</v>
      </c>
      <c r="I2427" t="s">
        <v>8</v>
      </c>
      <c r="J2427" t="str">
        <f>"05/22/1992 23:00"</f>
        <v>05/22/1992 23:00</v>
      </c>
    </row>
    <row r="2428" spans="1:10" x14ac:dyDescent="0.3">
      <c r="A2428" t="s">
        <v>6</v>
      </c>
      <c r="B2428" t="str">
        <f>"05/23/1992 00:00"</f>
        <v>05/23/1992 00:00</v>
      </c>
      <c r="C2428">
        <v>0.85</v>
      </c>
      <c r="D2428" t="s">
        <v>7</v>
      </c>
      <c r="E2428" s="2" t="s">
        <v>12</v>
      </c>
      <c r="F2428">
        <f t="shared" si="37"/>
        <v>1.6855500000000001</v>
      </c>
      <c r="G2428" t="s">
        <v>16</v>
      </c>
      <c r="J2428" t="str">
        <f>"05/23/1992 23:00"</f>
        <v>05/23/1992 23:00</v>
      </c>
    </row>
    <row r="2429" spans="1:10" x14ac:dyDescent="0.3">
      <c r="A2429" t="s">
        <v>6</v>
      </c>
      <c r="B2429" t="str">
        <f>"05/24/1992 00:00"</f>
        <v>05/24/1992 00:00</v>
      </c>
      <c r="C2429">
        <v>1.05</v>
      </c>
      <c r="D2429" t="s">
        <v>7</v>
      </c>
      <c r="E2429" s="2" t="s">
        <v>12</v>
      </c>
      <c r="F2429">
        <f t="shared" si="37"/>
        <v>2.0821500000000004</v>
      </c>
      <c r="G2429" t="s">
        <v>16</v>
      </c>
      <c r="J2429" t="str">
        <f>"05/24/1992 23:00"</f>
        <v>05/24/1992 23:00</v>
      </c>
    </row>
    <row r="2430" spans="1:10" x14ac:dyDescent="0.3">
      <c r="A2430" t="s">
        <v>6</v>
      </c>
      <c r="B2430" t="str">
        <f>"05/25/1992 00:00"</f>
        <v>05/25/1992 00:00</v>
      </c>
      <c r="C2430">
        <v>30.9</v>
      </c>
      <c r="D2430" t="s">
        <v>7</v>
      </c>
      <c r="E2430" s="2" t="s">
        <v>12</v>
      </c>
      <c r="F2430">
        <f t="shared" si="37"/>
        <v>61.274700000000003</v>
      </c>
      <c r="G2430" t="s">
        <v>16</v>
      </c>
      <c r="J2430" t="str">
        <f>"05/25/1992 23:00"</f>
        <v>05/25/1992 23:00</v>
      </c>
    </row>
    <row r="2431" spans="1:10" x14ac:dyDescent="0.3">
      <c r="A2431" t="s">
        <v>6</v>
      </c>
      <c r="B2431" t="str">
        <f>"05/26/1992 00:00"</f>
        <v>05/26/1992 00:00</v>
      </c>
      <c r="C2431">
        <v>119</v>
      </c>
      <c r="D2431" t="s">
        <v>7</v>
      </c>
      <c r="E2431" s="2" t="s">
        <v>12</v>
      </c>
      <c r="F2431">
        <f t="shared" si="37"/>
        <v>235.977</v>
      </c>
      <c r="G2431" t="s">
        <v>16</v>
      </c>
      <c r="J2431" t="str">
        <f>"05/26/1992 23:00"</f>
        <v>05/26/1992 23:00</v>
      </c>
    </row>
    <row r="2432" spans="1:10" x14ac:dyDescent="0.3">
      <c r="A2432" t="s">
        <v>6</v>
      </c>
      <c r="B2432" t="str">
        <f>"05/27/1992 00:00"</f>
        <v>05/27/1992 00:00</v>
      </c>
      <c r="C2432">
        <v>204</v>
      </c>
      <c r="D2432" t="s">
        <v>7</v>
      </c>
      <c r="E2432" s="2" t="s">
        <v>12</v>
      </c>
      <c r="F2432">
        <f t="shared" si="37"/>
        <v>404.53200000000004</v>
      </c>
      <c r="G2432" t="s">
        <v>16</v>
      </c>
      <c r="J2432" t="str">
        <f>"05/27/1992 23:00"</f>
        <v>05/27/1992 23:00</v>
      </c>
    </row>
    <row r="2433" spans="1:10" x14ac:dyDescent="0.3">
      <c r="A2433" t="s">
        <v>6</v>
      </c>
      <c r="B2433" t="str">
        <f>"05/28/1992 00:00"</f>
        <v>05/28/1992 00:00</v>
      </c>
      <c r="C2433">
        <v>196</v>
      </c>
      <c r="D2433" t="s">
        <v>7</v>
      </c>
      <c r="E2433" s="2" t="s">
        <v>12</v>
      </c>
      <c r="F2433">
        <f t="shared" si="37"/>
        <v>388.66800000000001</v>
      </c>
      <c r="G2433" t="s">
        <v>16</v>
      </c>
      <c r="J2433" t="str">
        <f>"05/28/1992 23:00"</f>
        <v>05/28/1992 23:00</v>
      </c>
    </row>
    <row r="2434" spans="1:10" x14ac:dyDescent="0.3">
      <c r="A2434" t="s">
        <v>6</v>
      </c>
      <c r="B2434" t="str">
        <f>"05/29/1992 00:00"</f>
        <v>05/29/1992 00:00</v>
      </c>
      <c r="C2434">
        <v>194</v>
      </c>
      <c r="D2434" t="s">
        <v>7</v>
      </c>
      <c r="E2434" s="2" t="s">
        <v>12</v>
      </c>
      <c r="F2434">
        <f t="shared" si="37"/>
        <v>384.702</v>
      </c>
      <c r="G2434" t="s">
        <v>16</v>
      </c>
      <c r="J2434" t="str">
        <f>"05/29/1992 23:00"</f>
        <v>05/29/1992 23:00</v>
      </c>
    </row>
    <row r="2435" spans="1:10" x14ac:dyDescent="0.3">
      <c r="A2435" t="s">
        <v>6</v>
      </c>
      <c r="B2435" t="str">
        <f>"05/30/1992 00:00"</f>
        <v>05/30/1992 00:00</v>
      </c>
      <c r="C2435">
        <v>217</v>
      </c>
      <c r="D2435" t="s">
        <v>7</v>
      </c>
      <c r="E2435" s="2" t="s">
        <v>12</v>
      </c>
      <c r="F2435">
        <f t="shared" ref="F2435:F2498" si="38">C2435*1.983</f>
        <v>430.31100000000004</v>
      </c>
      <c r="G2435" t="s">
        <v>16</v>
      </c>
      <c r="J2435" t="str">
        <f>"05/30/1992 23:00"</f>
        <v>05/30/1992 23:00</v>
      </c>
    </row>
    <row r="2436" spans="1:10" x14ac:dyDescent="0.3">
      <c r="A2436" t="s">
        <v>6</v>
      </c>
      <c r="B2436" t="str">
        <f>"05/31/1992 00:00"</f>
        <v>05/31/1992 00:00</v>
      </c>
      <c r="C2436">
        <v>218</v>
      </c>
      <c r="D2436" t="s">
        <v>7</v>
      </c>
      <c r="E2436" s="2" t="s">
        <v>12</v>
      </c>
      <c r="F2436">
        <f t="shared" si="38"/>
        <v>432.29400000000004</v>
      </c>
      <c r="G2436" t="s">
        <v>16</v>
      </c>
      <c r="I2436" t="s">
        <v>8</v>
      </c>
      <c r="J2436" t="str">
        <f>"05/31/1992 23:00"</f>
        <v>05/31/1992 23:00</v>
      </c>
    </row>
    <row r="2437" spans="1:10" x14ac:dyDescent="0.3">
      <c r="A2437" t="s">
        <v>6</v>
      </c>
      <c r="B2437" t="str">
        <f>"06/01/1992 00:00"</f>
        <v>06/01/1992 00:00</v>
      </c>
      <c r="C2437">
        <v>220</v>
      </c>
      <c r="D2437" t="s">
        <v>7</v>
      </c>
      <c r="E2437" s="2" t="s">
        <v>12</v>
      </c>
      <c r="F2437">
        <f t="shared" si="38"/>
        <v>436.26000000000005</v>
      </c>
      <c r="G2437" t="s">
        <v>16</v>
      </c>
      <c r="J2437" t="str">
        <f>"06/01/1992 23:00"</f>
        <v>06/01/1992 23:00</v>
      </c>
    </row>
    <row r="2438" spans="1:10" x14ac:dyDescent="0.3">
      <c r="A2438" t="s">
        <v>6</v>
      </c>
      <c r="B2438" t="str">
        <f>"06/02/1992 00:00"</f>
        <v>06/02/1992 00:00</v>
      </c>
      <c r="C2438">
        <v>219</v>
      </c>
      <c r="D2438" t="s">
        <v>7</v>
      </c>
      <c r="E2438" s="2" t="s">
        <v>12</v>
      </c>
      <c r="F2438">
        <f t="shared" si="38"/>
        <v>434.27700000000004</v>
      </c>
      <c r="G2438" t="s">
        <v>16</v>
      </c>
      <c r="I2438" t="s">
        <v>8</v>
      </c>
      <c r="J2438" t="str">
        <f>"06/02/1992 23:00"</f>
        <v>06/02/1992 23:00</v>
      </c>
    </row>
    <row r="2439" spans="1:10" x14ac:dyDescent="0.3">
      <c r="A2439" t="s">
        <v>6</v>
      </c>
      <c r="B2439" t="str">
        <f>"06/03/1992 00:00"</f>
        <v>06/03/1992 00:00</v>
      </c>
      <c r="C2439">
        <v>250</v>
      </c>
      <c r="D2439" t="s">
        <v>7</v>
      </c>
      <c r="E2439" s="2" t="s">
        <v>12</v>
      </c>
      <c r="F2439">
        <f t="shared" si="38"/>
        <v>495.75</v>
      </c>
      <c r="G2439" t="s">
        <v>16</v>
      </c>
      <c r="J2439" t="str">
        <f>"06/03/1992 23:00"</f>
        <v>06/03/1992 23:00</v>
      </c>
    </row>
    <row r="2440" spans="1:10" x14ac:dyDescent="0.3">
      <c r="A2440" t="s">
        <v>6</v>
      </c>
      <c r="B2440" t="str">
        <f>"06/04/1992 00:00"</f>
        <v>06/04/1992 00:00</v>
      </c>
      <c r="C2440">
        <v>303</v>
      </c>
      <c r="D2440" t="s">
        <v>7</v>
      </c>
      <c r="E2440" s="2" t="s">
        <v>12</v>
      </c>
      <c r="F2440">
        <f t="shared" si="38"/>
        <v>600.84900000000005</v>
      </c>
      <c r="G2440" t="s">
        <v>16</v>
      </c>
      <c r="J2440" t="str">
        <f>"06/04/1992 23:00"</f>
        <v>06/04/1992 23:00</v>
      </c>
    </row>
    <row r="2441" spans="1:10" x14ac:dyDescent="0.3">
      <c r="A2441" t="s">
        <v>6</v>
      </c>
      <c r="B2441" t="str">
        <f>"06/05/1992 00:00"</f>
        <v>06/05/1992 00:00</v>
      </c>
      <c r="C2441">
        <v>302</v>
      </c>
      <c r="D2441" t="s">
        <v>7</v>
      </c>
      <c r="E2441" s="2" t="s">
        <v>12</v>
      </c>
      <c r="F2441">
        <f t="shared" si="38"/>
        <v>598.86599999999999</v>
      </c>
      <c r="G2441" t="s">
        <v>16</v>
      </c>
      <c r="J2441" t="str">
        <f>"06/05/1992 23:00"</f>
        <v>06/05/1992 23:00</v>
      </c>
    </row>
    <row r="2442" spans="1:10" x14ac:dyDescent="0.3">
      <c r="A2442" t="s">
        <v>6</v>
      </c>
      <c r="B2442" t="str">
        <f>"06/06/1992 00:00"</f>
        <v>06/06/1992 00:00</v>
      </c>
      <c r="C2442">
        <v>207</v>
      </c>
      <c r="D2442" t="s">
        <v>7</v>
      </c>
      <c r="E2442" s="2" t="s">
        <v>12</v>
      </c>
      <c r="F2442">
        <f t="shared" si="38"/>
        <v>410.48099999999999</v>
      </c>
      <c r="G2442" t="s">
        <v>16</v>
      </c>
      <c r="J2442" t="str">
        <f>"06/06/1992 23:00"</f>
        <v>06/06/1992 23:00</v>
      </c>
    </row>
    <row r="2443" spans="1:10" x14ac:dyDescent="0.3">
      <c r="A2443" t="s">
        <v>6</v>
      </c>
      <c r="B2443" t="str">
        <f>"06/07/1992 00:00"</f>
        <v>06/07/1992 00:00</v>
      </c>
      <c r="C2443">
        <v>2.23</v>
      </c>
      <c r="D2443" t="s">
        <v>7</v>
      </c>
      <c r="E2443" s="2" t="s">
        <v>12</v>
      </c>
      <c r="F2443">
        <f t="shared" si="38"/>
        <v>4.4220899999999999</v>
      </c>
      <c r="G2443" t="s">
        <v>16</v>
      </c>
      <c r="J2443" t="str">
        <f>"06/07/1992 23:00"</f>
        <v>06/07/1992 23:00</v>
      </c>
    </row>
    <row r="2444" spans="1:10" x14ac:dyDescent="0.3">
      <c r="A2444" t="s">
        <v>6</v>
      </c>
      <c r="B2444" t="str">
        <f>"06/08/1992 00:00"</f>
        <v>06/08/1992 00:00</v>
      </c>
      <c r="C2444">
        <v>2.23</v>
      </c>
      <c r="D2444" t="s">
        <v>7</v>
      </c>
      <c r="E2444" s="2" t="s">
        <v>12</v>
      </c>
      <c r="F2444">
        <f t="shared" si="38"/>
        <v>4.4220899999999999</v>
      </c>
      <c r="G2444" t="s">
        <v>16</v>
      </c>
      <c r="J2444" t="str">
        <f>"06/08/1992 23:00"</f>
        <v>06/08/1992 23:00</v>
      </c>
    </row>
    <row r="2445" spans="1:10" x14ac:dyDescent="0.3">
      <c r="A2445" t="s">
        <v>6</v>
      </c>
      <c r="B2445" t="str">
        <f>"06/09/1992 00:00"</f>
        <v>06/09/1992 00:00</v>
      </c>
      <c r="C2445">
        <v>27.2</v>
      </c>
      <c r="D2445" t="s">
        <v>7</v>
      </c>
      <c r="E2445" s="2" t="s">
        <v>12</v>
      </c>
      <c r="F2445">
        <f t="shared" si="38"/>
        <v>53.937600000000003</v>
      </c>
      <c r="G2445" t="s">
        <v>16</v>
      </c>
      <c r="I2445" t="s">
        <v>8</v>
      </c>
      <c r="J2445" t="str">
        <f>"06/09/1992 23:00"</f>
        <v>06/09/1992 23:00</v>
      </c>
    </row>
    <row r="2446" spans="1:10" x14ac:dyDescent="0.3">
      <c r="A2446" t="s">
        <v>6</v>
      </c>
      <c r="B2446" t="str">
        <f>"06/10/1992 00:00"</f>
        <v>06/10/1992 00:00</v>
      </c>
      <c r="C2446">
        <v>164</v>
      </c>
      <c r="D2446" t="s">
        <v>7</v>
      </c>
      <c r="E2446" s="2" t="s">
        <v>12</v>
      </c>
      <c r="F2446">
        <f t="shared" si="38"/>
        <v>325.21199999999999</v>
      </c>
      <c r="G2446" t="s">
        <v>16</v>
      </c>
      <c r="J2446" t="str">
        <f>"06/10/1992 23:00"</f>
        <v>06/10/1992 23:00</v>
      </c>
    </row>
    <row r="2447" spans="1:10" x14ac:dyDescent="0.3">
      <c r="A2447" t="s">
        <v>6</v>
      </c>
      <c r="B2447" t="str">
        <f>"06/11/1992 00:00"</f>
        <v>06/11/1992 00:00</v>
      </c>
      <c r="C2447">
        <v>263</v>
      </c>
      <c r="D2447" t="s">
        <v>7</v>
      </c>
      <c r="E2447" s="2" t="s">
        <v>12</v>
      </c>
      <c r="F2447">
        <f t="shared" si="38"/>
        <v>521.529</v>
      </c>
      <c r="G2447" t="s">
        <v>16</v>
      </c>
      <c r="J2447" t="str">
        <f>"06/11/1992 23:00"</f>
        <v>06/11/1992 23:00</v>
      </c>
    </row>
    <row r="2448" spans="1:10" x14ac:dyDescent="0.3">
      <c r="A2448" t="s">
        <v>6</v>
      </c>
      <c r="B2448" t="str">
        <f>"06/12/1992 00:00"</f>
        <v>06/12/1992 00:00</v>
      </c>
      <c r="C2448">
        <v>301</v>
      </c>
      <c r="D2448" t="s">
        <v>7</v>
      </c>
      <c r="E2448" s="2" t="s">
        <v>12</v>
      </c>
      <c r="F2448">
        <f t="shared" si="38"/>
        <v>596.88300000000004</v>
      </c>
      <c r="G2448" t="s">
        <v>16</v>
      </c>
      <c r="J2448" t="str">
        <f>"06/12/1992 23:00"</f>
        <v>06/12/1992 23:00</v>
      </c>
    </row>
    <row r="2449" spans="1:10" x14ac:dyDescent="0.3">
      <c r="A2449" t="s">
        <v>6</v>
      </c>
      <c r="B2449" t="str">
        <f>"06/13/1992 00:00"</f>
        <v>06/13/1992 00:00</v>
      </c>
      <c r="C2449">
        <v>294</v>
      </c>
      <c r="D2449" t="s">
        <v>7</v>
      </c>
      <c r="E2449" s="2" t="s">
        <v>12</v>
      </c>
      <c r="F2449">
        <f t="shared" si="38"/>
        <v>583.00200000000007</v>
      </c>
      <c r="G2449" t="s">
        <v>16</v>
      </c>
      <c r="J2449" t="str">
        <f>"06/13/1992 23:00"</f>
        <v>06/13/1992 23:00</v>
      </c>
    </row>
    <row r="2450" spans="1:10" x14ac:dyDescent="0.3">
      <c r="A2450" t="s">
        <v>6</v>
      </c>
      <c r="B2450" t="str">
        <f>"06/14/1992 00:00"</f>
        <v>06/14/1992 00:00</v>
      </c>
      <c r="C2450">
        <v>299</v>
      </c>
      <c r="D2450" t="s">
        <v>7</v>
      </c>
      <c r="E2450" s="2" t="s">
        <v>12</v>
      </c>
      <c r="F2450">
        <f t="shared" si="38"/>
        <v>592.91700000000003</v>
      </c>
      <c r="G2450" t="s">
        <v>16</v>
      </c>
      <c r="J2450" t="str">
        <f>"06/14/1992 23:00"</f>
        <v>06/14/1992 23:00</v>
      </c>
    </row>
    <row r="2451" spans="1:10" x14ac:dyDescent="0.3">
      <c r="A2451" t="s">
        <v>6</v>
      </c>
      <c r="B2451" t="str">
        <f>"06/15/1992 00:00"</f>
        <v>06/15/1992 00:00</v>
      </c>
      <c r="C2451">
        <v>315</v>
      </c>
      <c r="D2451" t="s">
        <v>7</v>
      </c>
      <c r="E2451" s="2" t="s">
        <v>12</v>
      </c>
      <c r="F2451">
        <f t="shared" si="38"/>
        <v>624.64499999999998</v>
      </c>
      <c r="G2451" t="s">
        <v>16</v>
      </c>
      <c r="J2451" t="str">
        <f>"06/15/1992 23:00"</f>
        <v>06/15/1992 23:00</v>
      </c>
    </row>
    <row r="2452" spans="1:10" x14ac:dyDescent="0.3">
      <c r="A2452" t="s">
        <v>6</v>
      </c>
      <c r="B2452" t="str">
        <f>"06/16/1992 00:00"</f>
        <v>06/16/1992 00:00</v>
      </c>
      <c r="C2452">
        <v>350</v>
      </c>
      <c r="D2452" t="s">
        <v>7</v>
      </c>
      <c r="E2452" s="2" t="s">
        <v>12</v>
      </c>
      <c r="F2452">
        <f t="shared" si="38"/>
        <v>694.05000000000007</v>
      </c>
      <c r="G2452" t="s">
        <v>16</v>
      </c>
      <c r="J2452" t="str">
        <f>"06/16/1992 23:00"</f>
        <v>06/16/1992 23:00</v>
      </c>
    </row>
    <row r="2453" spans="1:10" x14ac:dyDescent="0.3">
      <c r="A2453" t="s">
        <v>6</v>
      </c>
      <c r="B2453" t="str">
        <f>"06/17/1992 00:00"</f>
        <v>06/17/1992 00:00</v>
      </c>
      <c r="C2453">
        <v>350</v>
      </c>
      <c r="D2453" t="s">
        <v>7</v>
      </c>
      <c r="E2453" s="2" t="s">
        <v>12</v>
      </c>
      <c r="F2453">
        <f t="shared" si="38"/>
        <v>694.05000000000007</v>
      </c>
      <c r="G2453" t="s">
        <v>16</v>
      </c>
      <c r="I2453" t="s">
        <v>8</v>
      </c>
      <c r="J2453" t="str">
        <f>"06/17/1992 23:00"</f>
        <v>06/17/1992 23:00</v>
      </c>
    </row>
    <row r="2454" spans="1:10" x14ac:dyDescent="0.3">
      <c r="A2454" t="s">
        <v>6</v>
      </c>
      <c r="B2454" t="str">
        <f>"06/18/1992 00:00"</f>
        <v>06/18/1992 00:00</v>
      </c>
      <c r="C2454">
        <v>350</v>
      </c>
      <c r="D2454" t="s">
        <v>7</v>
      </c>
      <c r="E2454" s="2" t="s">
        <v>12</v>
      </c>
      <c r="F2454">
        <f t="shared" si="38"/>
        <v>694.05000000000007</v>
      </c>
      <c r="G2454" t="s">
        <v>16</v>
      </c>
      <c r="I2454" t="s">
        <v>35</v>
      </c>
      <c r="J2454" t="str">
        <f>"06/18/1992 23:00"</f>
        <v>06/18/1992 23:00</v>
      </c>
    </row>
    <row r="2455" spans="1:10" x14ac:dyDescent="0.3">
      <c r="A2455" t="s">
        <v>6</v>
      </c>
      <c r="B2455" t="str">
        <f>"06/19/1992 00:00"</f>
        <v>06/19/1992 00:00</v>
      </c>
      <c r="C2455">
        <v>350</v>
      </c>
      <c r="D2455" t="s">
        <v>7</v>
      </c>
      <c r="E2455" s="2" t="s">
        <v>12</v>
      </c>
      <c r="F2455">
        <f t="shared" si="38"/>
        <v>694.05000000000007</v>
      </c>
      <c r="G2455" t="s">
        <v>16</v>
      </c>
      <c r="I2455" t="s">
        <v>8</v>
      </c>
      <c r="J2455" t="str">
        <f>"06/19/1992 23:00"</f>
        <v>06/19/1992 23:00</v>
      </c>
    </row>
    <row r="2456" spans="1:10" x14ac:dyDescent="0.3">
      <c r="A2456" t="s">
        <v>6</v>
      </c>
      <c r="B2456" t="str">
        <f>"06/20/1992 00:00"</f>
        <v>06/20/1992 00:00</v>
      </c>
      <c r="C2456">
        <v>320</v>
      </c>
      <c r="D2456" t="s">
        <v>7</v>
      </c>
      <c r="E2456" s="2" t="s">
        <v>12</v>
      </c>
      <c r="F2456">
        <f t="shared" si="38"/>
        <v>634.56000000000006</v>
      </c>
      <c r="G2456" t="s">
        <v>16</v>
      </c>
      <c r="J2456" t="str">
        <f>"06/20/1992 23:00"</f>
        <v>06/20/1992 23:00</v>
      </c>
    </row>
    <row r="2457" spans="1:10" x14ac:dyDescent="0.3">
      <c r="A2457" t="s">
        <v>6</v>
      </c>
      <c r="B2457" t="str">
        <f>"06/21/1992 00:00"</f>
        <v>06/21/1992 00:00</v>
      </c>
      <c r="C2457">
        <v>297</v>
      </c>
      <c r="D2457" t="s">
        <v>7</v>
      </c>
      <c r="E2457" s="2" t="s">
        <v>12</v>
      </c>
      <c r="F2457">
        <f t="shared" si="38"/>
        <v>588.95100000000002</v>
      </c>
      <c r="G2457" t="s">
        <v>16</v>
      </c>
      <c r="I2457" t="s">
        <v>8</v>
      </c>
      <c r="J2457" t="str">
        <f>"06/21/1992 23:00"</f>
        <v>06/21/1992 23:00</v>
      </c>
    </row>
    <row r="2458" spans="1:10" x14ac:dyDescent="0.3">
      <c r="A2458" t="s">
        <v>6</v>
      </c>
      <c r="B2458" t="str">
        <f>"06/22/1992 00:00"</f>
        <v>06/22/1992 00:00</v>
      </c>
      <c r="C2458">
        <v>297</v>
      </c>
      <c r="D2458" t="s">
        <v>7</v>
      </c>
      <c r="E2458" s="2" t="s">
        <v>12</v>
      </c>
      <c r="F2458">
        <f t="shared" si="38"/>
        <v>588.95100000000002</v>
      </c>
      <c r="G2458" t="s">
        <v>16</v>
      </c>
      <c r="I2458" t="s">
        <v>8</v>
      </c>
      <c r="J2458" t="str">
        <f>"06/22/1992 23:00"</f>
        <v>06/22/1992 23:00</v>
      </c>
    </row>
    <row r="2459" spans="1:10" x14ac:dyDescent="0.3">
      <c r="A2459" t="s">
        <v>6</v>
      </c>
      <c r="B2459" t="str">
        <f>"06/23/1992 00:00"</f>
        <v>06/23/1992 00:00</v>
      </c>
      <c r="C2459">
        <v>295</v>
      </c>
      <c r="D2459" t="s">
        <v>7</v>
      </c>
      <c r="E2459" s="2" t="s">
        <v>12</v>
      </c>
      <c r="F2459">
        <f t="shared" si="38"/>
        <v>584.98500000000001</v>
      </c>
      <c r="G2459" t="s">
        <v>16</v>
      </c>
      <c r="J2459" t="str">
        <f>"06/23/1992 23:00"</f>
        <v>06/23/1992 23:00</v>
      </c>
    </row>
    <row r="2460" spans="1:10" x14ac:dyDescent="0.3">
      <c r="A2460" t="s">
        <v>6</v>
      </c>
      <c r="B2460" t="str">
        <f>"06/24/1992 00:00"</f>
        <v>06/24/1992 00:00</v>
      </c>
      <c r="C2460">
        <v>320</v>
      </c>
      <c r="D2460" t="s">
        <v>7</v>
      </c>
      <c r="E2460" s="2" t="s">
        <v>12</v>
      </c>
      <c r="F2460">
        <f t="shared" si="38"/>
        <v>634.56000000000006</v>
      </c>
      <c r="G2460" t="s">
        <v>16</v>
      </c>
      <c r="J2460" t="str">
        <f>"06/24/1992 23:00"</f>
        <v>06/24/1992 23:00</v>
      </c>
    </row>
    <row r="2461" spans="1:10" x14ac:dyDescent="0.3">
      <c r="A2461" t="s">
        <v>6</v>
      </c>
      <c r="B2461" t="str">
        <f>"06/25/1992 00:00"</f>
        <v>06/25/1992 00:00</v>
      </c>
      <c r="C2461">
        <v>302</v>
      </c>
      <c r="D2461" t="s">
        <v>7</v>
      </c>
      <c r="E2461" s="2" t="s">
        <v>12</v>
      </c>
      <c r="F2461">
        <f t="shared" si="38"/>
        <v>598.86599999999999</v>
      </c>
      <c r="G2461" t="s">
        <v>16</v>
      </c>
      <c r="J2461" t="str">
        <f>"06/25/1992 23:00"</f>
        <v>06/25/1992 23:00</v>
      </c>
    </row>
    <row r="2462" spans="1:10" x14ac:dyDescent="0.3">
      <c r="A2462" t="s">
        <v>6</v>
      </c>
      <c r="B2462" t="str">
        <f>"06/26/1992 00:00"</f>
        <v>06/26/1992 00:00</v>
      </c>
      <c r="C2462">
        <v>229</v>
      </c>
      <c r="D2462" t="s">
        <v>7</v>
      </c>
      <c r="E2462" s="2" t="s">
        <v>12</v>
      </c>
      <c r="F2462">
        <f t="shared" si="38"/>
        <v>454.10700000000003</v>
      </c>
      <c r="G2462" t="s">
        <v>16</v>
      </c>
      <c r="J2462" t="str">
        <f>"06/26/1992 23:00"</f>
        <v>06/26/1992 23:00</v>
      </c>
    </row>
    <row r="2463" spans="1:10" x14ac:dyDescent="0.3">
      <c r="A2463" t="s">
        <v>6</v>
      </c>
      <c r="B2463" t="str">
        <f>"06/27/1992 00:00"</f>
        <v>06/27/1992 00:00</v>
      </c>
      <c r="C2463">
        <v>210</v>
      </c>
      <c r="D2463" t="s">
        <v>7</v>
      </c>
      <c r="E2463" s="2" t="s">
        <v>12</v>
      </c>
      <c r="F2463">
        <f t="shared" si="38"/>
        <v>416.43</v>
      </c>
      <c r="G2463" t="s">
        <v>16</v>
      </c>
      <c r="J2463" t="str">
        <f>"06/27/1992 23:00"</f>
        <v>06/27/1992 23:00</v>
      </c>
    </row>
    <row r="2464" spans="1:10" x14ac:dyDescent="0.3">
      <c r="A2464" t="s">
        <v>6</v>
      </c>
      <c r="B2464" t="str">
        <f>"06/28/1992 00:00"</f>
        <v>06/28/1992 00:00</v>
      </c>
      <c r="C2464">
        <v>212</v>
      </c>
      <c r="D2464" t="s">
        <v>7</v>
      </c>
      <c r="E2464" s="2" t="s">
        <v>12</v>
      </c>
      <c r="F2464">
        <f t="shared" si="38"/>
        <v>420.39600000000002</v>
      </c>
      <c r="G2464" t="s">
        <v>16</v>
      </c>
      <c r="J2464" t="str">
        <f>"06/28/1992 23:00"</f>
        <v>06/28/1992 23:00</v>
      </c>
    </row>
    <row r="2465" spans="1:10" x14ac:dyDescent="0.3">
      <c r="A2465" t="s">
        <v>6</v>
      </c>
      <c r="B2465" t="str">
        <f>"06/29/1992 00:00"</f>
        <v>06/29/1992 00:00</v>
      </c>
      <c r="C2465">
        <v>222</v>
      </c>
      <c r="D2465" t="s">
        <v>7</v>
      </c>
      <c r="E2465" s="2" t="s">
        <v>12</v>
      </c>
      <c r="F2465">
        <f t="shared" si="38"/>
        <v>440.226</v>
      </c>
      <c r="G2465" t="s">
        <v>16</v>
      </c>
      <c r="J2465" t="str">
        <f>"06/29/1992 23:00"</f>
        <v>06/29/1992 23:00</v>
      </c>
    </row>
    <row r="2466" spans="1:10" x14ac:dyDescent="0.3">
      <c r="A2466" t="s">
        <v>6</v>
      </c>
      <c r="B2466" t="str">
        <f>"06/30/1992 00:00"</f>
        <v>06/30/1992 00:00</v>
      </c>
      <c r="C2466">
        <v>237</v>
      </c>
      <c r="D2466" t="s">
        <v>7</v>
      </c>
      <c r="E2466" s="2" t="s">
        <v>12</v>
      </c>
      <c r="F2466">
        <f t="shared" si="38"/>
        <v>469.971</v>
      </c>
      <c r="G2466" t="s">
        <v>16</v>
      </c>
      <c r="J2466" t="str">
        <f>"06/30/1992 23:00"</f>
        <v>06/30/1992 23:00</v>
      </c>
    </row>
    <row r="2467" spans="1:10" x14ac:dyDescent="0.3">
      <c r="A2467" t="s">
        <v>6</v>
      </c>
      <c r="B2467" t="str">
        <f>"07/01/1992 00:00"</f>
        <v>07/01/1992 00:00</v>
      </c>
      <c r="C2467">
        <v>323</v>
      </c>
      <c r="D2467" t="s">
        <v>7</v>
      </c>
      <c r="E2467" s="2" t="s">
        <v>12</v>
      </c>
      <c r="F2467">
        <f t="shared" si="38"/>
        <v>640.50900000000001</v>
      </c>
      <c r="G2467" t="s">
        <v>16</v>
      </c>
      <c r="J2467" t="str">
        <f>"07/01/1992 23:00"</f>
        <v>07/01/1992 23:00</v>
      </c>
    </row>
    <row r="2468" spans="1:10" x14ac:dyDescent="0.3">
      <c r="A2468" t="s">
        <v>6</v>
      </c>
      <c r="B2468" t="str">
        <f>"07/02/1992 00:00"</f>
        <v>07/02/1992 00:00</v>
      </c>
      <c r="C2468">
        <v>333</v>
      </c>
      <c r="D2468" t="s">
        <v>7</v>
      </c>
      <c r="E2468" s="2" t="s">
        <v>12</v>
      </c>
      <c r="F2468">
        <f t="shared" si="38"/>
        <v>660.33900000000006</v>
      </c>
      <c r="G2468" t="s">
        <v>16</v>
      </c>
      <c r="J2468" t="str">
        <f>"07/02/1992 23:00"</f>
        <v>07/02/1992 23:00</v>
      </c>
    </row>
    <row r="2469" spans="1:10" x14ac:dyDescent="0.3">
      <c r="A2469" t="s">
        <v>6</v>
      </c>
      <c r="B2469" t="str">
        <f>"07/03/1992 00:00"</f>
        <v>07/03/1992 00:00</v>
      </c>
      <c r="C2469">
        <v>305</v>
      </c>
      <c r="D2469" t="s">
        <v>7</v>
      </c>
      <c r="E2469" s="2" t="s">
        <v>12</v>
      </c>
      <c r="F2469">
        <f t="shared" si="38"/>
        <v>604.81500000000005</v>
      </c>
      <c r="G2469" t="s">
        <v>16</v>
      </c>
      <c r="J2469" t="str">
        <f>"07/03/1992 23:00"</f>
        <v>07/03/1992 23:00</v>
      </c>
    </row>
    <row r="2470" spans="1:10" x14ac:dyDescent="0.3">
      <c r="A2470" t="s">
        <v>6</v>
      </c>
      <c r="B2470" t="str">
        <f>"07/04/1992 00:00"</f>
        <v>07/04/1992 00:00</v>
      </c>
      <c r="C2470">
        <v>304</v>
      </c>
      <c r="D2470" t="s">
        <v>7</v>
      </c>
      <c r="E2470" s="2" t="s">
        <v>12</v>
      </c>
      <c r="F2470">
        <f t="shared" si="38"/>
        <v>602.83199999999999</v>
      </c>
      <c r="G2470" t="s">
        <v>16</v>
      </c>
      <c r="J2470" t="str">
        <f>"07/04/1992 23:00"</f>
        <v>07/04/1992 23:00</v>
      </c>
    </row>
    <row r="2471" spans="1:10" x14ac:dyDescent="0.3">
      <c r="A2471" t="s">
        <v>6</v>
      </c>
      <c r="B2471" t="str">
        <f>"07/05/1992 00:00"</f>
        <v>07/05/1992 00:00</v>
      </c>
      <c r="C2471">
        <v>301</v>
      </c>
      <c r="D2471" t="s">
        <v>7</v>
      </c>
      <c r="E2471" s="2" t="s">
        <v>12</v>
      </c>
      <c r="F2471">
        <f t="shared" si="38"/>
        <v>596.88300000000004</v>
      </c>
      <c r="G2471" t="s">
        <v>16</v>
      </c>
      <c r="J2471" t="str">
        <f>"07/05/1992 23:00"</f>
        <v>07/05/1992 23:00</v>
      </c>
    </row>
    <row r="2472" spans="1:10" x14ac:dyDescent="0.3">
      <c r="A2472" t="s">
        <v>6</v>
      </c>
      <c r="B2472" t="str">
        <f>"07/06/1992 00:00"</f>
        <v>07/06/1992 00:00</v>
      </c>
      <c r="C2472">
        <v>299</v>
      </c>
      <c r="D2472" t="s">
        <v>7</v>
      </c>
      <c r="E2472" s="2" t="s">
        <v>12</v>
      </c>
      <c r="F2472">
        <f t="shared" si="38"/>
        <v>592.91700000000003</v>
      </c>
      <c r="G2472" t="s">
        <v>16</v>
      </c>
      <c r="J2472" t="str">
        <f>"07/06/1992 23:00"</f>
        <v>07/06/1992 23:00</v>
      </c>
    </row>
    <row r="2473" spans="1:10" x14ac:dyDescent="0.3">
      <c r="A2473" t="s">
        <v>6</v>
      </c>
      <c r="B2473" t="str">
        <f>"07/07/1992 00:00"</f>
        <v>07/07/1992 00:00</v>
      </c>
      <c r="C2473">
        <v>299</v>
      </c>
      <c r="D2473" t="s">
        <v>7</v>
      </c>
      <c r="E2473" s="2" t="s">
        <v>12</v>
      </c>
      <c r="F2473">
        <f t="shared" si="38"/>
        <v>592.91700000000003</v>
      </c>
      <c r="G2473" t="s">
        <v>16</v>
      </c>
      <c r="J2473" t="str">
        <f>"07/07/1992 23:00"</f>
        <v>07/07/1992 23:00</v>
      </c>
    </row>
    <row r="2474" spans="1:10" x14ac:dyDescent="0.3">
      <c r="A2474" t="s">
        <v>6</v>
      </c>
      <c r="B2474" t="str">
        <f>"07/08/1992 00:00"</f>
        <v>07/08/1992 00:00</v>
      </c>
      <c r="C2474">
        <v>300</v>
      </c>
      <c r="D2474" t="s">
        <v>7</v>
      </c>
      <c r="E2474" s="2" t="s">
        <v>12</v>
      </c>
      <c r="F2474">
        <f t="shared" si="38"/>
        <v>594.9</v>
      </c>
      <c r="G2474" t="s">
        <v>16</v>
      </c>
      <c r="J2474" t="str">
        <f>"07/08/1992 23:00"</f>
        <v>07/08/1992 23:00</v>
      </c>
    </row>
    <row r="2475" spans="1:10" x14ac:dyDescent="0.3">
      <c r="A2475" t="s">
        <v>6</v>
      </c>
      <c r="B2475" t="str">
        <f>"07/09/1992 00:00"</f>
        <v>07/09/1992 00:00</v>
      </c>
      <c r="C2475">
        <v>301</v>
      </c>
      <c r="D2475" t="s">
        <v>7</v>
      </c>
      <c r="E2475" s="2" t="s">
        <v>12</v>
      </c>
      <c r="F2475">
        <f t="shared" si="38"/>
        <v>596.88300000000004</v>
      </c>
      <c r="G2475" t="s">
        <v>16</v>
      </c>
      <c r="J2475" t="str">
        <f>"07/09/1992 23:00"</f>
        <v>07/09/1992 23:00</v>
      </c>
    </row>
    <row r="2476" spans="1:10" x14ac:dyDescent="0.3">
      <c r="A2476" t="s">
        <v>6</v>
      </c>
      <c r="B2476" t="str">
        <f>"07/10/1992 00:00"</f>
        <v>07/10/1992 00:00</v>
      </c>
      <c r="C2476">
        <v>300</v>
      </c>
      <c r="D2476" t="s">
        <v>7</v>
      </c>
      <c r="E2476" s="2" t="s">
        <v>12</v>
      </c>
      <c r="F2476">
        <f t="shared" si="38"/>
        <v>594.9</v>
      </c>
      <c r="G2476" t="s">
        <v>16</v>
      </c>
      <c r="J2476" t="str">
        <f>"07/10/1992 23:00"</f>
        <v>07/10/1992 23:00</v>
      </c>
    </row>
    <row r="2477" spans="1:10" x14ac:dyDescent="0.3">
      <c r="A2477" t="s">
        <v>6</v>
      </c>
      <c r="B2477" t="str">
        <f>"07/11/1992 00:00"</f>
        <v>07/11/1992 00:00</v>
      </c>
      <c r="C2477">
        <v>299</v>
      </c>
      <c r="D2477" t="s">
        <v>7</v>
      </c>
      <c r="E2477" s="2" t="s">
        <v>12</v>
      </c>
      <c r="F2477">
        <f t="shared" si="38"/>
        <v>592.91700000000003</v>
      </c>
      <c r="G2477" t="s">
        <v>16</v>
      </c>
      <c r="J2477" t="str">
        <f>"07/11/1992 23:00"</f>
        <v>07/11/1992 23:00</v>
      </c>
    </row>
    <row r="2478" spans="1:10" x14ac:dyDescent="0.3">
      <c r="A2478" t="s">
        <v>6</v>
      </c>
      <c r="B2478" t="str">
        <f>"07/12/1992 00:00"</f>
        <v>07/12/1992 00:00</v>
      </c>
      <c r="C2478">
        <v>301</v>
      </c>
      <c r="D2478" t="s">
        <v>7</v>
      </c>
      <c r="E2478" s="2" t="s">
        <v>12</v>
      </c>
      <c r="F2478">
        <f t="shared" si="38"/>
        <v>596.88300000000004</v>
      </c>
      <c r="G2478" t="s">
        <v>16</v>
      </c>
      <c r="J2478" t="str">
        <f>"07/12/1992 23:00"</f>
        <v>07/12/1992 23:00</v>
      </c>
    </row>
    <row r="2479" spans="1:10" x14ac:dyDescent="0.3">
      <c r="A2479" t="s">
        <v>6</v>
      </c>
      <c r="B2479" t="str">
        <f>"07/13/1992 00:00"</f>
        <v>07/13/1992 00:00</v>
      </c>
      <c r="C2479">
        <v>301</v>
      </c>
      <c r="D2479" t="s">
        <v>7</v>
      </c>
      <c r="E2479" s="2" t="s">
        <v>12</v>
      </c>
      <c r="F2479">
        <f t="shared" si="38"/>
        <v>596.88300000000004</v>
      </c>
      <c r="G2479" t="s">
        <v>16</v>
      </c>
      <c r="J2479" t="str">
        <f>"07/13/1992 23:00"</f>
        <v>07/13/1992 23:00</v>
      </c>
    </row>
    <row r="2480" spans="1:10" x14ac:dyDescent="0.3">
      <c r="A2480" t="s">
        <v>6</v>
      </c>
      <c r="B2480" t="str">
        <f>"07/14/1992 00:00"</f>
        <v>07/14/1992 00:00</v>
      </c>
      <c r="C2480">
        <v>300</v>
      </c>
      <c r="D2480" t="s">
        <v>7</v>
      </c>
      <c r="E2480" s="2" t="s">
        <v>12</v>
      </c>
      <c r="F2480">
        <f t="shared" si="38"/>
        <v>594.9</v>
      </c>
      <c r="G2480" t="s">
        <v>16</v>
      </c>
      <c r="J2480" t="str">
        <f>"07/14/1992 23:00"</f>
        <v>07/14/1992 23:00</v>
      </c>
    </row>
    <row r="2481" spans="1:10" x14ac:dyDescent="0.3">
      <c r="A2481" t="s">
        <v>6</v>
      </c>
      <c r="B2481" t="str">
        <f>"07/15/1992 00:00"</f>
        <v>07/15/1992 00:00</v>
      </c>
      <c r="C2481">
        <v>301</v>
      </c>
      <c r="D2481" t="s">
        <v>7</v>
      </c>
      <c r="E2481" s="2" t="s">
        <v>12</v>
      </c>
      <c r="F2481">
        <f t="shared" si="38"/>
        <v>596.88300000000004</v>
      </c>
      <c r="G2481" t="s">
        <v>16</v>
      </c>
      <c r="J2481" t="str">
        <f>"07/15/1992 23:00"</f>
        <v>07/15/1992 23:00</v>
      </c>
    </row>
    <row r="2482" spans="1:10" x14ac:dyDescent="0.3">
      <c r="A2482" t="s">
        <v>6</v>
      </c>
      <c r="B2482" t="str">
        <f>"07/16/1992 00:00"</f>
        <v>07/16/1992 00:00</v>
      </c>
      <c r="C2482">
        <v>300</v>
      </c>
      <c r="D2482" t="s">
        <v>7</v>
      </c>
      <c r="E2482" s="2" t="s">
        <v>12</v>
      </c>
      <c r="F2482">
        <f t="shared" si="38"/>
        <v>594.9</v>
      </c>
      <c r="G2482" t="s">
        <v>16</v>
      </c>
      <c r="J2482" t="str">
        <f>"07/16/1992 23:00"</f>
        <v>07/16/1992 23:00</v>
      </c>
    </row>
    <row r="2483" spans="1:10" x14ac:dyDescent="0.3">
      <c r="A2483" t="s">
        <v>6</v>
      </c>
      <c r="B2483" t="str">
        <f>"07/17/1992 00:00"</f>
        <v>07/17/1992 00:00</v>
      </c>
      <c r="C2483">
        <v>300</v>
      </c>
      <c r="D2483" t="s">
        <v>7</v>
      </c>
      <c r="E2483" s="2" t="s">
        <v>12</v>
      </c>
      <c r="F2483">
        <f t="shared" si="38"/>
        <v>594.9</v>
      </c>
      <c r="G2483" t="s">
        <v>16</v>
      </c>
      <c r="J2483" t="str">
        <f>"07/17/1992 23:00"</f>
        <v>07/17/1992 23:00</v>
      </c>
    </row>
    <row r="2484" spans="1:10" x14ac:dyDescent="0.3">
      <c r="A2484" t="s">
        <v>6</v>
      </c>
      <c r="B2484" t="str">
        <f>"07/18/1992 00:00"</f>
        <v>07/18/1992 00:00</v>
      </c>
      <c r="C2484">
        <v>302</v>
      </c>
      <c r="D2484" t="s">
        <v>7</v>
      </c>
      <c r="E2484" s="2" t="s">
        <v>12</v>
      </c>
      <c r="F2484">
        <f t="shared" si="38"/>
        <v>598.86599999999999</v>
      </c>
      <c r="G2484" t="s">
        <v>16</v>
      </c>
      <c r="J2484" t="str">
        <f>"07/18/1992 23:00"</f>
        <v>07/18/1992 23:00</v>
      </c>
    </row>
    <row r="2485" spans="1:10" x14ac:dyDescent="0.3">
      <c r="A2485" t="s">
        <v>6</v>
      </c>
      <c r="B2485" t="str">
        <f>"07/19/1992 00:00"</f>
        <v>07/19/1992 00:00</v>
      </c>
      <c r="C2485">
        <v>301</v>
      </c>
      <c r="D2485" t="s">
        <v>7</v>
      </c>
      <c r="E2485" s="2" t="s">
        <v>12</v>
      </c>
      <c r="F2485">
        <f t="shared" si="38"/>
        <v>596.88300000000004</v>
      </c>
      <c r="G2485" t="s">
        <v>16</v>
      </c>
      <c r="J2485" t="str">
        <f>"07/19/1992 23:00"</f>
        <v>07/19/1992 23:00</v>
      </c>
    </row>
    <row r="2486" spans="1:10" x14ac:dyDescent="0.3">
      <c r="A2486" t="s">
        <v>6</v>
      </c>
      <c r="B2486" t="str">
        <f>"07/20/1992 00:00"</f>
        <v>07/20/1992 00:00</v>
      </c>
      <c r="C2486">
        <v>300</v>
      </c>
      <c r="D2486" t="s">
        <v>7</v>
      </c>
      <c r="E2486" s="2" t="s">
        <v>12</v>
      </c>
      <c r="F2486">
        <f t="shared" si="38"/>
        <v>594.9</v>
      </c>
      <c r="G2486" t="s">
        <v>16</v>
      </c>
      <c r="J2486" t="str">
        <f>"07/20/1992 23:00"</f>
        <v>07/20/1992 23:00</v>
      </c>
    </row>
    <row r="2487" spans="1:10" x14ac:dyDescent="0.3">
      <c r="A2487" t="s">
        <v>6</v>
      </c>
      <c r="B2487" t="str">
        <f>"07/21/1992 00:00"</f>
        <v>07/21/1992 00:00</v>
      </c>
      <c r="C2487">
        <v>275</v>
      </c>
      <c r="D2487" t="s">
        <v>7</v>
      </c>
      <c r="E2487" s="2" t="s">
        <v>12</v>
      </c>
      <c r="F2487">
        <f t="shared" si="38"/>
        <v>545.32500000000005</v>
      </c>
      <c r="G2487" t="s">
        <v>16</v>
      </c>
      <c r="J2487" t="str">
        <f>"07/21/1992 23:00"</f>
        <v>07/21/1992 23:00</v>
      </c>
    </row>
    <row r="2488" spans="1:10" x14ac:dyDescent="0.3">
      <c r="A2488" t="s">
        <v>6</v>
      </c>
      <c r="B2488" t="str">
        <f>"07/22/1992 00:00"</f>
        <v>07/22/1992 00:00</v>
      </c>
      <c r="C2488">
        <v>222</v>
      </c>
      <c r="D2488" t="s">
        <v>7</v>
      </c>
      <c r="E2488" s="2" t="s">
        <v>12</v>
      </c>
      <c r="F2488">
        <f t="shared" si="38"/>
        <v>440.226</v>
      </c>
      <c r="G2488" t="s">
        <v>16</v>
      </c>
      <c r="J2488" t="str">
        <f>"07/22/1992 23:00"</f>
        <v>07/22/1992 23:00</v>
      </c>
    </row>
    <row r="2489" spans="1:10" x14ac:dyDescent="0.3">
      <c r="A2489" t="s">
        <v>6</v>
      </c>
      <c r="B2489" t="str">
        <f>"07/23/1992 00:00"</f>
        <v>07/23/1992 00:00</v>
      </c>
      <c r="C2489">
        <v>220</v>
      </c>
      <c r="D2489" t="s">
        <v>7</v>
      </c>
      <c r="E2489" s="2" t="s">
        <v>12</v>
      </c>
      <c r="F2489">
        <f t="shared" si="38"/>
        <v>436.26000000000005</v>
      </c>
      <c r="G2489" t="s">
        <v>16</v>
      </c>
      <c r="J2489" t="str">
        <f>"07/23/1992 23:00"</f>
        <v>07/23/1992 23:00</v>
      </c>
    </row>
    <row r="2490" spans="1:10" x14ac:dyDescent="0.3">
      <c r="A2490" t="s">
        <v>6</v>
      </c>
      <c r="B2490" t="str">
        <f>"07/24/1992 00:00"</f>
        <v>07/24/1992 00:00</v>
      </c>
      <c r="C2490">
        <v>220</v>
      </c>
      <c r="D2490" t="s">
        <v>7</v>
      </c>
      <c r="E2490" s="2" t="s">
        <v>12</v>
      </c>
      <c r="F2490">
        <f t="shared" si="38"/>
        <v>436.26000000000005</v>
      </c>
      <c r="G2490" t="s">
        <v>16</v>
      </c>
      <c r="I2490" t="s">
        <v>8</v>
      </c>
      <c r="J2490" t="str">
        <f>"07/24/1992 23:00"</f>
        <v>07/24/1992 23:00</v>
      </c>
    </row>
    <row r="2491" spans="1:10" x14ac:dyDescent="0.3">
      <c r="A2491" t="s">
        <v>6</v>
      </c>
      <c r="B2491" t="str">
        <f>"07/25/1992 00:00"</f>
        <v>07/25/1992 00:00</v>
      </c>
      <c r="C2491">
        <v>221</v>
      </c>
      <c r="D2491" t="s">
        <v>7</v>
      </c>
      <c r="E2491" s="2" t="s">
        <v>12</v>
      </c>
      <c r="F2491">
        <f t="shared" si="38"/>
        <v>438.24299999999999</v>
      </c>
      <c r="G2491" t="s">
        <v>16</v>
      </c>
      <c r="I2491" t="s">
        <v>8</v>
      </c>
      <c r="J2491" t="str">
        <f>"07/25/1992 23:00"</f>
        <v>07/25/1992 23:00</v>
      </c>
    </row>
    <row r="2492" spans="1:10" x14ac:dyDescent="0.3">
      <c r="A2492" t="s">
        <v>6</v>
      </c>
      <c r="B2492" t="str">
        <f>"07/26/1992 00:00"</f>
        <v>07/26/1992 00:00</v>
      </c>
      <c r="C2492">
        <v>206</v>
      </c>
      <c r="D2492" t="s">
        <v>7</v>
      </c>
      <c r="E2492" s="2" t="s">
        <v>12</v>
      </c>
      <c r="F2492">
        <f t="shared" si="38"/>
        <v>408.49800000000005</v>
      </c>
      <c r="G2492" t="s">
        <v>16</v>
      </c>
      <c r="J2492" t="str">
        <f>"07/26/1992 23:00"</f>
        <v>07/26/1992 23:00</v>
      </c>
    </row>
    <row r="2493" spans="1:10" x14ac:dyDescent="0.3">
      <c r="A2493" t="s">
        <v>6</v>
      </c>
      <c r="B2493" t="str">
        <f>"07/27/1992 00:00"</f>
        <v>07/27/1992 00:00</v>
      </c>
      <c r="C2493">
        <v>190</v>
      </c>
      <c r="D2493" t="s">
        <v>7</v>
      </c>
      <c r="E2493" s="2" t="s">
        <v>12</v>
      </c>
      <c r="F2493">
        <f t="shared" si="38"/>
        <v>376.77000000000004</v>
      </c>
      <c r="G2493" t="s">
        <v>16</v>
      </c>
      <c r="I2493" t="s">
        <v>8</v>
      </c>
      <c r="J2493" t="str">
        <f>"07/27/1992 23:00"</f>
        <v>07/27/1992 23:00</v>
      </c>
    </row>
    <row r="2494" spans="1:10" x14ac:dyDescent="0.3">
      <c r="A2494" t="s">
        <v>6</v>
      </c>
      <c r="B2494" t="str">
        <f>"07/28/1992 00:00"</f>
        <v>07/28/1992 00:00</v>
      </c>
      <c r="C2494">
        <v>207</v>
      </c>
      <c r="D2494" t="s">
        <v>7</v>
      </c>
      <c r="E2494" s="2" t="s">
        <v>12</v>
      </c>
      <c r="F2494">
        <f t="shared" si="38"/>
        <v>410.48099999999999</v>
      </c>
      <c r="G2494" t="s">
        <v>16</v>
      </c>
      <c r="I2494" t="s">
        <v>8</v>
      </c>
      <c r="J2494" t="str">
        <f>"07/28/1992 23:00"</f>
        <v>07/28/1992 23:00</v>
      </c>
    </row>
    <row r="2495" spans="1:10" x14ac:dyDescent="0.3">
      <c r="A2495" t="s">
        <v>6</v>
      </c>
      <c r="B2495" t="str">
        <f>"07/29/1992 00:00"</f>
        <v>07/29/1992 00:00</v>
      </c>
      <c r="C2495">
        <v>221</v>
      </c>
      <c r="D2495" t="s">
        <v>7</v>
      </c>
      <c r="E2495" s="2" t="s">
        <v>12</v>
      </c>
      <c r="F2495">
        <f t="shared" si="38"/>
        <v>438.24299999999999</v>
      </c>
      <c r="G2495" t="s">
        <v>16</v>
      </c>
      <c r="J2495" t="str">
        <f>"07/29/1992 23:00"</f>
        <v>07/29/1992 23:00</v>
      </c>
    </row>
    <row r="2496" spans="1:10" x14ac:dyDescent="0.3">
      <c r="A2496" t="s">
        <v>6</v>
      </c>
      <c r="B2496" t="str">
        <f>"07/30/1992 00:00"</f>
        <v>07/30/1992 00:00</v>
      </c>
      <c r="C2496">
        <v>220</v>
      </c>
      <c r="D2496" t="s">
        <v>7</v>
      </c>
      <c r="E2496" s="2" t="s">
        <v>12</v>
      </c>
      <c r="F2496">
        <f t="shared" si="38"/>
        <v>436.26000000000005</v>
      </c>
      <c r="G2496" t="s">
        <v>16</v>
      </c>
      <c r="I2496" t="s">
        <v>8</v>
      </c>
      <c r="J2496" t="str">
        <f>"07/30/1992 23:00"</f>
        <v>07/30/1992 23:00</v>
      </c>
    </row>
    <row r="2497" spans="1:10" x14ac:dyDescent="0.3">
      <c r="A2497" t="s">
        <v>6</v>
      </c>
      <c r="B2497" t="str">
        <f>"07/31/1992 00:00"</f>
        <v>07/31/1992 00:00</v>
      </c>
      <c r="C2497">
        <v>220</v>
      </c>
      <c r="D2497" t="s">
        <v>7</v>
      </c>
      <c r="E2497" s="2" t="s">
        <v>12</v>
      </c>
      <c r="F2497">
        <f t="shared" si="38"/>
        <v>436.26000000000005</v>
      </c>
      <c r="G2497" t="s">
        <v>16</v>
      </c>
      <c r="I2497" t="s">
        <v>8</v>
      </c>
      <c r="J2497" t="str">
        <f>"07/31/1992 23:00"</f>
        <v>07/31/1992 23:00</v>
      </c>
    </row>
    <row r="2498" spans="1:10" x14ac:dyDescent="0.3">
      <c r="A2498" t="s">
        <v>6</v>
      </c>
      <c r="B2498" t="str">
        <f>"08/01/1992 00:00"</f>
        <v>08/01/1992 00:00</v>
      </c>
      <c r="C2498">
        <v>221</v>
      </c>
      <c r="D2498" t="s">
        <v>7</v>
      </c>
      <c r="E2498" s="2" t="s">
        <v>12</v>
      </c>
      <c r="F2498">
        <f t="shared" si="38"/>
        <v>438.24299999999999</v>
      </c>
      <c r="G2498" t="s">
        <v>16</v>
      </c>
      <c r="J2498" t="str">
        <f>"08/01/1992 23:00"</f>
        <v>08/01/1992 23:00</v>
      </c>
    </row>
    <row r="2499" spans="1:10" x14ac:dyDescent="0.3">
      <c r="A2499" t="s">
        <v>6</v>
      </c>
      <c r="B2499" t="str">
        <f>"08/02/1992 00:00"</f>
        <v>08/02/1992 00:00</v>
      </c>
      <c r="C2499">
        <v>221</v>
      </c>
      <c r="D2499" t="s">
        <v>7</v>
      </c>
      <c r="E2499" s="2" t="s">
        <v>12</v>
      </c>
      <c r="F2499">
        <f t="shared" ref="F2499:F2562" si="39">C2499*1.983</f>
        <v>438.24299999999999</v>
      </c>
      <c r="G2499" t="s">
        <v>16</v>
      </c>
      <c r="J2499" t="str">
        <f>"08/02/1992 23:00"</f>
        <v>08/02/1992 23:00</v>
      </c>
    </row>
    <row r="2500" spans="1:10" x14ac:dyDescent="0.3">
      <c r="A2500" t="s">
        <v>6</v>
      </c>
      <c r="B2500" t="str">
        <f>"08/03/1992 00:00"</f>
        <v>08/03/1992 00:00</v>
      </c>
      <c r="C2500">
        <v>222</v>
      </c>
      <c r="D2500" t="s">
        <v>7</v>
      </c>
      <c r="E2500" s="2" t="s">
        <v>12</v>
      </c>
      <c r="F2500">
        <f t="shared" si="39"/>
        <v>440.226</v>
      </c>
      <c r="G2500" t="s">
        <v>16</v>
      </c>
      <c r="J2500" t="str">
        <f>"08/03/1992 23:00"</f>
        <v>08/03/1992 23:00</v>
      </c>
    </row>
    <row r="2501" spans="1:10" x14ac:dyDescent="0.3">
      <c r="A2501" t="s">
        <v>6</v>
      </c>
      <c r="B2501" t="str">
        <f>"08/04/1992 00:00"</f>
        <v>08/04/1992 00:00</v>
      </c>
      <c r="C2501">
        <v>222</v>
      </c>
      <c r="D2501" t="s">
        <v>7</v>
      </c>
      <c r="E2501" s="2" t="s">
        <v>12</v>
      </c>
      <c r="F2501">
        <f t="shared" si="39"/>
        <v>440.226</v>
      </c>
      <c r="G2501" t="s">
        <v>16</v>
      </c>
      <c r="J2501" t="str">
        <f>"08/04/1992 23:00"</f>
        <v>08/04/1992 23:00</v>
      </c>
    </row>
    <row r="2502" spans="1:10" x14ac:dyDescent="0.3">
      <c r="A2502" t="s">
        <v>6</v>
      </c>
      <c r="B2502" t="str">
        <f>"08/05/1992 00:00"</f>
        <v>08/05/1992 00:00</v>
      </c>
      <c r="C2502">
        <v>222</v>
      </c>
      <c r="D2502" t="s">
        <v>7</v>
      </c>
      <c r="E2502" s="2" t="s">
        <v>12</v>
      </c>
      <c r="F2502">
        <f t="shared" si="39"/>
        <v>440.226</v>
      </c>
      <c r="G2502" t="s">
        <v>16</v>
      </c>
      <c r="J2502" t="str">
        <f>"08/05/1992 23:00"</f>
        <v>08/05/1992 23:00</v>
      </c>
    </row>
    <row r="2503" spans="1:10" x14ac:dyDescent="0.3">
      <c r="A2503" t="s">
        <v>6</v>
      </c>
      <c r="B2503" t="str">
        <f>"08/06/1992 00:00"</f>
        <v>08/06/1992 00:00</v>
      </c>
      <c r="C2503">
        <v>222</v>
      </c>
      <c r="D2503" t="s">
        <v>7</v>
      </c>
      <c r="E2503" s="2" t="s">
        <v>12</v>
      </c>
      <c r="F2503">
        <f t="shared" si="39"/>
        <v>440.226</v>
      </c>
      <c r="G2503" t="s">
        <v>16</v>
      </c>
      <c r="I2503" t="s">
        <v>35</v>
      </c>
      <c r="J2503" t="str">
        <f>"08/06/1992 23:00"</f>
        <v>08/06/1992 23:00</v>
      </c>
    </row>
    <row r="2504" spans="1:10" x14ac:dyDescent="0.3">
      <c r="A2504" t="s">
        <v>6</v>
      </c>
      <c r="B2504" t="str">
        <f>"08/07/1992 00:00"</f>
        <v>08/07/1992 00:00</v>
      </c>
      <c r="C2504">
        <v>222</v>
      </c>
      <c r="D2504" t="s">
        <v>7</v>
      </c>
      <c r="E2504" s="2" t="s">
        <v>12</v>
      </c>
      <c r="F2504">
        <f t="shared" si="39"/>
        <v>440.226</v>
      </c>
      <c r="G2504" t="s">
        <v>16</v>
      </c>
      <c r="I2504" t="s">
        <v>35</v>
      </c>
      <c r="J2504" t="str">
        <f>"08/07/1992 23:00"</f>
        <v>08/07/1992 23:00</v>
      </c>
    </row>
    <row r="2505" spans="1:10" x14ac:dyDescent="0.3">
      <c r="A2505" t="s">
        <v>6</v>
      </c>
      <c r="B2505" t="str">
        <f>"08/08/1992 00:00"</f>
        <v>08/08/1992 00:00</v>
      </c>
      <c r="C2505">
        <v>222</v>
      </c>
      <c r="D2505" t="s">
        <v>7</v>
      </c>
      <c r="E2505" s="2" t="s">
        <v>12</v>
      </c>
      <c r="F2505">
        <f t="shared" si="39"/>
        <v>440.226</v>
      </c>
      <c r="G2505" t="s">
        <v>16</v>
      </c>
      <c r="I2505" t="s">
        <v>35</v>
      </c>
      <c r="J2505" t="str">
        <f>"08/08/1992 23:00"</f>
        <v>08/08/1992 23:00</v>
      </c>
    </row>
    <row r="2506" spans="1:10" x14ac:dyDescent="0.3">
      <c r="A2506" t="s">
        <v>6</v>
      </c>
      <c r="B2506" t="str">
        <f>"08/09/1992 00:00"</f>
        <v>08/09/1992 00:00</v>
      </c>
      <c r="C2506">
        <v>222</v>
      </c>
      <c r="D2506" t="s">
        <v>7</v>
      </c>
      <c r="E2506" s="2" t="s">
        <v>12</v>
      </c>
      <c r="F2506">
        <f t="shared" si="39"/>
        <v>440.226</v>
      </c>
      <c r="G2506" t="s">
        <v>16</v>
      </c>
      <c r="I2506" t="s">
        <v>35</v>
      </c>
      <c r="J2506" t="str">
        <f>"08/09/1992 23:00"</f>
        <v>08/09/1992 23:00</v>
      </c>
    </row>
    <row r="2507" spans="1:10" x14ac:dyDescent="0.3">
      <c r="A2507" t="s">
        <v>6</v>
      </c>
      <c r="B2507" t="str">
        <f>"08/10/1992 00:00"</f>
        <v>08/10/1992 00:00</v>
      </c>
      <c r="C2507">
        <v>221</v>
      </c>
      <c r="D2507" t="s">
        <v>7</v>
      </c>
      <c r="E2507" s="2" t="s">
        <v>12</v>
      </c>
      <c r="F2507">
        <f t="shared" si="39"/>
        <v>438.24299999999999</v>
      </c>
      <c r="G2507" t="s">
        <v>16</v>
      </c>
      <c r="I2507" t="s">
        <v>8</v>
      </c>
      <c r="J2507" t="str">
        <f>"08/10/1992 23:00"</f>
        <v>08/10/1992 23:00</v>
      </c>
    </row>
    <row r="2508" spans="1:10" x14ac:dyDescent="0.3">
      <c r="A2508" t="s">
        <v>6</v>
      </c>
      <c r="B2508" t="str">
        <f>"08/11/1992 00:00"</f>
        <v>08/11/1992 00:00</v>
      </c>
      <c r="C2508">
        <v>222</v>
      </c>
      <c r="D2508" t="s">
        <v>7</v>
      </c>
      <c r="E2508" s="2" t="s">
        <v>12</v>
      </c>
      <c r="F2508">
        <f t="shared" si="39"/>
        <v>440.226</v>
      </c>
      <c r="G2508" t="s">
        <v>16</v>
      </c>
      <c r="J2508" t="str">
        <f>"08/11/1992 23:00"</f>
        <v>08/11/1992 23:00</v>
      </c>
    </row>
    <row r="2509" spans="1:10" x14ac:dyDescent="0.3">
      <c r="A2509" t="s">
        <v>6</v>
      </c>
      <c r="B2509" t="str">
        <f>"08/12/1992 00:00"</f>
        <v>08/12/1992 00:00</v>
      </c>
      <c r="C2509">
        <v>224</v>
      </c>
      <c r="D2509" t="s">
        <v>7</v>
      </c>
      <c r="E2509" s="2" t="s">
        <v>12</v>
      </c>
      <c r="F2509">
        <f t="shared" si="39"/>
        <v>444.19200000000001</v>
      </c>
      <c r="G2509" t="s">
        <v>16</v>
      </c>
      <c r="J2509" t="str">
        <f>"08/12/1992 23:00"</f>
        <v>08/12/1992 23:00</v>
      </c>
    </row>
    <row r="2510" spans="1:10" x14ac:dyDescent="0.3">
      <c r="A2510" t="s">
        <v>6</v>
      </c>
      <c r="B2510" t="str">
        <f>"08/13/1992 00:00"</f>
        <v>08/13/1992 00:00</v>
      </c>
      <c r="C2510">
        <v>225</v>
      </c>
      <c r="D2510" t="s">
        <v>7</v>
      </c>
      <c r="E2510" s="2" t="s">
        <v>12</v>
      </c>
      <c r="F2510">
        <f t="shared" si="39"/>
        <v>446.17500000000001</v>
      </c>
      <c r="G2510" t="s">
        <v>16</v>
      </c>
      <c r="J2510" t="str">
        <f>"08/13/1992 23:00"</f>
        <v>08/13/1992 23:00</v>
      </c>
    </row>
    <row r="2511" spans="1:10" x14ac:dyDescent="0.3">
      <c r="A2511" t="s">
        <v>6</v>
      </c>
      <c r="B2511" t="str">
        <f>"08/14/1992 00:00"</f>
        <v>08/14/1992 00:00</v>
      </c>
      <c r="C2511">
        <v>224</v>
      </c>
      <c r="D2511" t="s">
        <v>7</v>
      </c>
      <c r="E2511" s="2" t="s">
        <v>12</v>
      </c>
      <c r="F2511">
        <f t="shared" si="39"/>
        <v>444.19200000000001</v>
      </c>
      <c r="G2511" t="s">
        <v>16</v>
      </c>
      <c r="J2511" t="str">
        <f>"08/14/1992 23:00"</f>
        <v>08/14/1992 23:00</v>
      </c>
    </row>
    <row r="2512" spans="1:10" x14ac:dyDescent="0.3">
      <c r="A2512" t="s">
        <v>6</v>
      </c>
      <c r="B2512" t="str">
        <f>"08/15/1992 00:00"</f>
        <v>08/15/1992 00:00</v>
      </c>
      <c r="C2512">
        <v>222</v>
      </c>
      <c r="D2512" t="s">
        <v>7</v>
      </c>
      <c r="E2512" s="2" t="s">
        <v>12</v>
      </c>
      <c r="F2512">
        <f t="shared" si="39"/>
        <v>440.226</v>
      </c>
      <c r="G2512" t="s">
        <v>16</v>
      </c>
      <c r="I2512" t="s">
        <v>8</v>
      </c>
      <c r="J2512" t="str">
        <f>"08/15/1992 23:00"</f>
        <v>08/15/1992 23:00</v>
      </c>
    </row>
    <row r="2513" spans="1:10" x14ac:dyDescent="0.3">
      <c r="A2513" t="s">
        <v>6</v>
      </c>
      <c r="B2513" t="str">
        <f>"08/16/1992 00:00"</f>
        <v>08/16/1992 00:00</v>
      </c>
      <c r="C2513">
        <v>222</v>
      </c>
      <c r="D2513" t="s">
        <v>7</v>
      </c>
      <c r="E2513" s="2" t="s">
        <v>12</v>
      </c>
      <c r="F2513">
        <f t="shared" si="39"/>
        <v>440.226</v>
      </c>
      <c r="G2513" t="s">
        <v>16</v>
      </c>
      <c r="I2513" t="s">
        <v>35</v>
      </c>
      <c r="J2513" t="str">
        <f>"08/16/1992 23:00"</f>
        <v>08/16/1992 23:00</v>
      </c>
    </row>
    <row r="2514" spans="1:10" x14ac:dyDescent="0.3">
      <c r="A2514" t="s">
        <v>6</v>
      </c>
      <c r="B2514" t="str">
        <f>"08/17/1992 00:00"</f>
        <v>08/17/1992 00:00</v>
      </c>
      <c r="C2514">
        <v>222</v>
      </c>
      <c r="D2514" t="s">
        <v>7</v>
      </c>
      <c r="E2514" s="2" t="s">
        <v>12</v>
      </c>
      <c r="F2514">
        <f t="shared" si="39"/>
        <v>440.226</v>
      </c>
      <c r="G2514" t="s">
        <v>16</v>
      </c>
      <c r="I2514" t="s">
        <v>35</v>
      </c>
      <c r="J2514" t="str">
        <f>"08/17/1992 23:00"</f>
        <v>08/17/1992 23:00</v>
      </c>
    </row>
    <row r="2515" spans="1:10" x14ac:dyDescent="0.3">
      <c r="A2515" t="s">
        <v>6</v>
      </c>
      <c r="B2515" t="str">
        <f>"08/18/1992 00:00"</f>
        <v>08/18/1992 00:00</v>
      </c>
      <c r="C2515">
        <v>222</v>
      </c>
      <c r="D2515" t="s">
        <v>7</v>
      </c>
      <c r="E2515" s="2" t="s">
        <v>12</v>
      </c>
      <c r="F2515">
        <f t="shared" si="39"/>
        <v>440.226</v>
      </c>
      <c r="G2515" t="s">
        <v>16</v>
      </c>
      <c r="I2515" t="s">
        <v>35</v>
      </c>
      <c r="J2515" t="str">
        <f>"08/18/1992 23:00"</f>
        <v>08/18/1992 23:00</v>
      </c>
    </row>
    <row r="2516" spans="1:10" x14ac:dyDescent="0.3">
      <c r="A2516" t="s">
        <v>6</v>
      </c>
      <c r="B2516" t="str">
        <f>"08/19/1992 00:00"</f>
        <v>08/19/1992 00:00</v>
      </c>
      <c r="C2516">
        <v>222</v>
      </c>
      <c r="D2516" t="s">
        <v>7</v>
      </c>
      <c r="E2516" s="2" t="s">
        <v>12</v>
      </c>
      <c r="F2516">
        <f t="shared" si="39"/>
        <v>440.226</v>
      </c>
      <c r="G2516" t="s">
        <v>16</v>
      </c>
      <c r="I2516" t="s">
        <v>35</v>
      </c>
      <c r="J2516" t="str">
        <f>"08/19/1992 23:00"</f>
        <v>08/19/1992 23:00</v>
      </c>
    </row>
    <row r="2517" spans="1:10" x14ac:dyDescent="0.3">
      <c r="A2517" t="s">
        <v>6</v>
      </c>
      <c r="B2517" t="str">
        <f>"08/20/1992 00:00"</f>
        <v>08/20/1992 00:00</v>
      </c>
      <c r="C2517">
        <v>222</v>
      </c>
      <c r="D2517" t="s">
        <v>7</v>
      </c>
      <c r="E2517" s="2" t="s">
        <v>12</v>
      </c>
      <c r="F2517">
        <f t="shared" si="39"/>
        <v>440.226</v>
      </c>
      <c r="G2517" t="s">
        <v>16</v>
      </c>
      <c r="I2517" t="s">
        <v>8</v>
      </c>
      <c r="J2517" t="str">
        <f>"08/20/1992 23:00"</f>
        <v>08/20/1992 23:00</v>
      </c>
    </row>
    <row r="2518" spans="1:10" x14ac:dyDescent="0.3">
      <c r="A2518" t="s">
        <v>6</v>
      </c>
      <c r="B2518" t="str">
        <f>"08/21/1992 00:00"</f>
        <v>08/21/1992 00:00</v>
      </c>
      <c r="C2518">
        <v>222</v>
      </c>
      <c r="D2518" t="s">
        <v>7</v>
      </c>
      <c r="E2518" s="2" t="s">
        <v>12</v>
      </c>
      <c r="F2518">
        <f t="shared" si="39"/>
        <v>440.226</v>
      </c>
      <c r="G2518" t="s">
        <v>16</v>
      </c>
      <c r="J2518" t="str">
        <f>"08/21/1992 23:00"</f>
        <v>08/21/1992 23:00</v>
      </c>
    </row>
    <row r="2519" spans="1:10" x14ac:dyDescent="0.3">
      <c r="A2519" t="s">
        <v>6</v>
      </c>
      <c r="B2519" t="str">
        <f>"08/22/1992 00:00"</f>
        <v>08/22/1992 00:00</v>
      </c>
      <c r="C2519">
        <v>221</v>
      </c>
      <c r="D2519" t="s">
        <v>7</v>
      </c>
      <c r="E2519" s="2" t="s">
        <v>12</v>
      </c>
      <c r="F2519">
        <f t="shared" si="39"/>
        <v>438.24299999999999</v>
      </c>
      <c r="G2519" t="s">
        <v>16</v>
      </c>
      <c r="J2519" t="str">
        <f>"08/22/1992 23:00"</f>
        <v>08/22/1992 23:00</v>
      </c>
    </row>
    <row r="2520" spans="1:10" x14ac:dyDescent="0.3">
      <c r="A2520" t="s">
        <v>6</v>
      </c>
      <c r="B2520" t="str">
        <f>"08/23/1992 00:00"</f>
        <v>08/23/1992 00:00</v>
      </c>
      <c r="C2520">
        <v>220</v>
      </c>
      <c r="D2520" t="s">
        <v>7</v>
      </c>
      <c r="E2520" s="2" t="s">
        <v>12</v>
      </c>
      <c r="F2520">
        <f t="shared" si="39"/>
        <v>436.26000000000005</v>
      </c>
      <c r="G2520" t="s">
        <v>16</v>
      </c>
      <c r="J2520" t="str">
        <f>"08/23/1992 23:00"</f>
        <v>08/23/1992 23:00</v>
      </c>
    </row>
    <row r="2521" spans="1:10" x14ac:dyDescent="0.3">
      <c r="A2521" t="s">
        <v>6</v>
      </c>
      <c r="B2521" t="str">
        <f>"08/24/1992 00:00"</f>
        <v>08/24/1992 00:00</v>
      </c>
      <c r="C2521">
        <v>196</v>
      </c>
      <c r="D2521" t="s">
        <v>7</v>
      </c>
      <c r="E2521" s="2" t="s">
        <v>12</v>
      </c>
      <c r="F2521">
        <f t="shared" si="39"/>
        <v>388.66800000000001</v>
      </c>
      <c r="G2521" t="s">
        <v>16</v>
      </c>
      <c r="J2521" t="str">
        <f>"08/24/1992 23:00"</f>
        <v>08/24/1992 23:00</v>
      </c>
    </row>
    <row r="2522" spans="1:10" x14ac:dyDescent="0.3">
      <c r="A2522" t="s">
        <v>6</v>
      </c>
      <c r="B2522" t="str">
        <f>"08/25/1992 00:00"</f>
        <v>08/25/1992 00:00</v>
      </c>
      <c r="C2522">
        <v>82.3</v>
      </c>
      <c r="D2522" t="s">
        <v>7</v>
      </c>
      <c r="E2522" s="2" t="s">
        <v>12</v>
      </c>
      <c r="F2522">
        <f t="shared" si="39"/>
        <v>163.20089999999999</v>
      </c>
      <c r="G2522" t="s">
        <v>16</v>
      </c>
      <c r="J2522" t="str">
        <f>"08/25/1992 23:00"</f>
        <v>08/25/1992 23:00</v>
      </c>
    </row>
    <row r="2523" spans="1:10" x14ac:dyDescent="0.3">
      <c r="A2523" t="s">
        <v>6</v>
      </c>
      <c r="B2523" t="str">
        <f>"08/26/1992 00:00"</f>
        <v>08/26/1992 00:00</v>
      </c>
      <c r="C2523">
        <v>2.23</v>
      </c>
      <c r="D2523" t="s">
        <v>7</v>
      </c>
      <c r="E2523" s="2" t="s">
        <v>12</v>
      </c>
      <c r="F2523">
        <f t="shared" si="39"/>
        <v>4.4220899999999999</v>
      </c>
      <c r="G2523" t="s">
        <v>16</v>
      </c>
      <c r="J2523" t="str">
        <f>"08/26/1992 23:00"</f>
        <v>08/26/1992 23:00</v>
      </c>
    </row>
    <row r="2524" spans="1:10" x14ac:dyDescent="0.3">
      <c r="A2524" t="s">
        <v>6</v>
      </c>
      <c r="B2524" t="str">
        <f>"08/27/1992 00:00"</f>
        <v>08/27/1992 00:00</v>
      </c>
      <c r="C2524">
        <v>2.56</v>
      </c>
      <c r="D2524" t="s">
        <v>7</v>
      </c>
      <c r="E2524" s="2" t="s">
        <v>12</v>
      </c>
      <c r="F2524">
        <f t="shared" si="39"/>
        <v>5.0764800000000001</v>
      </c>
      <c r="G2524" t="s">
        <v>16</v>
      </c>
      <c r="J2524" t="str">
        <f>"08/27/1992 23:00"</f>
        <v>08/27/1992 23:00</v>
      </c>
    </row>
    <row r="2525" spans="1:10" x14ac:dyDescent="0.3">
      <c r="A2525" t="s">
        <v>6</v>
      </c>
      <c r="B2525" t="str">
        <f>"08/28/1992 00:00"</f>
        <v>08/28/1992 00:00</v>
      </c>
      <c r="C2525">
        <v>2.42</v>
      </c>
      <c r="D2525" t="s">
        <v>7</v>
      </c>
      <c r="E2525" s="2" t="s">
        <v>12</v>
      </c>
      <c r="F2525">
        <f t="shared" si="39"/>
        <v>4.7988600000000003</v>
      </c>
      <c r="G2525" t="s">
        <v>16</v>
      </c>
      <c r="J2525" t="str">
        <f>"08/28/1992 23:00"</f>
        <v>08/28/1992 23:00</v>
      </c>
    </row>
    <row r="2526" spans="1:10" x14ac:dyDescent="0.3">
      <c r="A2526" t="s">
        <v>6</v>
      </c>
      <c r="B2526" t="str">
        <f>"08/29/1992 00:00"</f>
        <v>08/29/1992 00:00</v>
      </c>
      <c r="C2526">
        <v>2.4500000000000002</v>
      </c>
      <c r="D2526" t="s">
        <v>7</v>
      </c>
      <c r="E2526" s="2" t="s">
        <v>12</v>
      </c>
      <c r="F2526">
        <f t="shared" si="39"/>
        <v>4.8583500000000006</v>
      </c>
      <c r="G2526" t="s">
        <v>16</v>
      </c>
      <c r="J2526" t="str">
        <f>"08/29/1992 23:00"</f>
        <v>08/29/1992 23:00</v>
      </c>
    </row>
    <row r="2527" spans="1:10" x14ac:dyDescent="0.3">
      <c r="A2527" t="s">
        <v>6</v>
      </c>
      <c r="B2527" t="str">
        <f>"08/30/1992 00:00"</f>
        <v>08/30/1992 00:00</v>
      </c>
      <c r="C2527">
        <v>2.23</v>
      </c>
      <c r="D2527" t="s">
        <v>7</v>
      </c>
      <c r="E2527" s="2" t="s">
        <v>12</v>
      </c>
      <c r="F2527">
        <f t="shared" si="39"/>
        <v>4.4220899999999999</v>
      </c>
      <c r="G2527" t="s">
        <v>16</v>
      </c>
      <c r="J2527" t="str">
        <f>"08/30/1992 23:00"</f>
        <v>08/30/1992 23:00</v>
      </c>
    </row>
    <row r="2528" spans="1:10" x14ac:dyDescent="0.3">
      <c r="A2528" t="s">
        <v>6</v>
      </c>
      <c r="B2528" t="str">
        <f>"08/31/1992 00:00"</f>
        <v>08/31/1992 00:00</v>
      </c>
      <c r="C2528">
        <v>2.23</v>
      </c>
      <c r="D2528" t="s">
        <v>7</v>
      </c>
      <c r="E2528" s="2" t="s">
        <v>12</v>
      </c>
      <c r="F2528">
        <f t="shared" si="39"/>
        <v>4.4220899999999999</v>
      </c>
      <c r="G2528" t="s">
        <v>16</v>
      </c>
      <c r="I2528" t="s">
        <v>35</v>
      </c>
      <c r="J2528" t="str">
        <f>"08/31/1992 23:00"</f>
        <v>08/31/1992 23:00</v>
      </c>
    </row>
    <row r="2529" spans="1:10" x14ac:dyDescent="0.3">
      <c r="A2529" t="s">
        <v>6</v>
      </c>
      <c r="B2529" t="str">
        <f>"09/01/1992 00:00"</f>
        <v>09/01/1992 00:00</v>
      </c>
      <c r="C2529">
        <v>1.98</v>
      </c>
      <c r="D2529" t="s">
        <v>7</v>
      </c>
      <c r="E2529" s="2" t="s">
        <v>12</v>
      </c>
      <c r="F2529">
        <f t="shared" si="39"/>
        <v>3.9263400000000002</v>
      </c>
      <c r="G2529" t="s">
        <v>16</v>
      </c>
      <c r="I2529" t="s">
        <v>8</v>
      </c>
      <c r="J2529" t="str">
        <f>"09/01/1992 23:00"</f>
        <v>09/01/1992 23:00</v>
      </c>
    </row>
    <row r="2530" spans="1:10" x14ac:dyDescent="0.3">
      <c r="A2530" t="s">
        <v>6</v>
      </c>
      <c r="B2530" t="str">
        <f>"09/02/1992 00:00"</f>
        <v>09/02/1992 00:00</v>
      </c>
      <c r="C2530">
        <v>1.62</v>
      </c>
      <c r="D2530" t="s">
        <v>7</v>
      </c>
      <c r="E2530" s="2" t="s">
        <v>12</v>
      </c>
      <c r="F2530">
        <f t="shared" si="39"/>
        <v>3.2124600000000005</v>
      </c>
      <c r="G2530" t="s">
        <v>16</v>
      </c>
      <c r="I2530" t="s">
        <v>8</v>
      </c>
      <c r="J2530" t="str">
        <f>"09/02/1992 23:00"</f>
        <v>09/02/1992 23:00</v>
      </c>
    </row>
    <row r="2531" spans="1:10" x14ac:dyDescent="0.3">
      <c r="A2531" t="s">
        <v>6</v>
      </c>
      <c r="B2531" t="str">
        <f>"09/03/1992 00:00"</f>
        <v>09/03/1992 00:00</v>
      </c>
      <c r="C2531">
        <v>1.62</v>
      </c>
      <c r="D2531" t="s">
        <v>7</v>
      </c>
      <c r="E2531" s="2" t="s">
        <v>12</v>
      </c>
      <c r="F2531">
        <f t="shared" si="39"/>
        <v>3.2124600000000005</v>
      </c>
      <c r="G2531" t="s">
        <v>16</v>
      </c>
      <c r="I2531" t="s">
        <v>35</v>
      </c>
      <c r="J2531" t="str">
        <f>"09/03/1992 23:00"</f>
        <v>09/03/1992 23:00</v>
      </c>
    </row>
    <row r="2532" spans="1:10" x14ac:dyDescent="0.3">
      <c r="A2532" t="s">
        <v>6</v>
      </c>
      <c r="B2532" t="str">
        <f>"09/04/1992 00:00"</f>
        <v>09/04/1992 00:00</v>
      </c>
      <c r="C2532">
        <v>1.62</v>
      </c>
      <c r="D2532" t="s">
        <v>7</v>
      </c>
      <c r="E2532" s="2" t="s">
        <v>12</v>
      </c>
      <c r="F2532">
        <f t="shared" si="39"/>
        <v>3.2124600000000005</v>
      </c>
      <c r="G2532" t="s">
        <v>16</v>
      </c>
      <c r="I2532" t="s">
        <v>8</v>
      </c>
      <c r="J2532" t="str">
        <f>"09/04/1992 23:00"</f>
        <v>09/04/1992 23:00</v>
      </c>
    </row>
    <row r="2533" spans="1:10" x14ac:dyDescent="0.3">
      <c r="A2533" t="s">
        <v>6</v>
      </c>
      <c r="B2533" t="str">
        <f>"09/05/1992 00:00"</f>
        <v>09/05/1992 00:00</v>
      </c>
      <c r="C2533">
        <v>54.1</v>
      </c>
      <c r="D2533" t="s">
        <v>7</v>
      </c>
      <c r="E2533" s="2" t="s">
        <v>12</v>
      </c>
      <c r="F2533">
        <f t="shared" si="39"/>
        <v>107.28030000000001</v>
      </c>
      <c r="G2533" t="s">
        <v>16</v>
      </c>
      <c r="J2533" t="str">
        <f>"09/05/1992 23:00"</f>
        <v>09/05/1992 23:00</v>
      </c>
    </row>
    <row r="2534" spans="1:10" x14ac:dyDescent="0.3">
      <c r="A2534" t="s">
        <v>6</v>
      </c>
      <c r="B2534" t="str">
        <f>"09/06/1992 00:00"</f>
        <v>09/06/1992 00:00</v>
      </c>
      <c r="C2534">
        <v>109</v>
      </c>
      <c r="D2534" t="s">
        <v>7</v>
      </c>
      <c r="E2534" s="2" t="s">
        <v>12</v>
      </c>
      <c r="F2534">
        <f t="shared" si="39"/>
        <v>216.14700000000002</v>
      </c>
      <c r="G2534" t="s">
        <v>16</v>
      </c>
      <c r="J2534" t="str">
        <f>"09/06/1992 23:00"</f>
        <v>09/06/1992 23:00</v>
      </c>
    </row>
    <row r="2535" spans="1:10" x14ac:dyDescent="0.3">
      <c r="A2535" t="s">
        <v>6</v>
      </c>
      <c r="B2535" t="str">
        <f>"09/07/1992 00:00"</f>
        <v>09/07/1992 00:00</v>
      </c>
      <c r="C2535">
        <v>150</v>
      </c>
      <c r="D2535" t="s">
        <v>7</v>
      </c>
      <c r="E2535" s="2" t="s">
        <v>12</v>
      </c>
      <c r="F2535">
        <f t="shared" si="39"/>
        <v>297.45</v>
      </c>
      <c r="G2535" t="s">
        <v>16</v>
      </c>
      <c r="J2535" t="str">
        <f>"09/07/1992 23:00"</f>
        <v>09/07/1992 23:00</v>
      </c>
    </row>
    <row r="2536" spans="1:10" x14ac:dyDescent="0.3">
      <c r="A2536" t="s">
        <v>6</v>
      </c>
      <c r="B2536" t="str">
        <f>"09/08/1992 00:00"</f>
        <v>09/08/1992 00:00</v>
      </c>
      <c r="C2536">
        <v>222</v>
      </c>
      <c r="D2536" t="s">
        <v>7</v>
      </c>
      <c r="E2536" s="2" t="s">
        <v>12</v>
      </c>
      <c r="F2536">
        <f t="shared" si="39"/>
        <v>440.226</v>
      </c>
      <c r="G2536" t="s">
        <v>16</v>
      </c>
      <c r="J2536" t="str">
        <f>"09/08/1992 23:00"</f>
        <v>09/08/1992 23:00</v>
      </c>
    </row>
    <row r="2537" spans="1:10" x14ac:dyDescent="0.3">
      <c r="A2537" t="s">
        <v>6</v>
      </c>
      <c r="B2537" t="str">
        <f>"09/09/1992 00:00"</f>
        <v>09/09/1992 00:00</v>
      </c>
      <c r="C2537">
        <v>222</v>
      </c>
      <c r="D2537" t="s">
        <v>7</v>
      </c>
      <c r="E2537" s="2" t="s">
        <v>12</v>
      </c>
      <c r="F2537">
        <f t="shared" si="39"/>
        <v>440.226</v>
      </c>
      <c r="G2537" t="s">
        <v>16</v>
      </c>
      <c r="I2537" t="s">
        <v>8</v>
      </c>
      <c r="J2537" t="str">
        <f>"09/09/1992 23:00"</f>
        <v>09/09/1992 23:00</v>
      </c>
    </row>
    <row r="2538" spans="1:10" x14ac:dyDescent="0.3">
      <c r="A2538" t="s">
        <v>6</v>
      </c>
      <c r="B2538" t="str">
        <f>"09/10/1992 00:00"</f>
        <v>09/10/1992 00:00</v>
      </c>
      <c r="C2538">
        <v>223</v>
      </c>
      <c r="D2538" t="s">
        <v>7</v>
      </c>
      <c r="E2538" s="2" t="s">
        <v>12</v>
      </c>
      <c r="F2538">
        <f t="shared" si="39"/>
        <v>442.209</v>
      </c>
      <c r="G2538" t="s">
        <v>16</v>
      </c>
      <c r="J2538" t="str">
        <f>"09/10/1992 23:00"</f>
        <v>09/10/1992 23:00</v>
      </c>
    </row>
    <row r="2539" spans="1:10" x14ac:dyDescent="0.3">
      <c r="A2539" t="s">
        <v>6</v>
      </c>
      <c r="B2539" t="str">
        <f>"09/11/1992 00:00"</f>
        <v>09/11/1992 00:00</v>
      </c>
      <c r="C2539">
        <v>226</v>
      </c>
      <c r="D2539" t="s">
        <v>7</v>
      </c>
      <c r="E2539" s="2" t="s">
        <v>12</v>
      </c>
      <c r="F2539">
        <f t="shared" si="39"/>
        <v>448.15800000000002</v>
      </c>
      <c r="G2539" t="s">
        <v>16</v>
      </c>
      <c r="J2539" t="str">
        <f>"09/11/1992 23:00"</f>
        <v>09/11/1992 23:00</v>
      </c>
    </row>
    <row r="2540" spans="1:10" x14ac:dyDescent="0.3">
      <c r="A2540" t="s">
        <v>6</v>
      </c>
      <c r="B2540" t="str">
        <f>"09/12/1992 00:00"</f>
        <v>09/12/1992 00:00</v>
      </c>
      <c r="C2540">
        <v>226</v>
      </c>
      <c r="D2540" t="s">
        <v>7</v>
      </c>
      <c r="E2540" s="2" t="s">
        <v>12</v>
      </c>
      <c r="F2540">
        <f t="shared" si="39"/>
        <v>448.15800000000002</v>
      </c>
      <c r="G2540" t="s">
        <v>16</v>
      </c>
      <c r="I2540" t="s">
        <v>8</v>
      </c>
      <c r="J2540" t="str">
        <f>"09/12/1992 23:00"</f>
        <v>09/12/1992 23:00</v>
      </c>
    </row>
    <row r="2541" spans="1:10" x14ac:dyDescent="0.3">
      <c r="A2541" t="s">
        <v>6</v>
      </c>
      <c r="B2541" t="str">
        <f>"09/13/1992 00:00"</f>
        <v>09/13/1992 00:00</v>
      </c>
      <c r="C2541">
        <v>209</v>
      </c>
      <c r="D2541" t="s">
        <v>7</v>
      </c>
      <c r="E2541" s="2" t="s">
        <v>12</v>
      </c>
      <c r="F2541">
        <f t="shared" si="39"/>
        <v>414.447</v>
      </c>
      <c r="G2541" t="s">
        <v>16</v>
      </c>
      <c r="J2541" t="str">
        <f>"09/13/1992 23:00"</f>
        <v>09/13/1992 23:00</v>
      </c>
    </row>
    <row r="2542" spans="1:10" x14ac:dyDescent="0.3">
      <c r="A2542" t="s">
        <v>6</v>
      </c>
      <c r="B2542" t="str">
        <f>"09/14/1992 00:00"</f>
        <v>09/14/1992 00:00</v>
      </c>
      <c r="C2542">
        <v>226</v>
      </c>
      <c r="D2542" t="s">
        <v>7</v>
      </c>
      <c r="E2542" s="2" t="s">
        <v>12</v>
      </c>
      <c r="F2542">
        <f t="shared" si="39"/>
        <v>448.15800000000002</v>
      </c>
      <c r="G2542" t="s">
        <v>16</v>
      </c>
      <c r="I2542" t="s">
        <v>8</v>
      </c>
      <c r="J2542" t="str">
        <f>"09/14/1992 23:00"</f>
        <v>09/14/1992 23:00</v>
      </c>
    </row>
    <row r="2543" spans="1:10" x14ac:dyDescent="0.3">
      <c r="A2543" t="s">
        <v>6</v>
      </c>
      <c r="B2543" t="str">
        <f>"09/15/1992 00:00"</f>
        <v>09/15/1992 00:00</v>
      </c>
      <c r="C2543">
        <v>226</v>
      </c>
      <c r="D2543" t="s">
        <v>7</v>
      </c>
      <c r="E2543" s="2" t="s">
        <v>12</v>
      </c>
      <c r="F2543">
        <f t="shared" si="39"/>
        <v>448.15800000000002</v>
      </c>
      <c r="G2543" t="s">
        <v>16</v>
      </c>
      <c r="I2543" t="s">
        <v>35</v>
      </c>
      <c r="J2543" t="str">
        <f>"09/15/1992 23:00"</f>
        <v>09/15/1992 23:00</v>
      </c>
    </row>
    <row r="2544" spans="1:10" x14ac:dyDescent="0.3">
      <c r="A2544" t="s">
        <v>6</v>
      </c>
      <c r="B2544" t="str">
        <f>"09/16/1992 00:00"</f>
        <v>09/16/1992 00:00</v>
      </c>
      <c r="C2544">
        <v>226</v>
      </c>
      <c r="D2544" t="s">
        <v>7</v>
      </c>
      <c r="E2544" s="2" t="s">
        <v>12</v>
      </c>
      <c r="F2544">
        <f t="shared" si="39"/>
        <v>448.15800000000002</v>
      </c>
      <c r="G2544" t="s">
        <v>16</v>
      </c>
      <c r="I2544" t="s">
        <v>8</v>
      </c>
      <c r="J2544" t="str">
        <f>"09/16/1992 23:00"</f>
        <v>09/16/1992 23:00</v>
      </c>
    </row>
    <row r="2545" spans="1:10" x14ac:dyDescent="0.3">
      <c r="A2545" t="s">
        <v>6</v>
      </c>
      <c r="B2545" t="str">
        <f>"09/17/1992 00:00"</f>
        <v>09/17/1992 00:00</v>
      </c>
      <c r="C2545">
        <v>7.81</v>
      </c>
      <c r="D2545" t="s">
        <v>7</v>
      </c>
      <c r="E2545" s="2" t="s">
        <v>12</v>
      </c>
      <c r="F2545">
        <f t="shared" si="39"/>
        <v>15.48723</v>
      </c>
      <c r="G2545" t="s">
        <v>16</v>
      </c>
      <c r="J2545" t="str">
        <f>"09/17/1992 23:00"</f>
        <v>09/17/1992 23:00</v>
      </c>
    </row>
    <row r="2546" spans="1:10" x14ac:dyDescent="0.3">
      <c r="A2546" t="s">
        <v>6</v>
      </c>
      <c r="B2546" t="str">
        <f>"09/18/1992 00:00"</f>
        <v>09/18/1992 00:00</v>
      </c>
      <c r="C2546">
        <v>1.08</v>
      </c>
      <c r="D2546" t="s">
        <v>7</v>
      </c>
      <c r="E2546" s="2" t="s">
        <v>12</v>
      </c>
      <c r="F2546">
        <f t="shared" si="39"/>
        <v>2.1416400000000002</v>
      </c>
      <c r="G2546" t="s">
        <v>16</v>
      </c>
      <c r="I2546" t="s">
        <v>8</v>
      </c>
      <c r="J2546" t="str">
        <f>"09/18/1992 18:00"</f>
        <v>09/18/1992 18:00</v>
      </c>
    </row>
    <row r="2547" spans="1:10" x14ac:dyDescent="0.3">
      <c r="A2547" t="s">
        <v>6</v>
      </c>
      <c r="B2547" t="str">
        <f>"09/19/1992 00:00"</f>
        <v>09/19/1992 00:00</v>
      </c>
      <c r="C2547">
        <v>1.08</v>
      </c>
      <c r="D2547" t="s">
        <v>7</v>
      </c>
      <c r="E2547" s="2" t="s">
        <v>12</v>
      </c>
      <c r="F2547">
        <f t="shared" si="39"/>
        <v>2.1416400000000002</v>
      </c>
      <c r="G2547" t="s">
        <v>16</v>
      </c>
      <c r="I2547" t="s">
        <v>35</v>
      </c>
      <c r="J2547" t="str">
        <f>"09/19/1992 23:00"</f>
        <v>09/19/1992 23:00</v>
      </c>
    </row>
    <row r="2548" spans="1:10" x14ac:dyDescent="0.3">
      <c r="A2548" t="s">
        <v>6</v>
      </c>
      <c r="B2548" t="str">
        <f>"09/20/1992 00:00"</f>
        <v>09/20/1992 00:00</v>
      </c>
      <c r="C2548">
        <v>1.08</v>
      </c>
      <c r="D2548" t="s">
        <v>7</v>
      </c>
      <c r="E2548" s="2" t="s">
        <v>12</v>
      </c>
      <c r="F2548">
        <f t="shared" si="39"/>
        <v>2.1416400000000002</v>
      </c>
      <c r="G2548" t="s">
        <v>16</v>
      </c>
      <c r="I2548" t="s">
        <v>8</v>
      </c>
      <c r="J2548" t="str">
        <f>"09/20/1992 23:00"</f>
        <v>09/20/1992 23:00</v>
      </c>
    </row>
    <row r="2549" spans="1:10" x14ac:dyDescent="0.3">
      <c r="A2549" t="s">
        <v>6</v>
      </c>
      <c r="B2549" t="str">
        <f>"09/21/1992 00:00"</f>
        <v>09/21/1992 00:00</v>
      </c>
      <c r="C2549">
        <v>1</v>
      </c>
      <c r="D2549" t="s">
        <v>7</v>
      </c>
      <c r="E2549" s="2" t="s">
        <v>12</v>
      </c>
      <c r="F2549">
        <f t="shared" si="39"/>
        <v>1.9830000000000001</v>
      </c>
      <c r="G2549" t="s">
        <v>16</v>
      </c>
      <c r="J2549" t="str">
        <f>"09/21/1992 23:00"</f>
        <v>09/21/1992 23:00</v>
      </c>
    </row>
    <row r="2550" spans="1:10" x14ac:dyDescent="0.3">
      <c r="A2550" t="s">
        <v>6</v>
      </c>
      <c r="B2550" t="str">
        <f>"09/22/1992 00:00"</f>
        <v>09/22/1992 00:00</v>
      </c>
      <c r="C2550">
        <v>0.85</v>
      </c>
      <c r="D2550" t="s">
        <v>7</v>
      </c>
      <c r="E2550" s="2" t="s">
        <v>12</v>
      </c>
      <c r="F2550">
        <f t="shared" si="39"/>
        <v>1.6855500000000001</v>
      </c>
      <c r="G2550" t="s">
        <v>16</v>
      </c>
      <c r="J2550" t="str">
        <f>"09/22/1992 23:00"</f>
        <v>09/22/1992 23:00</v>
      </c>
    </row>
    <row r="2551" spans="1:10" x14ac:dyDescent="0.3">
      <c r="A2551" t="s">
        <v>6</v>
      </c>
      <c r="B2551" t="str">
        <f>"09/23/1992 00:00"</f>
        <v>09/23/1992 00:00</v>
      </c>
      <c r="C2551">
        <v>0.85</v>
      </c>
      <c r="D2551" t="s">
        <v>7</v>
      </c>
      <c r="E2551" s="2" t="s">
        <v>12</v>
      </c>
      <c r="F2551">
        <f t="shared" si="39"/>
        <v>1.6855500000000001</v>
      </c>
      <c r="G2551" t="s">
        <v>16</v>
      </c>
      <c r="I2551" t="s">
        <v>35</v>
      </c>
      <c r="J2551" t="str">
        <f>"09/23/1992 23:00"</f>
        <v>09/23/1992 23:00</v>
      </c>
    </row>
    <row r="2552" spans="1:10" x14ac:dyDescent="0.3">
      <c r="A2552" t="s">
        <v>6</v>
      </c>
      <c r="B2552" t="str">
        <f>"09/24/1992 00:00"</f>
        <v>09/24/1992 00:00</v>
      </c>
      <c r="C2552">
        <v>0.85</v>
      </c>
      <c r="D2552" t="s">
        <v>7</v>
      </c>
      <c r="E2552" s="2" t="s">
        <v>12</v>
      </c>
      <c r="F2552">
        <f t="shared" si="39"/>
        <v>1.6855500000000001</v>
      </c>
      <c r="G2552" t="s">
        <v>16</v>
      </c>
      <c r="I2552" t="s">
        <v>35</v>
      </c>
      <c r="J2552" t="str">
        <f>"09/24/1992 23:00"</f>
        <v>09/24/1992 23:00</v>
      </c>
    </row>
    <row r="2553" spans="1:10" x14ac:dyDescent="0.3">
      <c r="A2553" t="s">
        <v>6</v>
      </c>
      <c r="B2553" t="str">
        <f>"09/25/1992 00:00"</f>
        <v>09/25/1992 00:00</v>
      </c>
      <c r="C2553">
        <v>0.85</v>
      </c>
      <c r="D2553" t="s">
        <v>7</v>
      </c>
      <c r="E2553" s="2" t="s">
        <v>12</v>
      </c>
      <c r="F2553">
        <f t="shared" si="39"/>
        <v>1.6855500000000001</v>
      </c>
      <c r="G2553" t="s">
        <v>16</v>
      </c>
      <c r="I2553" t="s">
        <v>35</v>
      </c>
      <c r="J2553" t="str">
        <f>"09/25/1992 23:00"</f>
        <v>09/25/1992 23:00</v>
      </c>
    </row>
    <row r="2554" spans="1:10" x14ac:dyDescent="0.3">
      <c r="A2554" t="s">
        <v>6</v>
      </c>
      <c r="B2554" t="str">
        <f>"09/26/1992 00:00"</f>
        <v>09/26/1992 00:00</v>
      </c>
      <c r="C2554">
        <v>0.85</v>
      </c>
      <c r="D2554" t="s">
        <v>7</v>
      </c>
      <c r="E2554" s="2" t="s">
        <v>12</v>
      </c>
      <c r="F2554">
        <f t="shared" si="39"/>
        <v>1.6855500000000001</v>
      </c>
      <c r="G2554" t="s">
        <v>16</v>
      </c>
      <c r="I2554" t="s">
        <v>35</v>
      </c>
      <c r="J2554" t="str">
        <f>"09/26/1992 23:00"</f>
        <v>09/26/1992 23:00</v>
      </c>
    </row>
    <row r="2555" spans="1:10" x14ac:dyDescent="0.3">
      <c r="A2555" t="s">
        <v>6</v>
      </c>
      <c r="B2555" t="str">
        <f>"09/27/1992 00:00"</f>
        <v>09/27/1992 00:00</v>
      </c>
      <c r="C2555">
        <v>0.85</v>
      </c>
      <c r="D2555" t="s">
        <v>7</v>
      </c>
      <c r="E2555" s="2" t="s">
        <v>12</v>
      </c>
      <c r="F2555">
        <f t="shared" si="39"/>
        <v>1.6855500000000001</v>
      </c>
      <c r="G2555" t="s">
        <v>16</v>
      </c>
      <c r="I2555" t="s">
        <v>35</v>
      </c>
      <c r="J2555" t="str">
        <f>"09/27/1992 23:00"</f>
        <v>09/27/1992 23:00</v>
      </c>
    </row>
    <row r="2556" spans="1:10" x14ac:dyDescent="0.3">
      <c r="A2556" t="s">
        <v>6</v>
      </c>
      <c r="B2556" t="str">
        <f>"09/28/1992 00:00"</f>
        <v>09/28/1992 00:00</v>
      </c>
      <c r="C2556">
        <v>0.85</v>
      </c>
      <c r="D2556" t="s">
        <v>7</v>
      </c>
      <c r="E2556" s="2" t="s">
        <v>12</v>
      </c>
      <c r="F2556">
        <f t="shared" si="39"/>
        <v>1.6855500000000001</v>
      </c>
      <c r="G2556" t="s">
        <v>16</v>
      </c>
      <c r="I2556" t="s">
        <v>35</v>
      </c>
      <c r="J2556" t="str">
        <f>"09/28/1992 23:00"</f>
        <v>09/28/1992 23:00</v>
      </c>
    </row>
    <row r="2557" spans="1:10" x14ac:dyDescent="0.3">
      <c r="A2557" t="s">
        <v>6</v>
      </c>
      <c r="B2557" t="str">
        <f>"09/29/1992 00:00"</f>
        <v>09/29/1992 00:00</v>
      </c>
      <c r="C2557">
        <v>0.85</v>
      </c>
      <c r="D2557" t="s">
        <v>7</v>
      </c>
      <c r="E2557" s="2" t="s">
        <v>12</v>
      </c>
      <c r="F2557">
        <f t="shared" si="39"/>
        <v>1.6855500000000001</v>
      </c>
      <c r="G2557" t="s">
        <v>16</v>
      </c>
      <c r="I2557" t="s">
        <v>35</v>
      </c>
      <c r="J2557" t="str">
        <f>"09/29/1992 23:00"</f>
        <v>09/29/1992 23:00</v>
      </c>
    </row>
    <row r="2558" spans="1:10" x14ac:dyDescent="0.3">
      <c r="A2558" t="s">
        <v>6</v>
      </c>
      <c r="B2558" t="str">
        <f>"09/30/1992 00:00"</f>
        <v>09/30/1992 00:00</v>
      </c>
      <c r="C2558">
        <v>0.85</v>
      </c>
      <c r="D2558" t="s">
        <v>7</v>
      </c>
      <c r="E2558" s="2" t="s">
        <v>12</v>
      </c>
      <c r="F2558">
        <f t="shared" si="39"/>
        <v>1.6855500000000001</v>
      </c>
      <c r="G2558" t="s">
        <v>16</v>
      </c>
      <c r="I2558" t="s">
        <v>35</v>
      </c>
      <c r="J2558" t="str">
        <f>"09/30/1992 23:00"</f>
        <v>09/30/1992 23:00</v>
      </c>
    </row>
    <row r="2559" spans="1:10" x14ac:dyDescent="0.3">
      <c r="A2559" t="s">
        <v>6</v>
      </c>
      <c r="B2559" t="str">
        <f>"10/01/1992 00:00"</f>
        <v>10/01/1992 00:00</v>
      </c>
      <c r="C2559">
        <v>144</v>
      </c>
      <c r="D2559" t="s">
        <v>7</v>
      </c>
      <c r="E2559" s="2" t="s">
        <v>12</v>
      </c>
      <c r="F2559">
        <f t="shared" si="39"/>
        <v>285.55200000000002</v>
      </c>
      <c r="G2559" t="s">
        <v>16</v>
      </c>
      <c r="J2559" t="str">
        <f>"10/01/1992 23:00"</f>
        <v>10/01/1992 23:00</v>
      </c>
    </row>
    <row r="2560" spans="1:10" x14ac:dyDescent="0.3">
      <c r="A2560" t="s">
        <v>6</v>
      </c>
      <c r="B2560" t="str">
        <f>"10/02/1992 00:00"</f>
        <v>10/02/1992 00:00</v>
      </c>
      <c r="C2560">
        <v>86.1</v>
      </c>
      <c r="D2560" t="s">
        <v>7</v>
      </c>
      <c r="E2560" s="2" t="s">
        <v>12</v>
      </c>
      <c r="F2560">
        <f t="shared" si="39"/>
        <v>170.7363</v>
      </c>
      <c r="G2560" t="s">
        <v>16</v>
      </c>
      <c r="J2560" t="str">
        <f>"10/02/1992 23:00"</f>
        <v>10/02/1992 23:00</v>
      </c>
    </row>
    <row r="2561" spans="1:10" x14ac:dyDescent="0.3">
      <c r="A2561" t="s">
        <v>6</v>
      </c>
      <c r="B2561" t="str">
        <f>"10/03/1992 00:00"</f>
        <v>10/03/1992 00:00</v>
      </c>
      <c r="C2561">
        <v>86.2</v>
      </c>
      <c r="D2561" t="s">
        <v>7</v>
      </c>
      <c r="E2561" s="2" t="s">
        <v>12</v>
      </c>
      <c r="F2561">
        <f t="shared" si="39"/>
        <v>170.93460000000002</v>
      </c>
      <c r="G2561" t="s">
        <v>16</v>
      </c>
      <c r="J2561" t="str">
        <f>"10/03/1992 22:00"</f>
        <v>10/03/1992 22:00</v>
      </c>
    </row>
    <row r="2562" spans="1:10" x14ac:dyDescent="0.3">
      <c r="A2562" t="s">
        <v>6</v>
      </c>
      <c r="B2562" t="str">
        <f>"10/04/1992 00:00"</f>
        <v>10/04/1992 00:00</v>
      </c>
      <c r="C2562">
        <v>86.2</v>
      </c>
      <c r="D2562" t="s">
        <v>7</v>
      </c>
      <c r="E2562" s="2" t="s">
        <v>12</v>
      </c>
      <c r="F2562">
        <f t="shared" si="39"/>
        <v>170.93460000000002</v>
      </c>
      <c r="G2562" t="s">
        <v>16</v>
      </c>
      <c r="J2562" t="str">
        <f>"10/04/1992 23:00"</f>
        <v>10/04/1992 23:00</v>
      </c>
    </row>
    <row r="2563" spans="1:10" x14ac:dyDescent="0.3">
      <c r="A2563" t="s">
        <v>6</v>
      </c>
      <c r="B2563" t="str">
        <f>"10/05/1992 00:00"</f>
        <v>10/05/1992 00:00</v>
      </c>
      <c r="C2563">
        <v>86.2</v>
      </c>
      <c r="D2563" t="s">
        <v>7</v>
      </c>
      <c r="E2563" s="2" t="s">
        <v>12</v>
      </c>
      <c r="F2563">
        <f t="shared" ref="F2563:F2626" si="40">C2563*1.983</f>
        <v>170.93460000000002</v>
      </c>
      <c r="G2563" t="s">
        <v>16</v>
      </c>
      <c r="J2563" t="str">
        <f>"10/05/1992 10:00"</f>
        <v>10/05/1992 10:00</v>
      </c>
    </row>
    <row r="2564" spans="1:10" x14ac:dyDescent="0.3">
      <c r="A2564" t="s">
        <v>6</v>
      </c>
      <c r="B2564" t="str">
        <f>"10/06/1992 00:00"</f>
        <v>10/06/1992 00:00</v>
      </c>
      <c r="D2564" t="s">
        <v>7</v>
      </c>
      <c r="E2564" s="2" t="s">
        <v>12</v>
      </c>
      <c r="F2564">
        <f t="shared" si="40"/>
        <v>0</v>
      </c>
      <c r="G2564" t="s">
        <v>16</v>
      </c>
    </row>
    <row r="2565" spans="1:10" x14ac:dyDescent="0.3">
      <c r="A2565" t="s">
        <v>6</v>
      </c>
      <c r="B2565" t="str">
        <f>"10/07/1992 00:00"</f>
        <v>10/07/1992 00:00</v>
      </c>
      <c r="C2565">
        <v>178</v>
      </c>
      <c r="D2565" t="s">
        <v>7</v>
      </c>
      <c r="E2565" s="2" t="s">
        <v>12</v>
      </c>
      <c r="F2565">
        <f t="shared" si="40"/>
        <v>352.97399999999999</v>
      </c>
      <c r="G2565" t="s">
        <v>16</v>
      </c>
      <c r="J2565" t="str">
        <f>"10/07/1992 23:00"</f>
        <v>10/07/1992 23:00</v>
      </c>
    </row>
    <row r="2566" spans="1:10" x14ac:dyDescent="0.3">
      <c r="A2566" t="s">
        <v>6</v>
      </c>
      <c r="B2566" t="str">
        <f>"10/08/1992 00:00"</f>
        <v>10/08/1992 00:00</v>
      </c>
      <c r="C2566">
        <v>215</v>
      </c>
      <c r="D2566" t="s">
        <v>7</v>
      </c>
      <c r="E2566" s="2" t="s">
        <v>12</v>
      </c>
      <c r="F2566">
        <f t="shared" si="40"/>
        <v>426.34500000000003</v>
      </c>
      <c r="G2566" t="s">
        <v>16</v>
      </c>
      <c r="J2566" t="str">
        <f>"10/08/1992 23:00"</f>
        <v>10/08/1992 23:00</v>
      </c>
    </row>
    <row r="2567" spans="1:10" x14ac:dyDescent="0.3">
      <c r="A2567" t="s">
        <v>6</v>
      </c>
      <c r="B2567" t="str">
        <f>"10/09/1992 00:00"</f>
        <v>10/09/1992 00:00</v>
      </c>
      <c r="C2567">
        <v>215</v>
      </c>
      <c r="D2567" t="s">
        <v>7</v>
      </c>
      <c r="E2567" s="2" t="s">
        <v>12</v>
      </c>
      <c r="F2567">
        <f t="shared" si="40"/>
        <v>426.34500000000003</v>
      </c>
      <c r="G2567" t="s">
        <v>16</v>
      </c>
      <c r="I2567" t="s">
        <v>8</v>
      </c>
      <c r="J2567" t="str">
        <f>"10/09/1992 23:00"</f>
        <v>10/09/1992 23:00</v>
      </c>
    </row>
    <row r="2568" spans="1:10" x14ac:dyDescent="0.3">
      <c r="A2568" t="s">
        <v>6</v>
      </c>
      <c r="B2568" t="str">
        <f>"10/10/1992 00:00"</f>
        <v>10/10/1992 00:00</v>
      </c>
      <c r="C2568">
        <v>215</v>
      </c>
      <c r="D2568" t="s">
        <v>7</v>
      </c>
      <c r="E2568" s="2" t="s">
        <v>12</v>
      </c>
      <c r="F2568">
        <f t="shared" si="40"/>
        <v>426.34500000000003</v>
      </c>
      <c r="G2568" t="s">
        <v>16</v>
      </c>
      <c r="I2568" t="s">
        <v>8</v>
      </c>
      <c r="J2568" t="str">
        <f>"10/10/1992 18:00"</f>
        <v>10/10/1992 18:00</v>
      </c>
    </row>
    <row r="2569" spans="1:10" x14ac:dyDescent="0.3">
      <c r="A2569" t="s">
        <v>6</v>
      </c>
      <c r="B2569" t="str">
        <f>"10/11/1992 00:00"</f>
        <v>10/11/1992 00:00</v>
      </c>
      <c r="C2569">
        <v>0.63</v>
      </c>
      <c r="D2569" t="s">
        <v>7</v>
      </c>
      <c r="E2569" s="2" t="s">
        <v>12</v>
      </c>
      <c r="F2569">
        <f t="shared" si="40"/>
        <v>1.24929</v>
      </c>
      <c r="G2569" t="s">
        <v>16</v>
      </c>
      <c r="I2569" t="s">
        <v>35</v>
      </c>
      <c r="J2569" t="str">
        <f>"10/11/1992 23:00"</f>
        <v>10/11/1992 23:00</v>
      </c>
    </row>
    <row r="2570" spans="1:10" x14ac:dyDescent="0.3">
      <c r="A2570" t="s">
        <v>6</v>
      </c>
      <c r="B2570" t="str">
        <f>"10/12/1992 00:00"</f>
        <v>10/12/1992 00:00</v>
      </c>
      <c r="C2570">
        <v>0.63</v>
      </c>
      <c r="D2570" t="s">
        <v>7</v>
      </c>
      <c r="E2570" s="2" t="s">
        <v>12</v>
      </c>
      <c r="F2570">
        <f t="shared" si="40"/>
        <v>1.24929</v>
      </c>
      <c r="G2570" t="s">
        <v>16</v>
      </c>
      <c r="I2570" t="s">
        <v>35</v>
      </c>
      <c r="J2570" t="str">
        <f>"10/12/1992 23:00"</f>
        <v>10/12/1992 23:00</v>
      </c>
    </row>
    <row r="2571" spans="1:10" x14ac:dyDescent="0.3">
      <c r="A2571" t="s">
        <v>6</v>
      </c>
      <c r="B2571" t="str">
        <f>"10/13/1992 00:00"</f>
        <v>10/13/1992 00:00</v>
      </c>
      <c r="C2571">
        <v>0.63</v>
      </c>
      <c r="D2571" t="s">
        <v>7</v>
      </c>
      <c r="E2571" s="2" t="s">
        <v>12</v>
      </c>
      <c r="F2571">
        <f t="shared" si="40"/>
        <v>1.24929</v>
      </c>
      <c r="G2571" t="s">
        <v>16</v>
      </c>
      <c r="I2571" t="s">
        <v>35</v>
      </c>
      <c r="J2571" t="str">
        <f>"10/13/1992 23:00"</f>
        <v>10/13/1992 23:00</v>
      </c>
    </row>
    <row r="2572" spans="1:10" x14ac:dyDescent="0.3">
      <c r="A2572" t="s">
        <v>6</v>
      </c>
      <c r="B2572" t="str">
        <f>"10/14/1992 00:00"</f>
        <v>10/14/1992 00:00</v>
      </c>
      <c r="C2572">
        <v>0.63</v>
      </c>
      <c r="D2572" t="s">
        <v>7</v>
      </c>
      <c r="E2572" s="2" t="s">
        <v>12</v>
      </c>
      <c r="F2572">
        <f t="shared" si="40"/>
        <v>1.24929</v>
      </c>
      <c r="G2572" t="s">
        <v>16</v>
      </c>
      <c r="I2572" t="s">
        <v>35</v>
      </c>
      <c r="J2572" t="str">
        <f>"10/14/1992 23:00"</f>
        <v>10/14/1992 23:00</v>
      </c>
    </row>
    <row r="2573" spans="1:10" x14ac:dyDescent="0.3">
      <c r="A2573" t="s">
        <v>6</v>
      </c>
      <c r="B2573" t="str">
        <f>"10/15/1992 00:00"</f>
        <v>10/15/1992 00:00</v>
      </c>
      <c r="C2573">
        <v>0.63</v>
      </c>
      <c r="D2573" t="s">
        <v>7</v>
      </c>
      <c r="E2573" s="2" t="s">
        <v>12</v>
      </c>
      <c r="F2573">
        <f t="shared" si="40"/>
        <v>1.24929</v>
      </c>
      <c r="G2573" t="s">
        <v>16</v>
      </c>
      <c r="I2573" t="s">
        <v>35</v>
      </c>
      <c r="J2573" t="str">
        <f>"10/15/1992 23:00"</f>
        <v>10/15/1992 23:00</v>
      </c>
    </row>
    <row r="2574" spans="1:10" x14ac:dyDescent="0.3">
      <c r="A2574" t="s">
        <v>6</v>
      </c>
      <c r="B2574" t="str">
        <f>"10/16/1992 00:00"</f>
        <v>10/16/1992 00:00</v>
      </c>
      <c r="C2574">
        <v>0.63</v>
      </c>
      <c r="D2574" t="s">
        <v>7</v>
      </c>
      <c r="E2574" s="2" t="s">
        <v>12</v>
      </c>
      <c r="F2574">
        <f t="shared" si="40"/>
        <v>1.24929</v>
      </c>
      <c r="G2574" t="s">
        <v>16</v>
      </c>
      <c r="I2574" t="s">
        <v>35</v>
      </c>
      <c r="J2574" t="str">
        <f>"10/16/1992 23:00"</f>
        <v>10/16/1992 23:00</v>
      </c>
    </row>
    <row r="2575" spans="1:10" x14ac:dyDescent="0.3">
      <c r="A2575" t="s">
        <v>6</v>
      </c>
      <c r="B2575" t="str">
        <f>"10/17/1992 00:00"</f>
        <v>10/17/1992 00:00</v>
      </c>
      <c r="C2575">
        <v>0.63</v>
      </c>
      <c r="D2575" t="s">
        <v>7</v>
      </c>
      <c r="E2575" s="2" t="s">
        <v>12</v>
      </c>
      <c r="F2575">
        <f t="shared" si="40"/>
        <v>1.24929</v>
      </c>
      <c r="G2575" t="s">
        <v>16</v>
      </c>
      <c r="I2575" t="s">
        <v>35</v>
      </c>
      <c r="J2575" t="str">
        <f>"10/17/1992 23:00"</f>
        <v>10/17/1992 23:00</v>
      </c>
    </row>
    <row r="2576" spans="1:10" x14ac:dyDescent="0.3">
      <c r="A2576" t="s">
        <v>6</v>
      </c>
      <c r="B2576" t="str">
        <f>"10/18/1992 00:00"</f>
        <v>10/18/1992 00:00</v>
      </c>
      <c r="C2576">
        <v>0.63</v>
      </c>
      <c r="D2576" t="s">
        <v>7</v>
      </c>
      <c r="E2576" s="2" t="s">
        <v>12</v>
      </c>
      <c r="F2576">
        <f t="shared" si="40"/>
        <v>1.24929</v>
      </c>
      <c r="G2576" t="s">
        <v>16</v>
      </c>
      <c r="I2576" t="s">
        <v>35</v>
      </c>
      <c r="J2576" t="str">
        <f>"10/18/1992 23:00"</f>
        <v>10/18/1992 23:00</v>
      </c>
    </row>
    <row r="2577" spans="1:10" x14ac:dyDescent="0.3">
      <c r="A2577" t="s">
        <v>6</v>
      </c>
      <c r="B2577" t="str">
        <f>"10/19/1992 00:00"</f>
        <v>10/19/1992 00:00</v>
      </c>
      <c r="C2577">
        <v>0.63</v>
      </c>
      <c r="D2577" t="s">
        <v>7</v>
      </c>
      <c r="E2577" s="2" t="s">
        <v>12</v>
      </c>
      <c r="F2577">
        <f t="shared" si="40"/>
        <v>1.24929</v>
      </c>
      <c r="G2577" t="s">
        <v>16</v>
      </c>
      <c r="I2577" t="s">
        <v>8</v>
      </c>
      <c r="J2577" t="str">
        <f>"10/19/1992 18:00"</f>
        <v>10/19/1992 18:00</v>
      </c>
    </row>
    <row r="2578" spans="1:10" x14ac:dyDescent="0.3">
      <c r="A2578" t="s">
        <v>6</v>
      </c>
      <c r="B2578" t="str">
        <f>"10/20/1992 00:00"</f>
        <v>10/20/1992 00:00</v>
      </c>
      <c r="C2578">
        <v>49.6</v>
      </c>
      <c r="D2578" t="s">
        <v>7</v>
      </c>
      <c r="E2578" s="2" t="s">
        <v>12</v>
      </c>
      <c r="F2578">
        <f t="shared" si="40"/>
        <v>98.356800000000007</v>
      </c>
      <c r="G2578" t="s">
        <v>16</v>
      </c>
      <c r="J2578" t="str">
        <f>"10/20/1992 23:00"</f>
        <v>10/20/1992 23:00</v>
      </c>
    </row>
    <row r="2579" spans="1:10" x14ac:dyDescent="0.3">
      <c r="A2579" t="s">
        <v>6</v>
      </c>
      <c r="B2579" t="str">
        <f>"10/21/1992 00:00"</f>
        <v>10/21/1992 00:00</v>
      </c>
      <c r="C2579">
        <v>51.2</v>
      </c>
      <c r="D2579" t="s">
        <v>7</v>
      </c>
      <c r="E2579" s="2" t="s">
        <v>12</v>
      </c>
      <c r="F2579">
        <f t="shared" si="40"/>
        <v>101.52960000000002</v>
      </c>
      <c r="G2579" t="s">
        <v>16</v>
      </c>
      <c r="J2579" t="str">
        <f>"10/21/1992 23:00"</f>
        <v>10/21/1992 23:00</v>
      </c>
    </row>
    <row r="2580" spans="1:10" x14ac:dyDescent="0.3">
      <c r="A2580" t="s">
        <v>6</v>
      </c>
      <c r="B2580" t="str">
        <f>"10/22/1992 00:00"</f>
        <v>10/22/1992 00:00</v>
      </c>
      <c r="C2580">
        <v>60.4</v>
      </c>
      <c r="D2580" t="s">
        <v>7</v>
      </c>
      <c r="E2580" s="2" t="s">
        <v>12</v>
      </c>
      <c r="F2580">
        <f t="shared" si="40"/>
        <v>119.7732</v>
      </c>
      <c r="G2580" t="s">
        <v>16</v>
      </c>
      <c r="J2580" t="str">
        <f>"10/22/1992 23:00"</f>
        <v>10/22/1992 23:00</v>
      </c>
    </row>
    <row r="2581" spans="1:10" x14ac:dyDescent="0.3">
      <c r="A2581" t="s">
        <v>6</v>
      </c>
      <c r="B2581" t="str">
        <f>"10/23/1992 00:00"</f>
        <v>10/23/1992 00:00</v>
      </c>
      <c r="C2581">
        <v>83.9</v>
      </c>
      <c r="D2581" t="s">
        <v>7</v>
      </c>
      <c r="E2581" s="2" t="s">
        <v>12</v>
      </c>
      <c r="F2581">
        <f t="shared" si="40"/>
        <v>166.37370000000001</v>
      </c>
      <c r="G2581" t="s">
        <v>16</v>
      </c>
      <c r="J2581" t="str">
        <f>"10/23/1992 22:00"</f>
        <v>10/23/1992 22:00</v>
      </c>
    </row>
    <row r="2582" spans="1:10" x14ac:dyDescent="0.3">
      <c r="A2582" t="s">
        <v>6</v>
      </c>
      <c r="B2582" t="str">
        <f>"10/24/1992 00:00"</f>
        <v>10/24/1992 00:00</v>
      </c>
      <c r="C2582">
        <v>93</v>
      </c>
      <c r="D2582" t="s">
        <v>7</v>
      </c>
      <c r="E2582" s="2" t="s">
        <v>12</v>
      </c>
      <c r="F2582">
        <f t="shared" si="40"/>
        <v>184.41900000000001</v>
      </c>
      <c r="G2582" t="s">
        <v>16</v>
      </c>
      <c r="J2582" t="str">
        <f>"10/24/1992 23:00"</f>
        <v>10/24/1992 23:00</v>
      </c>
    </row>
    <row r="2583" spans="1:10" x14ac:dyDescent="0.3">
      <c r="A2583" t="s">
        <v>6</v>
      </c>
      <c r="B2583" t="str">
        <f>"10/25/1992 00:00"</f>
        <v>10/25/1992 00:00</v>
      </c>
      <c r="C2583">
        <v>92.4</v>
      </c>
      <c r="D2583" t="s">
        <v>7</v>
      </c>
      <c r="E2583" s="2" t="s">
        <v>12</v>
      </c>
      <c r="F2583">
        <f t="shared" si="40"/>
        <v>183.22920000000002</v>
      </c>
      <c r="G2583" t="s">
        <v>16</v>
      </c>
      <c r="J2583" t="str">
        <f>"10/25/1992 23:00"</f>
        <v>10/25/1992 23:00</v>
      </c>
    </row>
    <row r="2584" spans="1:10" x14ac:dyDescent="0.3">
      <c r="A2584" t="s">
        <v>6</v>
      </c>
      <c r="B2584" t="str">
        <f>"10/26/1992 00:00"</f>
        <v>10/26/1992 00:00</v>
      </c>
      <c r="C2584">
        <v>92.7</v>
      </c>
      <c r="D2584" t="s">
        <v>7</v>
      </c>
      <c r="E2584" s="2" t="s">
        <v>12</v>
      </c>
      <c r="F2584">
        <f t="shared" si="40"/>
        <v>183.82410000000002</v>
      </c>
      <c r="G2584" t="s">
        <v>16</v>
      </c>
      <c r="J2584" t="str">
        <f>"10/26/1992 01:00"</f>
        <v>10/26/1992 01:00</v>
      </c>
    </row>
    <row r="2585" spans="1:10" x14ac:dyDescent="0.3">
      <c r="A2585" t="s">
        <v>6</v>
      </c>
      <c r="B2585" t="str">
        <f>"10/27/1992 00:00"</f>
        <v>10/27/1992 00:00</v>
      </c>
      <c r="D2585" t="s">
        <v>7</v>
      </c>
      <c r="E2585" s="2" t="s">
        <v>12</v>
      </c>
      <c r="F2585">
        <f t="shared" si="40"/>
        <v>0</v>
      </c>
      <c r="G2585" t="s">
        <v>16</v>
      </c>
    </row>
    <row r="2586" spans="1:10" x14ac:dyDescent="0.3">
      <c r="A2586" t="s">
        <v>6</v>
      </c>
      <c r="B2586" t="str">
        <f>"10/28/1992 00:00"</f>
        <v>10/28/1992 00:00</v>
      </c>
      <c r="D2586" t="s">
        <v>7</v>
      </c>
      <c r="E2586" s="2" t="s">
        <v>12</v>
      </c>
      <c r="F2586">
        <f t="shared" si="40"/>
        <v>0</v>
      </c>
      <c r="G2586" t="s">
        <v>16</v>
      </c>
    </row>
    <row r="2587" spans="1:10" x14ac:dyDescent="0.3">
      <c r="A2587" t="s">
        <v>6</v>
      </c>
      <c r="B2587" t="str">
        <f>"10/29/1992 00:00"</f>
        <v>10/29/1992 00:00</v>
      </c>
      <c r="C2587">
        <v>182</v>
      </c>
      <c r="D2587" t="s">
        <v>7</v>
      </c>
      <c r="E2587" s="2" t="s">
        <v>12</v>
      </c>
      <c r="F2587">
        <f t="shared" si="40"/>
        <v>360.90600000000001</v>
      </c>
      <c r="G2587" t="s">
        <v>16</v>
      </c>
      <c r="J2587" t="str">
        <f>"10/29/1992 23:00"</f>
        <v>10/29/1992 23:00</v>
      </c>
    </row>
    <row r="2588" spans="1:10" x14ac:dyDescent="0.3">
      <c r="A2588" t="s">
        <v>6</v>
      </c>
      <c r="B2588" t="str">
        <f>"10/30/1992 00:00"</f>
        <v>10/30/1992 00:00</v>
      </c>
      <c r="C2588">
        <v>182</v>
      </c>
      <c r="D2588" t="s">
        <v>7</v>
      </c>
      <c r="E2588" s="2" t="s">
        <v>12</v>
      </c>
      <c r="F2588">
        <f t="shared" si="40"/>
        <v>360.90600000000001</v>
      </c>
      <c r="G2588" t="s">
        <v>16</v>
      </c>
      <c r="I2588" t="s">
        <v>8</v>
      </c>
      <c r="J2588" t="str">
        <f>"10/30/1992 23:00"</f>
        <v>10/30/1992 23:00</v>
      </c>
    </row>
    <row r="2589" spans="1:10" x14ac:dyDescent="0.3">
      <c r="A2589" t="s">
        <v>6</v>
      </c>
      <c r="B2589" t="str">
        <f>"10/31/1992 00:00"</f>
        <v>10/31/1992 00:00</v>
      </c>
      <c r="C2589">
        <v>182</v>
      </c>
      <c r="D2589" t="s">
        <v>7</v>
      </c>
      <c r="E2589" s="2" t="s">
        <v>12</v>
      </c>
      <c r="F2589">
        <f t="shared" si="40"/>
        <v>360.90600000000001</v>
      </c>
      <c r="G2589" t="s">
        <v>16</v>
      </c>
      <c r="I2589" t="s">
        <v>35</v>
      </c>
      <c r="J2589" t="str">
        <f>"10/31/1992 23:00"</f>
        <v>10/31/1992 23:00</v>
      </c>
    </row>
    <row r="2590" spans="1:10" x14ac:dyDescent="0.3">
      <c r="A2590" t="s">
        <v>6</v>
      </c>
      <c r="B2590" t="str">
        <f>"11/01/1992 00:00"</f>
        <v>11/01/1992 00:00</v>
      </c>
      <c r="C2590">
        <v>182</v>
      </c>
      <c r="D2590" t="s">
        <v>7</v>
      </c>
      <c r="E2590" s="2" t="s">
        <v>12</v>
      </c>
      <c r="F2590">
        <f t="shared" si="40"/>
        <v>360.90600000000001</v>
      </c>
      <c r="G2590" t="s">
        <v>16</v>
      </c>
      <c r="I2590" t="s">
        <v>35</v>
      </c>
      <c r="J2590" t="str">
        <f>"11/01/1992 23:00"</f>
        <v>11/01/1992 23:00</v>
      </c>
    </row>
    <row r="2591" spans="1:10" x14ac:dyDescent="0.3">
      <c r="A2591" t="s">
        <v>6</v>
      </c>
      <c r="B2591" t="str">
        <f>"11/02/1992 00:00"</f>
        <v>11/02/1992 00:00</v>
      </c>
      <c r="C2591">
        <v>182</v>
      </c>
      <c r="D2591" t="s">
        <v>7</v>
      </c>
      <c r="E2591" s="2" t="s">
        <v>12</v>
      </c>
      <c r="F2591">
        <f t="shared" si="40"/>
        <v>360.90600000000001</v>
      </c>
      <c r="G2591" t="s">
        <v>16</v>
      </c>
      <c r="I2591" t="s">
        <v>35</v>
      </c>
      <c r="J2591" t="str">
        <f>"11/02/1992 23:00"</f>
        <v>11/02/1992 23:00</v>
      </c>
    </row>
    <row r="2592" spans="1:10" x14ac:dyDescent="0.3">
      <c r="A2592" t="s">
        <v>6</v>
      </c>
      <c r="B2592" t="str">
        <f>"11/03/1992 00:00"</f>
        <v>11/03/1992 00:00</v>
      </c>
      <c r="C2592">
        <v>182</v>
      </c>
      <c r="D2592" t="s">
        <v>7</v>
      </c>
      <c r="E2592" s="2" t="s">
        <v>12</v>
      </c>
      <c r="F2592">
        <f t="shared" si="40"/>
        <v>360.90600000000001</v>
      </c>
      <c r="G2592" t="s">
        <v>16</v>
      </c>
      <c r="I2592" t="s">
        <v>35</v>
      </c>
      <c r="J2592" t="str">
        <f>"11/03/1992 23:00"</f>
        <v>11/03/1992 23:00</v>
      </c>
    </row>
    <row r="2593" spans="1:10" x14ac:dyDescent="0.3">
      <c r="A2593" t="s">
        <v>6</v>
      </c>
      <c r="B2593" t="str">
        <f>"11/04/1992 00:00"</f>
        <v>11/04/1992 00:00</v>
      </c>
      <c r="C2593">
        <v>182</v>
      </c>
      <c r="D2593" t="s">
        <v>7</v>
      </c>
      <c r="E2593" s="2" t="s">
        <v>12</v>
      </c>
      <c r="F2593">
        <f t="shared" si="40"/>
        <v>360.90600000000001</v>
      </c>
      <c r="G2593" t="s">
        <v>16</v>
      </c>
      <c r="I2593" t="s">
        <v>35</v>
      </c>
      <c r="J2593" t="str">
        <f>"11/04/1992 23:00"</f>
        <v>11/04/1992 23:00</v>
      </c>
    </row>
    <row r="2594" spans="1:10" x14ac:dyDescent="0.3">
      <c r="A2594" t="s">
        <v>6</v>
      </c>
      <c r="B2594" t="str">
        <f>"11/05/1992 00:00"</f>
        <v>11/05/1992 00:00</v>
      </c>
      <c r="C2594">
        <v>182</v>
      </c>
      <c r="D2594" t="s">
        <v>7</v>
      </c>
      <c r="E2594" s="2" t="s">
        <v>12</v>
      </c>
      <c r="F2594">
        <f t="shared" si="40"/>
        <v>360.90600000000001</v>
      </c>
      <c r="G2594" t="s">
        <v>16</v>
      </c>
      <c r="I2594" t="s">
        <v>35</v>
      </c>
      <c r="J2594" t="str">
        <f>"11/05/1992 23:00"</f>
        <v>11/05/1992 23:00</v>
      </c>
    </row>
    <row r="2595" spans="1:10" x14ac:dyDescent="0.3">
      <c r="A2595" t="s">
        <v>6</v>
      </c>
      <c r="B2595" t="str">
        <f>"11/06/1992 00:00"</f>
        <v>11/06/1992 00:00</v>
      </c>
      <c r="C2595">
        <v>182</v>
      </c>
      <c r="D2595" t="s">
        <v>7</v>
      </c>
      <c r="E2595" s="2" t="s">
        <v>12</v>
      </c>
      <c r="F2595">
        <f t="shared" si="40"/>
        <v>360.90600000000001</v>
      </c>
      <c r="G2595" t="s">
        <v>16</v>
      </c>
      <c r="I2595" t="s">
        <v>35</v>
      </c>
      <c r="J2595" t="str">
        <f>"11/06/1992 23:00"</f>
        <v>11/06/1992 23:00</v>
      </c>
    </row>
    <row r="2596" spans="1:10" x14ac:dyDescent="0.3">
      <c r="A2596" t="s">
        <v>6</v>
      </c>
      <c r="B2596" t="str">
        <f>"11/07/1992 00:00"</f>
        <v>11/07/1992 00:00</v>
      </c>
      <c r="C2596">
        <v>182</v>
      </c>
      <c r="D2596" t="s">
        <v>7</v>
      </c>
      <c r="E2596" s="2" t="s">
        <v>12</v>
      </c>
      <c r="F2596">
        <f t="shared" si="40"/>
        <v>360.90600000000001</v>
      </c>
      <c r="G2596" t="s">
        <v>16</v>
      </c>
      <c r="I2596" t="s">
        <v>35</v>
      </c>
      <c r="J2596" t="str">
        <f>"11/07/1992 23:00"</f>
        <v>11/07/1992 23:00</v>
      </c>
    </row>
    <row r="2597" spans="1:10" x14ac:dyDescent="0.3">
      <c r="A2597" t="s">
        <v>6</v>
      </c>
      <c r="B2597" t="str">
        <f>"11/08/1992 00:00"</f>
        <v>11/08/1992 00:00</v>
      </c>
      <c r="C2597">
        <v>182</v>
      </c>
      <c r="D2597" t="s">
        <v>7</v>
      </c>
      <c r="E2597" s="2" t="s">
        <v>12</v>
      </c>
      <c r="F2597">
        <f t="shared" si="40"/>
        <v>360.90600000000001</v>
      </c>
      <c r="G2597" t="s">
        <v>16</v>
      </c>
      <c r="I2597" t="s">
        <v>35</v>
      </c>
      <c r="J2597" t="str">
        <f>"11/08/1992 23:00"</f>
        <v>11/08/1992 23:00</v>
      </c>
    </row>
    <row r="2598" spans="1:10" x14ac:dyDescent="0.3">
      <c r="A2598" t="s">
        <v>6</v>
      </c>
      <c r="B2598" t="str">
        <f>"11/09/1992 00:00"</f>
        <v>11/09/1992 00:00</v>
      </c>
      <c r="C2598">
        <v>182</v>
      </c>
      <c r="D2598" t="s">
        <v>7</v>
      </c>
      <c r="E2598" s="2" t="s">
        <v>12</v>
      </c>
      <c r="F2598">
        <f t="shared" si="40"/>
        <v>360.90600000000001</v>
      </c>
      <c r="G2598" t="s">
        <v>16</v>
      </c>
      <c r="I2598" t="s">
        <v>8</v>
      </c>
      <c r="J2598" t="str">
        <f>"11/09/1992 23:00"</f>
        <v>11/09/1992 23:00</v>
      </c>
    </row>
    <row r="2599" spans="1:10" x14ac:dyDescent="0.3">
      <c r="A2599" t="s">
        <v>6</v>
      </c>
      <c r="B2599" t="str">
        <f>"11/10/1992 00:00"</f>
        <v>11/10/1992 00:00</v>
      </c>
      <c r="C2599">
        <v>182</v>
      </c>
      <c r="D2599" t="s">
        <v>7</v>
      </c>
      <c r="E2599" s="2" t="s">
        <v>12</v>
      </c>
      <c r="F2599">
        <f t="shared" si="40"/>
        <v>360.90600000000001</v>
      </c>
      <c r="G2599" t="s">
        <v>16</v>
      </c>
      <c r="J2599" t="str">
        <f>"11/10/1992 23:00"</f>
        <v>11/10/1992 23:00</v>
      </c>
    </row>
    <row r="2600" spans="1:10" x14ac:dyDescent="0.3">
      <c r="A2600" t="s">
        <v>6</v>
      </c>
      <c r="B2600" t="str">
        <f>"11/11/1992 00:00"</f>
        <v>11/11/1992 00:00</v>
      </c>
      <c r="C2600">
        <v>182</v>
      </c>
      <c r="D2600" t="s">
        <v>7</v>
      </c>
      <c r="E2600" s="2" t="s">
        <v>12</v>
      </c>
      <c r="F2600">
        <f t="shared" si="40"/>
        <v>360.90600000000001</v>
      </c>
      <c r="G2600" t="s">
        <v>16</v>
      </c>
      <c r="I2600" t="s">
        <v>8</v>
      </c>
      <c r="J2600" t="str">
        <f>"11/11/1992 23:00"</f>
        <v>11/11/1992 23:00</v>
      </c>
    </row>
    <row r="2601" spans="1:10" x14ac:dyDescent="0.3">
      <c r="A2601" t="s">
        <v>6</v>
      </c>
      <c r="B2601" t="str">
        <f>"11/12/1992 00:00"</f>
        <v>11/12/1992 00:00</v>
      </c>
      <c r="C2601">
        <v>182</v>
      </c>
      <c r="D2601" t="s">
        <v>7</v>
      </c>
      <c r="E2601" s="2" t="s">
        <v>12</v>
      </c>
      <c r="F2601">
        <f t="shared" si="40"/>
        <v>360.90600000000001</v>
      </c>
      <c r="G2601" t="s">
        <v>16</v>
      </c>
      <c r="I2601" t="s">
        <v>35</v>
      </c>
      <c r="J2601" t="str">
        <f>"11/12/1992 23:00"</f>
        <v>11/12/1992 23:00</v>
      </c>
    </row>
    <row r="2602" spans="1:10" x14ac:dyDescent="0.3">
      <c r="A2602" t="s">
        <v>6</v>
      </c>
      <c r="B2602" t="str">
        <f>"11/13/1992 00:00"</f>
        <v>11/13/1992 00:00</v>
      </c>
      <c r="C2602">
        <v>152</v>
      </c>
      <c r="D2602" t="s">
        <v>7</v>
      </c>
      <c r="E2602" s="2" t="s">
        <v>12</v>
      </c>
      <c r="F2602">
        <f t="shared" si="40"/>
        <v>301.416</v>
      </c>
      <c r="G2602" t="s">
        <v>16</v>
      </c>
      <c r="I2602" t="s">
        <v>8</v>
      </c>
      <c r="J2602" t="str">
        <f>"11/13/1992 23:00"</f>
        <v>11/13/1992 23:00</v>
      </c>
    </row>
    <row r="2603" spans="1:10" x14ac:dyDescent="0.3">
      <c r="A2603" t="s">
        <v>6</v>
      </c>
      <c r="B2603" t="str">
        <f>"11/14/1992 00:00"</f>
        <v>11/14/1992 00:00</v>
      </c>
      <c r="C2603">
        <v>126</v>
      </c>
      <c r="D2603" t="s">
        <v>7</v>
      </c>
      <c r="E2603" s="2" t="s">
        <v>12</v>
      </c>
      <c r="F2603">
        <f t="shared" si="40"/>
        <v>249.858</v>
      </c>
      <c r="G2603" t="s">
        <v>16</v>
      </c>
      <c r="J2603" t="str">
        <f>"11/14/1992 23:00"</f>
        <v>11/14/1992 23:00</v>
      </c>
    </row>
    <row r="2604" spans="1:10" x14ac:dyDescent="0.3">
      <c r="A2604" t="s">
        <v>6</v>
      </c>
      <c r="B2604" t="str">
        <f>"11/15/1992 00:00"</f>
        <v>11/15/1992 00:00</v>
      </c>
      <c r="C2604">
        <v>125</v>
      </c>
      <c r="D2604" t="s">
        <v>7</v>
      </c>
      <c r="E2604" s="2" t="s">
        <v>12</v>
      </c>
      <c r="F2604">
        <f t="shared" si="40"/>
        <v>247.875</v>
      </c>
      <c r="G2604" t="s">
        <v>16</v>
      </c>
      <c r="J2604" t="str">
        <f>"11/15/1992 23:00"</f>
        <v>11/15/1992 23:00</v>
      </c>
    </row>
    <row r="2605" spans="1:10" x14ac:dyDescent="0.3">
      <c r="A2605" t="s">
        <v>6</v>
      </c>
      <c r="B2605" t="str">
        <f>"11/16/1992 00:00"</f>
        <v>11/16/1992 00:00</v>
      </c>
      <c r="C2605">
        <v>118</v>
      </c>
      <c r="D2605" t="s">
        <v>7</v>
      </c>
      <c r="E2605" s="2" t="s">
        <v>12</v>
      </c>
      <c r="F2605">
        <f t="shared" si="40"/>
        <v>233.994</v>
      </c>
      <c r="G2605" t="s">
        <v>16</v>
      </c>
      <c r="J2605" t="str">
        <f>"11/16/1992 23:00"</f>
        <v>11/16/1992 23:00</v>
      </c>
    </row>
    <row r="2606" spans="1:10" x14ac:dyDescent="0.3">
      <c r="A2606" t="s">
        <v>6</v>
      </c>
      <c r="B2606" t="str">
        <f>"11/17/1992 00:00"</f>
        <v>11/17/1992 00:00</v>
      </c>
      <c r="C2606">
        <v>126</v>
      </c>
      <c r="D2606" t="s">
        <v>7</v>
      </c>
      <c r="E2606" s="2" t="s">
        <v>12</v>
      </c>
      <c r="F2606">
        <f t="shared" si="40"/>
        <v>249.858</v>
      </c>
      <c r="G2606" t="s">
        <v>16</v>
      </c>
      <c r="J2606" t="str">
        <f>"11/17/1992 23:00"</f>
        <v>11/17/1992 23:00</v>
      </c>
    </row>
    <row r="2607" spans="1:10" x14ac:dyDescent="0.3">
      <c r="A2607" t="s">
        <v>6</v>
      </c>
      <c r="B2607" t="str">
        <f>"11/18/1992 00:00"</f>
        <v>11/18/1992 00:00</v>
      </c>
      <c r="C2607">
        <v>126</v>
      </c>
      <c r="D2607" t="s">
        <v>7</v>
      </c>
      <c r="E2607" s="2" t="s">
        <v>12</v>
      </c>
      <c r="F2607">
        <f t="shared" si="40"/>
        <v>249.858</v>
      </c>
      <c r="G2607" t="s">
        <v>16</v>
      </c>
      <c r="J2607" t="str">
        <f>"11/18/1992 23:00"</f>
        <v>11/18/1992 23:00</v>
      </c>
    </row>
    <row r="2608" spans="1:10" x14ac:dyDescent="0.3">
      <c r="A2608" t="s">
        <v>6</v>
      </c>
      <c r="B2608" t="str">
        <f>"11/19/1992 00:00"</f>
        <v>11/19/1992 00:00</v>
      </c>
      <c r="C2608">
        <v>127</v>
      </c>
      <c r="D2608" t="s">
        <v>7</v>
      </c>
      <c r="E2608" s="2" t="s">
        <v>12</v>
      </c>
      <c r="F2608">
        <f t="shared" si="40"/>
        <v>251.84100000000001</v>
      </c>
      <c r="G2608" t="s">
        <v>16</v>
      </c>
      <c r="J2608" t="str">
        <f>"11/19/1992 23:00"</f>
        <v>11/19/1992 23:00</v>
      </c>
    </row>
    <row r="2609" spans="1:10" x14ac:dyDescent="0.3">
      <c r="A2609" t="s">
        <v>6</v>
      </c>
      <c r="B2609" t="str">
        <f>"11/20/1992 00:00"</f>
        <v>11/20/1992 00:00</v>
      </c>
      <c r="C2609">
        <v>128</v>
      </c>
      <c r="D2609" t="s">
        <v>7</v>
      </c>
      <c r="E2609" s="2" t="s">
        <v>12</v>
      </c>
      <c r="F2609">
        <f t="shared" si="40"/>
        <v>253.82400000000001</v>
      </c>
      <c r="G2609" t="s">
        <v>16</v>
      </c>
      <c r="J2609" t="str">
        <f>"11/20/1992 23:00"</f>
        <v>11/20/1992 23:00</v>
      </c>
    </row>
    <row r="2610" spans="1:10" x14ac:dyDescent="0.3">
      <c r="A2610" t="s">
        <v>6</v>
      </c>
      <c r="B2610" t="str">
        <f>"11/21/1992 00:00"</f>
        <v>11/21/1992 00:00</v>
      </c>
      <c r="C2610">
        <v>126</v>
      </c>
      <c r="D2610" t="s">
        <v>7</v>
      </c>
      <c r="E2610" s="2" t="s">
        <v>12</v>
      </c>
      <c r="F2610">
        <f t="shared" si="40"/>
        <v>249.858</v>
      </c>
      <c r="G2610" t="s">
        <v>16</v>
      </c>
      <c r="J2610" t="str">
        <f>"11/21/1992 23:00"</f>
        <v>11/21/1992 23:00</v>
      </c>
    </row>
    <row r="2611" spans="1:10" x14ac:dyDescent="0.3">
      <c r="A2611" t="s">
        <v>6</v>
      </c>
      <c r="B2611" t="str">
        <f>"11/22/1992 00:00"</f>
        <v>11/22/1992 00:00</v>
      </c>
      <c r="C2611">
        <v>125</v>
      </c>
      <c r="D2611" t="s">
        <v>7</v>
      </c>
      <c r="E2611" s="2" t="s">
        <v>12</v>
      </c>
      <c r="F2611">
        <f t="shared" si="40"/>
        <v>247.875</v>
      </c>
      <c r="G2611" t="s">
        <v>16</v>
      </c>
      <c r="J2611" t="str">
        <f>"11/22/1992 23:00"</f>
        <v>11/22/1992 23:00</v>
      </c>
    </row>
    <row r="2612" spans="1:10" x14ac:dyDescent="0.3">
      <c r="A2612" t="s">
        <v>6</v>
      </c>
      <c r="B2612" t="str">
        <f>"11/23/1992 00:00"</f>
        <v>11/23/1992 00:00</v>
      </c>
      <c r="C2612">
        <v>126</v>
      </c>
      <c r="D2612" t="s">
        <v>7</v>
      </c>
      <c r="E2612" s="2" t="s">
        <v>12</v>
      </c>
      <c r="F2612">
        <f t="shared" si="40"/>
        <v>249.858</v>
      </c>
      <c r="G2612" t="s">
        <v>16</v>
      </c>
      <c r="J2612" t="str">
        <f>"11/23/1992 05:00"</f>
        <v>11/23/1992 05:00</v>
      </c>
    </row>
    <row r="2613" spans="1:10" x14ac:dyDescent="0.3">
      <c r="A2613" t="s">
        <v>6</v>
      </c>
      <c r="B2613" t="str">
        <f>"11/24/1992 00:00"</f>
        <v>11/24/1992 00:00</v>
      </c>
      <c r="C2613">
        <v>126</v>
      </c>
      <c r="D2613" t="s">
        <v>7</v>
      </c>
      <c r="E2613" s="2" t="s">
        <v>12</v>
      </c>
      <c r="F2613">
        <f t="shared" si="40"/>
        <v>249.858</v>
      </c>
      <c r="G2613" t="s">
        <v>16</v>
      </c>
      <c r="J2613" t="str">
        <f>"11/24/1992 23:00"</f>
        <v>11/24/1992 23:00</v>
      </c>
    </row>
    <row r="2614" spans="1:10" x14ac:dyDescent="0.3">
      <c r="A2614" t="s">
        <v>6</v>
      </c>
      <c r="B2614" t="str">
        <f>"11/25/1992 00:00"</f>
        <v>11/25/1992 00:00</v>
      </c>
      <c r="C2614">
        <v>126</v>
      </c>
      <c r="D2614" t="s">
        <v>7</v>
      </c>
      <c r="E2614" s="2" t="s">
        <v>12</v>
      </c>
      <c r="F2614">
        <f t="shared" si="40"/>
        <v>249.858</v>
      </c>
      <c r="G2614" t="s">
        <v>16</v>
      </c>
      <c r="J2614" t="str">
        <f>"11/25/1992 23:00"</f>
        <v>11/25/1992 23:00</v>
      </c>
    </row>
    <row r="2615" spans="1:10" x14ac:dyDescent="0.3">
      <c r="A2615" t="s">
        <v>6</v>
      </c>
      <c r="B2615" t="str">
        <f>"11/26/1992 00:00"</f>
        <v>11/26/1992 00:00</v>
      </c>
      <c r="C2615">
        <v>126</v>
      </c>
      <c r="D2615" t="s">
        <v>7</v>
      </c>
      <c r="E2615" s="2" t="s">
        <v>12</v>
      </c>
      <c r="F2615">
        <f t="shared" si="40"/>
        <v>249.858</v>
      </c>
      <c r="G2615" t="s">
        <v>16</v>
      </c>
      <c r="I2615" t="s">
        <v>8</v>
      </c>
      <c r="J2615" t="str">
        <f>"11/26/1992 23:00"</f>
        <v>11/26/1992 23:00</v>
      </c>
    </row>
    <row r="2616" spans="1:10" x14ac:dyDescent="0.3">
      <c r="A2616" t="s">
        <v>6</v>
      </c>
      <c r="B2616" t="str">
        <f>"11/27/1992 00:00"</f>
        <v>11/27/1992 00:00</v>
      </c>
      <c r="C2616">
        <v>126</v>
      </c>
      <c r="D2616" t="s">
        <v>7</v>
      </c>
      <c r="E2616" s="2" t="s">
        <v>12</v>
      </c>
      <c r="F2616">
        <f t="shared" si="40"/>
        <v>249.858</v>
      </c>
      <c r="G2616" t="s">
        <v>16</v>
      </c>
      <c r="I2616" t="s">
        <v>8</v>
      </c>
      <c r="J2616" t="str">
        <f>"11/27/1992 23:00"</f>
        <v>11/27/1992 23:00</v>
      </c>
    </row>
    <row r="2617" spans="1:10" x14ac:dyDescent="0.3">
      <c r="A2617" t="s">
        <v>6</v>
      </c>
      <c r="B2617" t="str">
        <f>"11/28/1992 00:00"</f>
        <v>11/28/1992 00:00</v>
      </c>
      <c r="C2617">
        <v>126</v>
      </c>
      <c r="D2617" t="s">
        <v>7</v>
      </c>
      <c r="E2617" s="2" t="s">
        <v>12</v>
      </c>
      <c r="F2617">
        <f t="shared" si="40"/>
        <v>249.858</v>
      </c>
      <c r="G2617" t="s">
        <v>16</v>
      </c>
      <c r="J2617" t="str">
        <f>"11/28/1992 23:00"</f>
        <v>11/28/1992 23:00</v>
      </c>
    </row>
    <row r="2618" spans="1:10" x14ac:dyDescent="0.3">
      <c r="A2618" t="s">
        <v>6</v>
      </c>
      <c r="B2618" t="str">
        <f>"11/29/1992 00:00"</f>
        <v>11/29/1992 00:00</v>
      </c>
      <c r="C2618">
        <v>127</v>
      </c>
      <c r="D2618" t="s">
        <v>7</v>
      </c>
      <c r="E2618" s="2" t="s">
        <v>12</v>
      </c>
      <c r="F2618">
        <f t="shared" si="40"/>
        <v>251.84100000000001</v>
      </c>
      <c r="G2618" t="s">
        <v>16</v>
      </c>
      <c r="J2618" t="str">
        <f>"11/29/1992 23:00"</f>
        <v>11/29/1992 23:00</v>
      </c>
    </row>
    <row r="2619" spans="1:10" x14ac:dyDescent="0.3">
      <c r="A2619" t="s">
        <v>6</v>
      </c>
      <c r="B2619" t="str">
        <f>"11/30/1992 00:00"</f>
        <v>11/30/1992 00:00</v>
      </c>
      <c r="C2619">
        <v>126</v>
      </c>
      <c r="D2619" t="s">
        <v>7</v>
      </c>
      <c r="E2619" s="2" t="s">
        <v>12</v>
      </c>
      <c r="F2619">
        <f t="shared" si="40"/>
        <v>249.858</v>
      </c>
      <c r="G2619" t="s">
        <v>16</v>
      </c>
      <c r="J2619" t="str">
        <f>"11/30/1992 23:00"</f>
        <v>11/30/1992 23:00</v>
      </c>
    </row>
    <row r="2620" spans="1:10" x14ac:dyDescent="0.3">
      <c r="A2620" t="s">
        <v>6</v>
      </c>
      <c r="B2620" t="str">
        <f>"12/01/1992 00:00"</f>
        <v>12/01/1992 00:00</v>
      </c>
      <c r="C2620">
        <v>125</v>
      </c>
      <c r="D2620" t="s">
        <v>7</v>
      </c>
      <c r="E2620" s="2" t="s">
        <v>12</v>
      </c>
      <c r="F2620">
        <f t="shared" si="40"/>
        <v>247.875</v>
      </c>
      <c r="G2620" t="s">
        <v>16</v>
      </c>
      <c r="J2620" t="str">
        <f>"12/01/1992 23:00"</f>
        <v>12/01/1992 23:00</v>
      </c>
    </row>
    <row r="2621" spans="1:10" x14ac:dyDescent="0.3">
      <c r="A2621" t="s">
        <v>6</v>
      </c>
      <c r="B2621" t="str">
        <f>"12/02/1992 00:00"</f>
        <v>12/02/1992 00:00</v>
      </c>
      <c r="C2621">
        <v>121</v>
      </c>
      <c r="D2621" t="s">
        <v>7</v>
      </c>
      <c r="E2621" s="2" t="s">
        <v>12</v>
      </c>
      <c r="F2621">
        <f t="shared" si="40"/>
        <v>239.94300000000001</v>
      </c>
      <c r="G2621" t="s">
        <v>16</v>
      </c>
      <c r="J2621" t="str">
        <f>"12/02/1992 23:00"</f>
        <v>12/02/1992 23:00</v>
      </c>
    </row>
    <row r="2622" spans="1:10" x14ac:dyDescent="0.3">
      <c r="A2622" t="s">
        <v>6</v>
      </c>
      <c r="B2622" t="str">
        <f>"12/03/1992 00:00"</f>
        <v>12/03/1992 00:00</v>
      </c>
      <c r="C2622">
        <v>114</v>
      </c>
      <c r="D2622" t="s">
        <v>7</v>
      </c>
      <c r="E2622" s="2" t="s">
        <v>12</v>
      </c>
      <c r="F2622">
        <f t="shared" si="40"/>
        <v>226.06200000000001</v>
      </c>
      <c r="G2622" t="s">
        <v>16</v>
      </c>
      <c r="J2622" t="str">
        <f>"12/03/1992 23:00"</f>
        <v>12/03/1992 23:00</v>
      </c>
    </row>
    <row r="2623" spans="1:10" x14ac:dyDescent="0.3">
      <c r="A2623" t="s">
        <v>6</v>
      </c>
      <c r="B2623" t="str">
        <f>"12/04/1992 00:00"</f>
        <v>12/04/1992 00:00</v>
      </c>
      <c r="C2623">
        <v>101</v>
      </c>
      <c r="D2623" t="s">
        <v>7</v>
      </c>
      <c r="E2623" s="2" t="s">
        <v>12</v>
      </c>
      <c r="F2623">
        <f t="shared" si="40"/>
        <v>200.28300000000002</v>
      </c>
      <c r="G2623" t="s">
        <v>16</v>
      </c>
      <c r="J2623" t="str">
        <f>"12/04/1992 23:00"</f>
        <v>12/04/1992 23:00</v>
      </c>
    </row>
    <row r="2624" spans="1:10" x14ac:dyDescent="0.3">
      <c r="A2624" t="s">
        <v>6</v>
      </c>
      <c r="B2624" t="str">
        <f>"12/05/1992 00:00"</f>
        <v>12/05/1992 00:00</v>
      </c>
      <c r="C2624">
        <v>96.9</v>
      </c>
      <c r="D2624" t="s">
        <v>7</v>
      </c>
      <c r="E2624" s="2" t="s">
        <v>12</v>
      </c>
      <c r="F2624">
        <f t="shared" si="40"/>
        <v>192.15270000000001</v>
      </c>
      <c r="G2624" t="s">
        <v>16</v>
      </c>
      <c r="J2624" t="str">
        <f>"12/05/1992 23:00"</f>
        <v>12/05/1992 23:00</v>
      </c>
    </row>
    <row r="2625" spans="1:10" x14ac:dyDescent="0.3">
      <c r="A2625" t="s">
        <v>6</v>
      </c>
      <c r="B2625" t="str">
        <f>"12/06/1992 00:00"</f>
        <v>12/06/1992 00:00</v>
      </c>
      <c r="C2625">
        <v>99.4</v>
      </c>
      <c r="D2625" t="s">
        <v>7</v>
      </c>
      <c r="E2625" s="2" t="s">
        <v>12</v>
      </c>
      <c r="F2625">
        <f t="shared" si="40"/>
        <v>197.11020000000002</v>
      </c>
      <c r="G2625" t="s">
        <v>16</v>
      </c>
      <c r="I2625" t="s">
        <v>8</v>
      </c>
      <c r="J2625" t="str">
        <f>"12/06/1992 23:00"</f>
        <v>12/06/1992 23:00</v>
      </c>
    </row>
    <row r="2626" spans="1:10" x14ac:dyDescent="0.3">
      <c r="A2626" t="s">
        <v>6</v>
      </c>
      <c r="B2626" t="str">
        <f>"12/07/1992 00:00"</f>
        <v>12/07/1992 00:00</v>
      </c>
      <c r="C2626">
        <v>99.4</v>
      </c>
      <c r="D2626" t="s">
        <v>7</v>
      </c>
      <c r="E2626" s="2" t="s">
        <v>12</v>
      </c>
      <c r="F2626">
        <f t="shared" si="40"/>
        <v>197.11020000000002</v>
      </c>
      <c r="G2626" t="s">
        <v>16</v>
      </c>
      <c r="I2626" t="s">
        <v>8</v>
      </c>
      <c r="J2626" t="str">
        <f>"12/07/1992 23:00"</f>
        <v>12/07/1992 23:00</v>
      </c>
    </row>
    <row r="2627" spans="1:10" x14ac:dyDescent="0.3">
      <c r="A2627" t="s">
        <v>6</v>
      </c>
      <c r="B2627" t="str">
        <f>"12/08/1992 00:00"</f>
        <v>12/08/1992 00:00</v>
      </c>
      <c r="C2627">
        <v>99.4</v>
      </c>
      <c r="D2627" t="s">
        <v>7</v>
      </c>
      <c r="E2627" s="2" t="s">
        <v>12</v>
      </c>
      <c r="F2627">
        <f t="shared" ref="F2627:F2690" si="41">C2627*1.983</f>
        <v>197.11020000000002</v>
      </c>
      <c r="G2627" t="s">
        <v>16</v>
      </c>
      <c r="J2627" t="str">
        <f>"12/08/1992 23:00"</f>
        <v>12/08/1992 23:00</v>
      </c>
    </row>
    <row r="2628" spans="1:10" x14ac:dyDescent="0.3">
      <c r="A2628" t="s">
        <v>6</v>
      </c>
      <c r="B2628" t="str">
        <f>"12/09/1992 00:00"</f>
        <v>12/09/1992 00:00</v>
      </c>
      <c r="C2628">
        <v>99.5</v>
      </c>
      <c r="D2628" t="s">
        <v>7</v>
      </c>
      <c r="E2628" s="2" t="s">
        <v>12</v>
      </c>
      <c r="F2628">
        <f t="shared" si="41"/>
        <v>197.30850000000001</v>
      </c>
      <c r="G2628" t="s">
        <v>16</v>
      </c>
      <c r="J2628" t="str">
        <f>"12/09/1992 23:00"</f>
        <v>12/09/1992 23:00</v>
      </c>
    </row>
    <row r="2629" spans="1:10" x14ac:dyDescent="0.3">
      <c r="A2629" t="s">
        <v>6</v>
      </c>
      <c r="B2629" t="str">
        <f>"12/10/1992 00:00"</f>
        <v>12/10/1992 00:00</v>
      </c>
      <c r="C2629">
        <v>99.5</v>
      </c>
      <c r="D2629" t="s">
        <v>7</v>
      </c>
      <c r="E2629" s="2" t="s">
        <v>12</v>
      </c>
      <c r="F2629">
        <f t="shared" si="41"/>
        <v>197.30850000000001</v>
      </c>
      <c r="G2629" t="s">
        <v>16</v>
      </c>
      <c r="J2629" t="str">
        <f>"12/10/1992 23:00"</f>
        <v>12/10/1992 23:00</v>
      </c>
    </row>
    <row r="2630" spans="1:10" x14ac:dyDescent="0.3">
      <c r="A2630" t="s">
        <v>6</v>
      </c>
      <c r="B2630" t="str">
        <f>"12/11/1992 00:00"</f>
        <v>12/11/1992 00:00</v>
      </c>
      <c r="C2630">
        <v>99.6</v>
      </c>
      <c r="D2630" t="s">
        <v>7</v>
      </c>
      <c r="E2630" s="2" t="s">
        <v>12</v>
      </c>
      <c r="F2630">
        <f t="shared" si="41"/>
        <v>197.5068</v>
      </c>
      <c r="G2630" t="s">
        <v>16</v>
      </c>
      <c r="J2630" t="str">
        <f>"12/11/1992 23:00"</f>
        <v>12/11/1992 23:00</v>
      </c>
    </row>
    <row r="2631" spans="1:10" x14ac:dyDescent="0.3">
      <c r="A2631" t="s">
        <v>6</v>
      </c>
      <c r="B2631" t="str">
        <f>"12/12/1992 00:00"</f>
        <v>12/12/1992 00:00</v>
      </c>
      <c r="C2631">
        <v>99.5</v>
      </c>
      <c r="D2631" t="s">
        <v>7</v>
      </c>
      <c r="E2631" s="2" t="s">
        <v>12</v>
      </c>
      <c r="F2631">
        <f t="shared" si="41"/>
        <v>197.30850000000001</v>
      </c>
      <c r="G2631" t="s">
        <v>16</v>
      </c>
      <c r="J2631" t="str">
        <f>"12/12/1992 23:00"</f>
        <v>12/12/1992 23:00</v>
      </c>
    </row>
    <row r="2632" spans="1:10" x14ac:dyDescent="0.3">
      <c r="A2632" t="s">
        <v>6</v>
      </c>
      <c r="B2632" t="str">
        <f>"12/13/1992 00:00"</f>
        <v>12/13/1992 00:00</v>
      </c>
      <c r="C2632">
        <v>99.6</v>
      </c>
      <c r="D2632" t="s">
        <v>7</v>
      </c>
      <c r="E2632" s="2" t="s">
        <v>12</v>
      </c>
      <c r="F2632">
        <f t="shared" si="41"/>
        <v>197.5068</v>
      </c>
      <c r="G2632" t="s">
        <v>16</v>
      </c>
      <c r="J2632" t="str">
        <f>"12/13/1992 23:00"</f>
        <v>12/13/1992 23:00</v>
      </c>
    </row>
    <row r="2633" spans="1:10" x14ac:dyDescent="0.3">
      <c r="A2633" t="s">
        <v>6</v>
      </c>
      <c r="B2633" t="str">
        <f>"12/14/1992 00:00"</f>
        <v>12/14/1992 00:00</v>
      </c>
      <c r="C2633">
        <v>99.4</v>
      </c>
      <c r="D2633" t="s">
        <v>7</v>
      </c>
      <c r="E2633" s="2" t="s">
        <v>12</v>
      </c>
      <c r="F2633">
        <f t="shared" si="41"/>
        <v>197.11020000000002</v>
      </c>
      <c r="G2633" t="s">
        <v>16</v>
      </c>
      <c r="J2633" t="str">
        <f>"12/14/1992 23:00"</f>
        <v>12/14/1992 23:00</v>
      </c>
    </row>
    <row r="2634" spans="1:10" x14ac:dyDescent="0.3">
      <c r="A2634" t="s">
        <v>6</v>
      </c>
      <c r="B2634" t="str">
        <f>"12/15/1992 00:00"</f>
        <v>12/15/1992 00:00</v>
      </c>
      <c r="C2634">
        <v>99.4</v>
      </c>
      <c r="D2634" t="s">
        <v>7</v>
      </c>
      <c r="E2634" s="2" t="s">
        <v>12</v>
      </c>
      <c r="F2634">
        <f t="shared" si="41"/>
        <v>197.11020000000002</v>
      </c>
      <c r="G2634" t="s">
        <v>16</v>
      </c>
      <c r="I2634" t="s">
        <v>8</v>
      </c>
      <c r="J2634" t="str">
        <f>"12/15/1992 23:00"</f>
        <v>12/15/1992 23:00</v>
      </c>
    </row>
    <row r="2635" spans="1:10" x14ac:dyDescent="0.3">
      <c r="A2635" t="s">
        <v>6</v>
      </c>
      <c r="B2635" t="str">
        <f>"12/16/1992 00:00"</f>
        <v>12/16/1992 00:00</v>
      </c>
      <c r="C2635">
        <v>99.4</v>
      </c>
      <c r="D2635" t="s">
        <v>7</v>
      </c>
      <c r="E2635" s="2" t="s">
        <v>12</v>
      </c>
      <c r="F2635">
        <f t="shared" si="41"/>
        <v>197.11020000000002</v>
      </c>
      <c r="G2635" t="s">
        <v>16</v>
      </c>
      <c r="I2635" t="s">
        <v>35</v>
      </c>
      <c r="J2635" t="str">
        <f>"12/16/1992 23:00"</f>
        <v>12/16/1992 23:00</v>
      </c>
    </row>
    <row r="2636" spans="1:10" x14ac:dyDescent="0.3">
      <c r="A2636" t="s">
        <v>6</v>
      </c>
      <c r="B2636" t="str">
        <f>"12/17/1992 00:00"</f>
        <v>12/17/1992 00:00</v>
      </c>
      <c r="C2636">
        <v>98.4</v>
      </c>
      <c r="D2636" t="s">
        <v>7</v>
      </c>
      <c r="E2636" s="2" t="s">
        <v>12</v>
      </c>
      <c r="F2636">
        <f t="shared" si="41"/>
        <v>195.12720000000002</v>
      </c>
      <c r="G2636" t="s">
        <v>16</v>
      </c>
      <c r="I2636" t="s">
        <v>8</v>
      </c>
      <c r="J2636" t="str">
        <f>"12/17/1992 23:00"</f>
        <v>12/17/1992 23:00</v>
      </c>
    </row>
    <row r="2637" spans="1:10" x14ac:dyDescent="0.3">
      <c r="A2637" t="s">
        <v>6</v>
      </c>
      <c r="B2637" t="str">
        <f>"12/18/1992 00:00"</f>
        <v>12/18/1992 00:00</v>
      </c>
      <c r="C2637">
        <v>96.7</v>
      </c>
      <c r="D2637" t="s">
        <v>7</v>
      </c>
      <c r="E2637" s="2" t="s">
        <v>12</v>
      </c>
      <c r="F2637">
        <f t="shared" si="41"/>
        <v>191.7561</v>
      </c>
      <c r="G2637" t="s">
        <v>16</v>
      </c>
      <c r="J2637" t="str">
        <f>"12/18/1992 23:00"</f>
        <v>12/18/1992 23:00</v>
      </c>
    </row>
    <row r="2638" spans="1:10" x14ac:dyDescent="0.3">
      <c r="A2638" t="s">
        <v>6</v>
      </c>
      <c r="B2638" t="str">
        <f>"12/19/1992 00:00"</f>
        <v>12/19/1992 00:00</v>
      </c>
      <c r="C2638">
        <v>96.7</v>
      </c>
      <c r="D2638" t="s">
        <v>7</v>
      </c>
      <c r="E2638" s="2" t="s">
        <v>12</v>
      </c>
      <c r="F2638">
        <f t="shared" si="41"/>
        <v>191.7561</v>
      </c>
      <c r="G2638" t="s">
        <v>16</v>
      </c>
      <c r="J2638" t="str">
        <f>"12/19/1992 23:00"</f>
        <v>12/19/1992 23:00</v>
      </c>
    </row>
    <row r="2639" spans="1:10" x14ac:dyDescent="0.3">
      <c r="A2639" t="s">
        <v>6</v>
      </c>
      <c r="B2639" t="str">
        <f>"12/20/1992 00:00"</f>
        <v>12/20/1992 00:00</v>
      </c>
      <c r="C2639">
        <v>96.7</v>
      </c>
      <c r="D2639" t="s">
        <v>7</v>
      </c>
      <c r="E2639" s="2" t="s">
        <v>12</v>
      </c>
      <c r="F2639">
        <f t="shared" si="41"/>
        <v>191.7561</v>
      </c>
      <c r="G2639" t="s">
        <v>16</v>
      </c>
      <c r="J2639" t="str">
        <f>"12/20/1992 23:00"</f>
        <v>12/20/1992 23:00</v>
      </c>
    </row>
    <row r="2640" spans="1:10" x14ac:dyDescent="0.3">
      <c r="A2640" t="s">
        <v>6</v>
      </c>
      <c r="B2640" t="str">
        <f>"12/21/1992 00:00"</f>
        <v>12/21/1992 00:00</v>
      </c>
      <c r="C2640">
        <v>101</v>
      </c>
      <c r="D2640" t="s">
        <v>7</v>
      </c>
      <c r="E2640" s="2" t="s">
        <v>12</v>
      </c>
      <c r="F2640">
        <f t="shared" si="41"/>
        <v>200.28300000000002</v>
      </c>
      <c r="G2640" t="s">
        <v>16</v>
      </c>
      <c r="J2640" t="str">
        <f>"12/21/1992 23:00"</f>
        <v>12/21/1992 23:00</v>
      </c>
    </row>
    <row r="2641" spans="1:10" x14ac:dyDescent="0.3">
      <c r="A2641" t="s">
        <v>6</v>
      </c>
      <c r="B2641" t="str">
        <f>"12/22/1992 00:00"</f>
        <v>12/22/1992 00:00</v>
      </c>
      <c r="C2641">
        <v>101</v>
      </c>
      <c r="D2641" t="s">
        <v>7</v>
      </c>
      <c r="E2641" s="2" t="s">
        <v>12</v>
      </c>
      <c r="F2641">
        <f t="shared" si="41"/>
        <v>200.28300000000002</v>
      </c>
      <c r="G2641" t="s">
        <v>16</v>
      </c>
      <c r="J2641" t="str">
        <f>"12/22/1992 23:00"</f>
        <v>12/22/1992 23:00</v>
      </c>
    </row>
    <row r="2642" spans="1:10" x14ac:dyDescent="0.3">
      <c r="A2642" t="s">
        <v>6</v>
      </c>
      <c r="B2642" t="str">
        <f>"12/23/1992 00:00"</f>
        <v>12/23/1992 00:00</v>
      </c>
      <c r="C2642">
        <v>101</v>
      </c>
      <c r="D2642" t="s">
        <v>7</v>
      </c>
      <c r="E2642" s="2" t="s">
        <v>12</v>
      </c>
      <c r="F2642">
        <f t="shared" si="41"/>
        <v>200.28300000000002</v>
      </c>
      <c r="G2642" t="s">
        <v>16</v>
      </c>
      <c r="J2642" t="str">
        <f>"12/23/1992 23:00"</f>
        <v>12/23/1992 23:00</v>
      </c>
    </row>
    <row r="2643" spans="1:10" x14ac:dyDescent="0.3">
      <c r="A2643" t="s">
        <v>6</v>
      </c>
      <c r="B2643" t="str">
        <f>"12/24/1992 00:00"</f>
        <v>12/24/1992 00:00</v>
      </c>
      <c r="C2643">
        <v>101</v>
      </c>
      <c r="D2643" t="s">
        <v>7</v>
      </c>
      <c r="E2643" s="2" t="s">
        <v>12</v>
      </c>
      <c r="F2643">
        <f t="shared" si="41"/>
        <v>200.28300000000002</v>
      </c>
      <c r="G2643" t="s">
        <v>16</v>
      </c>
      <c r="J2643" t="str">
        <f>"12/24/1992 23:00"</f>
        <v>12/24/1992 23:00</v>
      </c>
    </row>
    <row r="2644" spans="1:10" x14ac:dyDescent="0.3">
      <c r="A2644" t="s">
        <v>6</v>
      </c>
      <c r="B2644" t="str">
        <f>"12/25/1992 00:00"</f>
        <v>12/25/1992 00:00</v>
      </c>
      <c r="C2644">
        <v>101</v>
      </c>
      <c r="D2644" t="s">
        <v>7</v>
      </c>
      <c r="E2644" s="2" t="s">
        <v>12</v>
      </c>
      <c r="F2644">
        <f t="shared" si="41"/>
        <v>200.28300000000002</v>
      </c>
      <c r="G2644" t="s">
        <v>16</v>
      </c>
      <c r="I2644" t="s">
        <v>8</v>
      </c>
      <c r="J2644" t="str">
        <f>"12/25/1992 23:00"</f>
        <v>12/25/1992 23:00</v>
      </c>
    </row>
    <row r="2645" spans="1:10" x14ac:dyDescent="0.3">
      <c r="A2645" t="s">
        <v>6</v>
      </c>
      <c r="B2645" t="str">
        <f>"12/26/1992 00:00"</f>
        <v>12/26/1992 00:00</v>
      </c>
      <c r="C2645">
        <v>101</v>
      </c>
      <c r="D2645" t="s">
        <v>7</v>
      </c>
      <c r="E2645" s="2" t="s">
        <v>12</v>
      </c>
      <c r="F2645">
        <f t="shared" si="41"/>
        <v>200.28300000000002</v>
      </c>
      <c r="G2645" t="s">
        <v>16</v>
      </c>
      <c r="J2645" t="str">
        <f>"12/26/1992 23:00"</f>
        <v>12/26/1992 23:00</v>
      </c>
    </row>
    <row r="2646" spans="1:10" x14ac:dyDescent="0.3">
      <c r="A2646" t="s">
        <v>6</v>
      </c>
      <c r="B2646" t="str">
        <f>"12/27/1992 00:00"</f>
        <v>12/27/1992 00:00</v>
      </c>
      <c r="C2646">
        <v>101</v>
      </c>
      <c r="D2646" t="s">
        <v>7</v>
      </c>
      <c r="E2646" s="2" t="s">
        <v>12</v>
      </c>
      <c r="F2646">
        <f t="shared" si="41"/>
        <v>200.28300000000002</v>
      </c>
      <c r="G2646" t="s">
        <v>16</v>
      </c>
      <c r="I2646" t="s">
        <v>8</v>
      </c>
      <c r="J2646" t="str">
        <f>"12/27/1992 23:00"</f>
        <v>12/27/1992 23:00</v>
      </c>
    </row>
    <row r="2647" spans="1:10" x14ac:dyDescent="0.3">
      <c r="A2647" t="s">
        <v>6</v>
      </c>
      <c r="B2647" t="str">
        <f>"12/28/1992 00:00"</f>
        <v>12/28/1992 00:00</v>
      </c>
      <c r="C2647">
        <v>101</v>
      </c>
      <c r="D2647" t="s">
        <v>7</v>
      </c>
      <c r="E2647" s="2" t="s">
        <v>12</v>
      </c>
      <c r="F2647">
        <f t="shared" si="41"/>
        <v>200.28300000000002</v>
      </c>
      <c r="G2647" t="s">
        <v>16</v>
      </c>
      <c r="I2647" t="s">
        <v>8</v>
      </c>
      <c r="J2647" t="str">
        <f>"12/28/1992 23:00"</f>
        <v>12/28/1992 23:00</v>
      </c>
    </row>
    <row r="2648" spans="1:10" x14ac:dyDescent="0.3">
      <c r="A2648" t="s">
        <v>6</v>
      </c>
      <c r="B2648" t="str">
        <f>"12/29/1992 00:00"</f>
        <v>12/29/1992 00:00</v>
      </c>
      <c r="C2648">
        <v>101</v>
      </c>
      <c r="D2648" t="s">
        <v>7</v>
      </c>
      <c r="E2648" s="2" t="s">
        <v>12</v>
      </c>
      <c r="F2648">
        <f t="shared" si="41"/>
        <v>200.28300000000002</v>
      </c>
      <c r="G2648" t="s">
        <v>16</v>
      </c>
      <c r="J2648" t="str">
        <f>"12/29/1992 23:00"</f>
        <v>12/29/1992 23:00</v>
      </c>
    </row>
    <row r="2649" spans="1:10" x14ac:dyDescent="0.3">
      <c r="A2649" t="s">
        <v>6</v>
      </c>
      <c r="B2649" t="str">
        <f>"12/30/1992 00:00"</f>
        <v>12/30/1992 00:00</v>
      </c>
      <c r="C2649">
        <v>101</v>
      </c>
      <c r="D2649" t="s">
        <v>7</v>
      </c>
      <c r="E2649" s="2" t="s">
        <v>12</v>
      </c>
      <c r="F2649">
        <f t="shared" si="41"/>
        <v>200.28300000000002</v>
      </c>
      <c r="G2649" t="s">
        <v>16</v>
      </c>
      <c r="J2649" t="str">
        <f>"12/30/1992 23:00"</f>
        <v>12/30/1992 23:00</v>
      </c>
    </row>
    <row r="2650" spans="1:10" x14ac:dyDescent="0.3">
      <c r="A2650" t="s">
        <v>6</v>
      </c>
      <c r="B2650" t="str">
        <f>"12/31/1992 00:00"</f>
        <v>12/31/1992 00:00</v>
      </c>
      <c r="C2650">
        <v>101</v>
      </c>
      <c r="D2650" t="s">
        <v>7</v>
      </c>
      <c r="E2650" s="2" t="s">
        <v>12</v>
      </c>
      <c r="F2650">
        <f t="shared" si="41"/>
        <v>200.28300000000002</v>
      </c>
      <c r="G2650" t="s">
        <v>16</v>
      </c>
      <c r="J2650" t="str">
        <f>"12/31/1992 23:00"</f>
        <v>12/31/1992 23:00</v>
      </c>
    </row>
    <row r="2651" spans="1:10" x14ac:dyDescent="0.3">
      <c r="A2651" t="s">
        <v>6</v>
      </c>
      <c r="B2651" t="str">
        <f>"01/01/1993 00:00"</f>
        <v>01/01/1993 00:00</v>
      </c>
      <c r="C2651">
        <v>101</v>
      </c>
      <c r="D2651" t="s">
        <v>7</v>
      </c>
      <c r="E2651" s="2" t="s">
        <v>12</v>
      </c>
      <c r="F2651">
        <f t="shared" si="41"/>
        <v>200.28300000000002</v>
      </c>
      <c r="G2651" t="s">
        <v>16</v>
      </c>
      <c r="J2651" t="str">
        <f>"01/01/1993 23:00"</f>
        <v>01/01/1993 23:00</v>
      </c>
    </row>
    <row r="2652" spans="1:10" x14ac:dyDescent="0.3">
      <c r="A2652" t="s">
        <v>6</v>
      </c>
      <c r="B2652" t="str">
        <f>"01/02/1993 00:00"</f>
        <v>01/02/1993 00:00</v>
      </c>
      <c r="C2652">
        <v>101</v>
      </c>
      <c r="D2652" t="s">
        <v>7</v>
      </c>
      <c r="E2652" s="2" t="s">
        <v>12</v>
      </c>
      <c r="F2652">
        <f t="shared" si="41"/>
        <v>200.28300000000002</v>
      </c>
      <c r="G2652" t="s">
        <v>16</v>
      </c>
      <c r="J2652" t="str">
        <f>"01/02/1993 23:00"</f>
        <v>01/02/1993 23:00</v>
      </c>
    </row>
    <row r="2653" spans="1:10" x14ac:dyDescent="0.3">
      <c r="A2653" t="s">
        <v>6</v>
      </c>
      <c r="B2653" t="str">
        <f>"01/03/1993 00:00"</f>
        <v>01/03/1993 00:00</v>
      </c>
      <c r="C2653">
        <v>101</v>
      </c>
      <c r="D2653" t="s">
        <v>7</v>
      </c>
      <c r="E2653" s="2" t="s">
        <v>12</v>
      </c>
      <c r="F2653">
        <f t="shared" si="41"/>
        <v>200.28300000000002</v>
      </c>
      <c r="G2653" t="s">
        <v>16</v>
      </c>
      <c r="J2653" t="str">
        <f>"01/03/1993 23:00"</f>
        <v>01/03/1993 23:00</v>
      </c>
    </row>
    <row r="2654" spans="1:10" x14ac:dyDescent="0.3">
      <c r="A2654" t="s">
        <v>6</v>
      </c>
      <c r="B2654" t="str">
        <f>"01/04/1993 00:00"</f>
        <v>01/04/1993 00:00</v>
      </c>
      <c r="C2654">
        <v>101</v>
      </c>
      <c r="D2654" t="s">
        <v>7</v>
      </c>
      <c r="E2654" s="2" t="s">
        <v>12</v>
      </c>
      <c r="F2654">
        <f t="shared" si="41"/>
        <v>200.28300000000002</v>
      </c>
      <c r="G2654" t="s">
        <v>16</v>
      </c>
      <c r="J2654" t="str">
        <f>"01/04/1993 23:00"</f>
        <v>01/04/1993 23:00</v>
      </c>
    </row>
    <row r="2655" spans="1:10" x14ac:dyDescent="0.3">
      <c r="A2655" t="s">
        <v>6</v>
      </c>
      <c r="B2655" t="str">
        <f>"01/05/1993 00:00"</f>
        <v>01/05/1993 00:00</v>
      </c>
      <c r="C2655">
        <v>101</v>
      </c>
      <c r="D2655" t="s">
        <v>7</v>
      </c>
      <c r="E2655" s="2" t="s">
        <v>12</v>
      </c>
      <c r="F2655">
        <f t="shared" si="41"/>
        <v>200.28300000000002</v>
      </c>
      <c r="G2655" t="s">
        <v>16</v>
      </c>
      <c r="I2655" t="s">
        <v>8</v>
      </c>
      <c r="J2655" t="str">
        <f>"01/05/1993 23:00"</f>
        <v>01/05/1993 23:00</v>
      </c>
    </row>
    <row r="2656" spans="1:10" x14ac:dyDescent="0.3">
      <c r="A2656" t="s">
        <v>6</v>
      </c>
      <c r="B2656" t="str">
        <f>"01/06/1993 00:00"</f>
        <v>01/06/1993 00:00</v>
      </c>
      <c r="C2656">
        <v>101</v>
      </c>
      <c r="D2656" t="s">
        <v>7</v>
      </c>
      <c r="E2656" s="2" t="s">
        <v>12</v>
      </c>
      <c r="F2656">
        <f t="shared" si="41"/>
        <v>200.28300000000002</v>
      </c>
      <c r="G2656" t="s">
        <v>16</v>
      </c>
      <c r="J2656" t="str">
        <f>"01/06/1993 23:00"</f>
        <v>01/06/1993 23:00</v>
      </c>
    </row>
    <row r="2657" spans="1:10" x14ac:dyDescent="0.3">
      <c r="A2657" t="s">
        <v>6</v>
      </c>
      <c r="B2657" t="str">
        <f>"01/07/1993 00:00"</f>
        <v>01/07/1993 00:00</v>
      </c>
      <c r="C2657">
        <v>101</v>
      </c>
      <c r="D2657" t="s">
        <v>7</v>
      </c>
      <c r="E2657" s="2" t="s">
        <v>12</v>
      </c>
      <c r="F2657">
        <f t="shared" si="41"/>
        <v>200.28300000000002</v>
      </c>
      <c r="G2657" t="s">
        <v>16</v>
      </c>
      <c r="I2657" t="s">
        <v>8</v>
      </c>
      <c r="J2657" t="str">
        <f>"01/07/1993 23:00"</f>
        <v>01/07/1993 23:00</v>
      </c>
    </row>
    <row r="2658" spans="1:10" x14ac:dyDescent="0.3">
      <c r="A2658" t="s">
        <v>6</v>
      </c>
      <c r="B2658" t="str">
        <f>"01/08/1993 00:00"</f>
        <v>01/08/1993 00:00</v>
      </c>
      <c r="C2658">
        <v>101</v>
      </c>
      <c r="D2658" t="s">
        <v>7</v>
      </c>
      <c r="E2658" s="2" t="s">
        <v>12</v>
      </c>
      <c r="F2658">
        <f t="shared" si="41"/>
        <v>200.28300000000002</v>
      </c>
      <c r="G2658" t="s">
        <v>16</v>
      </c>
      <c r="I2658" t="s">
        <v>8</v>
      </c>
      <c r="J2658" t="str">
        <f>"01/08/1993 23:00"</f>
        <v>01/08/1993 23:00</v>
      </c>
    </row>
    <row r="2659" spans="1:10" x14ac:dyDescent="0.3">
      <c r="A2659" t="s">
        <v>6</v>
      </c>
      <c r="B2659" t="str">
        <f>"01/09/1993 00:00"</f>
        <v>01/09/1993 00:00</v>
      </c>
      <c r="C2659">
        <v>101</v>
      </c>
      <c r="D2659" t="s">
        <v>7</v>
      </c>
      <c r="E2659" s="2" t="s">
        <v>12</v>
      </c>
      <c r="F2659">
        <f t="shared" si="41"/>
        <v>200.28300000000002</v>
      </c>
      <c r="G2659" t="s">
        <v>16</v>
      </c>
      <c r="I2659" t="s">
        <v>8</v>
      </c>
      <c r="J2659" t="str">
        <f>"01/09/1993 21:00"</f>
        <v>01/09/1993 21:00</v>
      </c>
    </row>
    <row r="2660" spans="1:10" x14ac:dyDescent="0.3">
      <c r="A2660" t="s">
        <v>6</v>
      </c>
      <c r="B2660" t="str">
        <f>"01/10/1993 00:00"</f>
        <v>01/10/1993 00:00</v>
      </c>
      <c r="C2660">
        <v>101</v>
      </c>
      <c r="D2660" t="s">
        <v>7</v>
      </c>
      <c r="E2660" s="2" t="s">
        <v>12</v>
      </c>
      <c r="F2660">
        <f t="shared" si="41"/>
        <v>200.28300000000002</v>
      </c>
      <c r="G2660" t="s">
        <v>16</v>
      </c>
      <c r="I2660" t="s">
        <v>8</v>
      </c>
      <c r="J2660" t="str">
        <f>"01/10/1993 23:00"</f>
        <v>01/10/1993 23:00</v>
      </c>
    </row>
    <row r="2661" spans="1:10" x14ac:dyDescent="0.3">
      <c r="A2661" t="s">
        <v>6</v>
      </c>
      <c r="B2661" t="str">
        <f>"01/11/1993 00:00"</f>
        <v>01/11/1993 00:00</v>
      </c>
      <c r="C2661">
        <v>101</v>
      </c>
      <c r="D2661" t="s">
        <v>7</v>
      </c>
      <c r="E2661" s="2" t="s">
        <v>12</v>
      </c>
      <c r="F2661">
        <f t="shared" si="41"/>
        <v>200.28300000000002</v>
      </c>
      <c r="G2661" t="s">
        <v>16</v>
      </c>
      <c r="J2661" t="str">
        <f>"01/11/1993 23:00"</f>
        <v>01/11/1993 23:00</v>
      </c>
    </row>
    <row r="2662" spans="1:10" x14ac:dyDescent="0.3">
      <c r="A2662" t="s">
        <v>6</v>
      </c>
      <c r="B2662" t="str">
        <f>"01/12/1993 00:00"</f>
        <v>01/12/1993 00:00</v>
      </c>
      <c r="C2662">
        <v>100</v>
      </c>
      <c r="D2662" t="s">
        <v>7</v>
      </c>
      <c r="E2662" s="2" t="s">
        <v>12</v>
      </c>
      <c r="F2662">
        <f t="shared" si="41"/>
        <v>198.3</v>
      </c>
      <c r="G2662" t="s">
        <v>16</v>
      </c>
      <c r="J2662" t="str">
        <f>"01/12/1993 23:00"</f>
        <v>01/12/1993 23:00</v>
      </c>
    </row>
    <row r="2663" spans="1:10" x14ac:dyDescent="0.3">
      <c r="A2663" t="s">
        <v>6</v>
      </c>
      <c r="B2663" t="str">
        <f>"01/13/1993 00:00"</f>
        <v>01/13/1993 00:00</v>
      </c>
      <c r="C2663">
        <v>101</v>
      </c>
      <c r="D2663" t="s">
        <v>7</v>
      </c>
      <c r="E2663" s="2" t="s">
        <v>12</v>
      </c>
      <c r="F2663">
        <f t="shared" si="41"/>
        <v>200.28300000000002</v>
      </c>
      <c r="G2663" t="s">
        <v>16</v>
      </c>
      <c r="J2663" t="str">
        <f>"01/13/1993 23:00"</f>
        <v>01/13/1993 23:00</v>
      </c>
    </row>
    <row r="2664" spans="1:10" x14ac:dyDescent="0.3">
      <c r="A2664" t="s">
        <v>6</v>
      </c>
      <c r="B2664" t="str">
        <f>"01/14/1993 00:00"</f>
        <v>01/14/1993 00:00</v>
      </c>
      <c r="C2664">
        <v>98.1</v>
      </c>
      <c r="D2664" t="s">
        <v>7</v>
      </c>
      <c r="E2664" s="2" t="s">
        <v>12</v>
      </c>
      <c r="F2664">
        <f t="shared" si="41"/>
        <v>194.53229999999999</v>
      </c>
      <c r="G2664" t="s">
        <v>16</v>
      </c>
      <c r="J2664" t="str">
        <f>"01/14/1993 23:00"</f>
        <v>01/14/1993 23:00</v>
      </c>
    </row>
    <row r="2665" spans="1:10" x14ac:dyDescent="0.3">
      <c r="A2665" t="s">
        <v>6</v>
      </c>
      <c r="B2665" t="str">
        <f>"01/15/1993 00:00"</f>
        <v>01/15/1993 00:00</v>
      </c>
      <c r="C2665">
        <v>98</v>
      </c>
      <c r="D2665" t="s">
        <v>7</v>
      </c>
      <c r="E2665" s="2" t="s">
        <v>12</v>
      </c>
      <c r="F2665">
        <f t="shared" si="41"/>
        <v>194.334</v>
      </c>
      <c r="G2665" t="s">
        <v>16</v>
      </c>
      <c r="I2665" t="s">
        <v>8</v>
      </c>
      <c r="J2665" t="str">
        <f>"01/15/1993 23:00"</f>
        <v>01/15/1993 23:00</v>
      </c>
    </row>
    <row r="2666" spans="1:10" x14ac:dyDescent="0.3">
      <c r="A2666" t="s">
        <v>6</v>
      </c>
      <c r="B2666" t="str">
        <f>"01/16/1993 00:00"</f>
        <v>01/16/1993 00:00</v>
      </c>
      <c r="C2666">
        <v>98.2</v>
      </c>
      <c r="D2666" t="s">
        <v>7</v>
      </c>
      <c r="E2666" s="2" t="s">
        <v>12</v>
      </c>
      <c r="F2666">
        <f t="shared" si="41"/>
        <v>194.73060000000001</v>
      </c>
      <c r="G2666" t="s">
        <v>16</v>
      </c>
      <c r="I2666" t="s">
        <v>8</v>
      </c>
      <c r="J2666" t="str">
        <f>"01/16/1993 23:00"</f>
        <v>01/16/1993 23:00</v>
      </c>
    </row>
    <row r="2667" spans="1:10" x14ac:dyDescent="0.3">
      <c r="A2667" t="s">
        <v>6</v>
      </c>
      <c r="B2667" t="str">
        <f>"01/17/1993 00:00"</f>
        <v>01/17/1993 00:00</v>
      </c>
      <c r="C2667">
        <v>98.2</v>
      </c>
      <c r="D2667" t="s">
        <v>7</v>
      </c>
      <c r="E2667" s="2" t="s">
        <v>12</v>
      </c>
      <c r="F2667">
        <f t="shared" si="41"/>
        <v>194.73060000000001</v>
      </c>
      <c r="G2667" t="s">
        <v>16</v>
      </c>
      <c r="J2667" t="str">
        <f>"01/17/1993 23:00"</f>
        <v>01/17/1993 23:00</v>
      </c>
    </row>
    <row r="2668" spans="1:10" x14ac:dyDescent="0.3">
      <c r="A2668" t="s">
        <v>6</v>
      </c>
      <c r="B2668" t="str">
        <f>"01/18/1993 00:00"</f>
        <v>01/18/1993 00:00</v>
      </c>
      <c r="C2668">
        <v>98.3</v>
      </c>
      <c r="D2668" t="s">
        <v>7</v>
      </c>
      <c r="E2668" s="2" t="s">
        <v>12</v>
      </c>
      <c r="F2668">
        <f t="shared" si="41"/>
        <v>194.9289</v>
      </c>
      <c r="G2668" t="s">
        <v>16</v>
      </c>
      <c r="J2668" t="str">
        <f>"01/18/1993 23:00"</f>
        <v>01/18/1993 23:00</v>
      </c>
    </row>
    <row r="2669" spans="1:10" x14ac:dyDescent="0.3">
      <c r="A2669" t="s">
        <v>6</v>
      </c>
      <c r="B2669" t="str">
        <f>"01/19/1993 00:00"</f>
        <v>01/19/1993 00:00</v>
      </c>
      <c r="C2669">
        <v>98.6</v>
      </c>
      <c r="D2669" t="s">
        <v>7</v>
      </c>
      <c r="E2669" s="2" t="s">
        <v>12</v>
      </c>
      <c r="F2669">
        <f t="shared" si="41"/>
        <v>195.52379999999999</v>
      </c>
      <c r="G2669" t="s">
        <v>16</v>
      </c>
      <c r="J2669" t="str">
        <f>"01/19/1993 23:00"</f>
        <v>01/19/1993 23:00</v>
      </c>
    </row>
    <row r="2670" spans="1:10" x14ac:dyDescent="0.3">
      <c r="A2670" t="s">
        <v>6</v>
      </c>
      <c r="B2670" t="str">
        <f>"01/20/1993 00:00"</f>
        <v>01/20/1993 00:00</v>
      </c>
      <c r="C2670">
        <v>98.4</v>
      </c>
      <c r="D2670" t="s">
        <v>7</v>
      </c>
      <c r="E2670" s="2" t="s">
        <v>12</v>
      </c>
      <c r="F2670">
        <f t="shared" si="41"/>
        <v>195.12720000000002</v>
      </c>
      <c r="G2670" t="s">
        <v>16</v>
      </c>
      <c r="J2670" t="str">
        <f>"01/20/1993 23:00"</f>
        <v>01/20/1993 23:00</v>
      </c>
    </row>
    <row r="2671" spans="1:10" x14ac:dyDescent="0.3">
      <c r="A2671" t="s">
        <v>6</v>
      </c>
      <c r="B2671" t="str">
        <f>"01/21/1993 00:00"</f>
        <v>01/21/1993 00:00</v>
      </c>
      <c r="C2671">
        <v>98.8</v>
      </c>
      <c r="D2671" t="s">
        <v>7</v>
      </c>
      <c r="E2671" s="2" t="s">
        <v>12</v>
      </c>
      <c r="F2671">
        <f t="shared" si="41"/>
        <v>195.9204</v>
      </c>
      <c r="G2671" t="s">
        <v>16</v>
      </c>
      <c r="J2671" t="str">
        <f>"01/21/1993 23:00"</f>
        <v>01/21/1993 23:00</v>
      </c>
    </row>
    <row r="2672" spans="1:10" x14ac:dyDescent="0.3">
      <c r="A2672" t="s">
        <v>6</v>
      </c>
      <c r="B2672" t="str">
        <f>"01/22/1993 00:00"</f>
        <v>01/22/1993 00:00</v>
      </c>
      <c r="C2672">
        <v>98.5</v>
      </c>
      <c r="D2672" t="s">
        <v>7</v>
      </c>
      <c r="E2672" s="2" t="s">
        <v>12</v>
      </c>
      <c r="F2672">
        <f t="shared" si="41"/>
        <v>195.32550000000001</v>
      </c>
      <c r="G2672" t="s">
        <v>16</v>
      </c>
      <c r="J2672" t="str">
        <f>"01/22/1993 23:00"</f>
        <v>01/22/1993 23:00</v>
      </c>
    </row>
    <row r="2673" spans="1:10" x14ac:dyDescent="0.3">
      <c r="A2673" t="s">
        <v>6</v>
      </c>
      <c r="B2673" t="str">
        <f>"01/23/1993 00:00"</f>
        <v>01/23/1993 00:00</v>
      </c>
      <c r="C2673">
        <v>99.3</v>
      </c>
      <c r="D2673" t="s">
        <v>7</v>
      </c>
      <c r="E2673" s="2" t="s">
        <v>12</v>
      </c>
      <c r="F2673">
        <f t="shared" si="41"/>
        <v>196.9119</v>
      </c>
      <c r="G2673" t="s">
        <v>16</v>
      </c>
      <c r="J2673" t="str">
        <f>"01/23/1993 23:00"</f>
        <v>01/23/1993 23:00</v>
      </c>
    </row>
    <row r="2674" spans="1:10" x14ac:dyDescent="0.3">
      <c r="A2674" t="s">
        <v>6</v>
      </c>
      <c r="B2674" t="str">
        <f>"01/24/1993 00:00"</f>
        <v>01/24/1993 00:00</v>
      </c>
      <c r="C2674">
        <v>99.4</v>
      </c>
      <c r="D2674" t="s">
        <v>7</v>
      </c>
      <c r="E2674" s="2" t="s">
        <v>12</v>
      </c>
      <c r="F2674">
        <f t="shared" si="41"/>
        <v>197.11020000000002</v>
      </c>
      <c r="G2674" t="s">
        <v>16</v>
      </c>
      <c r="I2674" t="s">
        <v>8</v>
      </c>
      <c r="J2674" t="str">
        <f>"01/24/1993 23:00"</f>
        <v>01/24/1993 23:00</v>
      </c>
    </row>
    <row r="2675" spans="1:10" x14ac:dyDescent="0.3">
      <c r="A2675" t="s">
        <v>6</v>
      </c>
      <c r="B2675" t="str">
        <f>"01/25/1993 00:00"</f>
        <v>01/25/1993 00:00</v>
      </c>
      <c r="C2675">
        <v>99.4</v>
      </c>
      <c r="D2675" t="s">
        <v>7</v>
      </c>
      <c r="E2675" s="2" t="s">
        <v>12</v>
      </c>
      <c r="F2675">
        <f t="shared" si="41"/>
        <v>197.11020000000002</v>
      </c>
      <c r="G2675" t="s">
        <v>16</v>
      </c>
      <c r="I2675" t="s">
        <v>8</v>
      </c>
      <c r="J2675" t="str">
        <f>"01/25/1993 23:00"</f>
        <v>01/25/1993 23:00</v>
      </c>
    </row>
    <row r="2676" spans="1:10" x14ac:dyDescent="0.3">
      <c r="A2676" t="s">
        <v>6</v>
      </c>
      <c r="B2676" t="str">
        <f>"01/26/1993 00:00"</f>
        <v>01/26/1993 00:00</v>
      </c>
      <c r="C2676">
        <v>99.4</v>
      </c>
      <c r="D2676" t="s">
        <v>7</v>
      </c>
      <c r="E2676" s="2" t="s">
        <v>12</v>
      </c>
      <c r="F2676">
        <f t="shared" si="41"/>
        <v>197.11020000000002</v>
      </c>
      <c r="G2676" t="s">
        <v>16</v>
      </c>
      <c r="J2676" t="str">
        <f>"01/26/1993 23:00"</f>
        <v>01/26/1993 23:00</v>
      </c>
    </row>
    <row r="2677" spans="1:10" x14ac:dyDescent="0.3">
      <c r="A2677" t="s">
        <v>6</v>
      </c>
      <c r="B2677" t="str">
        <f>"01/27/1993 00:00"</f>
        <v>01/27/1993 00:00</v>
      </c>
      <c r="C2677">
        <v>99.4</v>
      </c>
      <c r="D2677" t="s">
        <v>7</v>
      </c>
      <c r="E2677" s="2" t="s">
        <v>12</v>
      </c>
      <c r="F2677">
        <f t="shared" si="41"/>
        <v>197.11020000000002</v>
      </c>
      <c r="G2677" t="s">
        <v>16</v>
      </c>
      <c r="J2677" t="str">
        <f>"01/27/1993 23:00"</f>
        <v>01/27/1993 23:00</v>
      </c>
    </row>
    <row r="2678" spans="1:10" x14ac:dyDescent="0.3">
      <c r="A2678" t="s">
        <v>6</v>
      </c>
      <c r="B2678" t="str">
        <f>"01/28/1993 00:00"</f>
        <v>01/28/1993 00:00</v>
      </c>
      <c r="C2678">
        <v>99.5</v>
      </c>
      <c r="D2678" t="s">
        <v>7</v>
      </c>
      <c r="E2678" s="2" t="s">
        <v>12</v>
      </c>
      <c r="F2678">
        <f t="shared" si="41"/>
        <v>197.30850000000001</v>
      </c>
      <c r="G2678" t="s">
        <v>16</v>
      </c>
      <c r="J2678" t="str">
        <f>"01/28/1993 23:00"</f>
        <v>01/28/1993 23:00</v>
      </c>
    </row>
    <row r="2679" spans="1:10" x14ac:dyDescent="0.3">
      <c r="A2679" t="s">
        <v>6</v>
      </c>
      <c r="B2679" t="str">
        <f>"01/29/1993 00:00"</f>
        <v>01/29/1993 00:00</v>
      </c>
      <c r="C2679">
        <v>99.9</v>
      </c>
      <c r="D2679" t="s">
        <v>7</v>
      </c>
      <c r="E2679" s="2" t="s">
        <v>12</v>
      </c>
      <c r="F2679">
        <f t="shared" si="41"/>
        <v>198.10170000000002</v>
      </c>
      <c r="G2679" t="s">
        <v>16</v>
      </c>
      <c r="J2679" t="str">
        <f>"01/29/1993 23:00"</f>
        <v>01/29/1993 23:00</v>
      </c>
    </row>
    <row r="2680" spans="1:10" x14ac:dyDescent="0.3">
      <c r="A2680" t="s">
        <v>6</v>
      </c>
      <c r="B2680" t="str">
        <f>"01/30/1993 00:00"</f>
        <v>01/30/1993 00:00</v>
      </c>
      <c r="C2680">
        <v>101</v>
      </c>
      <c r="D2680" t="s">
        <v>7</v>
      </c>
      <c r="E2680" s="2" t="s">
        <v>12</v>
      </c>
      <c r="F2680">
        <f t="shared" si="41"/>
        <v>200.28300000000002</v>
      </c>
      <c r="G2680" t="s">
        <v>16</v>
      </c>
      <c r="I2680" t="s">
        <v>8</v>
      </c>
      <c r="J2680" t="str">
        <f>"01/30/1993 23:00"</f>
        <v>01/30/1993 23:00</v>
      </c>
    </row>
    <row r="2681" spans="1:10" x14ac:dyDescent="0.3">
      <c r="A2681" t="s">
        <v>6</v>
      </c>
      <c r="B2681" t="str">
        <f>"01/31/1993 00:00"</f>
        <v>01/31/1993 00:00</v>
      </c>
      <c r="C2681">
        <v>101</v>
      </c>
      <c r="D2681" t="s">
        <v>7</v>
      </c>
      <c r="E2681" s="2" t="s">
        <v>12</v>
      </c>
      <c r="F2681">
        <f t="shared" si="41"/>
        <v>200.28300000000002</v>
      </c>
      <c r="G2681" t="s">
        <v>16</v>
      </c>
      <c r="I2681" t="s">
        <v>8</v>
      </c>
      <c r="J2681" t="str">
        <f>"01/31/1993 23:00"</f>
        <v>01/31/1993 23:00</v>
      </c>
    </row>
    <row r="2682" spans="1:10" x14ac:dyDescent="0.3">
      <c r="A2682" t="s">
        <v>6</v>
      </c>
      <c r="B2682" t="str">
        <f>"02/01/1993 00:00"</f>
        <v>02/01/1993 00:00</v>
      </c>
      <c r="C2682">
        <v>101</v>
      </c>
      <c r="D2682" t="s">
        <v>7</v>
      </c>
      <c r="E2682" s="2" t="s">
        <v>12</v>
      </c>
      <c r="F2682">
        <f t="shared" si="41"/>
        <v>200.28300000000002</v>
      </c>
      <c r="G2682" t="s">
        <v>16</v>
      </c>
      <c r="I2682" t="s">
        <v>35</v>
      </c>
      <c r="J2682" t="str">
        <f>"02/01/1993 23:00"</f>
        <v>02/01/1993 23:00</v>
      </c>
    </row>
    <row r="2683" spans="1:10" x14ac:dyDescent="0.3">
      <c r="A2683" t="s">
        <v>6</v>
      </c>
      <c r="B2683" t="str">
        <f>"02/02/1993 00:00"</f>
        <v>02/02/1993 00:00</v>
      </c>
      <c r="C2683">
        <v>101</v>
      </c>
      <c r="D2683" t="s">
        <v>7</v>
      </c>
      <c r="E2683" s="2" t="s">
        <v>12</v>
      </c>
      <c r="F2683">
        <f t="shared" si="41"/>
        <v>200.28300000000002</v>
      </c>
      <c r="G2683" t="s">
        <v>16</v>
      </c>
      <c r="I2683" t="s">
        <v>35</v>
      </c>
      <c r="J2683" t="str">
        <f>"02/02/1993 23:00"</f>
        <v>02/02/1993 23:00</v>
      </c>
    </row>
    <row r="2684" spans="1:10" x14ac:dyDescent="0.3">
      <c r="A2684" t="s">
        <v>6</v>
      </c>
      <c r="B2684" t="str">
        <f>"02/03/1993 00:00"</f>
        <v>02/03/1993 00:00</v>
      </c>
      <c r="C2684">
        <v>102</v>
      </c>
      <c r="D2684" t="s">
        <v>7</v>
      </c>
      <c r="E2684" s="2" t="s">
        <v>12</v>
      </c>
      <c r="F2684">
        <f t="shared" si="41"/>
        <v>202.26600000000002</v>
      </c>
      <c r="G2684" t="s">
        <v>16</v>
      </c>
      <c r="I2684" t="s">
        <v>8</v>
      </c>
      <c r="J2684" t="str">
        <f>"02/03/1993 23:00"</f>
        <v>02/03/1993 23:00</v>
      </c>
    </row>
    <row r="2685" spans="1:10" x14ac:dyDescent="0.3">
      <c r="A2685" t="s">
        <v>6</v>
      </c>
      <c r="B2685" t="str">
        <f>"02/04/1993 00:00"</f>
        <v>02/04/1993 00:00</v>
      </c>
      <c r="C2685">
        <v>102</v>
      </c>
      <c r="D2685" t="s">
        <v>7</v>
      </c>
      <c r="E2685" s="2" t="s">
        <v>12</v>
      </c>
      <c r="F2685">
        <f t="shared" si="41"/>
        <v>202.26600000000002</v>
      </c>
      <c r="G2685" t="s">
        <v>16</v>
      </c>
      <c r="I2685" t="s">
        <v>8</v>
      </c>
      <c r="J2685" t="str">
        <f>"02/04/1993 23:00"</f>
        <v>02/04/1993 23:00</v>
      </c>
    </row>
    <row r="2686" spans="1:10" x14ac:dyDescent="0.3">
      <c r="A2686" t="s">
        <v>6</v>
      </c>
      <c r="B2686" t="str">
        <f>"02/05/1993 00:00"</f>
        <v>02/05/1993 00:00</v>
      </c>
      <c r="C2686">
        <v>102</v>
      </c>
      <c r="D2686" t="s">
        <v>7</v>
      </c>
      <c r="E2686" s="2" t="s">
        <v>12</v>
      </c>
      <c r="F2686">
        <f t="shared" si="41"/>
        <v>202.26600000000002</v>
      </c>
      <c r="G2686" t="s">
        <v>16</v>
      </c>
      <c r="I2686" t="s">
        <v>8</v>
      </c>
      <c r="J2686" t="str">
        <f>"02/05/1993 23:00"</f>
        <v>02/05/1993 23:00</v>
      </c>
    </row>
    <row r="2687" spans="1:10" x14ac:dyDescent="0.3">
      <c r="A2687" t="s">
        <v>6</v>
      </c>
      <c r="B2687" t="str">
        <f>"02/06/1993 00:00"</f>
        <v>02/06/1993 00:00</v>
      </c>
      <c r="C2687">
        <v>103</v>
      </c>
      <c r="D2687" t="s">
        <v>7</v>
      </c>
      <c r="E2687" s="2" t="s">
        <v>12</v>
      </c>
      <c r="F2687">
        <f t="shared" si="41"/>
        <v>204.24900000000002</v>
      </c>
      <c r="G2687" t="s">
        <v>16</v>
      </c>
      <c r="J2687" t="str">
        <f>"02/06/1993 23:00"</f>
        <v>02/06/1993 23:00</v>
      </c>
    </row>
    <row r="2688" spans="1:10" x14ac:dyDescent="0.3">
      <c r="A2688" t="s">
        <v>6</v>
      </c>
      <c r="B2688" t="str">
        <f>"02/07/1993 00:00"</f>
        <v>02/07/1993 00:00</v>
      </c>
      <c r="C2688">
        <v>103</v>
      </c>
      <c r="D2688" t="s">
        <v>7</v>
      </c>
      <c r="E2688" s="2" t="s">
        <v>12</v>
      </c>
      <c r="F2688">
        <f t="shared" si="41"/>
        <v>204.24900000000002</v>
      </c>
      <c r="G2688" t="s">
        <v>16</v>
      </c>
      <c r="I2688" t="s">
        <v>8</v>
      </c>
      <c r="J2688" t="str">
        <f>"02/07/1993 23:00"</f>
        <v>02/07/1993 23:00</v>
      </c>
    </row>
    <row r="2689" spans="1:10" x14ac:dyDescent="0.3">
      <c r="A2689" t="s">
        <v>6</v>
      </c>
      <c r="B2689" t="str">
        <f>"02/08/1993 00:00"</f>
        <v>02/08/1993 00:00</v>
      </c>
      <c r="C2689">
        <v>104</v>
      </c>
      <c r="D2689" t="s">
        <v>7</v>
      </c>
      <c r="E2689" s="2" t="s">
        <v>12</v>
      </c>
      <c r="F2689">
        <f t="shared" si="41"/>
        <v>206.232</v>
      </c>
      <c r="G2689" t="s">
        <v>16</v>
      </c>
      <c r="J2689" t="str">
        <f>"02/08/1993 23:00"</f>
        <v>02/08/1993 23:00</v>
      </c>
    </row>
    <row r="2690" spans="1:10" x14ac:dyDescent="0.3">
      <c r="A2690" t="s">
        <v>6</v>
      </c>
      <c r="B2690" t="str">
        <f>"02/09/1993 00:00"</f>
        <v>02/09/1993 00:00</v>
      </c>
      <c r="C2690">
        <v>104</v>
      </c>
      <c r="D2690" t="s">
        <v>7</v>
      </c>
      <c r="E2690" s="2" t="s">
        <v>12</v>
      </c>
      <c r="F2690">
        <f t="shared" si="41"/>
        <v>206.232</v>
      </c>
      <c r="G2690" t="s">
        <v>16</v>
      </c>
      <c r="J2690" t="str">
        <f>"02/09/1993 23:00"</f>
        <v>02/09/1993 23:00</v>
      </c>
    </row>
    <row r="2691" spans="1:10" x14ac:dyDescent="0.3">
      <c r="A2691" t="s">
        <v>6</v>
      </c>
      <c r="B2691" t="str">
        <f>"02/10/1993 00:00"</f>
        <v>02/10/1993 00:00</v>
      </c>
      <c r="C2691">
        <v>107</v>
      </c>
      <c r="D2691" t="s">
        <v>7</v>
      </c>
      <c r="E2691" s="2" t="s">
        <v>12</v>
      </c>
      <c r="F2691">
        <f t="shared" ref="F2691:F2754" si="42">C2691*1.983</f>
        <v>212.18100000000001</v>
      </c>
      <c r="G2691" t="s">
        <v>16</v>
      </c>
      <c r="J2691" t="str">
        <f>"02/10/1993 23:00"</f>
        <v>02/10/1993 23:00</v>
      </c>
    </row>
    <row r="2692" spans="1:10" x14ac:dyDescent="0.3">
      <c r="A2692" t="s">
        <v>6</v>
      </c>
      <c r="B2692" t="str">
        <f>"02/11/1993 00:00"</f>
        <v>02/11/1993 00:00</v>
      </c>
      <c r="C2692">
        <v>108</v>
      </c>
      <c r="D2692" t="s">
        <v>7</v>
      </c>
      <c r="E2692" s="2" t="s">
        <v>12</v>
      </c>
      <c r="F2692">
        <f t="shared" si="42"/>
        <v>214.16400000000002</v>
      </c>
      <c r="G2692" t="s">
        <v>16</v>
      </c>
      <c r="J2692" t="str">
        <f>"02/11/1993 23:00"</f>
        <v>02/11/1993 23:00</v>
      </c>
    </row>
    <row r="2693" spans="1:10" x14ac:dyDescent="0.3">
      <c r="A2693" t="s">
        <v>6</v>
      </c>
      <c r="B2693" t="str">
        <f>"02/12/1993 00:00"</f>
        <v>02/12/1993 00:00</v>
      </c>
      <c r="C2693">
        <v>108</v>
      </c>
      <c r="D2693" t="s">
        <v>7</v>
      </c>
      <c r="E2693" s="2" t="s">
        <v>12</v>
      </c>
      <c r="F2693">
        <f t="shared" si="42"/>
        <v>214.16400000000002</v>
      </c>
      <c r="G2693" t="s">
        <v>16</v>
      </c>
      <c r="I2693" t="s">
        <v>8</v>
      </c>
      <c r="J2693" t="str">
        <f>"02/12/1993 23:00"</f>
        <v>02/12/1993 23:00</v>
      </c>
    </row>
    <row r="2694" spans="1:10" x14ac:dyDescent="0.3">
      <c r="A2694" t="s">
        <v>6</v>
      </c>
      <c r="B2694" t="str">
        <f>"02/13/1993 00:00"</f>
        <v>02/13/1993 00:00</v>
      </c>
      <c r="C2694">
        <v>109</v>
      </c>
      <c r="D2694" t="s">
        <v>7</v>
      </c>
      <c r="E2694" s="2" t="s">
        <v>12</v>
      </c>
      <c r="F2694">
        <f t="shared" si="42"/>
        <v>216.14700000000002</v>
      </c>
      <c r="G2694" t="s">
        <v>16</v>
      </c>
      <c r="J2694" t="str">
        <f>"02/13/1993 23:00"</f>
        <v>02/13/1993 23:00</v>
      </c>
    </row>
    <row r="2695" spans="1:10" x14ac:dyDescent="0.3">
      <c r="A2695" t="s">
        <v>6</v>
      </c>
      <c r="B2695" t="str">
        <f>"02/14/1993 00:00"</f>
        <v>02/14/1993 00:00</v>
      </c>
      <c r="C2695">
        <v>109</v>
      </c>
      <c r="D2695" t="s">
        <v>7</v>
      </c>
      <c r="E2695" s="2" t="s">
        <v>12</v>
      </c>
      <c r="F2695">
        <f t="shared" si="42"/>
        <v>216.14700000000002</v>
      </c>
      <c r="G2695" t="s">
        <v>16</v>
      </c>
      <c r="J2695" t="str">
        <f>"02/14/1993 23:00"</f>
        <v>02/14/1993 23:00</v>
      </c>
    </row>
    <row r="2696" spans="1:10" x14ac:dyDescent="0.3">
      <c r="A2696" t="s">
        <v>6</v>
      </c>
      <c r="B2696" t="str">
        <f>"02/15/1993 00:00"</f>
        <v>02/15/1993 00:00</v>
      </c>
      <c r="C2696">
        <v>109</v>
      </c>
      <c r="D2696" t="s">
        <v>7</v>
      </c>
      <c r="E2696" s="2" t="s">
        <v>12</v>
      </c>
      <c r="F2696">
        <f t="shared" si="42"/>
        <v>216.14700000000002</v>
      </c>
      <c r="G2696" t="s">
        <v>16</v>
      </c>
      <c r="J2696" t="str">
        <f>"02/15/1993 23:00"</f>
        <v>02/15/1993 23:00</v>
      </c>
    </row>
    <row r="2697" spans="1:10" x14ac:dyDescent="0.3">
      <c r="A2697" t="s">
        <v>6</v>
      </c>
      <c r="B2697" t="str">
        <f>"02/16/1993 00:00"</f>
        <v>02/16/1993 00:00</v>
      </c>
      <c r="C2697">
        <v>108</v>
      </c>
      <c r="D2697" t="s">
        <v>7</v>
      </c>
      <c r="E2697" s="2" t="s">
        <v>12</v>
      </c>
      <c r="F2697">
        <f t="shared" si="42"/>
        <v>214.16400000000002</v>
      </c>
      <c r="G2697" t="s">
        <v>16</v>
      </c>
      <c r="J2697" t="str">
        <f>"02/16/1993 09:00"</f>
        <v>02/16/1993 09:00</v>
      </c>
    </row>
    <row r="2698" spans="1:10" x14ac:dyDescent="0.3">
      <c r="A2698" t="s">
        <v>6</v>
      </c>
      <c r="B2698" t="str">
        <f>"02/17/1993 00:00"</f>
        <v>02/17/1993 00:00</v>
      </c>
      <c r="D2698" t="s">
        <v>7</v>
      </c>
      <c r="E2698" s="2" t="s">
        <v>12</v>
      </c>
      <c r="F2698">
        <f t="shared" si="42"/>
        <v>0</v>
      </c>
      <c r="G2698" t="s">
        <v>16</v>
      </c>
    </row>
    <row r="2699" spans="1:10" x14ac:dyDescent="0.3">
      <c r="A2699" t="s">
        <v>6</v>
      </c>
      <c r="B2699" t="str">
        <f>"02/18/1993 00:00"</f>
        <v>02/18/1993 00:00</v>
      </c>
      <c r="C2699">
        <v>109</v>
      </c>
      <c r="D2699" t="s">
        <v>7</v>
      </c>
      <c r="E2699" s="2" t="s">
        <v>12</v>
      </c>
      <c r="F2699">
        <f t="shared" si="42"/>
        <v>216.14700000000002</v>
      </c>
      <c r="G2699" t="s">
        <v>16</v>
      </c>
      <c r="J2699" t="str">
        <f>"02/18/1993 23:00"</f>
        <v>02/18/1993 23:00</v>
      </c>
    </row>
    <row r="2700" spans="1:10" x14ac:dyDescent="0.3">
      <c r="A2700" t="s">
        <v>6</v>
      </c>
      <c r="B2700" t="str">
        <f>"02/19/1993 00:00"</f>
        <v>02/19/1993 00:00</v>
      </c>
      <c r="C2700">
        <v>103</v>
      </c>
      <c r="D2700" t="s">
        <v>7</v>
      </c>
      <c r="E2700" s="2" t="s">
        <v>12</v>
      </c>
      <c r="F2700">
        <f t="shared" si="42"/>
        <v>204.24900000000002</v>
      </c>
      <c r="G2700" t="s">
        <v>16</v>
      </c>
      <c r="J2700" t="str">
        <f>"02/19/1993 23:00"</f>
        <v>02/19/1993 23:00</v>
      </c>
    </row>
    <row r="2701" spans="1:10" x14ac:dyDescent="0.3">
      <c r="A2701" t="s">
        <v>6</v>
      </c>
      <c r="B2701" t="str">
        <f>"02/20/1993 00:00"</f>
        <v>02/20/1993 00:00</v>
      </c>
      <c r="C2701">
        <v>101</v>
      </c>
      <c r="D2701" t="s">
        <v>7</v>
      </c>
      <c r="E2701" s="2" t="s">
        <v>12</v>
      </c>
      <c r="F2701">
        <f t="shared" si="42"/>
        <v>200.28300000000002</v>
      </c>
      <c r="G2701" t="s">
        <v>16</v>
      </c>
      <c r="J2701" t="str">
        <f>"02/20/1993 23:00"</f>
        <v>02/20/1993 23:00</v>
      </c>
    </row>
    <row r="2702" spans="1:10" x14ac:dyDescent="0.3">
      <c r="A2702" t="s">
        <v>6</v>
      </c>
      <c r="B2702" t="str">
        <f>"02/21/1993 00:00"</f>
        <v>02/21/1993 00:00</v>
      </c>
      <c r="C2702">
        <v>101</v>
      </c>
      <c r="D2702" t="s">
        <v>7</v>
      </c>
      <c r="E2702" s="2" t="s">
        <v>12</v>
      </c>
      <c r="F2702">
        <f t="shared" si="42"/>
        <v>200.28300000000002</v>
      </c>
      <c r="G2702" t="s">
        <v>16</v>
      </c>
      <c r="I2702" t="s">
        <v>8</v>
      </c>
      <c r="J2702" t="str">
        <f>"02/21/1993 23:00"</f>
        <v>02/21/1993 23:00</v>
      </c>
    </row>
    <row r="2703" spans="1:10" x14ac:dyDescent="0.3">
      <c r="A2703" t="s">
        <v>6</v>
      </c>
      <c r="B2703" t="str">
        <f>"02/22/1993 00:00"</f>
        <v>02/22/1993 00:00</v>
      </c>
      <c r="C2703">
        <v>101</v>
      </c>
      <c r="D2703" t="s">
        <v>7</v>
      </c>
      <c r="E2703" s="2" t="s">
        <v>12</v>
      </c>
      <c r="F2703">
        <f t="shared" si="42"/>
        <v>200.28300000000002</v>
      </c>
      <c r="G2703" t="s">
        <v>16</v>
      </c>
      <c r="I2703" t="s">
        <v>35</v>
      </c>
      <c r="J2703" t="str">
        <f>"02/22/1993 23:00"</f>
        <v>02/22/1993 23:00</v>
      </c>
    </row>
    <row r="2704" spans="1:10" x14ac:dyDescent="0.3">
      <c r="A2704" t="s">
        <v>6</v>
      </c>
      <c r="B2704" t="str">
        <f>"02/23/1993 00:00"</f>
        <v>02/23/1993 00:00</v>
      </c>
      <c r="C2704">
        <v>101</v>
      </c>
      <c r="D2704" t="s">
        <v>7</v>
      </c>
      <c r="E2704" s="2" t="s">
        <v>12</v>
      </c>
      <c r="F2704">
        <f t="shared" si="42"/>
        <v>200.28300000000002</v>
      </c>
      <c r="G2704" t="s">
        <v>16</v>
      </c>
      <c r="I2704" t="s">
        <v>8</v>
      </c>
      <c r="J2704" t="str">
        <f>"02/23/1993 23:00"</f>
        <v>02/23/1993 23:00</v>
      </c>
    </row>
    <row r="2705" spans="1:10" x14ac:dyDescent="0.3">
      <c r="A2705" t="s">
        <v>6</v>
      </c>
      <c r="B2705" t="str">
        <f>"02/24/1993 00:00"</f>
        <v>02/24/1993 00:00</v>
      </c>
      <c r="C2705">
        <v>101</v>
      </c>
      <c r="D2705" t="s">
        <v>7</v>
      </c>
      <c r="E2705" s="2" t="s">
        <v>12</v>
      </c>
      <c r="F2705">
        <f t="shared" si="42"/>
        <v>200.28300000000002</v>
      </c>
      <c r="G2705" t="s">
        <v>16</v>
      </c>
      <c r="J2705" t="str">
        <f>"02/24/1993 23:00"</f>
        <v>02/24/1993 23:00</v>
      </c>
    </row>
    <row r="2706" spans="1:10" x14ac:dyDescent="0.3">
      <c r="A2706" t="s">
        <v>6</v>
      </c>
      <c r="B2706" t="str">
        <f>"02/25/1993 00:00"</f>
        <v>02/25/1993 00:00</v>
      </c>
      <c r="C2706">
        <v>101</v>
      </c>
      <c r="D2706" t="s">
        <v>7</v>
      </c>
      <c r="E2706" s="2" t="s">
        <v>12</v>
      </c>
      <c r="F2706">
        <f t="shared" si="42"/>
        <v>200.28300000000002</v>
      </c>
      <c r="G2706" t="s">
        <v>16</v>
      </c>
      <c r="J2706" t="str">
        <f>"02/25/1993 23:00"</f>
        <v>02/25/1993 23:00</v>
      </c>
    </row>
    <row r="2707" spans="1:10" x14ac:dyDescent="0.3">
      <c r="A2707" t="s">
        <v>6</v>
      </c>
      <c r="B2707" t="str">
        <f>"02/26/1993 00:00"</f>
        <v>02/26/1993 00:00</v>
      </c>
      <c r="C2707">
        <v>103</v>
      </c>
      <c r="D2707" t="s">
        <v>7</v>
      </c>
      <c r="E2707" s="2" t="s">
        <v>12</v>
      </c>
      <c r="F2707">
        <f t="shared" si="42"/>
        <v>204.24900000000002</v>
      </c>
      <c r="G2707" t="s">
        <v>16</v>
      </c>
      <c r="J2707" t="str">
        <f>"02/26/1993 23:00"</f>
        <v>02/26/1993 23:00</v>
      </c>
    </row>
    <row r="2708" spans="1:10" x14ac:dyDescent="0.3">
      <c r="A2708" t="s">
        <v>6</v>
      </c>
      <c r="B2708" t="str">
        <f>"02/27/1993 00:00"</f>
        <v>02/27/1993 00:00</v>
      </c>
      <c r="C2708">
        <v>103</v>
      </c>
      <c r="D2708" t="s">
        <v>7</v>
      </c>
      <c r="E2708" s="2" t="s">
        <v>12</v>
      </c>
      <c r="F2708">
        <f t="shared" si="42"/>
        <v>204.24900000000002</v>
      </c>
      <c r="G2708" t="s">
        <v>16</v>
      </c>
      <c r="I2708" t="s">
        <v>8</v>
      </c>
      <c r="J2708" t="str">
        <f>"02/27/1993 23:00"</f>
        <v>02/27/1993 23:00</v>
      </c>
    </row>
    <row r="2709" spans="1:10" x14ac:dyDescent="0.3">
      <c r="A2709" t="s">
        <v>6</v>
      </c>
      <c r="B2709" t="str">
        <f>"02/28/1993 00:00"</f>
        <v>02/28/1993 00:00</v>
      </c>
      <c r="C2709">
        <v>103</v>
      </c>
      <c r="D2709" t="s">
        <v>7</v>
      </c>
      <c r="E2709" s="2" t="s">
        <v>12</v>
      </c>
      <c r="F2709">
        <f t="shared" si="42"/>
        <v>204.24900000000002</v>
      </c>
      <c r="G2709" t="s">
        <v>16</v>
      </c>
      <c r="I2709" t="s">
        <v>8</v>
      </c>
      <c r="J2709" t="str">
        <f>"02/28/1993 23:00"</f>
        <v>02/28/1993 23:00</v>
      </c>
    </row>
    <row r="2710" spans="1:10" x14ac:dyDescent="0.3">
      <c r="A2710" t="s">
        <v>6</v>
      </c>
      <c r="B2710" t="str">
        <f>"03/01/1993 00:00"</f>
        <v>03/01/1993 00:00</v>
      </c>
      <c r="C2710">
        <v>103</v>
      </c>
      <c r="D2710" t="s">
        <v>7</v>
      </c>
      <c r="E2710" s="2" t="s">
        <v>12</v>
      </c>
      <c r="F2710">
        <f t="shared" si="42"/>
        <v>204.24900000000002</v>
      </c>
      <c r="G2710" t="s">
        <v>16</v>
      </c>
      <c r="J2710" t="str">
        <f>"03/01/1993 23:00"</f>
        <v>03/01/1993 23:00</v>
      </c>
    </row>
    <row r="2711" spans="1:10" x14ac:dyDescent="0.3">
      <c r="A2711" t="s">
        <v>6</v>
      </c>
      <c r="B2711" t="str">
        <f>"03/02/1993 00:00"</f>
        <v>03/02/1993 00:00</v>
      </c>
      <c r="C2711">
        <v>99.9</v>
      </c>
      <c r="D2711" t="s">
        <v>7</v>
      </c>
      <c r="E2711" s="2" t="s">
        <v>12</v>
      </c>
      <c r="F2711">
        <f t="shared" si="42"/>
        <v>198.10170000000002</v>
      </c>
      <c r="G2711" t="s">
        <v>16</v>
      </c>
      <c r="J2711" t="str">
        <f>"03/02/1993 23:00"</f>
        <v>03/02/1993 23:00</v>
      </c>
    </row>
    <row r="2712" spans="1:10" x14ac:dyDescent="0.3">
      <c r="A2712" t="s">
        <v>6</v>
      </c>
      <c r="B2712" t="str">
        <f>"03/03/1993 00:00"</f>
        <v>03/03/1993 00:00</v>
      </c>
      <c r="C2712">
        <v>99.4</v>
      </c>
      <c r="D2712" t="s">
        <v>7</v>
      </c>
      <c r="E2712" s="2" t="s">
        <v>12</v>
      </c>
      <c r="F2712">
        <f t="shared" si="42"/>
        <v>197.11020000000002</v>
      </c>
      <c r="G2712" t="s">
        <v>16</v>
      </c>
      <c r="J2712" t="str">
        <f>"03/03/1993 23:00"</f>
        <v>03/03/1993 23:00</v>
      </c>
    </row>
    <row r="2713" spans="1:10" x14ac:dyDescent="0.3">
      <c r="A2713" t="s">
        <v>6</v>
      </c>
      <c r="B2713" t="str">
        <f>"03/04/1993 00:00"</f>
        <v>03/04/1993 00:00</v>
      </c>
      <c r="C2713">
        <v>99.6</v>
      </c>
      <c r="D2713" t="s">
        <v>7</v>
      </c>
      <c r="E2713" s="2" t="s">
        <v>12</v>
      </c>
      <c r="F2713">
        <f t="shared" si="42"/>
        <v>197.5068</v>
      </c>
      <c r="G2713" t="s">
        <v>16</v>
      </c>
      <c r="J2713" t="str">
        <f>"03/04/1993 17:00"</f>
        <v>03/04/1993 17:00</v>
      </c>
    </row>
    <row r="2714" spans="1:10" x14ac:dyDescent="0.3">
      <c r="A2714" t="s">
        <v>6</v>
      </c>
      <c r="B2714" t="str">
        <f>"03/05/1993 00:00"</f>
        <v>03/05/1993 00:00</v>
      </c>
      <c r="D2714" t="s">
        <v>7</v>
      </c>
      <c r="E2714" s="2" t="s">
        <v>12</v>
      </c>
      <c r="F2714">
        <f t="shared" si="42"/>
        <v>0</v>
      </c>
      <c r="G2714" t="s">
        <v>16</v>
      </c>
    </row>
    <row r="2715" spans="1:10" x14ac:dyDescent="0.3">
      <c r="A2715" t="s">
        <v>6</v>
      </c>
      <c r="B2715" t="str">
        <f>"03/06/1993 00:00"</f>
        <v>03/06/1993 00:00</v>
      </c>
      <c r="C2715">
        <v>99.7</v>
      </c>
      <c r="D2715" t="s">
        <v>7</v>
      </c>
      <c r="E2715" s="2" t="s">
        <v>12</v>
      </c>
      <c r="F2715">
        <f t="shared" si="42"/>
        <v>197.70510000000002</v>
      </c>
      <c r="G2715" t="s">
        <v>16</v>
      </c>
      <c r="J2715" t="str">
        <f>"03/06/1993 23:00"</f>
        <v>03/06/1993 23:00</v>
      </c>
    </row>
    <row r="2716" spans="1:10" x14ac:dyDescent="0.3">
      <c r="A2716" t="s">
        <v>6</v>
      </c>
      <c r="B2716" t="str">
        <f>"03/07/1993 00:00"</f>
        <v>03/07/1993 00:00</v>
      </c>
      <c r="C2716">
        <v>99.4</v>
      </c>
      <c r="D2716" t="s">
        <v>7</v>
      </c>
      <c r="E2716" s="2" t="s">
        <v>12</v>
      </c>
      <c r="F2716">
        <f t="shared" si="42"/>
        <v>197.11020000000002</v>
      </c>
      <c r="G2716" t="s">
        <v>16</v>
      </c>
      <c r="J2716" t="str">
        <f>"03/07/1993 23:00"</f>
        <v>03/07/1993 23:00</v>
      </c>
    </row>
    <row r="2717" spans="1:10" x14ac:dyDescent="0.3">
      <c r="A2717" t="s">
        <v>6</v>
      </c>
      <c r="B2717" t="str">
        <f>"03/08/1993 00:00"</f>
        <v>03/08/1993 00:00</v>
      </c>
      <c r="C2717">
        <v>99.4</v>
      </c>
      <c r="D2717" t="s">
        <v>7</v>
      </c>
      <c r="E2717" s="2" t="s">
        <v>12</v>
      </c>
      <c r="F2717">
        <f t="shared" si="42"/>
        <v>197.11020000000002</v>
      </c>
      <c r="G2717" t="s">
        <v>16</v>
      </c>
      <c r="I2717" t="s">
        <v>8</v>
      </c>
      <c r="J2717" t="str">
        <f>"03/08/1993 23:00"</f>
        <v>03/08/1993 23:00</v>
      </c>
    </row>
    <row r="2718" spans="1:10" x14ac:dyDescent="0.3">
      <c r="A2718" t="s">
        <v>6</v>
      </c>
      <c r="B2718" t="str">
        <f>"03/09/1993 00:00"</f>
        <v>03/09/1993 00:00</v>
      </c>
      <c r="C2718">
        <v>99.4</v>
      </c>
      <c r="D2718" t="s">
        <v>7</v>
      </c>
      <c r="E2718" s="2" t="s">
        <v>12</v>
      </c>
      <c r="F2718">
        <f t="shared" si="42"/>
        <v>197.11020000000002</v>
      </c>
      <c r="G2718" t="s">
        <v>16</v>
      </c>
      <c r="I2718" t="s">
        <v>35</v>
      </c>
      <c r="J2718" t="str">
        <f>"03/09/1993 23:00"</f>
        <v>03/09/1993 23:00</v>
      </c>
    </row>
    <row r="2719" spans="1:10" x14ac:dyDescent="0.3">
      <c r="A2719" t="s">
        <v>6</v>
      </c>
      <c r="B2719" t="str">
        <f>"03/10/1993 00:00"</f>
        <v>03/10/1993 00:00</v>
      </c>
      <c r="C2719">
        <v>99.4</v>
      </c>
      <c r="D2719" t="s">
        <v>7</v>
      </c>
      <c r="E2719" s="2" t="s">
        <v>12</v>
      </c>
      <c r="F2719">
        <f t="shared" si="42"/>
        <v>197.11020000000002</v>
      </c>
      <c r="G2719" t="s">
        <v>16</v>
      </c>
      <c r="I2719" t="s">
        <v>35</v>
      </c>
      <c r="J2719" t="str">
        <f>"03/10/1993 23:00"</f>
        <v>03/10/1993 23:00</v>
      </c>
    </row>
    <row r="2720" spans="1:10" x14ac:dyDescent="0.3">
      <c r="A2720" t="s">
        <v>6</v>
      </c>
      <c r="B2720" t="str">
        <f>"03/11/1993 00:00"</f>
        <v>03/11/1993 00:00</v>
      </c>
      <c r="C2720">
        <v>99.7</v>
      </c>
      <c r="D2720" t="s">
        <v>7</v>
      </c>
      <c r="E2720" s="2" t="s">
        <v>12</v>
      </c>
      <c r="F2720">
        <f t="shared" si="42"/>
        <v>197.70510000000002</v>
      </c>
      <c r="G2720" t="s">
        <v>16</v>
      </c>
      <c r="I2720" t="s">
        <v>8</v>
      </c>
      <c r="J2720" t="str">
        <f>"03/11/1993 23:00"</f>
        <v>03/11/1993 23:00</v>
      </c>
    </row>
    <row r="2721" spans="1:10" x14ac:dyDescent="0.3">
      <c r="A2721" t="s">
        <v>6</v>
      </c>
      <c r="B2721" t="str">
        <f>"03/12/1993 00:00"</f>
        <v>03/12/1993 00:00</v>
      </c>
      <c r="C2721">
        <v>100</v>
      </c>
      <c r="D2721" t="s">
        <v>7</v>
      </c>
      <c r="E2721" s="2" t="s">
        <v>12</v>
      </c>
      <c r="F2721">
        <f t="shared" si="42"/>
        <v>198.3</v>
      </c>
      <c r="G2721" t="s">
        <v>16</v>
      </c>
      <c r="J2721" t="str">
        <f>"03/12/1993 23:00"</f>
        <v>03/12/1993 23:00</v>
      </c>
    </row>
    <row r="2722" spans="1:10" x14ac:dyDescent="0.3">
      <c r="A2722" t="s">
        <v>6</v>
      </c>
      <c r="B2722" t="str">
        <f>"03/13/1993 00:00"</f>
        <v>03/13/1993 00:00</v>
      </c>
      <c r="C2722">
        <v>99.5</v>
      </c>
      <c r="D2722" t="s">
        <v>7</v>
      </c>
      <c r="E2722" s="2" t="s">
        <v>12</v>
      </c>
      <c r="F2722">
        <f t="shared" si="42"/>
        <v>197.30850000000001</v>
      </c>
      <c r="G2722" t="s">
        <v>16</v>
      </c>
      <c r="J2722" t="str">
        <f>"03/13/1993 23:00"</f>
        <v>03/13/1993 23:00</v>
      </c>
    </row>
    <row r="2723" spans="1:10" x14ac:dyDescent="0.3">
      <c r="A2723" t="s">
        <v>6</v>
      </c>
      <c r="B2723" t="str">
        <f>"03/14/1993 00:00"</f>
        <v>03/14/1993 00:00</v>
      </c>
      <c r="C2723">
        <v>101</v>
      </c>
      <c r="D2723" t="s">
        <v>7</v>
      </c>
      <c r="E2723" s="2" t="s">
        <v>12</v>
      </c>
      <c r="F2723">
        <f t="shared" si="42"/>
        <v>200.28300000000002</v>
      </c>
      <c r="G2723" t="s">
        <v>16</v>
      </c>
      <c r="J2723" t="str">
        <f>"03/14/1993 23:00"</f>
        <v>03/14/1993 23:00</v>
      </c>
    </row>
    <row r="2724" spans="1:10" x14ac:dyDescent="0.3">
      <c r="A2724" t="s">
        <v>6</v>
      </c>
      <c r="B2724" t="str">
        <f>"03/15/1993 00:00"</f>
        <v>03/15/1993 00:00</v>
      </c>
      <c r="C2724">
        <v>101</v>
      </c>
      <c r="D2724" t="s">
        <v>7</v>
      </c>
      <c r="E2724" s="2" t="s">
        <v>12</v>
      </c>
      <c r="F2724">
        <f t="shared" si="42"/>
        <v>200.28300000000002</v>
      </c>
      <c r="G2724" t="s">
        <v>16</v>
      </c>
      <c r="I2724" t="s">
        <v>8</v>
      </c>
      <c r="J2724" t="str">
        <f>"03/15/1993 23:00"</f>
        <v>03/15/1993 23:00</v>
      </c>
    </row>
    <row r="2725" spans="1:10" x14ac:dyDescent="0.3">
      <c r="A2725" t="s">
        <v>6</v>
      </c>
      <c r="B2725" t="str">
        <f>"03/16/1993 00:00"</f>
        <v>03/16/1993 00:00</v>
      </c>
      <c r="C2725">
        <v>101</v>
      </c>
      <c r="D2725" t="s">
        <v>7</v>
      </c>
      <c r="E2725" s="2" t="s">
        <v>12</v>
      </c>
      <c r="F2725">
        <f t="shared" si="42"/>
        <v>200.28300000000002</v>
      </c>
      <c r="G2725" t="s">
        <v>16</v>
      </c>
      <c r="I2725" t="s">
        <v>35</v>
      </c>
      <c r="J2725" t="str">
        <f>"03/16/1993 23:00"</f>
        <v>03/16/1993 23:00</v>
      </c>
    </row>
    <row r="2726" spans="1:10" x14ac:dyDescent="0.3">
      <c r="A2726" t="s">
        <v>6</v>
      </c>
      <c r="B2726" t="str">
        <f>"03/17/1993 00:00"</f>
        <v>03/17/1993 00:00</v>
      </c>
      <c r="C2726">
        <v>99.1</v>
      </c>
      <c r="D2726" t="s">
        <v>7</v>
      </c>
      <c r="E2726" s="2" t="s">
        <v>12</v>
      </c>
      <c r="F2726">
        <f t="shared" si="42"/>
        <v>196.5153</v>
      </c>
      <c r="G2726" t="s">
        <v>16</v>
      </c>
      <c r="I2726" t="s">
        <v>8</v>
      </c>
      <c r="J2726" t="str">
        <f>"03/17/1993 23:00"</f>
        <v>03/17/1993 23:00</v>
      </c>
    </row>
    <row r="2727" spans="1:10" x14ac:dyDescent="0.3">
      <c r="A2727" t="s">
        <v>6</v>
      </c>
      <c r="B2727" t="str">
        <f>"03/18/1993 00:00"</f>
        <v>03/18/1993 00:00</v>
      </c>
      <c r="C2727">
        <v>98.5</v>
      </c>
      <c r="D2727" t="s">
        <v>7</v>
      </c>
      <c r="E2727" s="2" t="s">
        <v>12</v>
      </c>
      <c r="F2727">
        <f t="shared" si="42"/>
        <v>195.32550000000001</v>
      </c>
      <c r="G2727" t="s">
        <v>16</v>
      </c>
      <c r="J2727" t="str">
        <f>"03/18/1993 23:00"</f>
        <v>03/18/1993 23:00</v>
      </c>
    </row>
    <row r="2728" spans="1:10" x14ac:dyDescent="0.3">
      <c r="A2728" t="s">
        <v>6</v>
      </c>
      <c r="B2728" t="str">
        <f>"03/19/1993 00:00"</f>
        <v>03/19/1993 00:00</v>
      </c>
      <c r="C2728">
        <v>102</v>
      </c>
      <c r="D2728" t="s">
        <v>7</v>
      </c>
      <c r="E2728" s="2" t="s">
        <v>12</v>
      </c>
      <c r="F2728">
        <f t="shared" si="42"/>
        <v>202.26600000000002</v>
      </c>
      <c r="G2728" t="s">
        <v>16</v>
      </c>
      <c r="J2728" t="str">
        <f>"03/19/1993 23:00"</f>
        <v>03/19/1993 23:00</v>
      </c>
    </row>
    <row r="2729" spans="1:10" x14ac:dyDescent="0.3">
      <c r="A2729" t="s">
        <v>6</v>
      </c>
      <c r="B2729" t="str">
        <f>"03/20/1993 00:00"</f>
        <v>03/20/1993 00:00</v>
      </c>
      <c r="C2729">
        <v>102</v>
      </c>
      <c r="D2729" t="s">
        <v>7</v>
      </c>
      <c r="E2729" s="2" t="s">
        <v>12</v>
      </c>
      <c r="F2729">
        <f t="shared" si="42"/>
        <v>202.26600000000002</v>
      </c>
      <c r="G2729" t="s">
        <v>16</v>
      </c>
      <c r="J2729" t="str">
        <f>"03/20/1993 23:00"</f>
        <v>03/20/1993 23:00</v>
      </c>
    </row>
    <row r="2730" spans="1:10" x14ac:dyDescent="0.3">
      <c r="A2730" t="s">
        <v>6</v>
      </c>
      <c r="B2730" t="str">
        <f>"03/21/1993 00:00"</f>
        <v>03/21/1993 00:00</v>
      </c>
      <c r="C2730">
        <v>102</v>
      </c>
      <c r="D2730" t="s">
        <v>7</v>
      </c>
      <c r="E2730" s="2" t="s">
        <v>12</v>
      </c>
      <c r="F2730">
        <f t="shared" si="42"/>
        <v>202.26600000000002</v>
      </c>
      <c r="G2730" t="s">
        <v>16</v>
      </c>
      <c r="I2730" t="s">
        <v>8</v>
      </c>
      <c r="J2730" t="str">
        <f>"03/21/1993 23:00"</f>
        <v>03/21/1993 23:00</v>
      </c>
    </row>
    <row r="2731" spans="1:10" x14ac:dyDescent="0.3">
      <c r="A2731" t="s">
        <v>6</v>
      </c>
      <c r="B2731" t="str">
        <f>"03/22/1993 00:00"</f>
        <v>03/22/1993 00:00</v>
      </c>
      <c r="C2731">
        <v>102</v>
      </c>
      <c r="D2731" t="s">
        <v>7</v>
      </c>
      <c r="E2731" s="2" t="s">
        <v>12</v>
      </c>
      <c r="F2731">
        <f t="shared" si="42"/>
        <v>202.26600000000002</v>
      </c>
      <c r="G2731" t="s">
        <v>16</v>
      </c>
      <c r="I2731" t="s">
        <v>35</v>
      </c>
      <c r="J2731" t="str">
        <f>"03/22/1993 23:00"</f>
        <v>03/22/1993 23:00</v>
      </c>
    </row>
    <row r="2732" spans="1:10" x14ac:dyDescent="0.3">
      <c r="A2732" t="s">
        <v>6</v>
      </c>
      <c r="B2732" t="str">
        <f>"03/23/1993 00:00"</f>
        <v>03/23/1993 00:00</v>
      </c>
      <c r="C2732">
        <v>102</v>
      </c>
      <c r="D2732" t="s">
        <v>7</v>
      </c>
      <c r="E2732" s="2" t="s">
        <v>12</v>
      </c>
      <c r="F2732">
        <f t="shared" si="42"/>
        <v>202.26600000000002</v>
      </c>
      <c r="G2732" t="s">
        <v>16</v>
      </c>
      <c r="I2732" t="s">
        <v>8</v>
      </c>
      <c r="J2732" t="str">
        <f>"03/23/1993 23:00"</f>
        <v>03/23/1993 23:00</v>
      </c>
    </row>
    <row r="2733" spans="1:10" x14ac:dyDescent="0.3">
      <c r="A2733" t="s">
        <v>6</v>
      </c>
      <c r="B2733" t="str">
        <f>"03/24/1993 00:00"</f>
        <v>03/24/1993 00:00</v>
      </c>
      <c r="C2733">
        <v>103</v>
      </c>
      <c r="D2733" t="s">
        <v>7</v>
      </c>
      <c r="E2733" s="2" t="s">
        <v>12</v>
      </c>
      <c r="F2733">
        <f t="shared" si="42"/>
        <v>204.24900000000002</v>
      </c>
      <c r="G2733" t="s">
        <v>16</v>
      </c>
      <c r="J2733" t="str">
        <f>"03/24/1993 23:00"</f>
        <v>03/24/1993 23:00</v>
      </c>
    </row>
    <row r="2734" spans="1:10" x14ac:dyDescent="0.3">
      <c r="A2734" t="s">
        <v>6</v>
      </c>
      <c r="B2734" t="str">
        <f>"03/25/1993 00:00"</f>
        <v>03/25/1993 00:00</v>
      </c>
      <c r="C2734">
        <v>88</v>
      </c>
      <c r="D2734" t="s">
        <v>7</v>
      </c>
      <c r="E2734" s="2" t="s">
        <v>12</v>
      </c>
      <c r="F2734">
        <f t="shared" si="42"/>
        <v>174.50400000000002</v>
      </c>
      <c r="G2734" t="s">
        <v>16</v>
      </c>
      <c r="J2734" t="str">
        <f>"03/25/1993 23:00"</f>
        <v>03/25/1993 23:00</v>
      </c>
    </row>
    <row r="2735" spans="1:10" x14ac:dyDescent="0.3">
      <c r="A2735" t="s">
        <v>6</v>
      </c>
      <c r="B2735" t="str">
        <f>"03/26/1993 00:00"</f>
        <v>03/26/1993 00:00</v>
      </c>
      <c r="C2735">
        <v>102</v>
      </c>
      <c r="D2735" t="s">
        <v>7</v>
      </c>
      <c r="E2735" s="2" t="s">
        <v>12</v>
      </c>
      <c r="F2735">
        <f t="shared" si="42"/>
        <v>202.26600000000002</v>
      </c>
      <c r="G2735" t="s">
        <v>16</v>
      </c>
      <c r="J2735" t="str">
        <f>"03/26/1993 23:00"</f>
        <v>03/26/1993 23:00</v>
      </c>
    </row>
    <row r="2736" spans="1:10" x14ac:dyDescent="0.3">
      <c r="A2736" t="s">
        <v>6</v>
      </c>
      <c r="B2736" t="str">
        <f>"03/27/1993 00:00"</f>
        <v>03/27/1993 00:00</v>
      </c>
      <c r="C2736">
        <v>102</v>
      </c>
      <c r="D2736" t="s">
        <v>7</v>
      </c>
      <c r="E2736" s="2" t="s">
        <v>12</v>
      </c>
      <c r="F2736">
        <f t="shared" si="42"/>
        <v>202.26600000000002</v>
      </c>
      <c r="G2736" t="s">
        <v>16</v>
      </c>
      <c r="J2736" t="str">
        <f>"03/27/1993 23:00"</f>
        <v>03/27/1993 23:00</v>
      </c>
    </row>
    <row r="2737" spans="1:10" x14ac:dyDescent="0.3">
      <c r="A2737" t="s">
        <v>6</v>
      </c>
      <c r="B2737" t="str">
        <f>"03/28/1993 00:00"</f>
        <v>03/28/1993 00:00</v>
      </c>
      <c r="C2737">
        <v>102</v>
      </c>
      <c r="D2737" t="s">
        <v>7</v>
      </c>
      <c r="E2737" s="2" t="s">
        <v>12</v>
      </c>
      <c r="F2737">
        <f t="shared" si="42"/>
        <v>202.26600000000002</v>
      </c>
      <c r="G2737" t="s">
        <v>16</v>
      </c>
      <c r="J2737" t="str">
        <f>"03/28/1993 23:00"</f>
        <v>03/28/1993 23:00</v>
      </c>
    </row>
    <row r="2738" spans="1:10" x14ac:dyDescent="0.3">
      <c r="A2738" t="s">
        <v>6</v>
      </c>
      <c r="B2738" t="str">
        <f>"03/29/1993 00:00"</f>
        <v>03/29/1993 00:00</v>
      </c>
      <c r="C2738">
        <v>102</v>
      </c>
      <c r="D2738" t="s">
        <v>7</v>
      </c>
      <c r="E2738" s="2" t="s">
        <v>12</v>
      </c>
      <c r="F2738">
        <f t="shared" si="42"/>
        <v>202.26600000000002</v>
      </c>
      <c r="G2738" t="s">
        <v>16</v>
      </c>
      <c r="I2738" t="s">
        <v>8</v>
      </c>
      <c r="J2738" t="str">
        <f>"03/29/1993 05:00"</f>
        <v>03/29/1993 05:00</v>
      </c>
    </row>
    <row r="2739" spans="1:10" x14ac:dyDescent="0.3">
      <c r="A2739" t="s">
        <v>6</v>
      </c>
      <c r="B2739" t="str">
        <f>"03/30/1993 00:00"</f>
        <v>03/30/1993 00:00</v>
      </c>
      <c r="D2739" t="s">
        <v>7</v>
      </c>
      <c r="E2739" s="2" t="s">
        <v>12</v>
      </c>
      <c r="F2739">
        <f t="shared" si="42"/>
        <v>0</v>
      </c>
      <c r="G2739" t="s">
        <v>16</v>
      </c>
    </row>
    <row r="2740" spans="1:10" x14ac:dyDescent="0.3">
      <c r="A2740" t="s">
        <v>6</v>
      </c>
      <c r="B2740" t="str">
        <f>"03/31/1993 00:00"</f>
        <v>03/31/1993 00:00</v>
      </c>
      <c r="C2740">
        <v>106</v>
      </c>
      <c r="D2740" t="s">
        <v>7</v>
      </c>
      <c r="E2740" s="2" t="s">
        <v>12</v>
      </c>
      <c r="F2740">
        <f t="shared" si="42"/>
        <v>210.19800000000001</v>
      </c>
      <c r="G2740" t="s">
        <v>16</v>
      </c>
      <c r="J2740" t="str">
        <f>"03/31/1993 23:00"</f>
        <v>03/31/1993 23:00</v>
      </c>
    </row>
    <row r="2741" spans="1:10" x14ac:dyDescent="0.3">
      <c r="A2741" t="s">
        <v>6</v>
      </c>
      <c r="B2741" t="str">
        <f>"04/01/1993 00:00"</f>
        <v>04/01/1993 00:00</v>
      </c>
      <c r="C2741">
        <v>106</v>
      </c>
      <c r="D2741" t="s">
        <v>7</v>
      </c>
      <c r="E2741" s="2" t="s">
        <v>12</v>
      </c>
      <c r="F2741">
        <f t="shared" si="42"/>
        <v>210.19800000000001</v>
      </c>
      <c r="G2741" t="s">
        <v>16</v>
      </c>
      <c r="J2741" t="str">
        <f>"04/01/1993 23:00"</f>
        <v>04/01/1993 23:00</v>
      </c>
    </row>
    <row r="2742" spans="1:10" x14ac:dyDescent="0.3">
      <c r="A2742" t="s">
        <v>6</v>
      </c>
      <c r="B2742" t="str">
        <f>"04/02/1993 00:00"</f>
        <v>04/02/1993 00:00</v>
      </c>
      <c r="C2742">
        <v>106</v>
      </c>
      <c r="D2742" t="s">
        <v>7</v>
      </c>
      <c r="E2742" s="2" t="s">
        <v>12</v>
      </c>
      <c r="F2742">
        <f t="shared" si="42"/>
        <v>210.19800000000001</v>
      </c>
      <c r="G2742" t="s">
        <v>16</v>
      </c>
      <c r="I2742" t="s">
        <v>8</v>
      </c>
      <c r="J2742" t="str">
        <f>"04/02/1993 23:00"</f>
        <v>04/02/1993 23:00</v>
      </c>
    </row>
    <row r="2743" spans="1:10" x14ac:dyDescent="0.3">
      <c r="A2743" t="s">
        <v>6</v>
      </c>
      <c r="B2743" t="str">
        <f>"04/03/1993 00:00"</f>
        <v>04/03/1993 00:00</v>
      </c>
      <c r="C2743">
        <v>106</v>
      </c>
      <c r="D2743" t="s">
        <v>7</v>
      </c>
      <c r="E2743" s="2" t="s">
        <v>12</v>
      </c>
      <c r="F2743">
        <f t="shared" si="42"/>
        <v>210.19800000000001</v>
      </c>
      <c r="G2743" t="s">
        <v>16</v>
      </c>
      <c r="I2743" t="s">
        <v>35</v>
      </c>
      <c r="J2743" t="str">
        <f>"04/03/1993 05:00"</f>
        <v>04/03/1993 05:00</v>
      </c>
    </row>
    <row r="2744" spans="1:10" x14ac:dyDescent="0.3">
      <c r="A2744" t="s">
        <v>6</v>
      </c>
      <c r="B2744" t="str">
        <f>"04/04/1993 00:00"</f>
        <v>04/04/1993 00:00</v>
      </c>
      <c r="D2744" t="s">
        <v>7</v>
      </c>
      <c r="E2744" s="2" t="s">
        <v>12</v>
      </c>
      <c r="F2744">
        <f t="shared" si="42"/>
        <v>0</v>
      </c>
      <c r="G2744" t="s">
        <v>16</v>
      </c>
    </row>
    <row r="2745" spans="1:10" x14ac:dyDescent="0.3">
      <c r="A2745" t="s">
        <v>6</v>
      </c>
      <c r="B2745" t="str">
        <f>"04/05/1993 00:00"</f>
        <v>04/05/1993 00:00</v>
      </c>
      <c r="C2745">
        <v>103</v>
      </c>
      <c r="D2745" t="s">
        <v>7</v>
      </c>
      <c r="E2745" s="2" t="s">
        <v>12</v>
      </c>
      <c r="F2745">
        <f t="shared" si="42"/>
        <v>204.24900000000002</v>
      </c>
      <c r="G2745" t="s">
        <v>16</v>
      </c>
      <c r="J2745" t="str">
        <f>"04/05/1993 23:00"</f>
        <v>04/05/1993 23:00</v>
      </c>
    </row>
    <row r="2746" spans="1:10" x14ac:dyDescent="0.3">
      <c r="A2746" t="s">
        <v>6</v>
      </c>
      <c r="B2746" t="str">
        <f>"04/06/1993 00:00"</f>
        <v>04/06/1993 00:00</v>
      </c>
      <c r="C2746">
        <v>103</v>
      </c>
      <c r="D2746" t="s">
        <v>7</v>
      </c>
      <c r="E2746" s="2" t="s">
        <v>12</v>
      </c>
      <c r="F2746">
        <f t="shared" si="42"/>
        <v>204.24900000000002</v>
      </c>
      <c r="G2746" t="s">
        <v>16</v>
      </c>
      <c r="J2746" t="str">
        <f>"04/06/1993 23:00"</f>
        <v>04/06/1993 23:00</v>
      </c>
    </row>
    <row r="2747" spans="1:10" x14ac:dyDescent="0.3">
      <c r="A2747" t="s">
        <v>6</v>
      </c>
      <c r="B2747" t="str">
        <f>"04/07/1993 00:00"</f>
        <v>04/07/1993 00:00</v>
      </c>
      <c r="C2747">
        <v>103</v>
      </c>
      <c r="D2747" t="s">
        <v>7</v>
      </c>
      <c r="E2747" s="2" t="s">
        <v>12</v>
      </c>
      <c r="F2747">
        <f t="shared" si="42"/>
        <v>204.24900000000002</v>
      </c>
      <c r="G2747" t="s">
        <v>16</v>
      </c>
      <c r="J2747" t="str">
        <f>"04/07/1993 23:00"</f>
        <v>04/07/1993 23:00</v>
      </c>
    </row>
    <row r="2748" spans="1:10" x14ac:dyDescent="0.3">
      <c r="A2748" t="s">
        <v>6</v>
      </c>
      <c r="B2748" t="str">
        <f>"04/08/1993 00:00"</f>
        <v>04/08/1993 00:00</v>
      </c>
      <c r="C2748">
        <v>103</v>
      </c>
      <c r="D2748" t="s">
        <v>7</v>
      </c>
      <c r="E2748" s="2" t="s">
        <v>12</v>
      </c>
      <c r="F2748">
        <f t="shared" si="42"/>
        <v>204.24900000000002</v>
      </c>
      <c r="G2748" t="s">
        <v>16</v>
      </c>
      <c r="I2748" t="s">
        <v>8</v>
      </c>
      <c r="J2748" t="str">
        <f>"04/08/1993 23:00"</f>
        <v>04/08/1993 23:00</v>
      </c>
    </row>
    <row r="2749" spans="1:10" x14ac:dyDescent="0.3">
      <c r="A2749" t="s">
        <v>6</v>
      </c>
      <c r="B2749" t="str">
        <f>"04/09/1993 00:00"</f>
        <v>04/09/1993 00:00</v>
      </c>
      <c r="C2749">
        <v>103</v>
      </c>
      <c r="D2749" t="s">
        <v>7</v>
      </c>
      <c r="E2749" s="2" t="s">
        <v>12</v>
      </c>
      <c r="F2749">
        <f t="shared" si="42"/>
        <v>204.24900000000002</v>
      </c>
      <c r="G2749" t="s">
        <v>16</v>
      </c>
      <c r="I2749" t="s">
        <v>8</v>
      </c>
      <c r="J2749" t="str">
        <f>"04/09/1993 23:00"</f>
        <v>04/09/1993 23:00</v>
      </c>
    </row>
    <row r="2750" spans="1:10" x14ac:dyDescent="0.3">
      <c r="A2750" t="s">
        <v>6</v>
      </c>
      <c r="B2750" t="str">
        <f>"04/10/1993 00:00"</f>
        <v>04/10/1993 00:00</v>
      </c>
      <c r="C2750">
        <v>103</v>
      </c>
      <c r="D2750" t="s">
        <v>7</v>
      </c>
      <c r="E2750" s="2" t="s">
        <v>12</v>
      </c>
      <c r="F2750">
        <f t="shared" si="42"/>
        <v>204.24900000000002</v>
      </c>
      <c r="G2750" t="s">
        <v>16</v>
      </c>
      <c r="J2750" t="str">
        <f>"04/10/1993 23:00"</f>
        <v>04/10/1993 23:00</v>
      </c>
    </row>
    <row r="2751" spans="1:10" x14ac:dyDescent="0.3">
      <c r="A2751" t="s">
        <v>6</v>
      </c>
      <c r="B2751" t="str">
        <f>"04/11/1993 00:00"</f>
        <v>04/11/1993 00:00</v>
      </c>
      <c r="C2751">
        <v>103</v>
      </c>
      <c r="D2751" t="s">
        <v>7</v>
      </c>
      <c r="E2751" s="2" t="s">
        <v>12</v>
      </c>
      <c r="F2751">
        <f t="shared" si="42"/>
        <v>204.24900000000002</v>
      </c>
      <c r="G2751" t="s">
        <v>16</v>
      </c>
      <c r="J2751" t="str">
        <f>"04/11/1993 23:00"</f>
        <v>04/11/1993 23:00</v>
      </c>
    </row>
    <row r="2752" spans="1:10" x14ac:dyDescent="0.3">
      <c r="A2752" t="s">
        <v>6</v>
      </c>
      <c r="B2752" t="str">
        <f>"04/12/1993 00:00"</f>
        <v>04/12/1993 00:00</v>
      </c>
      <c r="C2752">
        <v>104</v>
      </c>
      <c r="D2752" t="s">
        <v>7</v>
      </c>
      <c r="E2752" s="2" t="s">
        <v>12</v>
      </c>
      <c r="F2752">
        <f t="shared" si="42"/>
        <v>206.232</v>
      </c>
      <c r="G2752" t="s">
        <v>16</v>
      </c>
      <c r="J2752" t="str">
        <f>"04/12/1993 10:00"</f>
        <v>04/12/1993 10:00</v>
      </c>
    </row>
    <row r="2753" spans="1:10" x14ac:dyDescent="0.3">
      <c r="A2753" t="s">
        <v>6</v>
      </c>
      <c r="B2753" t="str">
        <f>"04/13/1993 00:00"</f>
        <v>04/13/1993 00:00</v>
      </c>
      <c r="D2753" t="s">
        <v>7</v>
      </c>
      <c r="E2753" s="2" t="s">
        <v>12</v>
      </c>
      <c r="F2753">
        <f t="shared" si="42"/>
        <v>0</v>
      </c>
      <c r="G2753" t="s">
        <v>16</v>
      </c>
    </row>
    <row r="2754" spans="1:10" x14ac:dyDescent="0.3">
      <c r="A2754" t="s">
        <v>6</v>
      </c>
      <c r="B2754" t="str">
        <f>"04/14/1993 00:00"</f>
        <v>04/14/1993 00:00</v>
      </c>
      <c r="D2754" t="s">
        <v>7</v>
      </c>
      <c r="E2754" s="2" t="s">
        <v>12</v>
      </c>
      <c r="F2754">
        <f t="shared" si="42"/>
        <v>0</v>
      </c>
      <c r="G2754" t="s">
        <v>16</v>
      </c>
    </row>
    <row r="2755" spans="1:10" x14ac:dyDescent="0.3">
      <c r="A2755" t="s">
        <v>6</v>
      </c>
      <c r="B2755" t="str">
        <f>"04/15/1993 00:00"</f>
        <v>04/15/1993 00:00</v>
      </c>
      <c r="C2755">
        <v>103</v>
      </c>
      <c r="D2755" t="s">
        <v>7</v>
      </c>
      <c r="E2755" s="2" t="s">
        <v>12</v>
      </c>
      <c r="F2755">
        <f t="shared" ref="F2755:F2818" si="43">C2755*1.983</f>
        <v>204.24900000000002</v>
      </c>
      <c r="G2755" t="s">
        <v>16</v>
      </c>
      <c r="J2755" t="str">
        <f>"04/15/1993 23:00"</f>
        <v>04/15/1993 23:00</v>
      </c>
    </row>
    <row r="2756" spans="1:10" x14ac:dyDescent="0.3">
      <c r="A2756" t="s">
        <v>6</v>
      </c>
      <c r="B2756" t="str">
        <f>"04/16/1993 00:00"</f>
        <v>04/16/1993 00:00</v>
      </c>
      <c r="C2756">
        <v>105</v>
      </c>
      <c r="D2756" t="s">
        <v>7</v>
      </c>
      <c r="E2756" s="2" t="s">
        <v>12</v>
      </c>
      <c r="F2756">
        <f t="shared" si="43"/>
        <v>208.215</v>
      </c>
      <c r="G2756" t="s">
        <v>16</v>
      </c>
      <c r="I2756" t="s">
        <v>8</v>
      </c>
      <c r="J2756" t="str">
        <f>"04/16/1993 10:00"</f>
        <v>04/16/1993 10:00</v>
      </c>
    </row>
    <row r="2757" spans="1:10" x14ac:dyDescent="0.3">
      <c r="A2757" t="s">
        <v>6</v>
      </c>
      <c r="B2757" t="str">
        <f>"04/17/1993 00:00"</f>
        <v>04/17/1993 00:00</v>
      </c>
      <c r="C2757">
        <v>103</v>
      </c>
      <c r="D2757" t="s">
        <v>7</v>
      </c>
      <c r="E2757" s="2" t="s">
        <v>12</v>
      </c>
      <c r="F2757">
        <f t="shared" si="43"/>
        <v>204.24900000000002</v>
      </c>
      <c r="G2757" t="s">
        <v>16</v>
      </c>
      <c r="J2757" t="str">
        <f>"04/17/1993 23:00"</f>
        <v>04/17/1993 23:00</v>
      </c>
    </row>
    <row r="2758" spans="1:10" x14ac:dyDescent="0.3">
      <c r="A2758" t="s">
        <v>6</v>
      </c>
      <c r="B2758" t="str">
        <f>"04/18/1993 00:00"</f>
        <v>04/18/1993 00:00</v>
      </c>
      <c r="C2758">
        <v>102</v>
      </c>
      <c r="D2758" t="s">
        <v>7</v>
      </c>
      <c r="E2758" s="2" t="s">
        <v>12</v>
      </c>
      <c r="F2758">
        <f t="shared" si="43"/>
        <v>202.26600000000002</v>
      </c>
      <c r="G2758" t="s">
        <v>16</v>
      </c>
      <c r="J2758" t="str">
        <f>"04/18/1993 23:00"</f>
        <v>04/18/1993 23:00</v>
      </c>
    </row>
    <row r="2759" spans="1:10" x14ac:dyDescent="0.3">
      <c r="A2759" t="s">
        <v>6</v>
      </c>
      <c r="B2759" t="str">
        <f>"04/19/1993 00:00"</f>
        <v>04/19/1993 00:00</v>
      </c>
      <c r="C2759">
        <v>102</v>
      </c>
      <c r="D2759" t="s">
        <v>7</v>
      </c>
      <c r="E2759" s="2" t="s">
        <v>12</v>
      </c>
      <c r="F2759">
        <f t="shared" si="43"/>
        <v>202.26600000000002</v>
      </c>
      <c r="G2759" t="s">
        <v>16</v>
      </c>
      <c r="J2759" t="str">
        <f>"04/19/1993 02:00"</f>
        <v>04/19/1993 02:00</v>
      </c>
    </row>
    <row r="2760" spans="1:10" x14ac:dyDescent="0.3">
      <c r="A2760" t="s">
        <v>6</v>
      </c>
      <c r="B2760" t="str">
        <f>"04/20/1993 00:00"</f>
        <v>04/20/1993 00:00</v>
      </c>
      <c r="C2760">
        <v>7.61</v>
      </c>
      <c r="D2760" t="s">
        <v>7</v>
      </c>
      <c r="E2760" s="2" t="s">
        <v>12</v>
      </c>
      <c r="F2760">
        <f t="shared" si="43"/>
        <v>15.090630000000001</v>
      </c>
      <c r="G2760" t="s">
        <v>16</v>
      </c>
      <c r="J2760" t="str">
        <f>"04/20/1993 22:00"</f>
        <v>04/20/1993 22:00</v>
      </c>
    </row>
    <row r="2761" spans="1:10" x14ac:dyDescent="0.3">
      <c r="A2761" t="s">
        <v>6</v>
      </c>
      <c r="B2761" t="str">
        <f>"04/21/1993 00:00"</f>
        <v>04/21/1993 00:00</v>
      </c>
      <c r="C2761">
        <v>0.751</v>
      </c>
      <c r="D2761" t="s">
        <v>7</v>
      </c>
      <c r="E2761" s="2" t="s">
        <v>12</v>
      </c>
      <c r="F2761">
        <f t="shared" si="43"/>
        <v>1.489233</v>
      </c>
      <c r="G2761" t="s">
        <v>16</v>
      </c>
      <c r="J2761" t="str">
        <f>"04/21/1993 23:00"</f>
        <v>04/21/1993 23:00</v>
      </c>
    </row>
    <row r="2762" spans="1:10" x14ac:dyDescent="0.3">
      <c r="A2762" t="s">
        <v>6</v>
      </c>
      <c r="B2762" t="str">
        <f>"04/22/1993 00:00"</f>
        <v>04/22/1993 00:00</v>
      </c>
      <c r="C2762">
        <v>0</v>
      </c>
      <c r="D2762" t="s">
        <v>7</v>
      </c>
      <c r="E2762" s="2" t="s">
        <v>12</v>
      </c>
      <c r="F2762">
        <f t="shared" si="43"/>
        <v>0</v>
      </c>
      <c r="G2762" t="s">
        <v>16</v>
      </c>
      <c r="I2762" t="s">
        <v>8</v>
      </c>
      <c r="J2762" t="str">
        <f>"04/22/1993 23:00"</f>
        <v>04/22/1993 23:00</v>
      </c>
    </row>
    <row r="2763" spans="1:10" x14ac:dyDescent="0.3">
      <c r="A2763" t="s">
        <v>6</v>
      </c>
      <c r="B2763" t="str">
        <f>"04/23/1993 00:00"</f>
        <v>04/23/1993 00:00</v>
      </c>
      <c r="C2763">
        <v>0</v>
      </c>
      <c r="D2763" t="s">
        <v>7</v>
      </c>
      <c r="E2763" s="2" t="s">
        <v>12</v>
      </c>
      <c r="F2763">
        <f t="shared" si="43"/>
        <v>0</v>
      </c>
      <c r="G2763" t="s">
        <v>16</v>
      </c>
      <c r="I2763" t="s">
        <v>35</v>
      </c>
      <c r="J2763" t="str">
        <f>"04/23/1993 23:00"</f>
        <v>04/23/1993 23:00</v>
      </c>
    </row>
    <row r="2764" spans="1:10" x14ac:dyDescent="0.3">
      <c r="A2764" t="s">
        <v>6</v>
      </c>
      <c r="B2764" t="str">
        <f>"04/24/1993 00:00"</f>
        <v>04/24/1993 00:00</v>
      </c>
      <c r="C2764">
        <v>0</v>
      </c>
      <c r="D2764" t="s">
        <v>7</v>
      </c>
      <c r="E2764" s="2" t="s">
        <v>12</v>
      </c>
      <c r="F2764">
        <f t="shared" si="43"/>
        <v>0</v>
      </c>
      <c r="G2764" t="s">
        <v>16</v>
      </c>
      <c r="I2764" t="s">
        <v>35</v>
      </c>
      <c r="J2764" t="str">
        <f>"04/24/1993 23:00"</f>
        <v>04/24/1993 23:00</v>
      </c>
    </row>
    <row r="2765" spans="1:10" x14ac:dyDescent="0.3">
      <c r="A2765" t="s">
        <v>6</v>
      </c>
      <c r="B2765" t="str">
        <f>"04/25/1993 00:00"</f>
        <v>04/25/1993 00:00</v>
      </c>
      <c r="C2765">
        <v>0</v>
      </c>
      <c r="D2765" t="s">
        <v>7</v>
      </c>
      <c r="E2765" s="2" t="s">
        <v>12</v>
      </c>
      <c r="F2765">
        <f t="shared" si="43"/>
        <v>0</v>
      </c>
      <c r="G2765" t="s">
        <v>16</v>
      </c>
      <c r="I2765" t="s">
        <v>35</v>
      </c>
      <c r="J2765" t="str">
        <f>"04/25/1993 23:00"</f>
        <v>04/25/1993 23:00</v>
      </c>
    </row>
    <row r="2766" spans="1:10" x14ac:dyDescent="0.3">
      <c r="A2766" t="s">
        <v>6</v>
      </c>
      <c r="B2766" t="str">
        <f>"04/26/1993 00:00"</f>
        <v>04/26/1993 00:00</v>
      </c>
      <c r="C2766">
        <v>0</v>
      </c>
      <c r="D2766" t="s">
        <v>7</v>
      </c>
      <c r="E2766" s="2" t="s">
        <v>12</v>
      </c>
      <c r="F2766">
        <f t="shared" si="43"/>
        <v>0</v>
      </c>
      <c r="G2766" t="s">
        <v>16</v>
      </c>
      <c r="I2766" t="s">
        <v>35</v>
      </c>
      <c r="J2766" t="str">
        <f>"04/26/1993 23:00"</f>
        <v>04/26/1993 23:00</v>
      </c>
    </row>
    <row r="2767" spans="1:10" x14ac:dyDescent="0.3">
      <c r="A2767" t="s">
        <v>6</v>
      </c>
      <c r="B2767" t="str">
        <f>"04/27/1993 00:00"</f>
        <v>04/27/1993 00:00</v>
      </c>
      <c r="C2767">
        <v>0</v>
      </c>
      <c r="D2767" t="s">
        <v>7</v>
      </c>
      <c r="E2767" s="2" t="s">
        <v>12</v>
      </c>
      <c r="F2767">
        <f t="shared" si="43"/>
        <v>0</v>
      </c>
      <c r="G2767" t="s">
        <v>16</v>
      </c>
      <c r="I2767" t="s">
        <v>35</v>
      </c>
      <c r="J2767" t="str">
        <f>"04/27/1993 23:00"</f>
        <v>04/27/1993 23:00</v>
      </c>
    </row>
    <row r="2768" spans="1:10" x14ac:dyDescent="0.3">
      <c r="A2768" t="s">
        <v>6</v>
      </c>
      <c r="B2768" t="str">
        <f>"04/28/1993 00:00"</f>
        <v>04/28/1993 00:00</v>
      </c>
      <c r="C2768">
        <v>0</v>
      </c>
      <c r="D2768" t="s">
        <v>7</v>
      </c>
      <c r="E2768" s="2" t="s">
        <v>12</v>
      </c>
      <c r="F2768">
        <f t="shared" si="43"/>
        <v>0</v>
      </c>
      <c r="G2768" t="s">
        <v>16</v>
      </c>
      <c r="I2768" t="s">
        <v>35</v>
      </c>
      <c r="J2768" t="str">
        <f>"04/28/1993 23:00"</f>
        <v>04/28/1993 23:00</v>
      </c>
    </row>
    <row r="2769" spans="1:10" x14ac:dyDescent="0.3">
      <c r="A2769" t="s">
        <v>6</v>
      </c>
      <c r="B2769" t="str">
        <f>"04/29/1993 00:00"</f>
        <v>04/29/1993 00:00</v>
      </c>
      <c r="C2769">
        <v>0</v>
      </c>
      <c r="D2769" t="s">
        <v>7</v>
      </c>
      <c r="E2769" s="2" t="s">
        <v>12</v>
      </c>
      <c r="F2769">
        <f t="shared" si="43"/>
        <v>0</v>
      </c>
      <c r="G2769" t="s">
        <v>16</v>
      </c>
      <c r="I2769" t="s">
        <v>35</v>
      </c>
      <c r="J2769" t="str">
        <f>"04/29/1993 23:00"</f>
        <v>04/29/1993 23:00</v>
      </c>
    </row>
    <row r="2770" spans="1:10" x14ac:dyDescent="0.3">
      <c r="A2770" t="s">
        <v>6</v>
      </c>
      <c r="B2770" t="str">
        <f>"04/30/1993 00:00"</f>
        <v>04/30/1993 00:00</v>
      </c>
      <c r="C2770">
        <v>0</v>
      </c>
      <c r="D2770" t="s">
        <v>7</v>
      </c>
      <c r="E2770" s="2" t="s">
        <v>12</v>
      </c>
      <c r="F2770">
        <f t="shared" si="43"/>
        <v>0</v>
      </c>
      <c r="G2770" t="s">
        <v>16</v>
      </c>
      <c r="I2770" t="s">
        <v>35</v>
      </c>
      <c r="J2770" t="str">
        <f>"04/30/1993 23:00"</f>
        <v>04/30/1993 23:00</v>
      </c>
    </row>
    <row r="2771" spans="1:10" x14ac:dyDescent="0.3">
      <c r="A2771" t="s">
        <v>6</v>
      </c>
      <c r="B2771" t="str">
        <f>"05/01/1993 00:00"</f>
        <v>05/01/1993 00:00</v>
      </c>
      <c r="C2771">
        <v>0</v>
      </c>
      <c r="D2771" t="s">
        <v>7</v>
      </c>
      <c r="E2771" s="2" t="s">
        <v>12</v>
      </c>
      <c r="F2771">
        <f t="shared" si="43"/>
        <v>0</v>
      </c>
      <c r="G2771" t="s">
        <v>16</v>
      </c>
      <c r="I2771" t="s">
        <v>35</v>
      </c>
      <c r="J2771" t="str">
        <f>"05/01/1993 23:00"</f>
        <v>05/01/1993 23:00</v>
      </c>
    </row>
    <row r="2772" spans="1:10" x14ac:dyDescent="0.3">
      <c r="A2772" t="s">
        <v>6</v>
      </c>
      <c r="B2772" t="str">
        <f>"05/02/1993 00:00"</f>
        <v>05/02/1993 00:00</v>
      </c>
      <c r="C2772">
        <v>0</v>
      </c>
      <c r="D2772" t="s">
        <v>7</v>
      </c>
      <c r="E2772" s="2" t="s">
        <v>12</v>
      </c>
      <c r="F2772">
        <f t="shared" si="43"/>
        <v>0</v>
      </c>
      <c r="G2772" t="s">
        <v>16</v>
      </c>
      <c r="I2772" t="s">
        <v>35</v>
      </c>
      <c r="J2772" t="str">
        <f>"05/02/1993 23:00"</f>
        <v>05/02/1993 23:00</v>
      </c>
    </row>
    <row r="2773" spans="1:10" x14ac:dyDescent="0.3">
      <c r="A2773" t="s">
        <v>6</v>
      </c>
      <c r="B2773" t="str">
        <f>"05/03/1993 00:00"</f>
        <v>05/03/1993 00:00</v>
      </c>
      <c r="C2773">
        <v>0</v>
      </c>
      <c r="D2773" t="s">
        <v>7</v>
      </c>
      <c r="E2773" s="2" t="s">
        <v>12</v>
      </c>
      <c r="F2773">
        <f t="shared" si="43"/>
        <v>0</v>
      </c>
      <c r="G2773" t="s">
        <v>16</v>
      </c>
      <c r="I2773" t="s">
        <v>35</v>
      </c>
      <c r="J2773" t="str">
        <f>"05/03/1993 23:00"</f>
        <v>05/03/1993 23:00</v>
      </c>
    </row>
    <row r="2774" spans="1:10" x14ac:dyDescent="0.3">
      <c r="A2774" t="s">
        <v>6</v>
      </c>
      <c r="B2774" t="str">
        <f>"05/04/1993 00:00"</f>
        <v>05/04/1993 00:00</v>
      </c>
      <c r="C2774">
        <v>0</v>
      </c>
      <c r="D2774" t="s">
        <v>7</v>
      </c>
      <c r="E2774" s="2" t="s">
        <v>12</v>
      </c>
      <c r="F2774">
        <f t="shared" si="43"/>
        <v>0</v>
      </c>
      <c r="G2774" t="s">
        <v>16</v>
      </c>
      <c r="I2774" t="s">
        <v>35</v>
      </c>
      <c r="J2774" t="str">
        <f>"05/04/1993 23:00"</f>
        <v>05/04/1993 23:00</v>
      </c>
    </row>
    <row r="2775" spans="1:10" x14ac:dyDescent="0.3">
      <c r="A2775" t="s">
        <v>6</v>
      </c>
      <c r="B2775" t="str">
        <f>"05/05/1993 00:00"</f>
        <v>05/05/1993 00:00</v>
      </c>
      <c r="C2775">
        <v>0</v>
      </c>
      <c r="D2775" t="s">
        <v>7</v>
      </c>
      <c r="E2775" s="2" t="s">
        <v>12</v>
      </c>
      <c r="F2775">
        <f t="shared" si="43"/>
        <v>0</v>
      </c>
      <c r="G2775" t="s">
        <v>16</v>
      </c>
      <c r="I2775" t="s">
        <v>8</v>
      </c>
      <c r="J2775" t="str">
        <f>"05/05/1993 23:00"</f>
        <v>05/05/1993 23:00</v>
      </c>
    </row>
    <row r="2776" spans="1:10" x14ac:dyDescent="0.3">
      <c r="A2776" t="s">
        <v>6</v>
      </c>
      <c r="B2776" t="str">
        <f>"05/06/1993 00:00"</f>
        <v>05/06/1993 00:00</v>
      </c>
      <c r="C2776">
        <v>0</v>
      </c>
      <c r="D2776" t="s">
        <v>7</v>
      </c>
      <c r="E2776" s="2" t="s">
        <v>12</v>
      </c>
      <c r="F2776">
        <f t="shared" si="43"/>
        <v>0</v>
      </c>
      <c r="G2776" t="s">
        <v>16</v>
      </c>
      <c r="J2776" t="str">
        <f>"05/06/1993 23:00"</f>
        <v>05/06/1993 23:00</v>
      </c>
    </row>
    <row r="2777" spans="1:10" x14ac:dyDescent="0.3">
      <c r="A2777" t="s">
        <v>6</v>
      </c>
      <c r="B2777" t="str">
        <f>"05/07/1993 00:00"</f>
        <v>05/07/1993 00:00</v>
      </c>
      <c r="C2777">
        <v>0</v>
      </c>
      <c r="D2777" t="s">
        <v>7</v>
      </c>
      <c r="E2777" s="2" t="s">
        <v>12</v>
      </c>
      <c r="F2777">
        <f t="shared" si="43"/>
        <v>0</v>
      </c>
      <c r="G2777" t="s">
        <v>16</v>
      </c>
      <c r="I2777" t="s">
        <v>8</v>
      </c>
      <c r="J2777" t="str">
        <f>"05/07/1993 23:00"</f>
        <v>05/07/1993 23:00</v>
      </c>
    </row>
    <row r="2778" spans="1:10" x14ac:dyDescent="0.3">
      <c r="A2778" t="s">
        <v>6</v>
      </c>
      <c r="B2778" t="str">
        <f>"05/08/1993 00:00"</f>
        <v>05/08/1993 00:00</v>
      </c>
      <c r="C2778">
        <v>0</v>
      </c>
      <c r="D2778" t="s">
        <v>7</v>
      </c>
      <c r="E2778" s="2" t="s">
        <v>12</v>
      </c>
      <c r="F2778">
        <f t="shared" si="43"/>
        <v>0</v>
      </c>
      <c r="G2778" t="s">
        <v>16</v>
      </c>
      <c r="I2778" t="s">
        <v>35</v>
      </c>
      <c r="J2778" t="str">
        <f>"05/08/1993 23:00"</f>
        <v>05/08/1993 23:00</v>
      </c>
    </row>
    <row r="2779" spans="1:10" x14ac:dyDescent="0.3">
      <c r="A2779" t="s">
        <v>6</v>
      </c>
      <c r="B2779" t="str">
        <f>"05/09/1993 00:00"</f>
        <v>05/09/1993 00:00</v>
      </c>
      <c r="C2779">
        <v>0</v>
      </c>
      <c r="D2779" t="s">
        <v>7</v>
      </c>
      <c r="E2779" s="2" t="s">
        <v>12</v>
      </c>
      <c r="F2779">
        <f t="shared" si="43"/>
        <v>0</v>
      </c>
      <c r="G2779" t="s">
        <v>16</v>
      </c>
      <c r="I2779" t="s">
        <v>35</v>
      </c>
      <c r="J2779" t="str">
        <f>"05/09/1993 23:00"</f>
        <v>05/09/1993 23:00</v>
      </c>
    </row>
    <row r="2780" spans="1:10" x14ac:dyDescent="0.3">
      <c r="A2780" t="s">
        <v>6</v>
      </c>
      <c r="B2780" t="str">
        <f>"05/10/1993 00:00"</f>
        <v>05/10/1993 00:00</v>
      </c>
      <c r="C2780">
        <v>0</v>
      </c>
      <c r="D2780" t="s">
        <v>7</v>
      </c>
      <c r="E2780" s="2" t="s">
        <v>12</v>
      </c>
      <c r="F2780">
        <f t="shared" si="43"/>
        <v>0</v>
      </c>
      <c r="G2780" t="s">
        <v>16</v>
      </c>
      <c r="I2780" t="s">
        <v>35</v>
      </c>
      <c r="J2780" t="str">
        <f>"05/10/1993 23:00"</f>
        <v>05/10/1993 23:00</v>
      </c>
    </row>
    <row r="2781" spans="1:10" x14ac:dyDescent="0.3">
      <c r="A2781" t="s">
        <v>6</v>
      </c>
      <c r="B2781" t="str">
        <f>"05/11/1993 00:00"</f>
        <v>05/11/1993 00:00</v>
      </c>
      <c r="C2781">
        <v>5.73</v>
      </c>
      <c r="D2781" t="s">
        <v>7</v>
      </c>
      <c r="E2781" s="2" t="s">
        <v>12</v>
      </c>
      <c r="F2781">
        <f t="shared" si="43"/>
        <v>11.362590000000001</v>
      </c>
      <c r="G2781" t="s">
        <v>16</v>
      </c>
      <c r="I2781" t="s">
        <v>8</v>
      </c>
      <c r="J2781" t="str">
        <f>"05/11/1993 23:00"</f>
        <v>05/11/1993 23:00</v>
      </c>
    </row>
    <row r="2782" spans="1:10" x14ac:dyDescent="0.3">
      <c r="A2782" t="s">
        <v>6</v>
      </c>
      <c r="B2782" t="str">
        <f>"05/12/1993 00:00"</f>
        <v>05/12/1993 00:00</v>
      </c>
      <c r="C2782">
        <v>21.3</v>
      </c>
      <c r="D2782" t="s">
        <v>7</v>
      </c>
      <c r="E2782" s="2" t="s">
        <v>12</v>
      </c>
      <c r="F2782">
        <f t="shared" si="43"/>
        <v>42.237900000000003</v>
      </c>
      <c r="G2782" t="s">
        <v>16</v>
      </c>
      <c r="J2782" t="str">
        <f>"05/12/1993 23:00"</f>
        <v>05/12/1993 23:00</v>
      </c>
    </row>
    <row r="2783" spans="1:10" x14ac:dyDescent="0.3">
      <c r="A2783" t="s">
        <v>6</v>
      </c>
      <c r="B2783" t="str">
        <f>"05/13/1993 00:00"</f>
        <v>05/13/1993 00:00</v>
      </c>
      <c r="C2783">
        <v>15.8</v>
      </c>
      <c r="D2783" t="s">
        <v>7</v>
      </c>
      <c r="E2783" s="2" t="s">
        <v>12</v>
      </c>
      <c r="F2783">
        <f t="shared" si="43"/>
        <v>31.331400000000002</v>
      </c>
      <c r="G2783" t="s">
        <v>16</v>
      </c>
      <c r="J2783" t="str">
        <f>"05/13/1993 23:00"</f>
        <v>05/13/1993 23:00</v>
      </c>
    </row>
    <row r="2784" spans="1:10" x14ac:dyDescent="0.3">
      <c r="A2784" t="s">
        <v>6</v>
      </c>
      <c r="B2784" t="str">
        <f>"05/14/1993 00:00"</f>
        <v>05/14/1993 00:00</v>
      </c>
      <c r="C2784">
        <v>0</v>
      </c>
      <c r="D2784" t="s">
        <v>7</v>
      </c>
      <c r="E2784" s="2" t="s">
        <v>12</v>
      </c>
      <c r="F2784">
        <f t="shared" si="43"/>
        <v>0</v>
      </c>
      <c r="G2784" t="s">
        <v>16</v>
      </c>
      <c r="I2784" t="s">
        <v>8</v>
      </c>
      <c r="J2784" t="str">
        <f>"05/14/1993 23:00"</f>
        <v>05/14/1993 23:00</v>
      </c>
    </row>
    <row r="2785" spans="1:10" x14ac:dyDescent="0.3">
      <c r="A2785" t="s">
        <v>6</v>
      </c>
      <c r="B2785" t="str">
        <f>"05/15/1993 00:00"</f>
        <v>05/15/1993 00:00</v>
      </c>
      <c r="C2785">
        <v>0</v>
      </c>
      <c r="D2785" t="s">
        <v>7</v>
      </c>
      <c r="E2785" s="2" t="s">
        <v>12</v>
      </c>
      <c r="F2785">
        <f t="shared" si="43"/>
        <v>0</v>
      </c>
      <c r="G2785" t="s">
        <v>16</v>
      </c>
      <c r="I2785" t="s">
        <v>8</v>
      </c>
      <c r="J2785" t="str">
        <f>"05/15/1993 23:00"</f>
        <v>05/15/1993 23:00</v>
      </c>
    </row>
    <row r="2786" spans="1:10" x14ac:dyDescent="0.3">
      <c r="A2786" t="s">
        <v>6</v>
      </c>
      <c r="B2786" t="str">
        <f>"05/16/1993 00:00"</f>
        <v>05/16/1993 00:00</v>
      </c>
      <c r="C2786">
        <v>0</v>
      </c>
      <c r="D2786" t="s">
        <v>7</v>
      </c>
      <c r="E2786" s="2" t="s">
        <v>12</v>
      </c>
      <c r="F2786">
        <f t="shared" si="43"/>
        <v>0</v>
      </c>
      <c r="G2786" t="s">
        <v>16</v>
      </c>
      <c r="I2786" t="s">
        <v>35</v>
      </c>
      <c r="J2786" t="str">
        <f>"05/16/1993 23:00"</f>
        <v>05/16/1993 23:00</v>
      </c>
    </row>
    <row r="2787" spans="1:10" x14ac:dyDescent="0.3">
      <c r="A2787" t="s">
        <v>6</v>
      </c>
      <c r="B2787" t="str">
        <f>"05/17/1993 00:00"</f>
        <v>05/17/1993 00:00</v>
      </c>
      <c r="C2787">
        <v>0</v>
      </c>
      <c r="D2787" t="s">
        <v>7</v>
      </c>
      <c r="E2787" s="2" t="s">
        <v>12</v>
      </c>
      <c r="F2787">
        <f t="shared" si="43"/>
        <v>0</v>
      </c>
      <c r="G2787" t="s">
        <v>16</v>
      </c>
      <c r="I2787" t="s">
        <v>8</v>
      </c>
      <c r="J2787" t="str">
        <f>"05/17/1993 23:00"</f>
        <v>05/17/1993 23:00</v>
      </c>
    </row>
    <row r="2788" spans="1:10" x14ac:dyDescent="0.3">
      <c r="A2788" t="s">
        <v>6</v>
      </c>
      <c r="B2788" t="str">
        <f>"05/18/1993 00:00"</f>
        <v>05/18/1993 00:00</v>
      </c>
      <c r="C2788">
        <v>0</v>
      </c>
      <c r="D2788" t="s">
        <v>7</v>
      </c>
      <c r="E2788" s="2" t="s">
        <v>12</v>
      </c>
      <c r="F2788">
        <f t="shared" si="43"/>
        <v>0</v>
      </c>
      <c r="G2788" t="s">
        <v>16</v>
      </c>
      <c r="I2788" t="s">
        <v>8</v>
      </c>
      <c r="J2788" t="str">
        <f>"05/18/1993 23:00"</f>
        <v>05/18/1993 23:00</v>
      </c>
    </row>
    <row r="2789" spans="1:10" x14ac:dyDescent="0.3">
      <c r="A2789" t="s">
        <v>6</v>
      </c>
      <c r="B2789" t="str">
        <f>"05/19/1993 00:00"</f>
        <v>05/19/1993 00:00</v>
      </c>
      <c r="C2789">
        <v>0</v>
      </c>
      <c r="D2789" t="s">
        <v>7</v>
      </c>
      <c r="E2789" s="2" t="s">
        <v>12</v>
      </c>
      <c r="F2789">
        <f t="shared" si="43"/>
        <v>0</v>
      </c>
      <c r="G2789" t="s">
        <v>16</v>
      </c>
      <c r="I2789" t="s">
        <v>8</v>
      </c>
      <c r="J2789" t="str">
        <f>"05/19/1993 23:00"</f>
        <v>05/19/1993 23:00</v>
      </c>
    </row>
    <row r="2790" spans="1:10" x14ac:dyDescent="0.3">
      <c r="A2790" t="s">
        <v>6</v>
      </c>
      <c r="B2790" t="str">
        <f>"05/20/1993 00:00"</f>
        <v>05/20/1993 00:00</v>
      </c>
      <c r="C2790">
        <v>93.3</v>
      </c>
      <c r="D2790" t="s">
        <v>7</v>
      </c>
      <c r="E2790" s="2" t="s">
        <v>12</v>
      </c>
      <c r="F2790">
        <f t="shared" si="43"/>
        <v>185.01390000000001</v>
      </c>
      <c r="G2790" t="s">
        <v>16</v>
      </c>
      <c r="J2790" t="str">
        <f>"05/20/1993 23:00"</f>
        <v>05/20/1993 23:00</v>
      </c>
    </row>
    <row r="2791" spans="1:10" x14ac:dyDescent="0.3">
      <c r="A2791" t="s">
        <v>6</v>
      </c>
      <c r="B2791" t="str">
        <f>"05/21/1993 00:00"</f>
        <v>05/21/1993 00:00</v>
      </c>
      <c r="C2791">
        <v>200</v>
      </c>
      <c r="D2791" t="s">
        <v>7</v>
      </c>
      <c r="E2791" s="2" t="s">
        <v>12</v>
      </c>
      <c r="F2791">
        <f t="shared" si="43"/>
        <v>396.6</v>
      </c>
      <c r="G2791" t="s">
        <v>16</v>
      </c>
      <c r="J2791" t="str">
        <f>"05/21/1993 23:00"</f>
        <v>05/21/1993 23:00</v>
      </c>
    </row>
    <row r="2792" spans="1:10" x14ac:dyDescent="0.3">
      <c r="A2792" t="s">
        <v>6</v>
      </c>
      <c r="B2792" t="str">
        <f>"05/22/1993 00:00"</f>
        <v>05/22/1993 00:00</v>
      </c>
      <c r="C2792">
        <v>218</v>
      </c>
      <c r="D2792" t="s">
        <v>7</v>
      </c>
      <c r="E2792" s="2" t="s">
        <v>12</v>
      </c>
      <c r="F2792">
        <f t="shared" si="43"/>
        <v>432.29400000000004</v>
      </c>
      <c r="G2792" t="s">
        <v>16</v>
      </c>
      <c r="J2792" t="str">
        <f>"05/22/1993 23:00"</f>
        <v>05/22/1993 23:00</v>
      </c>
    </row>
    <row r="2793" spans="1:10" x14ac:dyDescent="0.3">
      <c r="A2793" t="s">
        <v>6</v>
      </c>
      <c r="B2793" t="str">
        <f>"05/23/1993 00:00"</f>
        <v>05/23/1993 00:00</v>
      </c>
      <c r="C2793">
        <v>209</v>
      </c>
      <c r="D2793" t="s">
        <v>7</v>
      </c>
      <c r="E2793" s="2" t="s">
        <v>12</v>
      </c>
      <c r="F2793">
        <f t="shared" si="43"/>
        <v>414.447</v>
      </c>
      <c r="G2793" t="s">
        <v>16</v>
      </c>
      <c r="J2793" t="str">
        <f>"05/23/1993 23:00"</f>
        <v>05/23/1993 23:00</v>
      </c>
    </row>
    <row r="2794" spans="1:10" x14ac:dyDescent="0.3">
      <c r="A2794" t="s">
        <v>6</v>
      </c>
      <c r="B2794" t="str">
        <f>"05/24/1993 00:00"</f>
        <v>05/24/1993 00:00</v>
      </c>
      <c r="C2794">
        <v>190</v>
      </c>
      <c r="D2794" t="s">
        <v>7</v>
      </c>
      <c r="E2794" s="2" t="s">
        <v>12</v>
      </c>
      <c r="F2794">
        <f t="shared" si="43"/>
        <v>376.77000000000004</v>
      </c>
      <c r="G2794" t="s">
        <v>16</v>
      </c>
      <c r="J2794" t="str">
        <f>"05/24/1993 23:00"</f>
        <v>05/24/1993 23:00</v>
      </c>
    </row>
    <row r="2795" spans="1:10" x14ac:dyDescent="0.3">
      <c r="A2795" t="s">
        <v>6</v>
      </c>
      <c r="B2795" t="str">
        <f>"05/25/1993 00:00"</f>
        <v>05/25/1993 00:00</v>
      </c>
      <c r="C2795">
        <v>10.1</v>
      </c>
      <c r="D2795" t="s">
        <v>7</v>
      </c>
      <c r="E2795" s="2" t="s">
        <v>12</v>
      </c>
      <c r="F2795">
        <f t="shared" si="43"/>
        <v>20.028300000000002</v>
      </c>
      <c r="G2795" t="s">
        <v>16</v>
      </c>
      <c r="J2795" t="str">
        <f>"05/25/1993 23:00"</f>
        <v>05/25/1993 23:00</v>
      </c>
    </row>
    <row r="2796" spans="1:10" x14ac:dyDescent="0.3">
      <c r="A2796" t="s">
        <v>6</v>
      </c>
      <c r="B2796" t="str">
        <f>"05/26/1993 00:00"</f>
        <v>05/26/1993 00:00</v>
      </c>
      <c r="C2796">
        <v>0</v>
      </c>
      <c r="D2796" t="s">
        <v>7</v>
      </c>
      <c r="E2796" s="2" t="s">
        <v>12</v>
      </c>
      <c r="F2796">
        <f t="shared" si="43"/>
        <v>0</v>
      </c>
      <c r="G2796" t="s">
        <v>16</v>
      </c>
      <c r="I2796" t="s">
        <v>8</v>
      </c>
      <c r="J2796" t="str">
        <f>"05/26/1993 23:00"</f>
        <v>05/26/1993 23:00</v>
      </c>
    </row>
    <row r="2797" spans="1:10" x14ac:dyDescent="0.3">
      <c r="A2797" t="s">
        <v>6</v>
      </c>
      <c r="B2797" t="str">
        <f>"05/27/1993 00:00"</f>
        <v>05/27/1993 00:00</v>
      </c>
      <c r="C2797">
        <v>22.2</v>
      </c>
      <c r="D2797" t="s">
        <v>7</v>
      </c>
      <c r="E2797" s="2" t="s">
        <v>12</v>
      </c>
      <c r="F2797">
        <f t="shared" si="43"/>
        <v>44.022600000000004</v>
      </c>
      <c r="G2797" t="s">
        <v>16</v>
      </c>
      <c r="I2797" t="s">
        <v>8</v>
      </c>
      <c r="J2797" t="str">
        <f>"05/27/1993 23:00"</f>
        <v>05/27/1993 23:00</v>
      </c>
    </row>
    <row r="2798" spans="1:10" x14ac:dyDescent="0.3">
      <c r="A2798" t="s">
        <v>6</v>
      </c>
      <c r="B2798" t="str">
        <f>"05/28/1993 00:00"</f>
        <v>05/28/1993 00:00</v>
      </c>
      <c r="C2798">
        <v>118</v>
      </c>
      <c r="D2798" t="s">
        <v>7</v>
      </c>
      <c r="E2798" s="2" t="s">
        <v>12</v>
      </c>
      <c r="F2798">
        <f t="shared" si="43"/>
        <v>233.994</v>
      </c>
      <c r="G2798" t="s">
        <v>16</v>
      </c>
      <c r="J2798" t="str">
        <f>"05/28/1993 23:00"</f>
        <v>05/28/1993 23:00</v>
      </c>
    </row>
    <row r="2799" spans="1:10" x14ac:dyDescent="0.3">
      <c r="A2799" t="s">
        <v>6</v>
      </c>
      <c r="B2799" t="str">
        <f>"05/29/1993 00:00"</f>
        <v>05/29/1993 00:00</v>
      </c>
      <c r="C2799">
        <v>219</v>
      </c>
      <c r="D2799" t="s">
        <v>7</v>
      </c>
      <c r="E2799" s="2" t="s">
        <v>12</v>
      </c>
      <c r="F2799">
        <f t="shared" si="43"/>
        <v>434.27700000000004</v>
      </c>
      <c r="G2799" t="s">
        <v>16</v>
      </c>
      <c r="J2799" t="str">
        <f>"05/29/1993 23:00"</f>
        <v>05/29/1993 23:00</v>
      </c>
    </row>
    <row r="2800" spans="1:10" x14ac:dyDescent="0.3">
      <c r="A2800" t="s">
        <v>6</v>
      </c>
      <c r="B2800" t="str">
        <f>"05/30/1993 00:00"</f>
        <v>05/30/1993 00:00</v>
      </c>
      <c r="C2800">
        <v>218</v>
      </c>
      <c r="D2800" t="s">
        <v>7</v>
      </c>
      <c r="E2800" s="2" t="s">
        <v>12</v>
      </c>
      <c r="F2800">
        <f t="shared" si="43"/>
        <v>432.29400000000004</v>
      </c>
      <c r="G2800" t="s">
        <v>16</v>
      </c>
      <c r="J2800" t="str">
        <f>"05/30/1993 23:00"</f>
        <v>05/30/1993 23:00</v>
      </c>
    </row>
    <row r="2801" spans="1:10" x14ac:dyDescent="0.3">
      <c r="A2801" t="s">
        <v>6</v>
      </c>
      <c r="B2801" t="str">
        <f>"05/31/1993 00:00"</f>
        <v>05/31/1993 00:00</v>
      </c>
      <c r="C2801">
        <v>218</v>
      </c>
      <c r="D2801" t="s">
        <v>7</v>
      </c>
      <c r="E2801" s="2" t="s">
        <v>12</v>
      </c>
      <c r="F2801">
        <f t="shared" si="43"/>
        <v>432.29400000000004</v>
      </c>
      <c r="G2801" t="s">
        <v>16</v>
      </c>
      <c r="J2801" t="str">
        <f>"05/31/1993 23:00"</f>
        <v>05/31/1993 23:00</v>
      </c>
    </row>
    <row r="2802" spans="1:10" x14ac:dyDescent="0.3">
      <c r="A2802" t="s">
        <v>6</v>
      </c>
      <c r="B2802" t="str">
        <f>"06/01/1993 00:00"</f>
        <v>06/01/1993 00:00</v>
      </c>
      <c r="C2802">
        <v>217</v>
      </c>
      <c r="D2802" t="s">
        <v>7</v>
      </c>
      <c r="E2802" s="2" t="s">
        <v>12</v>
      </c>
      <c r="F2802">
        <f t="shared" si="43"/>
        <v>430.31100000000004</v>
      </c>
      <c r="G2802" t="s">
        <v>16</v>
      </c>
      <c r="J2802" t="str">
        <f>"06/01/1993 23:00"</f>
        <v>06/01/1993 23:00</v>
      </c>
    </row>
    <row r="2803" spans="1:10" x14ac:dyDescent="0.3">
      <c r="A2803" t="s">
        <v>6</v>
      </c>
      <c r="B2803" t="str">
        <f>"06/02/1993 00:00"</f>
        <v>06/02/1993 00:00</v>
      </c>
      <c r="C2803">
        <v>283</v>
      </c>
      <c r="D2803" t="s">
        <v>7</v>
      </c>
      <c r="E2803" s="2" t="s">
        <v>12</v>
      </c>
      <c r="F2803">
        <f t="shared" si="43"/>
        <v>561.18900000000008</v>
      </c>
      <c r="G2803" t="s">
        <v>16</v>
      </c>
      <c r="J2803" t="str">
        <f>"06/02/1993 23:00"</f>
        <v>06/02/1993 23:00</v>
      </c>
    </row>
    <row r="2804" spans="1:10" x14ac:dyDescent="0.3">
      <c r="A2804" t="s">
        <v>6</v>
      </c>
      <c r="B2804" t="str">
        <f>"06/03/1993 00:00"</f>
        <v>06/03/1993 00:00</v>
      </c>
      <c r="C2804">
        <v>349</v>
      </c>
      <c r="D2804" t="s">
        <v>7</v>
      </c>
      <c r="E2804" s="2" t="s">
        <v>12</v>
      </c>
      <c r="F2804">
        <f t="shared" si="43"/>
        <v>692.06700000000001</v>
      </c>
      <c r="G2804" t="s">
        <v>16</v>
      </c>
      <c r="J2804" t="str">
        <f>"06/03/1993 23:00"</f>
        <v>06/03/1993 23:00</v>
      </c>
    </row>
    <row r="2805" spans="1:10" x14ac:dyDescent="0.3">
      <c r="A2805" t="s">
        <v>6</v>
      </c>
      <c r="B2805" t="str">
        <f>"06/04/1993 00:00"</f>
        <v>06/04/1993 00:00</v>
      </c>
      <c r="C2805">
        <v>253</v>
      </c>
      <c r="D2805" t="s">
        <v>7</v>
      </c>
      <c r="E2805" s="2" t="s">
        <v>12</v>
      </c>
      <c r="F2805">
        <f t="shared" si="43"/>
        <v>501.69900000000001</v>
      </c>
      <c r="G2805" t="s">
        <v>16</v>
      </c>
      <c r="J2805" t="str">
        <f>"06/04/1993 23:00"</f>
        <v>06/04/1993 23:00</v>
      </c>
    </row>
    <row r="2806" spans="1:10" x14ac:dyDescent="0.3">
      <c r="A2806" t="s">
        <v>6</v>
      </c>
      <c r="B2806" t="str">
        <f>"06/05/1993 00:00"</f>
        <v>06/05/1993 00:00</v>
      </c>
      <c r="C2806">
        <v>234</v>
      </c>
      <c r="D2806" t="s">
        <v>7</v>
      </c>
      <c r="E2806" s="2" t="s">
        <v>12</v>
      </c>
      <c r="F2806">
        <f t="shared" si="43"/>
        <v>464.02200000000005</v>
      </c>
      <c r="G2806" t="s">
        <v>16</v>
      </c>
      <c r="J2806" t="str">
        <f>"06/05/1993 23:00"</f>
        <v>06/05/1993 23:00</v>
      </c>
    </row>
    <row r="2807" spans="1:10" x14ac:dyDescent="0.3">
      <c r="A2807" t="s">
        <v>6</v>
      </c>
      <c r="B2807" t="str">
        <f>"06/06/1993 00:00"</f>
        <v>06/06/1993 00:00</v>
      </c>
      <c r="C2807">
        <v>269</v>
      </c>
      <c r="D2807" t="s">
        <v>7</v>
      </c>
      <c r="E2807" s="2" t="s">
        <v>12</v>
      </c>
      <c r="F2807">
        <f t="shared" si="43"/>
        <v>533.42700000000002</v>
      </c>
      <c r="G2807" t="s">
        <v>16</v>
      </c>
      <c r="I2807" t="s">
        <v>8</v>
      </c>
      <c r="J2807" t="str">
        <f>"06/06/1993 23:00"</f>
        <v>06/06/1993 23:00</v>
      </c>
    </row>
    <row r="2808" spans="1:10" x14ac:dyDescent="0.3">
      <c r="A2808" t="s">
        <v>6</v>
      </c>
      <c r="B2808" t="str">
        <f>"06/07/1993 00:00"</f>
        <v>06/07/1993 00:00</v>
      </c>
      <c r="C2808">
        <v>289</v>
      </c>
      <c r="D2808" t="s">
        <v>7</v>
      </c>
      <c r="E2808" s="2" t="s">
        <v>12</v>
      </c>
      <c r="F2808">
        <f t="shared" si="43"/>
        <v>573.08699999999999</v>
      </c>
      <c r="G2808" t="s">
        <v>16</v>
      </c>
      <c r="I2808" t="s">
        <v>8</v>
      </c>
      <c r="J2808" t="str">
        <f>"06/07/1993 23:00"</f>
        <v>06/07/1993 23:00</v>
      </c>
    </row>
    <row r="2809" spans="1:10" x14ac:dyDescent="0.3">
      <c r="A2809" t="s">
        <v>6</v>
      </c>
      <c r="B2809" t="str">
        <f>"06/08/1993 00:00"</f>
        <v>06/08/1993 00:00</v>
      </c>
      <c r="C2809">
        <v>377</v>
      </c>
      <c r="D2809" t="s">
        <v>7</v>
      </c>
      <c r="E2809" s="2" t="s">
        <v>12</v>
      </c>
      <c r="F2809">
        <f t="shared" si="43"/>
        <v>747.59100000000001</v>
      </c>
      <c r="G2809" t="s">
        <v>16</v>
      </c>
      <c r="J2809" t="str">
        <f>"06/08/1993 23:00"</f>
        <v>06/08/1993 23:00</v>
      </c>
    </row>
    <row r="2810" spans="1:10" x14ac:dyDescent="0.3">
      <c r="A2810" t="s">
        <v>6</v>
      </c>
      <c r="B2810" t="str">
        <f>"06/09/1993 00:00"</f>
        <v>06/09/1993 00:00</v>
      </c>
      <c r="C2810">
        <v>423</v>
      </c>
      <c r="D2810" t="s">
        <v>7</v>
      </c>
      <c r="E2810" s="2" t="s">
        <v>12</v>
      </c>
      <c r="F2810">
        <f t="shared" si="43"/>
        <v>838.80900000000008</v>
      </c>
      <c r="G2810" t="s">
        <v>16</v>
      </c>
      <c r="J2810" t="str">
        <f>"06/09/1993 23:00"</f>
        <v>06/09/1993 23:00</v>
      </c>
    </row>
    <row r="2811" spans="1:10" x14ac:dyDescent="0.3">
      <c r="A2811" t="s">
        <v>6</v>
      </c>
      <c r="B2811" t="str">
        <f>"06/10/1993 00:00"</f>
        <v>06/10/1993 00:00</v>
      </c>
      <c r="C2811">
        <v>451</v>
      </c>
      <c r="D2811" t="s">
        <v>7</v>
      </c>
      <c r="E2811" s="2" t="s">
        <v>12</v>
      </c>
      <c r="F2811">
        <f t="shared" si="43"/>
        <v>894.33300000000008</v>
      </c>
      <c r="G2811" t="s">
        <v>16</v>
      </c>
      <c r="J2811" t="str">
        <f>"06/10/1993 23:00"</f>
        <v>06/10/1993 23:00</v>
      </c>
    </row>
    <row r="2812" spans="1:10" x14ac:dyDescent="0.3">
      <c r="A2812" t="s">
        <v>6</v>
      </c>
      <c r="B2812" t="str">
        <f>"06/11/1993 00:00"</f>
        <v>06/11/1993 00:00</v>
      </c>
      <c r="C2812">
        <v>375</v>
      </c>
      <c r="D2812" t="s">
        <v>7</v>
      </c>
      <c r="E2812" s="2" t="s">
        <v>12</v>
      </c>
      <c r="F2812">
        <f t="shared" si="43"/>
        <v>743.625</v>
      </c>
      <c r="G2812" t="s">
        <v>16</v>
      </c>
      <c r="J2812" t="str">
        <f>"06/11/1993 23:00"</f>
        <v>06/11/1993 23:00</v>
      </c>
    </row>
    <row r="2813" spans="1:10" x14ac:dyDescent="0.3">
      <c r="A2813" t="s">
        <v>6</v>
      </c>
      <c r="B2813" t="str">
        <f>"06/12/1993 00:00"</f>
        <v>06/12/1993 00:00</v>
      </c>
      <c r="C2813">
        <v>450</v>
      </c>
      <c r="D2813" t="s">
        <v>7</v>
      </c>
      <c r="E2813" s="2" t="s">
        <v>12</v>
      </c>
      <c r="F2813">
        <f t="shared" si="43"/>
        <v>892.35</v>
      </c>
      <c r="G2813" t="s">
        <v>16</v>
      </c>
      <c r="J2813" t="str">
        <f>"06/12/1993 23:00"</f>
        <v>06/12/1993 23:00</v>
      </c>
    </row>
    <row r="2814" spans="1:10" x14ac:dyDescent="0.3">
      <c r="A2814" t="s">
        <v>6</v>
      </c>
      <c r="B2814" t="str">
        <f>"06/13/1993 00:00"</f>
        <v>06/13/1993 00:00</v>
      </c>
      <c r="C2814">
        <v>441</v>
      </c>
      <c r="D2814" t="s">
        <v>7</v>
      </c>
      <c r="E2814" s="2" t="s">
        <v>12</v>
      </c>
      <c r="F2814">
        <f t="shared" si="43"/>
        <v>874.50300000000004</v>
      </c>
      <c r="G2814" t="s">
        <v>16</v>
      </c>
      <c r="J2814" t="str">
        <f>"06/13/1993 23:00"</f>
        <v>06/13/1993 23:00</v>
      </c>
    </row>
    <row r="2815" spans="1:10" x14ac:dyDescent="0.3">
      <c r="A2815" t="s">
        <v>6</v>
      </c>
      <c r="B2815" t="str">
        <f>"06/14/1993 00:00"</f>
        <v>06/14/1993 00:00</v>
      </c>
      <c r="C2815">
        <v>425</v>
      </c>
      <c r="D2815" t="s">
        <v>7</v>
      </c>
      <c r="E2815" s="2" t="s">
        <v>12</v>
      </c>
      <c r="F2815">
        <f t="shared" si="43"/>
        <v>842.77500000000009</v>
      </c>
      <c r="G2815" t="s">
        <v>16</v>
      </c>
      <c r="J2815" t="str">
        <f>"06/14/1993 23:00"</f>
        <v>06/14/1993 23:00</v>
      </c>
    </row>
    <row r="2816" spans="1:10" x14ac:dyDescent="0.3">
      <c r="A2816" t="s">
        <v>6</v>
      </c>
      <c r="B2816" t="str">
        <f>"06/15/1993 00:00"</f>
        <v>06/15/1993 00:00</v>
      </c>
      <c r="C2816">
        <v>411</v>
      </c>
      <c r="D2816" t="s">
        <v>7</v>
      </c>
      <c r="E2816" s="2" t="s">
        <v>12</v>
      </c>
      <c r="F2816">
        <f t="shared" si="43"/>
        <v>815.01300000000003</v>
      </c>
      <c r="G2816" t="s">
        <v>16</v>
      </c>
      <c r="J2816" t="str">
        <f>"06/15/1993 23:00"</f>
        <v>06/15/1993 23:00</v>
      </c>
    </row>
    <row r="2817" spans="1:10" x14ac:dyDescent="0.3">
      <c r="A2817" t="s">
        <v>6</v>
      </c>
      <c r="B2817" t="str">
        <f>"06/16/1993 00:00"</f>
        <v>06/16/1993 00:00</v>
      </c>
      <c r="C2817">
        <v>390</v>
      </c>
      <c r="D2817" t="s">
        <v>7</v>
      </c>
      <c r="E2817" s="2" t="s">
        <v>12</v>
      </c>
      <c r="F2817">
        <f t="shared" si="43"/>
        <v>773.37</v>
      </c>
      <c r="G2817" t="s">
        <v>16</v>
      </c>
      <c r="J2817" t="str">
        <f>"06/16/1993 23:00"</f>
        <v>06/16/1993 23:00</v>
      </c>
    </row>
    <row r="2818" spans="1:10" x14ac:dyDescent="0.3">
      <c r="A2818" t="s">
        <v>6</v>
      </c>
      <c r="B2818" t="str">
        <f>"06/17/1993 00:00"</f>
        <v>06/17/1993 00:00</v>
      </c>
      <c r="C2818">
        <v>369</v>
      </c>
      <c r="D2818" t="s">
        <v>7</v>
      </c>
      <c r="E2818" s="2" t="s">
        <v>12</v>
      </c>
      <c r="F2818">
        <f t="shared" si="43"/>
        <v>731.72700000000009</v>
      </c>
      <c r="G2818" t="s">
        <v>16</v>
      </c>
      <c r="J2818" t="str">
        <f>"06/17/1993 23:00"</f>
        <v>06/17/1993 23:00</v>
      </c>
    </row>
    <row r="2819" spans="1:10" x14ac:dyDescent="0.3">
      <c r="A2819" t="s">
        <v>6</v>
      </c>
      <c r="B2819" t="str">
        <f>"06/18/1993 00:00"</f>
        <v>06/18/1993 00:00</v>
      </c>
      <c r="C2819">
        <v>213</v>
      </c>
      <c r="D2819" t="s">
        <v>7</v>
      </c>
      <c r="E2819" s="2" t="s">
        <v>12</v>
      </c>
      <c r="F2819">
        <f t="shared" ref="F2819:F2882" si="44">C2819*1.983</f>
        <v>422.37900000000002</v>
      </c>
      <c r="G2819" t="s">
        <v>16</v>
      </c>
      <c r="J2819" t="str">
        <f>"06/18/1993 23:00"</f>
        <v>06/18/1993 23:00</v>
      </c>
    </row>
    <row r="2820" spans="1:10" x14ac:dyDescent="0.3">
      <c r="A2820" t="s">
        <v>6</v>
      </c>
      <c r="B2820" t="str">
        <f>"06/19/1993 00:00"</f>
        <v>06/19/1993 00:00</v>
      </c>
      <c r="C2820">
        <v>308</v>
      </c>
      <c r="D2820" t="s">
        <v>7</v>
      </c>
      <c r="E2820" s="2" t="s">
        <v>12</v>
      </c>
      <c r="F2820">
        <f t="shared" si="44"/>
        <v>610.76400000000001</v>
      </c>
      <c r="G2820" t="s">
        <v>16</v>
      </c>
      <c r="J2820" t="str">
        <f>"06/19/1993 23:00"</f>
        <v>06/19/1993 23:00</v>
      </c>
    </row>
    <row r="2821" spans="1:10" x14ac:dyDescent="0.3">
      <c r="A2821" t="s">
        <v>6</v>
      </c>
      <c r="B2821" t="str">
        <f>"06/20/1993 00:00"</f>
        <v>06/20/1993 00:00</v>
      </c>
      <c r="C2821">
        <v>335</v>
      </c>
      <c r="D2821" t="s">
        <v>7</v>
      </c>
      <c r="E2821" s="2" t="s">
        <v>12</v>
      </c>
      <c r="F2821">
        <f t="shared" si="44"/>
        <v>664.30500000000006</v>
      </c>
      <c r="G2821" t="s">
        <v>16</v>
      </c>
      <c r="J2821" t="str">
        <f>"06/20/1993 23:00"</f>
        <v>06/20/1993 23:00</v>
      </c>
    </row>
    <row r="2822" spans="1:10" x14ac:dyDescent="0.3">
      <c r="A2822" t="s">
        <v>6</v>
      </c>
      <c r="B2822" t="str">
        <f>"06/21/1993 00:00"</f>
        <v>06/21/1993 00:00</v>
      </c>
      <c r="C2822">
        <v>356</v>
      </c>
      <c r="D2822" t="s">
        <v>7</v>
      </c>
      <c r="E2822" s="2" t="s">
        <v>12</v>
      </c>
      <c r="F2822">
        <f t="shared" si="44"/>
        <v>705.94799999999998</v>
      </c>
      <c r="G2822" t="s">
        <v>16</v>
      </c>
      <c r="J2822" t="str">
        <f>"06/21/1993 23:00"</f>
        <v>06/21/1993 23:00</v>
      </c>
    </row>
    <row r="2823" spans="1:10" x14ac:dyDescent="0.3">
      <c r="A2823" t="s">
        <v>6</v>
      </c>
      <c r="B2823" t="str">
        <f>"06/22/1993 00:00"</f>
        <v>06/22/1993 00:00</v>
      </c>
      <c r="C2823">
        <v>341</v>
      </c>
      <c r="D2823" t="s">
        <v>7</v>
      </c>
      <c r="E2823" s="2" t="s">
        <v>12</v>
      </c>
      <c r="F2823">
        <f t="shared" si="44"/>
        <v>676.20300000000009</v>
      </c>
      <c r="G2823" t="s">
        <v>16</v>
      </c>
      <c r="J2823" t="str">
        <f>"06/22/1993 23:00"</f>
        <v>06/22/1993 23:00</v>
      </c>
    </row>
    <row r="2824" spans="1:10" x14ac:dyDescent="0.3">
      <c r="A2824" t="s">
        <v>6</v>
      </c>
      <c r="B2824" t="str">
        <f>"06/23/1993 00:00"</f>
        <v>06/23/1993 00:00</v>
      </c>
      <c r="C2824">
        <v>193</v>
      </c>
      <c r="D2824" t="s">
        <v>7</v>
      </c>
      <c r="E2824" s="2" t="s">
        <v>12</v>
      </c>
      <c r="F2824">
        <f t="shared" si="44"/>
        <v>382.71899999999999</v>
      </c>
      <c r="G2824" t="s">
        <v>16</v>
      </c>
      <c r="J2824" t="str">
        <f>"06/23/1993 23:00"</f>
        <v>06/23/1993 23:00</v>
      </c>
    </row>
    <row r="2825" spans="1:10" x14ac:dyDescent="0.3">
      <c r="A2825" t="s">
        <v>6</v>
      </c>
      <c r="B2825" t="str">
        <f>"06/24/1993 00:00"</f>
        <v>06/24/1993 00:00</v>
      </c>
      <c r="C2825">
        <v>301</v>
      </c>
      <c r="D2825" t="s">
        <v>7</v>
      </c>
      <c r="E2825" s="2" t="s">
        <v>12</v>
      </c>
      <c r="F2825">
        <f t="shared" si="44"/>
        <v>596.88300000000004</v>
      </c>
      <c r="G2825" t="s">
        <v>16</v>
      </c>
      <c r="J2825" t="str">
        <f>"06/24/1993 23:00"</f>
        <v>06/24/1993 23:00</v>
      </c>
    </row>
    <row r="2826" spans="1:10" x14ac:dyDescent="0.3">
      <c r="A2826" t="s">
        <v>6</v>
      </c>
      <c r="B2826" t="str">
        <f>"06/25/1993 00:00"</f>
        <v>06/25/1993 00:00</v>
      </c>
      <c r="C2826">
        <v>380</v>
      </c>
      <c r="D2826" t="s">
        <v>7</v>
      </c>
      <c r="E2826" s="2" t="s">
        <v>12</v>
      </c>
      <c r="F2826">
        <f t="shared" si="44"/>
        <v>753.54000000000008</v>
      </c>
      <c r="G2826" t="s">
        <v>16</v>
      </c>
      <c r="J2826" t="str">
        <f>"06/25/1993 23:00"</f>
        <v>06/25/1993 23:00</v>
      </c>
    </row>
    <row r="2827" spans="1:10" x14ac:dyDescent="0.3">
      <c r="A2827" t="s">
        <v>6</v>
      </c>
      <c r="B2827" t="str">
        <f>"06/26/1993 00:00"</f>
        <v>06/26/1993 00:00</v>
      </c>
      <c r="C2827">
        <v>390</v>
      </c>
      <c r="D2827" t="s">
        <v>7</v>
      </c>
      <c r="E2827" s="2" t="s">
        <v>12</v>
      </c>
      <c r="F2827">
        <f t="shared" si="44"/>
        <v>773.37</v>
      </c>
      <c r="G2827" t="s">
        <v>16</v>
      </c>
      <c r="J2827" t="str">
        <f>"06/26/1993 23:00"</f>
        <v>06/26/1993 23:00</v>
      </c>
    </row>
    <row r="2828" spans="1:10" x14ac:dyDescent="0.3">
      <c r="A2828" t="s">
        <v>6</v>
      </c>
      <c r="B2828" t="str">
        <f>"06/27/1993 00:00"</f>
        <v>06/27/1993 00:00</v>
      </c>
      <c r="C2828">
        <v>374</v>
      </c>
      <c r="D2828" t="s">
        <v>7</v>
      </c>
      <c r="E2828" s="2" t="s">
        <v>12</v>
      </c>
      <c r="F2828">
        <f t="shared" si="44"/>
        <v>741.64200000000005</v>
      </c>
      <c r="G2828" t="s">
        <v>16</v>
      </c>
      <c r="J2828" t="str">
        <f>"06/27/1993 23:00"</f>
        <v>06/27/1993 23:00</v>
      </c>
    </row>
    <row r="2829" spans="1:10" x14ac:dyDescent="0.3">
      <c r="A2829" t="s">
        <v>6</v>
      </c>
      <c r="B2829" t="str">
        <f>"06/28/1993 00:00"</f>
        <v>06/28/1993 00:00</v>
      </c>
      <c r="C2829">
        <v>358</v>
      </c>
      <c r="D2829" t="s">
        <v>7</v>
      </c>
      <c r="E2829" s="2" t="s">
        <v>12</v>
      </c>
      <c r="F2829">
        <f t="shared" si="44"/>
        <v>709.91399999999999</v>
      </c>
      <c r="G2829" t="s">
        <v>16</v>
      </c>
      <c r="J2829" t="str">
        <f>"06/28/1993 23:00"</f>
        <v>06/28/1993 23:00</v>
      </c>
    </row>
    <row r="2830" spans="1:10" x14ac:dyDescent="0.3">
      <c r="A2830" t="s">
        <v>6</v>
      </c>
      <c r="B2830" t="str">
        <f>"06/29/1993 00:00"</f>
        <v>06/29/1993 00:00</v>
      </c>
      <c r="C2830">
        <v>374</v>
      </c>
      <c r="D2830" t="s">
        <v>7</v>
      </c>
      <c r="E2830" s="2" t="s">
        <v>12</v>
      </c>
      <c r="F2830">
        <f t="shared" si="44"/>
        <v>741.64200000000005</v>
      </c>
      <c r="G2830" t="s">
        <v>16</v>
      </c>
      <c r="J2830" t="str">
        <f>"06/29/1993 23:00"</f>
        <v>06/29/1993 23:00</v>
      </c>
    </row>
    <row r="2831" spans="1:10" x14ac:dyDescent="0.3">
      <c r="A2831" t="s">
        <v>6</v>
      </c>
      <c r="B2831" t="str">
        <f>"06/30/1993 00:00"</f>
        <v>06/30/1993 00:00</v>
      </c>
      <c r="C2831">
        <v>374</v>
      </c>
      <c r="D2831" t="s">
        <v>7</v>
      </c>
      <c r="E2831" s="2" t="s">
        <v>12</v>
      </c>
      <c r="F2831">
        <f t="shared" si="44"/>
        <v>741.64200000000005</v>
      </c>
      <c r="G2831" t="s">
        <v>16</v>
      </c>
      <c r="J2831" t="str">
        <f>"06/30/1993 23:00"</f>
        <v>06/30/1993 23:00</v>
      </c>
    </row>
    <row r="2832" spans="1:10" x14ac:dyDescent="0.3">
      <c r="A2832" t="s">
        <v>6</v>
      </c>
      <c r="B2832" t="str">
        <f>"07/01/1993 00:00"</f>
        <v>07/01/1993 00:00</v>
      </c>
      <c r="C2832">
        <v>390</v>
      </c>
      <c r="D2832" t="s">
        <v>7</v>
      </c>
      <c r="E2832" s="2" t="s">
        <v>12</v>
      </c>
      <c r="F2832">
        <f t="shared" si="44"/>
        <v>773.37</v>
      </c>
      <c r="G2832" t="s">
        <v>16</v>
      </c>
      <c r="J2832" t="str">
        <f>"07/01/1993 23:00"</f>
        <v>07/01/1993 23:00</v>
      </c>
    </row>
    <row r="2833" spans="1:10" x14ac:dyDescent="0.3">
      <c r="A2833" t="s">
        <v>6</v>
      </c>
      <c r="B2833" t="str">
        <f>"07/02/1993 00:00"</f>
        <v>07/02/1993 00:00</v>
      </c>
      <c r="C2833">
        <v>389</v>
      </c>
      <c r="D2833" t="s">
        <v>7</v>
      </c>
      <c r="E2833" s="2" t="s">
        <v>12</v>
      </c>
      <c r="F2833">
        <f t="shared" si="44"/>
        <v>771.38700000000006</v>
      </c>
      <c r="G2833" t="s">
        <v>16</v>
      </c>
      <c r="J2833" t="str">
        <f>"07/02/1993 23:00"</f>
        <v>07/02/1993 23:00</v>
      </c>
    </row>
    <row r="2834" spans="1:10" x14ac:dyDescent="0.3">
      <c r="A2834" t="s">
        <v>6</v>
      </c>
      <c r="B2834" t="str">
        <f>"07/03/1993 00:00"</f>
        <v>07/03/1993 00:00</v>
      </c>
      <c r="C2834">
        <v>388</v>
      </c>
      <c r="D2834" t="s">
        <v>7</v>
      </c>
      <c r="E2834" s="2" t="s">
        <v>12</v>
      </c>
      <c r="F2834">
        <f t="shared" si="44"/>
        <v>769.404</v>
      </c>
      <c r="G2834" t="s">
        <v>16</v>
      </c>
      <c r="J2834" t="str">
        <f>"07/03/1993 23:00"</f>
        <v>07/03/1993 23:00</v>
      </c>
    </row>
    <row r="2835" spans="1:10" x14ac:dyDescent="0.3">
      <c r="A2835" t="s">
        <v>6</v>
      </c>
      <c r="B2835" t="str">
        <f>"07/04/1993 00:00"</f>
        <v>07/04/1993 00:00</v>
      </c>
      <c r="C2835">
        <v>386</v>
      </c>
      <c r="D2835" t="s">
        <v>7</v>
      </c>
      <c r="E2835" s="2" t="s">
        <v>12</v>
      </c>
      <c r="F2835">
        <f t="shared" si="44"/>
        <v>765.43799999999999</v>
      </c>
      <c r="G2835" t="s">
        <v>16</v>
      </c>
      <c r="J2835" t="str">
        <f>"07/04/1993 23:00"</f>
        <v>07/04/1993 23:00</v>
      </c>
    </row>
    <row r="2836" spans="1:10" x14ac:dyDescent="0.3">
      <c r="A2836" t="s">
        <v>6</v>
      </c>
      <c r="B2836" t="str">
        <f>"07/05/1993 00:00"</f>
        <v>07/05/1993 00:00</v>
      </c>
      <c r="C2836">
        <v>385</v>
      </c>
      <c r="D2836" t="s">
        <v>7</v>
      </c>
      <c r="E2836" s="2" t="s">
        <v>12</v>
      </c>
      <c r="F2836">
        <f t="shared" si="44"/>
        <v>763.45500000000004</v>
      </c>
      <c r="G2836" t="s">
        <v>16</v>
      </c>
      <c r="J2836" t="str">
        <f>"07/05/1993 23:00"</f>
        <v>07/05/1993 23:00</v>
      </c>
    </row>
    <row r="2837" spans="1:10" x14ac:dyDescent="0.3">
      <c r="A2837" t="s">
        <v>6</v>
      </c>
      <c r="B2837" t="str">
        <f>"07/06/1993 00:00"</f>
        <v>07/06/1993 00:00</v>
      </c>
      <c r="C2837">
        <v>387</v>
      </c>
      <c r="D2837" t="s">
        <v>7</v>
      </c>
      <c r="E2837" s="2" t="s">
        <v>12</v>
      </c>
      <c r="F2837">
        <f t="shared" si="44"/>
        <v>767.42100000000005</v>
      </c>
      <c r="G2837" t="s">
        <v>16</v>
      </c>
      <c r="J2837" t="str">
        <f>"07/06/1993 23:00"</f>
        <v>07/06/1993 23:00</v>
      </c>
    </row>
    <row r="2838" spans="1:10" x14ac:dyDescent="0.3">
      <c r="A2838" t="s">
        <v>6</v>
      </c>
      <c r="B2838" t="str">
        <f>"07/07/1993 00:00"</f>
        <v>07/07/1993 00:00</v>
      </c>
      <c r="C2838">
        <v>343</v>
      </c>
      <c r="D2838" t="s">
        <v>7</v>
      </c>
      <c r="E2838" s="2" t="s">
        <v>12</v>
      </c>
      <c r="F2838">
        <f t="shared" si="44"/>
        <v>680.16899999999998</v>
      </c>
      <c r="G2838" t="s">
        <v>16</v>
      </c>
      <c r="J2838" t="str">
        <f>"07/07/1993 23:00"</f>
        <v>07/07/1993 23:00</v>
      </c>
    </row>
    <row r="2839" spans="1:10" x14ac:dyDescent="0.3">
      <c r="A2839" t="s">
        <v>6</v>
      </c>
      <c r="B2839" t="str">
        <f>"07/08/1993 00:00"</f>
        <v>07/08/1993 00:00</v>
      </c>
      <c r="C2839">
        <v>349</v>
      </c>
      <c r="D2839" t="s">
        <v>7</v>
      </c>
      <c r="E2839" s="2" t="s">
        <v>12</v>
      </c>
      <c r="F2839">
        <f t="shared" si="44"/>
        <v>692.06700000000001</v>
      </c>
      <c r="G2839" t="s">
        <v>16</v>
      </c>
      <c r="J2839" t="str">
        <f>"07/08/1993 23:00"</f>
        <v>07/08/1993 23:00</v>
      </c>
    </row>
    <row r="2840" spans="1:10" x14ac:dyDescent="0.3">
      <c r="A2840" t="s">
        <v>6</v>
      </c>
      <c r="B2840" t="str">
        <f>"07/09/1993 00:00"</f>
        <v>07/09/1993 00:00</v>
      </c>
      <c r="C2840">
        <v>445</v>
      </c>
      <c r="D2840" t="s">
        <v>7</v>
      </c>
      <c r="E2840" s="2" t="s">
        <v>12</v>
      </c>
      <c r="F2840">
        <f t="shared" si="44"/>
        <v>882.43500000000006</v>
      </c>
      <c r="G2840" t="s">
        <v>16</v>
      </c>
      <c r="J2840" t="str">
        <f>"07/09/1993 23:00"</f>
        <v>07/09/1993 23:00</v>
      </c>
    </row>
    <row r="2841" spans="1:10" x14ac:dyDescent="0.3">
      <c r="A2841" t="s">
        <v>6</v>
      </c>
      <c r="B2841" t="str">
        <f>"07/10/1993 00:00"</f>
        <v>07/10/1993 00:00</v>
      </c>
      <c r="C2841">
        <v>445</v>
      </c>
      <c r="D2841" t="s">
        <v>7</v>
      </c>
      <c r="E2841" s="2" t="s">
        <v>12</v>
      </c>
      <c r="F2841">
        <f t="shared" si="44"/>
        <v>882.43500000000006</v>
      </c>
      <c r="G2841" t="s">
        <v>16</v>
      </c>
      <c r="J2841" t="str">
        <f>"07/10/1993 23:00"</f>
        <v>07/10/1993 23:00</v>
      </c>
    </row>
    <row r="2842" spans="1:10" x14ac:dyDescent="0.3">
      <c r="A2842" t="s">
        <v>6</v>
      </c>
      <c r="B2842" t="str">
        <f>"07/11/1993 00:00"</f>
        <v>07/11/1993 00:00</v>
      </c>
      <c r="C2842">
        <v>443</v>
      </c>
      <c r="D2842" t="s">
        <v>7</v>
      </c>
      <c r="E2842" s="2" t="s">
        <v>12</v>
      </c>
      <c r="F2842">
        <f t="shared" si="44"/>
        <v>878.46900000000005</v>
      </c>
      <c r="G2842" t="s">
        <v>16</v>
      </c>
      <c r="J2842" t="str">
        <f>"07/11/1993 23:00"</f>
        <v>07/11/1993 23:00</v>
      </c>
    </row>
    <row r="2843" spans="1:10" x14ac:dyDescent="0.3">
      <c r="A2843" t="s">
        <v>6</v>
      </c>
      <c r="B2843" t="str">
        <f>"07/12/1993 00:00"</f>
        <v>07/12/1993 00:00</v>
      </c>
      <c r="C2843">
        <v>443</v>
      </c>
      <c r="D2843" t="s">
        <v>7</v>
      </c>
      <c r="E2843" s="2" t="s">
        <v>12</v>
      </c>
      <c r="F2843">
        <f t="shared" si="44"/>
        <v>878.46900000000005</v>
      </c>
      <c r="G2843" t="s">
        <v>16</v>
      </c>
      <c r="J2843" t="str">
        <f>"07/12/1993 23:00"</f>
        <v>07/12/1993 23:00</v>
      </c>
    </row>
    <row r="2844" spans="1:10" x14ac:dyDescent="0.3">
      <c r="A2844" t="s">
        <v>6</v>
      </c>
      <c r="B2844" t="str">
        <f>"07/13/1993 00:00"</f>
        <v>07/13/1993 00:00</v>
      </c>
      <c r="C2844">
        <v>350</v>
      </c>
      <c r="D2844" t="s">
        <v>7</v>
      </c>
      <c r="E2844" s="2" t="s">
        <v>12</v>
      </c>
      <c r="F2844">
        <f t="shared" si="44"/>
        <v>694.05000000000007</v>
      </c>
      <c r="G2844" t="s">
        <v>16</v>
      </c>
      <c r="J2844" t="str">
        <f>"07/13/1993 23:00"</f>
        <v>07/13/1993 23:00</v>
      </c>
    </row>
    <row r="2845" spans="1:10" x14ac:dyDescent="0.3">
      <c r="A2845" t="s">
        <v>6</v>
      </c>
      <c r="B2845" t="str">
        <f>"07/14/1993 00:00"</f>
        <v>07/14/1993 00:00</v>
      </c>
      <c r="C2845">
        <v>371</v>
      </c>
      <c r="D2845" t="s">
        <v>7</v>
      </c>
      <c r="E2845" s="2" t="s">
        <v>12</v>
      </c>
      <c r="F2845">
        <f t="shared" si="44"/>
        <v>735.69299999999998</v>
      </c>
      <c r="G2845" t="s">
        <v>16</v>
      </c>
      <c r="J2845" t="str">
        <f>"07/14/1993 23:00"</f>
        <v>07/14/1993 23:00</v>
      </c>
    </row>
    <row r="2846" spans="1:10" x14ac:dyDescent="0.3">
      <c r="A2846" t="s">
        <v>6</v>
      </c>
      <c r="B2846" t="str">
        <f>"07/15/1993 00:00"</f>
        <v>07/15/1993 00:00</v>
      </c>
      <c r="C2846">
        <v>410</v>
      </c>
      <c r="D2846" t="s">
        <v>7</v>
      </c>
      <c r="E2846" s="2" t="s">
        <v>12</v>
      </c>
      <c r="F2846">
        <f t="shared" si="44"/>
        <v>813.03000000000009</v>
      </c>
      <c r="G2846" t="s">
        <v>16</v>
      </c>
      <c r="J2846" t="str">
        <f>"07/15/1993 23:00"</f>
        <v>07/15/1993 23:00</v>
      </c>
    </row>
    <row r="2847" spans="1:10" x14ac:dyDescent="0.3">
      <c r="A2847" t="s">
        <v>6</v>
      </c>
      <c r="B2847" t="str">
        <f>"07/16/1993 00:00"</f>
        <v>07/16/1993 00:00</v>
      </c>
      <c r="C2847">
        <v>303</v>
      </c>
      <c r="D2847" t="s">
        <v>7</v>
      </c>
      <c r="E2847" s="2" t="s">
        <v>12</v>
      </c>
      <c r="F2847">
        <f t="shared" si="44"/>
        <v>600.84900000000005</v>
      </c>
      <c r="G2847" t="s">
        <v>16</v>
      </c>
      <c r="J2847" t="str">
        <f>"07/16/1993 23:00"</f>
        <v>07/16/1993 23:00</v>
      </c>
    </row>
    <row r="2848" spans="1:10" x14ac:dyDescent="0.3">
      <c r="A2848" t="s">
        <v>6</v>
      </c>
      <c r="B2848" t="str">
        <f>"07/17/1993 00:00"</f>
        <v>07/17/1993 00:00</v>
      </c>
      <c r="C2848">
        <v>443</v>
      </c>
      <c r="D2848" t="s">
        <v>7</v>
      </c>
      <c r="E2848" s="2" t="s">
        <v>12</v>
      </c>
      <c r="F2848">
        <f t="shared" si="44"/>
        <v>878.46900000000005</v>
      </c>
      <c r="G2848" t="s">
        <v>16</v>
      </c>
      <c r="J2848" t="str">
        <f>"07/17/1993 23:00"</f>
        <v>07/17/1993 23:00</v>
      </c>
    </row>
    <row r="2849" spans="1:10" x14ac:dyDescent="0.3">
      <c r="A2849" t="s">
        <v>6</v>
      </c>
      <c r="B2849" t="str">
        <f>"07/18/1993 00:00"</f>
        <v>07/18/1993 00:00</v>
      </c>
      <c r="C2849">
        <v>465</v>
      </c>
      <c r="D2849" t="s">
        <v>7</v>
      </c>
      <c r="E2849" s="2" t="s">
        <v>12</v>
      </c>
      <c r="F2849">
        <f t="shared" si="44"/>
        <v>922.09500000000003</v>
      </c>
      <c r="G2849" t="s">
        <v>16</v>
      </c>
      <c r="J2849" t="str">
        <f>"07/18/1993 23:00"</f>
        <v>07/18/1993 23:00</v>
      </c>
    </row>
    <row r="2850" spans="1:10" x14ac:dyDescent="0.3">
      <c r="A2850" t="s">
        <v>6</v>
      </c>
      <c r="B2850" t="str">
        <f>"07/19/1993 00:00"</f>
        <v>07/19/1993 00:00</v>
      </c>
      <c r="C2850">
        <v>461</v>
      </c>
      <c r="D2850" t="s">
        <v>7</v>
      </c>
      <c r="E2850" s="2" t="s">
        <v>12</v>
      </c>
      <c r="F2850">
        <f t="shared" si="44"/>
        <v>914.16300000000001</v>
      </c>
      <c r="G2850" t="s">
        <v>16</v>
      </c>
      <c r="J2850" t="str">
        <f>"07/19/1993 23:00"</f>
        <v>07/19/1993 23:00</v>
      </c>
    </row>
    <row r="2851" spans="1:10" x14ac:dyDescent="0.3">
      <c r="A2851" t="s">
        <v>6</v>
      </c>
      <c r="B2851" t="str">
        <f>"07/20/1993 00:00"</f>
        <v>07/20/1993 00:00</v>
      </c>
      <c r="C2851">
        <v>463</v>
      </c>
      <c r="D2851" t="s">
        <v>7</v>
      </c>
      <c r="E2851" s="2" t="s">
        <v>12</v>
      </c>
      <c r="F2851">
        <f t="shared" si="44"/>
        <v>918.12900000000002</v>
      </c>
      <c r="G2851" t="s">
        <v>16</v>
      </c>
      <c r="J2851" t="str">
        <f>"07/20/1993 23:00"</f>
        <v>07/20/1993 23:00</v>
      </c>
    </row>
    <row r="2852" spans="1:10" x14ac:dyDescent="0.3">
      <c r="A2852" t="s">
        <v>6</v>
      </c>
      <c r="B2852" t="str">
        <f>"07/21/1993 00:00"</f>
        <v>07/21/1993 00:00</v>
      </c>
      <c r="C2852">
        <v>464</v>
      </c>
      <c r="D2852" t="s">
        <v>7</v>
      </c>
      <c r="E2852" s="2" t="s">
        <v>12</v>
      </c>
      <c r="F2852">
        <f t="shared" si="44"/>
        <v>920.11200000000008</v>
      </c>
      <c r="G2852" t="s">
        <v>16</v>
      </c>
      <c r="J2852" t="str">
        <f>"07/21/1993 23:00"</f>
        <v>07/21/1993 23:00</v>
      </c>
    </row>
    <row r="2853" spans="1:10" x14ac:dyDescent="0.3">
      <c r="A2853" t="s">
        <v>6</v>
      </c>
      <c r="B2853" t="str">
        <f>"07/22/1993 00:00"</f>
        <v>07/22/1993 00:00</v>
      </c>
      <c r="C2853">
        <v>464</v>
      </c>
      <c r="D2853" t="s">
        <v>7</v>
      </c>
      <c r="E2853" s="2" t="s">
        <v>12</v>
      </c>
      <c r="F2853">
        <f t="shared" si="44"/>
        <v>920.11200000000008</v>
      </c>
      <c r="G2853" t="s">
        <v>16</v>
      </c>
      <c r="J2853" t="str">
        <f>"07/22/1993 23:00"</f>
        <v>07/22/1993 23:00</v>
      </c>
    </row>
    <row r="2854" spans="1:10" x14ac:dyDescent="0.3">
      <c r="A2854" t="s">
        <v>6</v>
      </c>
      <c r="B2854" t="str">
        <f>"07/23/1993 00:00"</f>
        <v>07/23/1993 00:00</v>
      </c>
      <c r="C2854">
        <v>464</v>
      </c>
      <c r="D2854" t="s">
        <v>7</v>
      </c>
      <c r="E2854" s="2" t="s">
        <v>12</v>
      </c>
      <c r="F2854">
        <f t="shared" si="44"/>
        <v>920.11200000000008</v>
      </c>
      <c r="G2854" t="s">
        <v>16</v>
      </c>
      <c r="J2854" t="str">
        <f>"07/23/1993 23:00"</f>
        <v>07/23/1993 23:00</v>
      </c>
    </row>
    <row r="2855" spans="1:10" x14ac:dyDescent="0.3">
      <c r="A2855" t="s">
        <v>6</v>
      </c>
      <c r="B2855" t="str">
        <f>"07/24/1993 00:00"</f>
        <v>07/24/1993 00:00</v>
      </c>
      <c r="C2855">
        <v>464</v>
      </c>
      <c r="D2855" t="s">
        <v>7</v>
      </c>
      <c r="E2855" s="2" t="s">
        <v>12</v>
      </c>
      <c r="F2855">
        <f t="shared" si="44"/>
        <v>920.11200000000008</v>
      </c>
      <c r="G2855" t="s">
        <v>16</v>
      </c>
      <c r="J2855" t="str">
        <f>"07/24/1993 23:00"</f>
        <v>07/24/1993 23:00</v>
      </c>
    </row>
    <row r="2856" spans="1:10" x14ac:dyDescent="0.3">
      <c r="A2856" t="s">
        <v>6</v>
      </c>
      <c r="B2856" t="str">
        <f>"07/25/1993 00:00"</f>
        <v>07/25/1993 00:00</v>
      </c>
      <c r="C2856">
        <v>460</v>
      </c>
      <c r="D2856" t="s">
        <v>7</v>
      </c>
      <c r="E2856" s="2" t="s">
        <v>12</v>
      </c>
      <c r="F2856">
        <f t="shared" si="44"/>
        <v>912.18000000000006</v>
      </c>
      <c r="G2856" t="s">
        <v>16</v>
      </c>
      <c r="J2856" t="str">
        <f>"07/25/1993 23:00"</f>
        <v>07/25/1993 23:00</v>
      </c>
    </row>
    <row r="2857" spans="1:10" x14ac:dyDescent="0.3">
      <c r="A2857" t="s">
        <v>6</v>
      </c>
      <c r="B2857" t="str">
        <f>"07/26/1993 00:00"</f>
        <v>07/26/1993 00:00</v>
      </c>
      <c r="C2857">
        <v>464</v>
      </c>
      <c r="D2857" t="s">
        <v>7</v>
      </c>
      <c r="E2857" s="2" t="s">
        <v>12</v>
      </c>
      <c r="F2857">
        <f t="shared" si="44"/>
        <v>920.11200000000008</v>
      </c>
      <c r="G2857" t="s">
        <v>16</v>
      </c>
      <c r="J2857" t="str">
        <f>"07/26/1993 23:00"</f>
        <v>07/26/1993 23:00</v>
      </c>
    </row>
    <row r="2858" spans="1:10" x14ac:dyDescent="0.3">
      <c r="A2858" t="s">
        <v>6</v>
      </c>
      <c r="B2858" t="str">
        <f>"07/27/1993 00:00"</f>
        <v>07/27/1993 00:00</v>
      </c>
      <c r="C2858">
        <v>472</v>
      </c>
      <c r="D2858" t="s">
        <v>7</v>
      </c>
      <c r="E2858" s="2" t="s">
        <v>12</v>
      </c>
      <c r="F2858">
        <f t="shared" si="44"/>
        <v>935.976</v>
      </c>
      <c r="G2858" t="s">
        <v>16</v>
      </c>
      <c r="J2858" t="str">
        <f>"07/27/1993 23:00"</f>
        <v>07/27/1993 23:00</v>
      </c>
    </row>
    <row r="2859" spans="1:10" x14ac:dyDescent="0.3">
      <c r="A2859" t="s">
        <v>6</v>
      </c>
      <c r="B2859" t="str">
        <f>"07/28/1993 00:00"</f>
        <v>07/28/1993 00:00</v>
      </c>
      <c r="C2859">
        <v>474</v>
      </c>
      <c r="D2859" t="s">
        <v>7</v>
      </c>
      <c r="E2859" s="2" t="s">
        <v>12</v>
      </c>
      <c r="F2859">
        <f t="shared" si="44"/>
        <v>939.94200000000001</v>
      </c>
      <c r="G2859" t="s">
        <v>16</v>
      </c>
      <c r="J2859" t="str">
        <f>"07/28/1993 23:00"</f>
        <v>07/28/1993 23:00</v>
      </c>
    </row>
    <row r="2860" spans="1:10" x14ac:dyDescent="0.3">
      <c r="A2860" t="s">
        <v>6</v>
      </c>
      <c r="B2860" t="str">
        <f>"07/29/1993 00:00"</f>
        <v>07/29/1993 00:00</v>
      </c>
      <c r="C2860">
        <v>401</v>
      </c>
      <c r="D2860" t="s">
        <v>7</v>
      </c>
      <c r="E2860" s="2" t="s">
        <v>12</v>
      </c>
      <c r="F2860">
        <f t="shared" si="44"/>
        <v>795.18299999999999</v>
      </c>
      <c r="G2860" t="s">
        <v>16</v>
      </c>
      <c r="J2860" t="str">
        <f>"07/29/1993 23:00"</f>
        <v>07/29/1993 23:00</v>
      </c>
    </row>
    <row r="2861" spans="1:10" x14ac:dyDescent="0.3">
      <c r="A2861" t="s">
        <v>6</v>
      </c>
      <c r="B2861" t="str">
        <f>"07/30/1993 00:00"</f>
        <v>07/30/1993 00:00</v>
      </c>
      <c r="C2861">
        <v>481</v>
      </c>
      <c r="D2861" t="s">
        <v>7</v>
      </c>
      <c r="E2861" s="2" t="s">
        <v>12</v>
      </c>
      <c r="F2861">
        <f t="shared" si="44"/>
        <v>953.82300000000009</v>
      </c>
      <c r="G2861" t="s">
        <v>16</v>
      </c>
      <c r="J2861" t="str">
        <f>"07/30/1993 23:00"</f>
        <v>07/30/1993 23:00</v>
      </c>
    </row>
    <row r="2862" spans="1:10" x14ac:dyDescent="0.3">
      <c r="A2862" t="s">
        <v>6</v>
      </c>
      <c r="B2862" t="str">
        <f>"07/31/1993 00:00"</f>
        <v>07/31/1993 00:00</v>
      </c>
      <c r="C2862">
        <v>488</v>
      </c>
      <c r="D2862" t="s">
        <v>7</v>
      </c>
      <c r="E2862" s="2" t="s">
        <v>12</v>
      </c>
      <c r="F2862">
        <f t="shared" si="44"/>
        <v>967.70400000000006</v>
      </c>
      <c r="G2862" t="s">
        <v>16</v>
      </c>
      <c r="J2862" t="str">
        <f>"07/31/1993 23:00"</f>
        <v>07/31/1993 23:00</v>
      </c>
    </row>
    <row r="2863" spans="1:10" x14ac:dyDescent="0.3">
      <c r="A2863" t="s">
        <v>6</v>
      </c>
      <c r="B2863" t="str">
        <f>"08/01/1993 00:00"</f>
        <v>08/01/1993 00:00</v>
      </c>
      <c r="C2863">
        <v>484</v>
      </c>
      <c r="D2863" t="s">
        <v>7</v>
      </c>
      <c r="E2863" s="2" t="s">
        <v>12</v>
      </c>
      <c r="F2863">
        <f t="shared" si="44"/>
        <v>959.77200000000005</v>
      </c>
      <c r="G2863" t="s">
        <v>16</v>
      </c>
      <c r="J2863" t="str">
        <f>"08/01/1993 23:00"</f>
        <v>08/01/1993 23:00</v>
      </c>
    </row>
    <row r="2864" spans="1:10" x14ac:dyDescent="0.3">
      <c r="A2864" t="s">
        <v>6</v>
      </c>
      <c r="B2864" t="str">
        <f>"08/02/1993 00:00"</f>
        <v>08/02/1993 00:00</v>
      </c>
      <c r="C2864">
        <v>483</v>
      </c>
      <c r="D2864" t="s">
        <v>7</v>
      </c>
      <c r="E2864" s="2" t="s">
        <v>12</v>
      </c>
      <c r="F2864">
        <f t="shared" si="44"/>
        <v>957.7890000000001</v>
      </c>
      <c r="G2864" t="s">
        <v>16</v>
      </c>
      <c r="J2864" t="str">
        <f>"08/02/1993 23:00"</f>
        <v>08/02/1993 23:00</v>
      </c>
    </row>
    <row r="2865" spans="1:10" x14ac:dyDescent="0.3">
      <c r="A2865" t="s">
        <v>6</v>
      </c>
      <c r="B2865" t="str">
        <f>"08/03/1993 00:00"</f>
        <v>08/03/1993 00:00</v>
      </c>
      <c r="C2865">
        <v>429</v>
      </c>
      <c r="D2865" t="s">
        <v>7</v>
      </c>
      <c r="E2865" s="2" t="s">
        <v>12</v>
      </c>
      <c r="F2865">
        <f t="shared" si="44"/>
        <v>850.70699999999999</v>
      </c>
      <c r="G2865" t="s">
        <v>16</v>
      </c>
      <c r="J2865" t="str">
        <f>"08/03/1993 23:00"</f>
        <v>08/03/1993 23:00</v>
      </c>
    </row>
    <row r="2866" spans="1:10" x14ac:dyDescent="0.3">
      <c r="A2866" t="s">
        <v>6</v>
      </c>
      <c r="B2866" t="str">
        <f>"08/04/1993 00:00"</f>
        <v>08/04/1993 00:00</v>
      </c>
      <c r="C2866">
        <v>288</v>
      </c>
      <c r="D2866" t="s">
        <v>7</v>
      </c>
      <c r="E2866" s="2" t="s">
        <v>12</v>
      </c>
      <c r="F2866">
        <f t="shared" si="44"/>
        <v>571.10400000000004</v>
      </c>
      <c r="G2866" t="s">
        <v>16</v>
      </c>
      <c r="J2866" t="str">
        <f>"08/04/1993 23:00"</f>
        <v>08/04/1993 23:00</v>
      </c>
    </row>
    <row r="2867" spans="1:10" x14ac:dyDescent="0.3">
      <c r="A2867" t="s">
        <v>6</v>
      </c>
      <c r="B2867" t="str">
        <f>"08/05/1993 00:00"</f>
        <v>08/05/1993 00:00</v>
      </c>
      <c r="C2867">
        <v>251</v>
      </c>
      <c r="D2867" t="s">
        <v>7</v>
      </c>
      <c r="E2867" s="2" t="s">
        <v>12</v>
      </c>
      <c r="F2867">
        <f t="shared" si="44"/>
        <v>497.733</v>
      </c>
      <c r="G2867" t="s">
        <v>16</v>
      </c>
      <c r="J2867" t="str">
        <f>"08/05/1993 23:00"</f>
        <v>08/05/1993 23:00</v>
      </c>
    </row>
    <row r="2868" spans="1:10" x14ac:dyDescent="0.3">
      <c r="A2868" t="s">
        <v>6</v>
      </c>
      <c r="B2868" t="str">
        <f>"08/06/1993 00:00"</f>
        <v>08/06/1993 00:00</v>
      </c>
      <c r="C2868">
        <v>250</v>
      </c>
      <c r="D2868" t="s">
        <v>7</v>
      </c>
      <c r="E2868" s="2" t="s">
        <v>12</v>
      </c>
      <c r="F2868">
        <f t="shared" si="44"/>
        <v>495.75</v>
      </c>
      <c r="G2868" t="s">
        <v>16</v>
      </c>
      <c r="I2868" t="s">
        <v>8</v>
      </c>
      <c r="J2868" t="str">
        <f>"08/06/1993 23:00"</f>
        <v>08/06/1993 23:00</v>
      </c>
    </row>
    <row r="2869" spans="1:10" x14ac:dyDescent="0.3">
      <c r="A2869" t="s">
        <v>6</v>
      </c>
      <c r="B2869" t="str">
        <f>"08/07/1993 00:00"</f>
        <v>08/07/1993 00:00</v>
      </c>
      <c r="C2869">
        <v>250</v>
      </c>
      <c r="D2869" t="s">
        <v>7</v>
      </c>
      <c r="E2869" s="2" t="s">
        <v>12</v>
      </c>
      <c r="F2869">
        <f t="shared" si="44"/>
        <v>495.75</v>
      </c>
      <c r="G2869" t="s">
        <v>16</v>
      </c>
      <c r="I2869" t="s">
        <v>35</v>
      </c>
      <c r="J2869" t="str">
        <f>"08/07/1993 23:00"</f>
        <v>08/07/1993 23:00</v>
      </c>
    </row>
    <row r="2870" spans="1:10" x14ac:dyDescent="0.3">
      <c r="A2870" t="s">
        <v>6</v>
      </c>
      <c r="B2870" t="str">
        <f>"08/08/1993 00:00"</f>
        <v>08/08/1993 00:00</v>
      </c>
      <c r="C2870">
        <v>240</v>
      </c>
      <c r="D2870" t="s">
        <v>7</v>
      </c>
      <c r="E2870" s="2" t="s">
        <v>12</v>
      </c>
      <c r="F2870">
        <f t="shared" si="44"/>
        <v>475.92</v>
      </c>
      <c r="G2870" t="s">
        <v>16</v>
      </c>
      <c r="I2870" t="s">
        <v>8</v>
      </c>
      <c r="J2870" t="str">
        <f>"08/08/1993 23:00"</f>
        <v>08/08/1993 23:00</v>
      </c>
    </row>
    <row r="2871" spans="1:10" x14ac:dyDescent="0.3">
      <c r="A2871" t="s">
        <v>6</v>
      </c>
      <c r="B2871" t="str">
        <f>"08/09/1993 00:00"</f>
        <v>08/09/1993 00:00</v>
      </c>
      <c r="C2871">
        <v>167</v>
      </c>
      <c r="D2871" t="s">
        <v>7</v>
      </c>
      <c r="E2871" s="2" t="s">
        <v>12</v>
      </c>
      <c r="F2871">
        <f t="shared" si="44"/>
        <v>331.161</v>
      </c>
      <c r="G2871" t="s">
        <v>16</v>
      </c>
      <c r="J2871" t="str">
        <f>"08/09/1993 23:00"</f>
        <v>08/09/1993 23:00</v>
      </c>
    </row>
    <row r="2872" spans="1:10" x14ac:dyDescent="0.3">
      <c r="A2872" t="s">
        <v>6</v>
      </c>
      <c r="B2872" t="str">
        <f>"08/10/1993 00:00"</f>
        <v>08/10/1993 00:00</v>
      </c>
      <c r="C2872">
        <v>208</v>
      </c>
      <c r="D2872" t="s">
        <v>7</v>
      </c>
      <c r="E2872" s="2" t="s">
        <v>12</v>
      </c>
      <c r="F2872">
        <f t="shared" si="44"/>
        <v>412.464</v>
      </c>
      <c r="G2872" t="s">
        <v>16</v>
      </c>
      <c r="J2872" t="str">
        <f>"08/10/1993 23:00"</f>
        <v>08/10/1993 23:00</v>
      </c>
    </row>
    <row r="2873" spans="1:10" x14ac:dyDescent="0.3">
      <c r="A2873" t="s">
        <v>6</v>
      </c>
      <c r="B2873" t="str">
        <f>"08/11/1993 00:00"</f>
        <v>08/11/1993 00:00</v>
      </c>
      <c r="C2873">
        <v>167</v>
      </c>
      <c r="D2873" t="s">
        <v>7</v>
      </c>
      <c r="E2873" s="2" t="s">
        <v>12</v>
      </c>
      <c r="F2873">
        <f t="shared" si="44"/>
        <v>331.161</v>
      </c>
      <c r="G2873" t="s">
        <v>16</v>
      </c>
      <c r="I2873" t="s">
        <v>8</v>
      </c>
      <c r="J2873" t="str">
        <f>"08/11/1993 23:00"</f>
        <v>08/11/1993 23:00</v>
      </c>
    </row>
    <row r="2874" spans="1:10" x14ac:dyDescent="0.3">
      <c r="A2874" t="s">
        <v>6</v>
      </c>
      <c r="B2874" t="str">
        <f>"08/12/1993 00:00"</f>
        <v>08/12/1993 00:00</v>
      </c>
      <c r="C2874">
        <v>208</v>
      </c>
      <c r="D2874" t="s">
        <v>7</v>
      </c>
      <c r="E2874" s="2" t="s">
        <v>12</v>
      </c>
      <c r="F2874">
        <f t="shared" si="44"/>
        <v>412.464</v>
      </c>
      <c r="G2874" t="s">
        <v>16</v>
      </c>
      <c r="J2874" t="str">
        <f>"08/12/1993 23:00"</f>
        <v>08/12/1993 23:00</v>
      </c>
    </row>
    <row r="2875" spans="1:10" x14ac:dyDescent="0.3">
      <c r="A2875" t="s">
        <v>6</v>
      </c>
      <c r="B2875" t="str">
        <f>"08/13/1993 00:00"</f>
        <v>08/13/1993 00:00</v>
      </c>
      <c r="C2875">
        <v>250</v>
      </c>
      <c r="D2875" t="s">
        <v>7</v>
      </c>
      <c r="E2875" s="2" t="s">
        <v>12</v>
      </c>
      <c r="F2875">
        <f t="shared" si="44"/>
        <v>495.75</v>
      </c>
      <c r="G2875" t="s">
        <v>16</v>
      </c>
      <c r="I2875" t="s">
        <v>8</v>
      </c>
      <c r="J2875" t="str">
        <f>"08/13/1993 23:00"</f>
        <v>08/13/1993 23:00</v>
      </c>
    </row>
    <row r="2876" spans="1:10" x14ac:dyDescent="0.3">
      <c r="A2876" t="s">
        <v>6</v>
      </c>
      <c r="B2876" t="str">
        <f>"08/14/1993 00:00"</f>
        <v>08/14/1993 00:00</v>
      </c>
      <c r="C2876">
        <v>250</v>
      </c>
      <c r="D2876" t="s">
        <v>7</v>
      </c>
      <c r="E2876" s="2" t="s">
        <v>12</v>
      </c>
      <c r="F2876">
        <f t="shared" si="44"/>
        <v>495.75</v>
      </c>
      <c r="G2876" t="s">
        <v>16</v>
      </c>
      <c r="I2876" t="s">
        <v>35</v>
      </c>
      <c r="J2876" t="str">
        <f>"08/14/1993 23:00"</f>
        <v>08/14/1993 23:00</v>
      </c>
    </row>
    <row r="2877" spans="1:10" x14ac:dyDescent="0.3">
      <c r="A2877" t="s">
        <v>6</v>
      </c>
      <c r="B2877" t="str">
        <f>"08/15/1993 00:00"</f>
        <v>08/15/1993 00:00</v>
      </c>
      <c r="C2877">
        <v>208</v>
      </c>
      <c r="D2877" t="s">
        <v>7</v>
      </c>
      <c r="E2877" s="2" t="s">
        <v>12</v>
      </c>
      <c r="F2877">
        <f t="shared" si="44"/>
        <v>412.464</v>
      </c>
      <c r="G2877" t="s">
        <v>16</v>
      </c>
      <c r="I2877" t="s">
        <v>8</v>
      </c>
      <c r="J2877" t="str">
        <f>"08/15/1993 23:00"</f>
        <v>08/15/1993 23:00</v>
      </c>
    </row>
    <row r="2878" spans="1:10" x14ac:dyDescent="0.3">
      <c r="A2878" t="s">
        <v>6</v>
      </c>
      <c r="B2878" t="str">
        <f>"08/16/1993 00:00"</f>
        <v>08/16/1993 00:00</v>
      </c>
      <c r="C2878">
        <v>208</v>
      </c>
      <c r="D2878" t="s">
        <v>7</v>
      </c>
      <c r="E2878" s="2" t="s">
        <v>12</v>
      </c>
      <c r="F2878">
        <f t="shared" si="44"/>
        <v>412.464</v>
      </c>
      <c r="G2878" t="s">
        <v>16</v>
      </c>
      <c r="J2878" t="str">
        <f>"08/16/1993 23:00"</f>
        <v>08/16/1993 23:00</v>
      </c>
    </row>
    <row r="2879" spans="1:10" x14ac:dyDescent="0.3">
      <c r="A2879" t="s">
        <v>6</v>
      </c>
      <c r="B2879" t="str">
        <f>"08/17/1993 00:00"</f>
        <v>08/17/1993 00:00</v>
      </c>
      <c r="C2879">
        <v>251</v>
      </c>
      <c r="D2879" t="s">
        <v>7</v>
      </c>
      <c r="E2879" s="2" t="s">
        <v>12</v>
      </c>
      <c r="F2879">
        <f t="shared" si="44"/>
        <v>497.733</v>
      </c>
      <c r="G2879" t="s">
        <v>16</v>
      </c>
      <c r="I2879" t="s">
        <v>8</v>
      </c>
      <c r="J2879" t="str">
        <f>"08/17/1993 23:00"</f>
        <v>08/17/1993 23:00</v>
      </c>
    </row>
    <row r="2880" spans="1:10" x14ac:dyDescent="0.3">
      <c r="A2880" t="s">
        <v>6</v>
      </c>
      <c r="B2880" t="str">
        <f>"08/18/1993 00:00"</f>
        <v>08/18/1993 00:00</v>
      </c>
      <c r="C2880">
        <v>252</v>
      </c>
      <c r="D2880" t="s">
        <v>7</v>
      </c>
      <c r="E2880" s="2" t="s">
        <v>12</v>
      </c>
      <c r="F2880">
        <f t="shared" si="44"/>
        <v>499.71600000000001</v>
      </c>
      <c r="G2880" t="s">
        <v>16</v>
      </c>
      <c r="I2880" t="s">
        <v>8</v>
      </c>
      <c r="J2880" t="str">
        <f>"08/18/1993 23:00"</f>
        <v>08/18/1993 23:00</v>
      </c>
    </row>
    <row r="2881" spans="1:10" x14ac:dyDescent="0.3">
      <c r="A2881" t="s">
        <v>6</v>
      </c>
      <c r="B2881" t="str">
        <f>"08/19/1993 00:00"</f>
        <v>08/19/1993 00:00</v>
      </c>
      <c r="C2881">
        <v>210</v>
      </c>
      <c r="D2881" t="s">
        <v>7</v>
      </c>
      <c r="E2881" s="2" t="s">
        <v>12</v>
      </c>
      <c r="F2881">
        <f t="shared" si="44"/>
        <v>416.43</v>
      </c>
      <c r="G2881" t="s">
        <v>16</v>
      </c>
      <c r="I2881" t="s">
        <v>8</v>
      </c>
      <c r="J2881" t="str">
        <f>"08/19/1993 23:00"</f>
        <v>08/19/1993 23:00</v>
      </c>
    </row>
    <row r="2882" spans="1:10" x14ac:dyDescent="0.3">
      <c r="A2882" t="s">
        <v>6</v>
      </c>
      <c r="B2882" t="str">
        <f>"08/20/1993 00:00"</f>
        <v>08/20/1993 00:00</v>
      </c>
      <c r="C2882">
        <v>261</v>
      </c>
      <c r="D2882" t="s">
        <v>7</v>
      </c>
      <c r="E2882" s="2" t="s">
        <v>12</v>
      </c>
      <c r="F2882">
        <f t="shared" si="44"/>
        <v>517.56299999999999</v>
      </c>
      <c r="G2882" t="s">
        <v>16</v>
      </c>
      <c r="I2882" t="s">
        <v>8</v>
      </c>
      <c r="J2882" t="str">
        <f>"08/20/1993 23:00"</f>
        <v>08/20/1993 23:00</v>
      </c>
    </row>
    <row r="2883" spans="1:10" x14ac:dyDescent="0.3">
      <c r="A2883" t="s">
        <v>6</v>
      </c>
      <c r="B2883" t="str">
        <f>"08/21/1993 00:00"</f>
        <v>08/21/1993 00:00</v>
      </c>
      <c r="C2883">
        <v>261</v>
      </c>
      <c r="D2883" t="s">
        <v>7</v>
      </c>
      <c r="E2883" s="2" t="s">
        <v>12</v>
      </c>
      <c r="F2883">
        <f t="shared" ref="F2883:F2946" si="45">C2883*1.983</f>
        <v>517.56299999999999</v>
      </c>
      <c r="G2883" t="s">
        <v>16</v>
      </c>
      <c r="I2883" t="s">
        <v>35</v>
      </c>
      <c r="J2883" t="str">
        <f>"08/21/1993 23:00"</f>
        <v>08/21/1993 23:00</v>
      </c>
    </row>
    <row r="2884" spans="1:10" x14ac:dyDescent="0.3">
      <c r="A2884" t="s">
        <v>6</v>
      </c>
      <c r="B2884" t="str">
        <f>"08/22/1993 00:00"</f>
        <v>08/22/1993 00:00</v>
      </c>
      <c r="C2884">
        <v>218</v>
      </c>
      <c r="D2884" t="s">
        <v>7</v>
      </c>
      <c r="E2884" s="2" t="s">
        <v>12</v>
      </c>
      <c r="F2884">
        <f t="shared" si="45"/>
        <v>432.29400000000004</v>
      </c>
      <c r="G2884" t="s">
        <v>16</v>
      </c>
      <c r="I2884" t="s">
        <v>8</v>
      </c>
      <c r="J2884" t="str">
        <f>"08/22/1993 23:00"</f>
        <v>08/22/1993 23:00</v>
      </c>
    </row>
    <row r="2885" spans="1:10" x14ac:dyDescent="0.3">
      <c r="A2885" t="s">
        <v>6</v>
      </c>
      <c r="B2885" t="str">
        <f>"08/23/1993 00:00"</f>
        <v>08/23/1993 00:00</v>
      </c>
      <c r="C2885">
        <v>218</v>
      </c>
      <c r="D2885" t="s">
        <v>7</v>
      </c>
      <c r="E2885" s="2" t="s">
        <v>12</v>
      </c>
      <c r="F2885">
        <f t="shared" si="45"/>
        <v>432.29400000000004</v>
      </c>
      <c r="G2885" t="s">
        <v>16</v>
      </c>
      <c r="I2885" t="s">
        <v>8</v>
      </c>
      <c r="J2885" t="str">
        <f>"08/23/1993 23:00"</f>
        <v>08/23/1993 23:00</v>
      </c>
    </row>
    <row r="2886" spans="1:10" x14ac:dyDescent="0.3">
      <c r="A2886" t="s">
        <v>6</v>
      </c>
      <c r="B2886" t="str">
        <f>"08/24/1993 00:00"</f>
        <v>08/24/1993 00:00</v>
      </c>
      <c r="C2886">
        <v>355</v>
      </c>
      <c r="D2886" t="s">
        <v>7</v>
      </c>
      <c r="E2886" s="2" t="s">
        <v>12</v>
      </c>
      <c r="F2886">
        <f t="shared" si="45"/>
        <v>703.96500000000003</v>
      </c>
      <c r="G2886" t="s">
        <v>16</v>
      </c>
      <c r="J2886" t="str">
        <f>"08/24/1993 23:00"</f>
        <v>08/24/1993 23:00</v>
      </c>
    </row>
    <row r="2887" spans="1:10" x14ac:dyDescent="0.3">
      <c r="A2887" t="s">
        <v>6</v>
      </c>
      <c r="B2887" t="str">
        <f>"08/25/1993 00:00"</f>
        <v>08/25/1993 00:00</v>
      </c>
      <c r="C2887">
        <v>362</v>
      </c>
      <c r="D2887" t="s">
        <v>7</v>
      </c>
      <c r="E2887" s="2" t="s">
        <v>12</v>
      </c>
      <c r="F2887">
        <f t="shared" si="45"/>
        <v>717.846</v>
      </c>
      <c r="G2887" t="s">
        <v>16</v>
      </c>
      <c r="J2887" t="str">
        <f>"08/25/1993 23:00"</f>
        <v>08/25/1993 23:00</v>
      </c>
    </row>
    <row r="2888" spans="1:10" x14ac:dyDescent="0.3">
      <c r="A2888" t="s">
        <v>6</v>
      </c>
      <c r="B2888" t="str">
        <f>"08/26/1993 00:00"</f>
        <v>08/26/1993 00:00</v>
      </c>
      <c r="C2888">
        <v>260</v>
      </c>
      <c r="D2888" t="s">
        <v>7</v>
      </c>
      <c r="E2888" s="2" t="s">
        <v>12</v>
      </c>
      <c r="F2888">
        <f t="shared" si="45"/>
        <v>515.58000000000004</v>
      </c>
      <c r="G2888" t="s">
        <v>16</v>
      </c>
      <c r="J2888" t="str">
        <f>"08/26/1993 23:00"</f>
        <v>08/26/1993 23:00</v>
      </c>
    </row>
    <row r="2889" spans="1:10" x14ac:dyDescent="0.3">
      <c r="A2889" t="s">
        <v>6</v>
      </c>
      <c r="B2889" t="str">
        <f>"08/27/1993 00:00"</f>
        <v>08/27/1993 00:00</v>
      </c>
      <c r="C2889">
        <v>260</v>
      </c>
      <c r="D2889" t="s">
        <v>7</v>
      </c>
      <c r="E2889" s="2" t="s">
        <v>12</v>
      </c>
      <c r="F2889">
        <f t="shared" si="45"/>
        <v>515.58000000000004</v>
      </c>
      <c r="G2889" t="s">
        <v>16</v>
      </c>
      <c r="I2889" t="s">
        <v>8</v>
      </c>
      <c r="J2889" t="str">
        <f>"08/27/1993 23:00"</f>
        <v>08/27/1993 23:00</v>
      </c>
    </row>
    <row r="2890" spans="1:10" x14ac:dyDescent="0.3">
      <c r="A2890" t="s">
        <v>6</v>
      </c>
      <c r="B2890" t="str">
        <f>"08/28/1993 00:00"</f>
        <v>08/28/1993 00:00</v>
      </c>
      <c r="C2890">
        <v>260</v>
      </c>
      <c r="D2890" t="s">
        <v>7</v>
      </c>
      <c r="E2890" s="2" t="s">
        <v>12</v>
      </c>
      <c r="F2890">
        <f t="shared" si="45"/>
        <v>515.58000000000004</v>
      </c>
      <c r="G2890" t="s">
        <v>16</v>
      </c>
      <c r="I2890" t="s">
        <v>35</v>
      </c>
      <c r="J2890" t="str">
        <f>"08/28/1993 23:00"</f>
        <v>08/28/1993 23:00</v>
      </c>
    </row>
    <row r="2891" spans="1:10" x14ac:dyDescent="0.3">
      <c r="A2891" t="s">
        <v>6</v>
      </c>
      <c r="B2891" t="str">
        <f>"08/29/1993 00:00"</f>
        <v>08/29/1993 00:00</v>
      </c>
      <c r="C2891">
        <v>206</v>
      </c>
      <c r="D2891" t="s">
        <v>7</v>
      </c>
      <c r="E2891" s="2" t="s">
        <v>12</v>
      </c>
      <c r="F2891">
        <f t="shared" si="45"/>
        <v>408.49800000000005</v>
      </c>
      <c r="G2891" t="s">
        <v>16</v>
      </c>
      <c r="I2891" t="s">
        <v>8</v>
      </c>
      <c r="J2891" t="str">
        <f>"08/29/1993 23:00"</f>
        <v>08/29/1993 23:00</v>
      </c>
    </row>
    <row r="2892" spans="1:10" x14ac:dyDescent="0.3">
      <c r="A2892" t="s">
        <v>6</v>
      </c>
      <c r="B2892" t="str">
        <f>"08/30/1993 00:00"</f>
        <v>08/30/1993 00:00</v>
      </c>
      <c r="C2892">
        <v>133</v>
      </c>
      <c r="D2892" t="s">
        <v>7</v>
      </c>
      <c r="E2892" s="2" t="s">
        <v>12</v>
      </c>
      <c r="F2892">
        <f t="shared" si="45"/>
        <v>263.73900000000003</v>
      </c>
      <c r="G2892" t="s">
        <v>16</v>
      </c>
      <c r="J2892" t="str">
        <f>"08/30/1993 23:00"</f>
        <v>08/30/1993 23:00</v>
      </c>
    </row>
    <row r="2893" spans="1:10" x14ac:dyDescent="0.3">
      <c r="A2893" t="s">
        <v>6</v>
      </c>
      <c r="B2893" t="str">
        <f>"08/31/1993 00:00"</f>
        <v>08/31/1993 00:00</v>
      </c>
      <c r="C2893">
        <v>260</v>
      </c>
      <c r="D2893" t="s">
        <v>7</v>
      </c>
      <c r="E2893" s="2" t="s">
        <v>12</v>
      </c>
      <c r="F2893">
        <f t="shared" si="45"/>
        <v>515.58000000000004</v>
      </c>
      <c r="G2893" t="s">
        <v>16</v>
      </c>
      <c r="I2893" t="s">
        <v>8</v>
      </c>
      <c r="J2893" t="str">
        <f>"08/31/1993 23:00"</f>
        <v>08/31/1993 23:00</v>
      </c>
    </row>
    <row r="2894" spans="1:10" x14ac:dyDescent="0.3">
      <c r="A2894" t="s">
        <v>6</v>
      </c>
      <c r="B2894" t="str">
        <f>"09/01/1993 00:00"</f>
        <v>09/01/1993 00:00</v>
      </c>
      <c r="C2894">
        <v>260</v>
      </c>
      <c r="D2894" t="s">
        <v>7</v>
      </c>
      <c r="E2894" s="2" t="s">
        <v>12</v>
      </c>
      <c r="F2894">
        <f t="shared" si="45"/>
        <v>515.58000000000004</v>
      </c>
      <c r="G2894" t="s">
        <v>16</v>
      </c>
      <c r="J2894" t="str">
        <f>"09/01/1993 23:00"</f>
        <v>09/01/1993 23:00</v>
      </c>
    </row>
    <row r="2895" spans="1:10" x14ac:dyDescent="0.3">
      <c r="A2895" t="s">
        <v>6</v>
      </c>
      <c r="B2895" t="str">
        <f>"09/02/1993 00:00"</f>
        <v>09/02/1993 00:00</v>
      </c>
      <c r="C2895">
        <v>253</v>
      </c>
      <c r="D2895" t="s">
        <v>7</v>
      </c>
      <c r="E2895" s="2" t="s">
        <v>12</v>
      </c>
      <c r="F2895">
        <f t="shared" si="45"/>
        <v>501.69900000000001</v>
      </c>
      <c r="G2895" t="s">
        <v>16</v>
      </c>
      <c r="J2895" t="str">
        <f>"09/02/1993 23:00"</f>
        <v>09/02/1993 23:00</v>
      </c>
    </row>
    <row r="2896" spans="1:10" x14ac:dyDescent="0.3">
      <c r="A2896" t="s">
        <v>6</v>
      </c>
      <c r="B2896" t="str">
        <f>"09/03/1993 00:00"</f>
        <v>09/03/1993 00:00</v>
      </c>
      <c r="C2896">
        <v>217</v>
      </c>
      <c r="D2896" t="s">
        <v>7</v>
      </c>
      <c r="E2896" s="2" t="s">
        <v>12</v>
      </c>
      <c r="F2896">
        <f t="shared" si="45"/>
        <v>430.31100000000004</v>
      </c>
      <c r="G2896" t="s">
        <v>16</v>
      </c>
      <c r="J2896" t="str">
        <f>"09/03/1993 23:00"</f>
        <v>09/03/1993 23:00</v>
      </c>
    </row>
    <row r="2897" spans="1:10" x14ac:dyDescent="0.3">
      <c r="A2897" t="s">
        <v>6</v>
      </c>
      <c r="B2897" t="str">
        <f>"09/04/1993 00:00"</f>
        <v>09/04/1993 00:00</v>
      </c>
      <c r="C2897">
        <v>178</v>
      </c>
      <c r="D2897" t="s">
        <v>7</v>
      </c>
      <c r="E2897" s="2" t="s">
        <v>12</v>
      </c>
      <c r="F2897">
        <f t="shared" si="45"/>
        <v>352.97399999999999</v>
      </c>
      <c r="G2897" t="s">
        <v>16</v>
      </c>
      <c r="J2897" t="str">
        <f>"09/04/1993 23:00"</f>
        <v>09/04/1993 23:00</v>
      </c>
    </row>
    <row r="2898" spans="1:10" x14ac:dyDescent="0.3">
      <c r="A2898" t="s">
        <v>6</v>
      </c>
      <c r="B2898" t="str">
        <f>"09/05/1993 00:00"</f>
        <v>09/05/1993 00:00</v>
      </c>
      <c r="C2898">
        <v>204</v>
      </c>
      <c r="D2898" t="s">
        <v>7</v>
      </c>
      <c r="E2898" s="2" t="s">
        <v>12</v>
      </c>
      <c r="F2898">
        <f t="shared" si="45"/>
        <v>404.53200000000004</v>
      </c>
      <c r="G2898" t="s">
        <v>16</v>
      </c>
      <c r="J2898" t="str">
        <f>"09/05/1993 23:00"</f>
        <v>09/05/1993 23:00</v>
      </c>
    </row>
    <row r="2899" spans="1:10" x14ac:dyDescent="0.3">
      <c r="A2899" t="s">
        <v>6</v>
      </c>
      <c r="B2899" t="str">
        <f>"09/06/1993 00:00"</f>
        <v>09/06/1993 00:00</v>
      </c>
      <c r="C2899">
        <v>226</v>
      </c>
      <c r="D2899" t="s">
        <v>7</v>
      </c>
      <c r="E2899" s="2" t="s">
        <v>12</v>
      </c>
      <c r="F2899">
        <f t="shared" si="45"/>
        <v>448.15800000000002</v>
      </c>
      <c r="G2899" t="s">
        <v>16</v>
      </c>
      <c r="I2899" t="s">
        <v>8</v>
      </c>
      <c r="J2899" t="str">
        <f>"09/06/1993 23:00"</f>
        <v>09/06/1993 23:00</v>
      </c>
    </row>
    <row r="2900" spans="1:10" x14ac:dyDescent="0.3">
      <c r="A2900" t="s">
        <v>6</v>
      </c>
      <c r="B2900" t="str">
        <f>"09/07/1993 00:00"</f>
        <v>09/07/1993 00:00</v>
      </c>
      <c r="C2900">
        <v>208</v>
      </c>
      <c r="D2900" t="s">
        <v>7</v>
      </c>
      <c r="E2900" s="2" t="s">
        <v>12</v>
      </c>
      <c r="F2900">
        <f t="shared" si="45"/>
        <v>412.464</v>
      </c>
      <c r="G2900" t="s">
        <v>16</v>
      </c>
      <c r="J2900" t="str">
        <f>"09/07/1993 23:00"</f>
        <v>09/07/1993 23:00</v>
      </c>
    </row>
    <row r="2901" spans="1:10" x14ac:dyDescent="0.3">
      <c r="A2901" t="s">
        <v>6</v>
      </c>
      <c r="B2901" t="str">
        <f>"09/08/1993 00:00"</f>
        <v>09/08/1993 00:00</v>
      </c>
      <c r="C2901">
        <v>231</v>
      </c>
      <c r="D2901" t="s">
        <v>7</v>
      </c>
      <c r="E2901" s="2" t="s">
        <v>12</v>
      </c>
      <c r="F2901">
        <f t="shared" si="45"/>
        <v>458.07300000000004</v>
      </c>
      <c r="G2901" t="s">
        <v>16</v>
      </c>
      <c r="J2901" t="str">
        <f>"09/08/1993 23:00"</f>
        <v>09/08/1993 23:00</v>
      </c>
    </row>
    <row r="2902" spans="1:10" x14ac:dyDescent="0.3">
      <c r="A2902" t="s">
        <v>6</v>
      </c>
      <c r="B2902" t="str">
        <f>"09/09/1993 00:00"</f>
        <v>09/09/1993 00:00</v>
      </c>
      <c r="C2902">
        <v>242</v>
      </c>
      <c r="D2902" t="s">
        <v>7</v>
      </c>
      <c r="E2902" s="2" t="s">
        <v>12</v>
      </c>
      <c r="F2902">
        <f t="shared" si="45"/>
        <v>479.88600000000002</v>
      </c>
      <c r="G2902" t="s">
        <v>16</v>
      </c>
      <c r="I2902" t="s">
        <v>8</v>
      </c>
      <c r="J2902" t="str">
        <f>"09/09/1993 23:00"</f>
        <v>09/09/1993 23:00</v>
      </c>
    </row>
    <row r="2903" spans="1:10" x14ac:dyDescent="0.3">
      <c r="A2903" t="s">
        <v>6</v>
      </c>
      <c r="B2903" t="str">
        <f>"09/10/1993 00:00"</f>
        <v>09/10/1993 00:00</v>
      </c>
      <c r="C2903">
        <v>225</v>
      </c>
      <c r="D2903" t="s">
        <v>7</v>
      </c>
      <c r="E2903" s="2" t="s">
        <v>12</v>
      </c>
      <c r="F2903">
        <f t="shared" si="45"/>
        <v>446.17500000000001</v>
      </c>
      <c r="G2903" t="s">
        <v>16</v>
      </c>
      <c r="J2903" t="str">
        <f>"09/10/1993 23:00"</f>
        <v>09/10/1993 23:00</v>
      </c>
    </row>
    <row r="2904" spans="1:10" x14ac:dyDescent="0.3">
      <c r="A2904" t="s">
        <v>6</v>
      </c>
      <c r="B2904" t="str">
        <f>"09/11/1993 00:00"</f>
        <v>09/11/1993 00:00</v>
      </c>
      <c r="C2904">
        <v>226</v>
      </c>
      <c r="D2904" t="s">
        <v>7</v>
      </c>
      <c r="E2904" s="2" t="s">
        <v>12</v>
      </c>
      <c r="F2904">
        <f t="shared" si="45"/>
        <v>448.15800000000002</v>
      </c>
      <c r="G2904" t="s">
        <v>16</v>
      </c>
      <c r="J2904" t="str">
        <f>"09/11/1993 23:00"</f>
        <v>09/11/1993 23:00</v>
      </c>
    </row>
    <row r="2905" spans="1:10" x14ac:dyDescent="0.3">
      <c r="A2905" t="s">
        <v>6</v>
      </c>
      <c r="B2905" t="str">
        <f>"09/12/1993 00:00"</f>
        <v>09/12/1993 00:00</v>
      </c>
      <c r="C2905">
        <v>227</v>
      </c>
      <c r="D2905" t="s">
        <v>7</v>
      </c>
      <c r="E2905" s="2" t="s">
        <v>12</v>
      </c>
      <c r="F2905">
        <f t="shared" si="45"/>
        <v>450.14100000000002</v>
      </c>
      <c r="G2905" t="s">
        <v>16</v>
      </c>
      <c r="I2905" t="s">
        <v>8</v>
      </c>
      <c r="J2905" t="str">
        <f>"09/12/1993 23:00"</f>
        <v>09/12/1993 23:00</v>
      </c>
    </row>
    <row r="2906" spans="1:10" x14ac:dyDescent="0.3">
      <c r="A2906" t="s">
        <v>6</v>
      </c>
      <c r="B2906" t="str">
        <f>"09/13/1993 00:00"</f>
        <v>09/13/1993 00:00</v>
      </c>
      <c r="C2906">
        <v>189</v>
      </c>
      <c r="D2906" t="s">
        <v>7</v>
      </c>
      <c r="E2906" s="2" t="s">
        <v>12</v>
      </c>
      <c r="F2906">
        <f t="shared" si="45"/>
        <v>374.78700000000003</v>
      </c>
      <c r="G2906" t="s">
        <v>16</v>
      </c>
      <c r="I2906" t="s">
        <v>8</v>
      </c>
      <c r="J2906" t="str">
        <f>"09/13/1993 23:00"</f>
        <v>09/13/1993 23:00</v>
      </c>
    </row>
    <row r="2907" spans="1:10" x14ac:dyDescent="0.3">
      <c r="A2907" t="s">
        <v>6</v>
      </c>
      <c r="B2907" t="str">
        <f>"09/14/1993 00:00"</f>
        <v>09/14/1993 00:00</v>
      </c>
      <c r="C2907">
        <v>176</v>
      </c>
      <c r="D2907" t="s">
        <v>7</v>
      </c>
      <c r="E2907" s="2" t="s">
        <v>12</v>
      </c>
      <c r="F2907">
        <f t="shared" si="45"/>
        <v>349.00800000000004</v>
      </c>
      <c r="G2907" t="s">
        <v>16</v>
      </c>
      <c r="J2907" t="str">
        <f>"09/14/1993 23:00"</f>
        <v>09/14/1993 23:00</v>
      </c>
    </row>
    <row r="2908" spans="1:10" x14ac:dyDescent="0.3">
      <c r="A2908" t="s">
        <v>6</v>
      </c>
      <c r="B2908" t="str">
        <f>"09/15/1993 00:00"</f>
        <v>09/15/1993 00:00</v>
      </c>
      <c r="C2908">
        <v>180</v>
      </c>
      <c r="D2908" t="s">
        <v>7</v>
      </c>
      <c r="E2908" s="2" t="s">
        <v>12</v>
      </c>
      <c r="F2908">
        <f t="shared" si="45"/>
        <v>356.94</v>
      </c>
      <c r="G2908" t="s">
        <v>16</v>
      </c>
      <c r="J2908" t="str">
        <f>"09/15/1993 23:00"</f>
        <v>09/15/1993 23:00</v>
      </c>
    </row>
    <row r="2909" spans="1:10" x14ac:dyDescent="0.3">
      <c r="A2909" t="s">
        <v>6</v>
      </c>
      <c r="B2909" t="str">
        <f>"09/16/1993 00:00"</f>
        <v>09/16/1993 00:00</v>
      </c>
      <c r="C2909">
        <v>198</v>
      </c>
      <c r="D2909" t="s">
        <v>7</v>
      </c>
      <c r="E2909" s="2" t="s">
        <v>12</v>
      </c>
      <c r="F2909">
        <f t="shared" si="45"/>
        <v>392.63400000000001</v>
      </c>
      <c r="G2909" t="s">
        <v>16</v>
      </c>
      <c r="J2909" t="str">
        <f>"09/16/1993 23:00"</f>
        <v>09/16/1993 23:00</v>
      </c>
    </row>
    <row r="2910" spans="1:10" x14ac:dyDescent="0.3">
      <c r="A2910" t="s">
        <v>6</v>
      </c>
      <c r="B2910" t="str">
        <f>"09/17/1993 00:00"</f>
        <v>09/17/1993 00:00</v>
      </c>
      <c r="C2910">
        <v>226</v>
      </c>
      <c r="D2910" t="s">
        <v>7</v>
      </c>
      <c r="E2910" s="2" t="s">
        <v>12</v>
      </c>
      <c r="F2910">
        <f t="shared" si="45"/>
        <v>448.15800000000002</v>
      </c>
      <c r="G2910" t="s">
        <v>16</v>
      </c>
      <c r="J2910" t="str">
        <f>"09/17/1993 23:00"</f>
        <v>09/17/1993 23:00</v>
      </c>
    </row>
    <row r="2911" spans="1:10" x14ac:dyDescent="0.3">
      <c r="A2911" t="s">
        <v>6</v>
      </c>
      <c r="B2911" t="str">
        <f>"09/18/1993 00:00"</f>
        <v>09/18/1993 00:00</v>
      </c>
      <c r="C2911">
        <v>227</v>
      </c>
      <c r="D2911" t="s">
        <v>7</v>
      </c>
      <c r="E2911" s="2" t="s">
        <v>12</v>
      </c>
      <c r="F2911">
        <f t="shared" si="45"/>
        <v>450.14100000000002</v>
      </c>
      <c r="G2911" t="s">
        <v>16</v>
      </c>
      <c r="J2911" t="str">
        <f>"09/18/1993 23:00"</f>
        <v>09/18/1993 23:00</v>
      </c>
    </row>
    <row r="2912" spans="1:10" x14ac:dyDescent="0.3">
      <c r="A2912" t="s">
        <v>6</v>
      </c>
      <c r="B2912" t="str">
        <f>"09/19/1993 00:00"</f>
        <v>09/19/1993 00:00</v>
      </c>
      <c r="C2912">
        <v>189</v>
      </c>
      <c r="D2912" t="s">
        <v>7</v>
      </c>
      <c r="E2912" s="2" t="s">
        <v>12</v>
      </c>
      <c r="F2912">
        <f t="shared" si="45"/>
        <v>374.78700000000003</v>
      </c>
      <c r="G2912" t="s">
        <v>16</v>
      </c>
      <c r="J2912" t="str">
        <f>"09/19/1993 23:00"</f>
        <v>09/19/1993 23:00</v>
      </c>
    </row>
    <row r="2913" spans="1:10" x14ac:dyDescent="0.3">
      <c r="A2913" t="s">
        <v>6</v>
      </c>
      <c r="B2913" t="str">
        <f>"09/20/1993 00:00"</f>
        <v>09/20/1993 00:00</v>
      </c>
      <c r="C2913">
        <v>226</v>
      </c>
      <c r="D2913" t="s">
        <v>7</v>
      </c>
      <c r="E2913" s="2" t="s">
        <v>12</v>
      </c>
      <c r="F2913">
        <f t="shared" si="45"/>
        <v>448.15800000000002</v>
      </c>
      <c r="G2913" t="s">
        <v>16</v>
      </c>
      <c r="J2913" t="str">
        <f>"09/20/1993 23:00"</f>
        <v>09/20/1993 23:00</v>
      </c>
    </row>
    <row r="2914" spans="1:10" x14ac:dyDescent="0.3">
      <c r="A2914" t="s">
        <v>6</v>
      </c>
      <c r="B2914" t="str">
        <f>"09/21/1993 00:00"</f>
        <v>09/21/1993 00:00</v>
      </c>
      <c r="C2914">
        <v>189</v>
      </c>
      <c r="D2914" t="s">
        <v>7</v>
      </c>
      <c r="E2914" s="2" t="s">
        <v>12</v>
      </c>
      <c r="F2914">
        <f t="shared" si="45"/>
        <v>374.78700000000003</v>
      </c>
      <c r="G2914" t="s">
        <v>16</v>
      </c>
      <c r="J2914" t="str">
        <f>"09/21/1993 23:00"</f>
        <v>09/21/1993 23:00</v>
      </c>
    </row>
    <row r="2915" spans="1:10" x14ac:dyDescent="0.3">
      <c r="A2915" t="s">
        <v>6</v>
      </c>
      <c r="B2915" t="str">
        <f>"09/22/1993 00:00"</f>
        <v>09/22/1993 00:00</v>
      </c>
      <c r="C2915">
        <v>227</v>
      </c>
      <c r="D2915" t="s">
        <v>7</v>
      </c>
      <c r="E2915" s="2" t="s">
        <v>12</v>
      </c>
      <c r="F2915">
        <f t="shared" si="45"/>
        <v>450.14100000000002</v>
      </c>
      <c r="G2915" t="s">
        <v>16</v>
      </c>
      <c r="J2915" t="str">
        <f>"09/22/1993 23:00"</f>
        <v>09/22/1993 23:00</v>
      </c>
    </row>
    <row r="2916" spans="1:10" x14ac:dyDescent="0.3">
      <c r="A2916" t="s">
        <v>6</v>
      </c>
      <c r="B2916" t="str">
        <f>"09/23/1993 00:00"</f>
        <v>09/23/1993 00:00</v>
      </c>
      <c r="C2916">
        <v>227</v>
      </c>
      <c r="D2916" t="s">
        <v>7</v>
      </c>
      <c r="E2916" s="2" t="s">
        <v>12</v>
      </c>
      <c r="F2916">
        <f t="shared" si="45"/>
        <v>450.14100000000002</v>
      </c>
      <c r="G2916" t="s">
        <v>16</v>
      </c>
      <c r="J2916" t="str">
        <f>"09/23/1993 23:00"</f>
        <v>09/23/1993 23:00</v>
      </c>
    </row>
    <row r="2917" spans="1:10" x14ac:dyDescent="0.3">
      <c r="A2917" t="s">
        <v>6</v>
      </c>
      <c r="B2917" t="str">
        <f>"09/24/1993 00:00"</f>
        <v>09/24/1993 00:00</v>
      </c>
      <c r="C2917">
        <v>227</v>
      </c>
      <c r="D2917" t="s">
        <v>7</v>
      </c>
      <c r="E2917" s="2" t="s">
        <v>12</v>
      </c>
      <c r="F2917">
        <f t="shared" si="45"/>
        <v>450.14100000000002</v>
      </c>
      <c r="G2917" t="s">
        <v>16</v>
      </c>
      <c r="J2917" t="str">
        <f>"09/24/1993 23:00"</f>
        <v>09/24/1993 23:00</v>
      </c>
    </row>
    <row r="2918" spans="1:10" x14ac:dyDescent="0.3">
      <c r="A2918" t="s">
        <v>6</v>
      </c>
      <c r="B2918" t="str">
        <f>"09/25/1993 00:00"</f>
        <v>09/25/1993 00:00</v>
      </c>
      <c r="C2918">
        <v>227</v>
      </c>
      <c r="D2918" t="s">
        <v>7</v>
      </c>
      <c r="E2918" s="2" t="s">
        <v>12</v>
      </c>
      <c r="F2918">
        <f t="shared" si="45"/>
        <v>450.14100000000002</v>
      </c>
      <c r="G2918" t="s">
        <v>16</v>
      </c>
      <c r="J2918" t="str">
        <f>"09/25/1993 23:00"</f>
        <v>09/25/1993 23:00</v>
      </c>
    </row>
    <row r="2919" spans="1:10" x14ac:dyDescent="0.3">
      <c r="A2919" t="s">
        <v>6</v>
      </c>
      <c r="B2919" t="str">
        <f>"09/26/1993 00:00"</f>
        <v>09/26/1993 00:00</v>
      </c>
      <c r="C2919">
        <v>191</v>
      </c>
      <c r="D2919" t="s">
        <v>7</v>
      </c>
      <c r="E2919" s="2" t="s">
        <v>12</v>
      </c>
      <c r="F2919">
        <f t="shared" si="45"/>
        <v>378.75300000000004</v>
      </c>
      <c r="G2919" t="s">
        <v>16</v>
      </c>
      <c r="J2919" t="str">
        <f>"09/26/1993 23:00"</f>
        <v>09/26/1993 23:00</v>
      </c>
    </row>
    <row r="2920" spans="1:10" x14ac:dyDescent="0.3">
      <c r="A2920" t="s">
        <v>6</v>
      </c>
      <c r="B2920" t="str">
        <f>"09/27/1993 00:00"</f>
        <v>09/27/1993 00:00</v>
      </c>
      <c r="C2920">
        <v>191</v>
      </c>
      <c r="D2920" t="s">
        <v>7</v>
      </c>
      <c r="E2920" s="2" t="s">
        <v>12</v>
      </c>
      <c r="F2920">
        <f t="shared" si="45"/>
        <v>378.75300000000004</v>
      </c>
      <c r="G2920" t="s">
        <v>16</v>
      </c>
      <c r="J2920" t="str">
        <f>"09/27/1993 23:00"</f>
        <v>09/27/1993 23:00</v>
      </c>
    </row>
    <row r="2921" spans="1:10" x14ac:dyDescent="0.3">
      <c r="A2921" t="s">
        <v>6</v>
      </c>
      <c r="B2921" t="str">
        <f>"09/28/1993 00:00"</f>
        <v>09/28/1993 00:00</v>
      </c>
      <c r="C2921">
        <v>207</v>
      </c>
      <c r="D2921" t="s">
        <v>7</v>
      </c>
      <c r="E2921" s="2" t="s">
        <v>12</v>
      </c>
      <c r="F2921">
        <f t="shared" si="45"/>
        <v>410.48099999999999</v>
      </c>
      <c r="G2921" t="s">
        <v>16</v>
      </c>
      <c r="J2921" t="str">
        <f>"09/28/1993 23:00"</f>
        <v>09/28/1993 23:00</v>
      </c>
    </row>
    <row r="2922" spans="1:10" x14ac:dyDescent="0.3">
      <c r="A2922" t="s">
        <v>6</v>
      </c>
      <c r="B2922" t="str">
        <f>"09/29/1993 00:00"</f>
        <v>09/29/1993 00:00</v>
      </c>
      <c r="C2922">
        <v>297</v>
      </c>
      <c r="D2922" t="s">
        <v>7</v>
      </c>
      <c r="E2922" s="2" t="s">
        <v>12</v>
      </c>
      <c r="F2922">
        <f t="shared" si="45"/>
        <v>588.95100000000002</v>
      </c>
      <c r="G2922" t="s">
        <v>16</v>
      </c>
      <c r="I2922" t="s">
        <v>8</v>
      </c>
      <c r="J2922" t="str">
        <f>"09/29/1993 23:00"</f>
        <v>09/29/1993 23:00</v>
      </c>
    </row>
    <row r="2923" spans="1:10" x14ac:dyDescent="0.3">
      <c r="A2923" t="s">
        <v>6</v>
      </c>
      <c r="B2923" t="str">
        <f>"09/30/1993 00:00"</f>
        <v>09/30/1993 00:00</v>
      </c>
      <c r="C2923">
        <v>297</v>
      </c>
      <c r="D2923" t="s">
        <v>7</v>
      </c>
      <c r="E2923" s="2" t="s">
        <v>12</v>
      </c>
      <c r="F2923">
        <f t="shared" si="45"/>
        <v>588.95100000000002</v>
      </c>
      <c r="G2923" t="s">
        <v>16</v>
      </c>
      <c r="J2923" t="str">
        <f>"09/30/1993 23:00"</f>
        <v>09/30/1993 23:00</v>
      </c>
    </row>
    <row r="2924" spans="1:10" x14ac:dyDescent="0.3">
      <c r="A2924" t="s">
        <v>6</v>
      </c>
      <c r="B2924" t="str">
        <f>"10/01/1993 00:00"</f>
        <v>10/01/1993 00:00</v>
      </c>
      <c r="C2924">
        <v>0.85</v>
      </c>
      <c r="D2924" t="s">
        <v>7</v>
      </c>
      <c r="E2924" s="2" t="s">
        <v>12</v>
      </c>
      <c r="F2924">
        <f t="shared" si="45"/>
        <v>1.6855500000000001</v>
      </c>
      <c r="G2924" t="s">
        <v>16</v>
      </c>
      <c r="I2924" t="s">
        <v>35</v>
      </c>
      <c r="J2924" t="str">
        <f>"10/01/1993 23:00"</f>
        <v>10/01/1993 23:00</v>
      </c>
    </row>
    <row r="2925" spans="1:10" x14ac:dyDescent="0.3">
      <c r="A2925" t="s">
        <v>6</v>
      </c>
      <c r="B2925" t="str">
        <f>"10/02/1993 00:00"</f>
        <v>10/02/1993 00:00</v>
      </c>
      <c r="C2925">
        <v>0.85</v>
      </c>
      <c r="D2925" t="s">
        <v>7</v>
      </c>
      <c r="E2925" s="2" t="s">
        <v>12</v>
      </c>
      <c r="F2925">
        <f t="shared" si="45"/>
        <v>1.6855500000000001</v>
      </c>
      <c r="G2925" t="s">
        <v>16</v>
      </c>
      <c r="I2925" t="s">
        <v>35</v>
      </c>
      <c r="J2925" t="str">
        <f>"10/02/1993 23:00"</f>
        <v>10/02/1993 23:00</v>
      </c>
    </row>
    <row r="2926" spans="1:10" x14ac:dyDescent="0.3">
      <c r="A2926" t="s">
        <v>6</v>
      </c>
      <c r="B2926" t="str">
        <f>"10/03/1993 00:00"</f>
        <v>10/03/1993 00:00</v>
      </c>
      <c r="C2926">
        <v>0.85</v>
      </c>
      <c r="D2926" t="s">
        <v>7</v>
      </c>
      <c r="E2926" s="2" t="s">
        <v>12</v>
      </c>
      <c r="F2926">
        <f t="shared" si="45"/>
        <v>1.6855500000000001</v>
      </c>
      <c r="G2926" t="s">
        <v>16</v>
      </c>
      <c r="I2926" t="s">
        <v>35</v>
      </c>
      <c r="J2926" t="str">
        <f>"10/03/1993 23:00"</f>
        <v>10/03/1993 23:00</v>
      </c>
    </row>
    <row r="2927" spans="1:10" x14ac:dyDescent="0.3">
      <c r="A2927" t="s">
        <v>6</v>
      </c>
      <c r="B2927" t="str">
        <f>"10/04/1993 00:00"</f>
        <v>10/04/1993 00:00</v>
      </c>
      <c r="C2927">
        <v>0.85</v>
      </c>
      <c r="D2927" t="s">
        <v>7</v>
      </c>
      <c r="E2927" s="2" t="s">
        <v>12</v>
      </c>
      <c r="F2927">
        <f t="shared" si="45"/>
        <v>1.6855500000000001</v>
      </c>
      <c r="G2927" t="s">
        <v>16</v>
      </c>
      <c r="I2927" t="s">
        <v>35</v>
      </c>
      <c r="J2927" t="str">
        <f>"10/04/1993 23:00"</f>
        <v>10/04/1993 23:00</v>
      </c>
    </row>
    <row r="2928" spans="1:10" x14ac:dyDescent="0.3">
      <c r="A2928" t="s">
        <v>6</v>
      </c>
      <c r="B2928" t="str">
        <f>"10/05/1993 00:00"</f>
        <v>10/05/1993 00:00</v>
      </c>
      <c r="C2928">
        <v>0.85</v>
      </c>
      <c r="D2928" t="s">
        <v>7</v>
      </c>
      <c r="E2928" s="2" t="s">
        <v>12</v>
      </c>
      <c r="F2928">
        <f t="shared" si="45"/>
        <v>1.6855500000000001</v>
      </c>
      <c r="G2928" t="s">
        <v>16</v>
      </c>
      <c r="I2928" t="s">
        <v>35</v>
      </c>
      <c r="J2928" t="str">
        <f>"10/05/1993 23:00"</f>
        <v>10/05/1993 23:00</v>
      </c>
    </row>
    <row r="2929" spans="1:10" x14ac:dyDescent="0.3">
      <c r="A2929" t="s">
        <v>6</v>
      </c>
      <c r="B2929" t="str">
        <f>"10/06/1993 00:00"</f>
        <v>10/06/1993 00:00</v>
      </c>
      <c r="C2929">
        <v>0.71299999999999997</v>
      </c>
      <c r="D2929" t="s">
        <v>7</v>
      </c>
      <c r="E2929" s="2" t="s">
        <v>12</v>
      </c>
      <c r="F2929">
        <f t="shared" si="45"/>
        <v>1.4138790000000001</v>
      </c>
      <c r="G2929" t="s">
        <v>16</v>
      </c>
      <c r="I2929" t="s">
        <v>8</v>
      </c>
      <c r="J2929" t="str">
        <f>"10/06/1993 23:00"</f>
        <v>10/06/1993 23:00</v>
      </c>
    </row>
    <row r="2930" spans="1:10" x14ac:dyDescent="0.3">
      <c r="A2930" t="s">
        <v>6</v>
      </c>
      <c r="B2930" t="str">
        <f>"10/07/1993 00:00"</f>
        <v>10/07/1993 00:00</v>
      </c>
      <c r="C2930">
        <v>0.63</v>
      </c>
      <c r="D2930" t="s">
        <v>7</v>
      </c>
      <c r="E2930" s="2" t="s">
        <v>12</v>
      </c>
      <c r="F2930">
        <f t="shared" si="45"/>
        <v>1.24929</v>
      </c>
      <c r="G2930" t="s">
        <v>16</v>
      </c>
      <c r="I2930" t="s">
        <v>8</v>
      </c>
      <c r="J2930" t="str">
        <f>"10/07/1993 23:00"</f>
        <v>10/07/1993 23:00</v>
      </c>
    </row>
    <row r="2931" spans="1:10" x14ac:dyDescent="0.3">
      <c r="A2931" t="s">
        <v>6</v>
      </c>
      <c r="B2931" t="str">
        <f>"10/08/1993 00:00"</f>
        <v>10/08/1993 00:00</v>
      </c>
      <c r="C2931">
        <v>0.63</v>
      </c>
      <c r="D2931" t="s">
        <v>7</v>
      </c>
      <c r="E2931" s="2" t="s">
        <v>12</v>
      </c>
      <c r="F2931">
        <f t="shared" si="45"/>
        <v>1.24929</v>
      </c>
      <c r="G2931" t="s">
        <v>16</v>
      </c>
      <c r="I2931" t="s">
        <v>35</v>
      </c>
      <c r="J2931" t="str">
        <f>"10/08/1993 23:00"</f>
        <v>10/08/1993 23:00</v>
      </c>
    </row>
    <row r="2932" spans="1:10" x14ac:dyDescent="0.3">
      <c r="A2932" t="s">
        <v>6</v>
      </c>
      <c r="B2932" t="str">
        <f>"10/09/1993 00:00"</f>
        <v>10/09/1993 00:00</v>
      </c>
      <c r="C2932">
        <v>0.63</v>
      </c>
      <c r="D2932" t="s">
        <v>7</v>
      </c>
      <c r="E2932" s="2" t="s">
        <v>12</v>
      </c>
      <c r="F2932">
        <f t="shared" si="45"/>
        <v>1.24929</v>
      </c>
      <c r="G2932" t="s">
        <v>16</v>
      </c>
      <c r="I2932" t="s">
        <v>35</v>
      </c>
      <c r="J2932" t="str">
        <f>"10/09/1993 23:00"</f>
        <v>10/09/1993 23:00</v>
      </c>
    </row>
    <row r="2933" spans="1:10" x14ac:dyDescent="0.3">
      <c r="A2933" t="s">
        <v>6</v>
      </c>
      <c r="B2933" t="str">
        <f>"10/10/1993 00:00"</f>
        <v>10/10/1993 00:00</v>
      </c>
      <c r="C2933">
        <v>0.63</v>
      </c>
      <c r="D2933" t="s">
        <v>7</v>
      </c>
      <c r="E2933" s="2" t="s">
        <v>12</v>
      </c>
      <c r="F2933">
        <f t="shared" si="45"/>
        <v>1.24929</v>
      </c>
      <c r="G2933" t="s">
        <v>16</v>
      </c>
      <c r="I2933" t="s">
        <v>35</v>
      </c>
      <c r="J2933" t="str">
        <f>"10/10/1993 23:00"</f>
        <v>10/10/1993 23:00</v>
      </c>
    </row>
    <row r="2934" spans="1:10" x14ac:dyDescent="0.3">
      <c r="A2934" t="s">
        <v>6</v>
      </c>
      <c r="B2934" t="str">
        <f>"10/11/1993 00:00"</f>
        <v>10/11/1993 00:00</v>
      </c>
      <c r="C2934">
        <v>0</v>
      </c>
      <c r="D2934" t="s">
        <v>7</v>
      </c>
      <c r="E2934" s="2" t="s">
        <v>12</v>
      </c>
      <c r="F2934">
        <f t="shared" si="45"/>
        <v>0</v>
      </c>
      <c r="G2934" t="s">
        <v>16</v>
      </c>
      <c r="I2934" t="s">
        <v>35</v>
      </c>
      <c r="J2934" t="str">
        <f>"10/11/1993 23:00"</f>
        <v>10/11/1993 23:00</v>
      </c>
    </row>
    <row r="2935" spans="1:10" x14ac:dyDescent="0.3">
      <c r="A2935" t="s">
        <v>6</v>
      </c>
      <c r="B2935" t="str">
        <f>"10/12/1993 00:00"</f>
        <v>10/12/1993 00:00</v>
      </c>
      <c r="C2935">
        <v>0</v>
      </c>
      <c r="D2935" t="s">
        <v>7</v>
      </c>
      <c r="E2935" s="2" t="s">
        <v>12</v>
      </c>
      <c r="F2935">
        <f t="shared" si="45"/>
        <v>0</v>
      </c>
      <c r="G2935" t="s">
        <v>16</v>
      </c>
      <c r="I2935" t="s">
        <v>35</v>
      </c>
      <c r="J2935" t="str">
        <f>"10/12/1993 23:00"</f>
        <v>10/12/1993 23:00</v>
      </c>
    </row>
    <row r="2936" spans="1:10" x14ac:dyDescent="0.3">
      <c r="A2936" t="s">
        <v>6</v>
      </c>
      <c r="B2936" t="str">
        <f>"10/13/1993 00:00"</f>
        <v>10/13/1993 00:00</v>
      </c>
      <c r="C2936">
        <v>0</v>
      </c>
      <c r="D2936" t="s">
        <v>7</v>
      </c>
      <c r="E2936" s="2" t="s">
        <v>12</v>
      </c>
      <c r="F2936">
        <f t="shared" si="45"/>
        <v>0</v>
      </c>
      <c r="G2936" t="s">
        <v>16</v>
      </c>
      <c r="I2936" t="s">
        <v>35</v>
      </c>
      <c r="J2936" t="str">
        <f>"10/13/1993 23:00"</f>
        <v>10/13/1993 23:00</v>
      </c>
    </row>
    <row r="2937" spans="1:10" x14ac:dyDescent="0.3">
      <c r="A2937" t="s">
        <v>6</v>
      </c>
      <c r="B2937" t="str">
        <f>"10/14/1993 00:00"</f>
        <v>10/14/1993 00:00</v>
      </c>
      <c r="C2937">
        <v>0</v>
      </c>
      <c r="D2937" t="s">
        <v>7</v>
      </c>
      <c r="E2937" s="2" t="s">
        <v>12</v>
      </c>
      <c r="F2937">
        <f t="shared" si="45"/>
        <v>0</v>
      </c>
      <c r="G2937" t="s">
        <v>16</v>
      </c>
      <c r="I2937" t="s">
        <v>35</v>
      </c>
      <c r="J2937" t="str">
        <f>"10/14/1993 23:00"</f>
        <v>10/14/1993 23:00</v>
      </c>
    </row>
    <row r="2938" spans="1:10" x14ac:dyDescent="0.3">
      <c r="A2938" t="s">
        <v>6</v>
      </c>
      <c r="B2938" t="str">
        <f>"10/15/1993 00:00"</f>
        <v>10/15/1993 00:00</v>
      </c>
      <c r="C2938">
        <v>0</v>
      </c>
      <c r="D2938" t="s">
        <v>7</v>
      </c>
      <c r="E2938" s="2" t="s">
        <v>12</v>
      </c>
      <c r="F2938">
        <f t="shared" si="45"/>
        <v>0</v>
      </c>
      <c r="G2938" t="s">
        <v>16</v>
      </c>
      <c r="I2938" t="s">
        <v>35</v>
      </c>
      <c r="J2938" t="str">
        <f>"10/15/1993 23:00"</f>
        <v>10/15/1993 23:00</v>
      </c>
    </row>
    <row r="2939" spans="1:10" x14ac:dyDescent="0.3">
      <c r="A2939" t="s">
        <v>6</v>
      </c>
      <c r="B2939" t="str">
        <f>"10/16/1993 00:00"</f>
        <v>10/16/1993 00:00</v>
      </c>
      <c r="C2939">
        <v>0</v>
      </c>
      <c r="D2939" t="s">
        <v>7</v>
      </c>
      <c r="E2939" s="2" t="s">
        <v>12</v>
      </c>
      <c r="F2939">
        <f t="shared" si="45"/>
        <v>0</v>
      </c>
      <c r="G2939" t="s">
        <v>16</v>
      </c>
      <c r="I2939" t="s">
        <v>35</v>
      </c>
      <c r="J2939" t="str">
        <f>"10/16/1993 23:00"</f>
        <v>10/16/1993 23:00</v>
      </c>
    </row>
    <row r="2940" spans="1:10" x14ac:dyDescent="0.3">
      <c r="A2940" t="s">
        <v>6</v>
      </c>
      <c r="B2940" t="str">
        <f>"10/17/1993 00:00"</f>
        <v>10/17/1993 00:00</v>
      </c>
      <c r="C2940">
        <v>0</v>
      </c>
      <c r="D2940" t="s">
        <v>7</v>
      </c>
      <c r="E2940" s="2" t="s">
        <v>12</v>
      </c>
      <c r="F2940">
        <f t="shared" si="45"/>
        <v>0</v>
      </c>
      <c r="G2940" t="s">
        <v>16</v>
      </c>
      <c r="I2940" t="s">
        <v>35</v>
      </c>
      <c r="J2940" t="str">
        <f>"10/17/1993 23:00"</f>
        <v>10/17/1993 23:00</v>
      </c>
    </row>
    <row r="2941" spans="1:10" x14ac:dyDescent="0.3">
      <c r="A2941" t="s">
        <v>6</v>
      </c>
      <c r="B2941" t="str">
        <f>"10/18/1993 00:00"</f>
        <v>10/18/1993 00:00</v>
      </c>
      <c r="C2941">
        <v>0</v>
      </c>
      <c r="D2941" t="s">
        <v>7</v>
      </c>
      <c r="E2941" s="2" t="s">
        <v>12</v>
      </c>
      <c r="F2941">
        <f t="shared" si="45"/>
        <v>0</v>
      </c>
      <c r="G2941" t="s">
        <v>16</v>
      </c>
      <c r="I2941" t="s">
        <v>35</v>
      </c>
      <c r="J2941" t="str">
        <f>"10/18/1993 06:00"</f>
        <v>10/18/1993 06:00</v>
      </c>
    </row>
    <row r="2942" spans="1:10" x14ac:dyDescent="0.3">
      <c r="A2942" t="s">
        <v>6</v>
      </c>
      <c r="B2942" t="str">
        <f>"10/19/1993 00:00"</f>
        <v>10/19/1993 00:00</v>
      </c>
      <c r="C2942">
        <v>0</v>
      </c>
      <c r="D2942" t="s">
        <v>7</v>
      </c>
      <c r="E2942" s="2" t="s">
        <v>12</v>
      </c>
      <c r="F2942">
        <f t="shared" si="45"/>
        <v>0</v>
      </c>
      <c r="G2942" t="s">
        <v>16</v>
      </c>
      <c r="I2942" t="s">
        <v>35</v>
      </c>
      <c r="J2942" t="str">
        <f>"10/19/1993 23:00"</f>
        <v>10/19/1993 23:00</v>
      </c>
    </row>
    <row r="2943" spans="1:10" x14ac:dyDescent="0.3">
      <c r="A2943" t="s">
        <v>6</v>
      </c>
      <c r="B2943" t="str">
        <f>"10/20/1993 00:00"</f>
        <v>10/20/1993 00:00</v>
      </c>
      <c r="C2943">
        <v>0</v>
      </c>
      <c r="D2943" t="s">
        <v>7</v>
      </c>
      <c r="E2943" s="2" t="s">
        <v>12</v>
      </c>
      <c r="F2943">
        <f t="shared" si="45"/>
        <v>0</v>
      </c>
      <c r="G2943" t="s">
        <v>16</v>
      </c>
      <c r="I2943" t="s">
        <v>35</v>
      </c>
      <c r="J2943" t="str">
        <f>"10/20/1993 23:00"</f>
        <v>10/20/1993 23:00</v>
      </c>
    </row>
    <row r="2944" spans="1:10" x14ac:dyDescent="0.3">
      <c r="A2944" t="s">
        <v>6</v>
      </c>
      <c r="B2944" t="str">
        <f>"10/21/1993 00:00"</f>
        <v>10/21/1993 00:00</v>
      </c>
      <c r="C2944">
        <v>0</v>
      </c>
      <c r="D2944" t="s">
        <v>7</v>
      </c>
      <c r="E2944" s="2" t="s">
        <v>12</v>
      </c>
      <c r="F2944">
        <f t="shared" si="45"/>
        <v>0</v>
      </c>
      <c r="G2944" t="s">
        <v>16</v>
      </c>
      <c r="I2944" t="s">
        <v>35</v>
      </c>
      <c r="J2944" t="str">
        <f>"10/21/1993 23:00"</f>
        <v>10/21/1993 23:00</v>
      </c>
    </row>
    <row r="2945" spans="1:10" x14ac:dyDescent="0.3">
      <c r="A2945" t="s">
        <v>6</v>
      </c>
      <c r="B2945" t="str">
        <f>"10/22/1993 00:00"</f>
        <v>10/22/1993 00:00</v>
      </c>
      <c r="C2945">
        <v>0</v>
      </c>
      <c r="D2945" t="s">
        <v>7</v>
      </c>
      <c r="E2945" s="2" t="s">
        <v>12</v>
      </c>
      <c r="F2945">
        <f t="shared" si="45"/>
        <v>0</v>
      </c>
      <c r="G2945" t="s">
        <v>16</v>
      </c>
      <c r="I2945" t="s">
        <v>35</v>
      </c>
      <c r="J2945" t="str">
        <f>"10/22/1993 23:00"</f>
        <v>10/22/1993 23:00</v>
      </c>
    </row>
    <row r="2946" spans="1:10" x14ac:dyDescent="0.3">
      <c r="A2946" t="s">
        <v>6</v>
      </c>
      <c r="B2946" t="str">
        <f>"10/23/1993 00:00"</f>
        <v>10/23/1993 00:00</v>
      </c>
      <c r="C2946">
        <v>0</v>
      </c>
      <c r="D2946" t="s">
        <v>7</v>
      </c>
      <c r="E2946" s="2" t="s">
        <v>12</v>
      </c>
      <c r="F2946">
        <f t="shared" si="45"/>
        <v>0</v>
      </c>
      <c r="G2946" t="s">
        <v>16</v>
      </c>
      <c r="I2946" t="s">
        <v>35</v>
      </c>
      <c r="J2946" t="str">
        <f>"10/23/1993 23:00"</f>
        <v>10/23/1993 23:00</v>
      </c>
    </row>
    <row r="2947" spans="1:10" x14ac:dyDescent="0.3">
      <c r="A2947" t="s">
        <v>6</v>
      </c>
      <c r="B2947" t="str">
        <f>"10/24/1993 00:00"</f>
        <v>10/24/1993 00:00</v>
      </c>
      <c r="C2947">
        <v>0</v>
      </c>
      <c r="D2947" t="s">
        <v>7</v>
      </c>
      <c r="E2947" s="2" t="s">
        <v>12</v>
      </c>
      <c r="F2947">
        <f t="shared" ref="F2947:F3010" si="46">C2947*1.983</f>
        <v>0</v>
      </c>
      <c r="G2947" t="s">
        <v>16</v>
      </c>
      <c r="I2947" t="s">
        <v>35</v>
      </c>
      <c r="J2947" t="str">
        <f>"10/24/1993 23:00"</f>
        <v>10/24/1993 23:00</v>
      </c>
    </row>
    <row r="2948" spans="1:10" x14ac:dyDescent="0.3">
      <c r="A2948" t="s">
        <v>6</v>
      </c>
      <c r="B2948" t="str">
        <f>"10/25/1993 00:00"</f>
        <v>10/25/1993 00:00</v>
      </c>
      <c r="C2948">
        <v>0</v>
      </c>
      <c r="D2948" t="s">
        <v>7</v>
      </c>
      <c r="E2948" s="2" t="s">
        <v>12</v>
      </c>
      <c r="F2948">
        <f t="shared" si="46"/>
        <v>0</v>
      </c>
      <c r="G2948" t="s">
        <v>16</v>
      </c>
      <c r="I2948" t="s">
        <v>35</v>
      </c>
      <c r="J2948" t="str">
        <f>"10/25/1993 23:00"</f>
        <v>10/25/1993 23:00</v>
      </c>
    </row>
    <row r="2949" spans="1:10" x14ac:dyDescent="0.3">
      <c r="A2949" t="s">
        <v>6</v>
      </c>
      <c r="B2949" t="str">
        <f>"10/26/1993 00:00"</f>
        <v>10/26/1993 00:00</v>
      </c>
      <c r="C2949">
        <v>0</v>
      </c>
      <c r="D2949" t="s">
        <v>7</v>
      </c>
      <c r="E2949" s="2" t="s">
        <v>12</v>
      </c>
      <c r="F2949">
        <f t="shared" si="46"/>
        <v>0</v>
      </c>
      <c r="G2949" t="s">
        <v>16</v>
      </c>
      <c r="I2949" t="s">
        <v>35</v>
      </c>
      <c r="J2949" t="str">
        <f>"10/26/1993 10:00"</f>
        <v>10/26/1993 10:00</v>
      </c>
    </row>
    <row r="2950" spans="1:10" x14ac:dyDescent="0.3">
      <c r="A2950" t="s">
        <v>6</v>
      </c>
      <c r="B2950" t="str">
        <f>"10/27/1993 00:00"</f>
        <v>10/27/1993 00:00</v>
      </c>
      <c r="D2950" t="s">
        <v>7</v>
      </c>
      <c r="E2950" s="2" t="s">
        <v>12</v>
      </c>
      <c r="F2950">
        <f t="shared" si="46"/>
        <v>0</v>
      </c>
      <c r="G2950" t="s">
        <v>16</v>
      </c>
    </row>
    <row r="2951" spans="1:10" x14ac:dyDescent="0.3">
      <c r="A2951" t="s">
        <v>6</v>
      </c>
      <c r="B2951" t="str">
        <f>"10/28/1993 00:00"</f>
        <v>10/28/1993 00:00</v>
      </c>
      <c r="D2951" t="s">
        <v>7</v>
      </c>
      <c r="E2951" s="2" t="s">
        <v>12</v>
      </c>
      <c r="F2951">
        <f t="shared" si="46"/>
        <v>0</v>
      </c>
      <c r="G2951" t="s">
        <v>16</v>
      </c>
    </row>
    <row r="2952" spans="1:10" x14ac:dyDescent="0.3">
      <c r="A2952" t="s">
        <v>6</v>
      </c>
      <c r="B2952" t="str">
        <f>"10/29/1993 00:00"</f>
        <v>10/29/1993 00:00</v>
      </c>
      <c r="D2952" t="s">
        <v>7</v>
      </c>
      <c r="E2952" s="2" t="s">
        <v>12</v>
      </c>
      <c r="F2952">
        <f t="shared" si="46"/>
        <v>0</v>
      </c>
      <c r="G2952" t="s">
        <v>16</v>
      </c>
    </row>
    <row r="2953" spans="1:10" x14ac:dyDescent="0.3">
      <c r="A2953" t="s">
        <v>6</v>
      </c>
      <c r="B2953" t="str">
        <f>"10/30/1993 00:00"</f>
        <v>10/30/1993 00:00</v>
      </c>
      <c r="D2953" t="s">
        <v>7</v>
      </c>
      <c r="E2953" s="2" t="s">
        <v>12</v>
      </c>
      <c r="F2953">
        <f t="shared" si="46"/>
        <v>0</v>
      </c>
      <c r="G2953" t="s">
        <v>16</v>
      </c>
    </row>
    <row r="2954" spans="1:10" x14ac:dyDescent="0.3">
      <c r="A2954" t="s">
        <v>6</v>
      </c>
      <c r="B2954" t="str">
        <f>"10/31/1993 00:00"</f>
        <v>10/31/1993 00:00</v>
      </c>
      <c r="D2954" t="s">
        <v>7</v>
      </c>
      <c r="E2954" s="2" t="s">
        <v>12</v>
      </c>
      <c r="F2954">
        <f t="shared" si="46"/>
        <v>0</v>
      </c>
      <c r="G2954" t="s">
        <v>16</v>
      </c>
    </row>
    <row r="2955" spans="1:10" x14ac:dyDescent="0.3">
      <c r="A2955" t="s">
        <v>6</v>
      </c>
      <c r="B2955" t="str">
        <f>"11/01/1993 00:00"</f>
        <v>11/01/1993 00:00</v>
      </c>
      <c r="D2955" t="s">
        <v>7</v>
      </c>
      <c r="E2955" s="2" t="s">
        <v>12</v>
      </c>
      <c r="F2955">
        <f t="shared" si="46"/>
        <v>0</v>
      </c>
      <c r="G2955" t="s">
        <v>16</v>
      </c>
    </row>
    <row r="2956" spans="1:10" x14ac:dyDescent="0.3">
      <c r="A2956" t="s">
        <v>6</v>
      </c>
      <c r="B2956" t="str">
        <f>"11/02/1993 00:00"</f>
        <v>11/02/1993 00:00</v>
      </c>
      <c r="D2956" t="s">
        <v>7</v>
      </c>
      <c r="E2956" s="2" t="s">
        <v>12</v>
      </c>
      <c r="F2956">
        <f t="shared" si="46"/>
        <v>0</v>
      </c>
      <c r="G2956" t="s">
        <v>16</v>
      </c>
    </row>
    <row r="2957" spans="1:10" x14ac:dyDescent="0.3">
      <c r="A2957" t="s">
        <v>6</v>
      </c>
      <c r="B2957" t="str">
        <f>"11/03/1993 00:00"</f>
        <v>11/03/1993 00:00</v>
      </c>
      <c r="D2957" t="s">
        <v>7</v>
      </c>
      <c r="E2957" s="2" t="s">
        <v>12</v>
      </c>
      <c r="F2957">
        <f t="shared" si="46"/>
        <v>0</v>
      </c>
      <c r="G2957" t="s">
        <v>16</v>
      </c>
    </row>
    <row r="2958" spans="1:10" x14ac:dyDescent="0.3">
      <c r="A2958" t="s">
        <v>6</v>
      </c>
      <c r="B2958" t="str">
        <f>"11/04/1993 00:00"</f>
        <v>11/04/1993 00:00</v>
      </c>
      <c r="D2958" t="s">
        <v>7</v>
      </c>
      <c r="E2958" s="2" t="s">
        <v>12</v>
      </c>
      <c r="F2958">
        <f t="shared" si="46"/>
        <v>0</v>
      </c>
      <c r="G2958" t="s">
        <v>16</v>
      </c>
    </row>
    <row r="2959" spans="1:10" x14ac:dyDescent="0.3">
      <c r="A2959" t="s">
        <v>6</v>
      </c>
      <c r="B2959" t="str">
        <f>"11/05/1993 00:00"</f>
        <v>11/05/1993 00:00</v>
      </c>
      <c r="D2959" t="s">
        <v>7</v>
      </c>
      <c r="E2959" s="2" t="s">
        <v>12</v>
      </c>
      <c r="F2959">
        <f t="shared" si="46"/>
        <v>0</v>
      </c>
      <c r="G2959" t="s">
        <v>16</v>
      </c>
    </row>
    <row r="2960" spans="1:10" x14ac:dyDescent="0.3">
      <c r="A2960" t="s">
        <v>6</v>
      </c>
      <c r="B2960" t="str">
        <f>"11/06/1993 00:00"</f>
        <v>11/06/1993 00:00</v>
      </c>
      <c r="D2960" t="s">
        <v>7</v>
      </c>
      <c r="E2960" s="2" t="s">
        <v>12</v>
      </c>
      <c r="F2960">
        <f t="shared" si="46"/>
        <v>0</v>
      </c>
      <c r="G2960" t="s">
        <v>16</v>
      </c>
    </row>
    <row r="2961" spans="1:10" x14ac:dyDescent="0.3">
      <c r="A2961" t="s">
        <v>6</v>
      </c>
      <c r="B2961" t="str">
        <f>"11/07/1993 00:00"</f>
        <v>11/07/1993 00:00</v>
      </c>
      <c r="D2961" t="s">
        <v>7</v>
      </c>
      <c r="E2961" s="2" t="s">
        <v>12</v>
      </c>
      <c r="F2961">
        <f t="shared" si="46"/>
        <v>0</v>
      </c>
      <c r="G2961" t="s">
        <v>16</v>
      </c>
    </row>
    <row r="2962" spans="1:10" x14ac:dyDescent="0.3">
      <c r="A2962" t="s">
        <v>6</v>
      </c>
      <c r="B2962" t="str">
        <f>"11/08/1993 00:00"</f>
        <v>11/08/1993 00:00</v>
      </c>
      <c r="D2962" t="s">
        <v>7</v>
      </c>
      <c r="E2962" s="2" t="s">
        <v>12</v>
      </c>
      <c r="F2962">
        <f t="shared" si="46"/>
        <v>0</v>
      </c>
      <c r="G2962" t="s">
        <v>16</v>
      </c>
    </row>
    <row r="2963" spans="1:10" x14ac:dyDescent="0.3">
      <c r="A2963" t="s">
        <v>6</v>
      </c>
      <c r="B2963" t="str">
        <f>"11/09/1993 00:00"</f>
        <v>11/09/1993 00:00</v>
      </c>
      <c r="D2963" t="s">
        <v>7</v>
      </c>
      <c r="E2963" s="2" t="s">
        <v>12</v>
      </c>
      <c r="F2963">
        <f t="shared" si="46"/>
        <v>0</v>
      </c>
      <c r="G2963" t="s">
        <v>16</v>
      </c>
    </row>
    <row r="2964" spans="1:10" x14ac:dyDescent="0.3">
      <c r="A2964" t="s">
        <v>6</v>
      </c>
      <c r="B2964" t="str">
        <f>"11/10/1993 00:00"</f>
        <v>11/10/1993 00:00</v>
      </c>
      <c r="D2964" t="s">
        <v>7</v>
      </c>
      <c r="E2964" s="2" t="s">
        <v>12</v>
      </c>
      <c r="F2964">
        <f t="shared" si="46"/>
        <v>0</v>
      </c>
      <c r="G2964" t="s">
        <v>16</v>
      </c>
    </row>
    <row r="2965" spans="1:10" x14ac:dyDescent="0.3">
      <c r="A2965" t="s">
        <v>6</v>
      </c>
      <c r="B2965" t="str">
        <f>"11/11/1993 00:00"</f>
        <v>11/11/1993 00:00</v>
      </c>
      <c r="D2965" t="s">
        <v>7</v>
      </c>
      <c r="E2965" s="2" t="s">
        <v>12</v>
      </c>
      <c r="F2965">
        <f t="shared" si="46"/>
        <v>0</v>
      </c>
      <c r="G2965" t="s">
        <v>16</v>
      </c>
    </row>
    <row r="2966" spans="1:10" x14ac:dyDescent="0.3">
      <c r="A2966" t="s">
        <v>6</v>
      </c>
      <c r="B2966" t="str">
        <f>"11/12/1993 00:00"</f>
        <v>11/12/1993 00:00</v>
      </c>
      <c r="D2966" t="s">
        <v>7</v>
      </c>
      <c r="E2966" s="2" t="s">
        <v>12</v>
      </c>
      <c r="F2966">
        <f t="shared" si="46"/>
        <v>0</v>
      </c>
      <c r="G2966" t="s">
        <v>16</v>
      </c>
    </row>
    <row r="2967" spans="1:10" x14ac:dyDescent="0.3">
      <c r="A2967" t="s">
        <v>6</v>
      </c>
      <c r="B2967" t="str">
        <f>"11/13/1993 00:00"</f>
        <v>11/13/1993 00:00</v>
      </c>
      <c r="D2967" t="s">
        <v>7</v>
      </c>
      <c r="E2967" s="2" t="s">
        <v>12</v>
      </c>
      <c r="F2967">
        <f t="shared" si="46"/>
        <v>0</v>
      </c>
      <c r="G2967" t="s">
        <v>16</v>
      </c>
    </row>
    <row r="2968" spans="1:10" x14ac:dyDescent="0.3">
      <c r="A2968" t="s">
        <v>6</v>
      </c>
      <c r="B2968" t="str">
        <f>"11/14/1993 00:00"</f>
        <v>11/14/1993 00:00</v>
      </c>
      <c r="D2968" t="s">
        <v>7</v>
      </c>
      <c r="E2968" s="2" t="s">
        <v>12</v>
      </c>
      <c r="F2968">
        <f t="shared" si="46"/>
        <v>0</v>
      </c>
      <c r="G2968" t="s">
        <v>16</v>
      </c>
    </row>
    <row r="2969" spans="1:10" x14ac:dyDescent="0.3">
      <c r="A2969" t="s">
        <v>6</v>
      </c>
      <c r="B2969" t="str">
        <f>"11/15/1993 00:00"</f>
        <v>11/15/1993 00:00</v>
      </c>
      <c r="D2969" t="s">
        <v>7</v>
      </c>
      <c r="E2969" s="2" t="s">
        <v>12</v>
      </c>
      <c r="F2969">
        <f t="shared" si="46"/>
        <v>0</v>
      </c>
      <c r="G2969" t="s">
        <v>16</v>
      </c>
    </row>
    <row r="2970" spans="1:10" x14ac:dyDescent="0.3">
      <c r="A2970" t="s">
        <v>6</v>
      </c>
      <c r="B2970" t="str">
        <f>"11/16/1993 00:00"</f>
        <v>11/16/1993 00:00</v>
      </c>
      <c r="D2970" t="s">
        <v>7</v>
      </c>
      <c r="E2970" s="2" t="s">
        <v>12</v>
      </c>
      <c r="F2970">
        <f t="shared" si="46"/>
        <v>0</v>
      </c>
      <c r="G2970" t="s">
        <v>16</v>
      </c>
    </row>
    <row r="2971" spans="1:10" x14ac:dyDescent="0.3">
      <c r="A2971" t="s">
        <v>6</v>
      </c>
      <c r="B2971" t="str">
        <f>"11/17/1993 00:00"</f>
        <v>11/17/1993 00:00</v>
      </c>
      <c r="C2971">
        <v>0</v>
      </c>
      <c r="D2971" t="s">
        <v>7</v>
      </c>
      <c r="E2971" s="2" t="s">
        <v>12</v>
      </c>
      <c r="F2971">
        <f t="shared" si="46"/>
        <v>0</v>
      </c>
      <c r="G2971" t="s">
        <v>16</v>
      </c>
      <c r="J2971" t="str">
        <f>"11/17/1993 23:00"</f>
        <v>11/17/1993 23:00</v>
      </c>
    </row>
    <row r="2972" spans="1:10" x14ac:dyDescent="0.3">
      <c r="A2972" t="s">
        <v>6</v>
      </c>
      <c r="B2972" t="str">
        <f>"11/18/1993 00:00"</f>
        <v>11/18/1993 00:00</v>
      </c>
      <c r="C2972">
        <v>0</v>
      </c>
      <c r="D2972" t="s">
        <v>7</v>
      </c>
      <c r="E2972" s="2" t="s">
        <v>12</v>
      </c>
      <c r="F2972">
        <f t="shared" si="46"/>
        <v>0</v>
      </c>
      <c r="G2972" t="s">
        <v>16</v>
      </c>
      <c r="J2972" t="str">
        <f>"11/18/1993 23:00"</f>
        <v>11/18/1993 23:00</v>
      </c>
    </row>
    <row r="2973" spans="1:10" x14ac:dyDescent="0.3">
      <c r="A2973" t="s">
        <v>6</v>
      </c>
      <c r="B2973" t="str">
        <f>"11/19/1993 00:00"</f>
        <v>11/19/1993 00:00</v>
      </c>
      <c r="C2973">
        <v>0</v>
      </c>
      <c r="D2973" t="s">
        <v>7</v>
      </c>
      <c r="E2973" s="2" t="s">
        <v>12</v>
      </c>
      <c r="F2973">
        <f t="shared" si="46"/>
        <v>0</v>
      </c>
      <c r="G2973" t="s">
        <v>16</v>
      </c>
      <c r="J2973" t="str">
        <f>"11/19/1993 23:00"</f>
        <v>11/19/1993 23:00</v>
      </c>
    </row>
    <row r="2974" spans="1:10" x14ac:dyDescent="0.3">
      <c r="A2974" t="s">
        <v>6</v>
      </c>
      <c r="B2974" t="str">
        <f>"11/20/1993 00:00"</f>
        <v>11/20/1993 00:00</v>
      </c>
      <c r="C2974">
        <v>0</v>
      </c>
      <c r="D2974" t="s">
        <v>7</v>
      </c>
      <c r="E2974" s="2" t="s">
        <v>12</v>
      </c>
      <c r="F2974">
        <f t="shared" si="46"/>
        <v>0</v>
      </c>
      <c r="G2974" t="s">
        <v>16</v>
      </c>
      <c r="J2974" t="str">
        <f>"11/20/1993 23:00"</f>
        <v>11/20/1993 23:00</v>
      </c>
    </row>
    <row r="2975" spans="1:10" x14ac:dyDescent="0.3">
      <c r="A2975" t="s">
        <v>6</v>
      </c>
      <c r="B2975" t="str">
        <f>"11/21/1993 00:00"</f>
        <v>11/21/1993 00:00</v>
      </c>
      <c r="C2975">
        <v>0</v>
      </c>
      <c r="D2975" t="s">
        <v>7</v>
      </c>
      <c r="E2975" s="2" t="s">
        <v>12</v>
      </c>
      <c r="F2975">
        <f t="shared" si="46"/>
        <v>0</v>
      </c>
      <c r="G2975" t="s">
        <v>16</v>
      </c>
      <c r="J2975" t="str">
        <f>"11/21/1993 23:00"</f>
        <v>11/21/1993 23:00</v>
      </c>
    </row>
    <row r="2976" spans="1:10" x14ac:dyDescent="0.3">
      <c r="A2976" t="s">
        <v>6</v>
      </c>
      <c r="B2976" t="str">
        <f>"11/22/1993 00:00"</f>
        <v>11/22/1993 00:00</v>
      </c>
      <c r="C2976">
        <v>0</v>
      </c>
      <c r="D2976" t="s">
        <v>7</v>
      </c>
      <c r="E2976" s="2" t="s">
        <v>12</v>
      </c>
      <c r="F2976">
        <f t="shared" si="46"/>
        <v>0</v>
      </c>
      <c r="G2976" t="s">
        <v>16</v>
      </c>
      <c r="J2976" t="str">
        <f>"11/22/1993 23:00"</f>
        <v>11/22/1993 23:00</v>
      </c>
    </row>
    <row r="2977" spans="1:10" x14ac:dyDescent="0.3">
      <c r="A2977" t="s">
        <v>6</v>
      </c>
      <c r="B2977" t="str">
        <f>"11/23/1993 00:00"</f>
        <v>11/23/1993 00:00</v>
      </c>
      <c r="C2977">
        <v>0</v>
      </c>
      <c r="D2977" t="s">
        <v>7</v>
      </c>
      <c r="E2977" s="2" t="s">
        <v>12</v>
      </c>
      <c r="F2977">
        <f t="shared" si="46"/>
        <v>0</v>
      </c>
      <c r="G2977" t="s">
        <v>16</v>
      </c>
      <c r="J2977" t="str">
        <f>"11/23/1993 23:00"</f>
        <v>11/23/1993 23:00</v>
      </c>
    </row>
    <row r="2978" spans="1:10" x14ac:dyDescent="0.3">
      <c r="A2978" t="s">
        <v>6</v>
      </c>
      <c r="B2978" t="str">
        <f>"11/24/1993 00:00"</f>
        <v>11/24/1993 00:00</v>
      </c>
      <c r="C2978">
        <v>0</v>
      </c>
      <c r="D2978" t="s">
        <v>7</v>
      </c>
      <c r="E2978" s="2" t="s">
        <v>12</v>
      </c>
      <c r="F2978">
        <f t="shared" si="46"/>
        <v>0</v>
      </c>
      <c r="G2978" t="s">
        <v>16</v>
      </c>
      <c r="J2978" t="str">
        <f>"11/24/1993 23:00"</f>
        <v>11/24/1993 23:00</v>
      </c>
    </row>
    <row r="2979" spans="1:10" x14ac:dyDescent="0.3">
      <c r="A2979" t="s">
        <v>6</v>
      </c>
      <c r="B2979" t="str">
        <f>"11/25/1993 00:00"</f>
        <v>11/25/1993 00:00</v>
      </c>
      <c r="C2979">
        <v>0</v>
      </c>
      <c r="D2979" t="s">
        <v>7</v>
      </c>
      <c r="E2979" s="2" t="s">
        <v>12</v>
      </c>
      <c r="F2979">
        <f t="shared" si="46"/>
        <v>0</v>
      </c>
      <c r="G2979" t="s">
        <v>16</v>
      </c>
      <c r="J2979" t="str">
        <f>"11/25/1993 23:00"</f>
        <v>11/25/1993 23:00</v>
      </c>
    </row>
    <row r="2980" spans="1:10" x14ac:dyDescent="0.3">
      <c r="A2980" t="s">
        <v>6</v>
      </c>
      <c r="B2980" t="str">
        <f>"11/26/1993 00:00"</f>
        <v>11/26/1993 00:00</v>
      </c>
      <c r="C2980">
        <v>0</v>
      </c>
      <c r="D2980" t="s">
        <v>7</v>
      </c>
      <c r="E2980" s="2" t="s">
        <v>12</v>
      </c>
      <c r="F2980">
        <f t="shared" si="46"/>
        <v>0</v>
      </c>
      <c r="G2980" t="s">
        <v>16</v>
      </c>
      <c r="J2980" t="str">
        <f>"11/26/1993 23:00"</f>
        <v>11/26/1993 23:00</v>
      </c>
    </row>
    <row r="2981" spans="1:10" x14ac:dyDescent="0.3">
      <c r="A2981" t="s">
        <v>6</v>
      </c>
      <c r="B2981" t="str">
        <f>"11/27/1993 00:00"</f>
        <v>11/27/1993 00:00</v>
      </c>
      <c r="C2981">
        <v>0</v>
      </c>
      <c r="D2981" t="s">
        <v>7</v>
      </c>
      <c r="E2981" s="2" t="s">
        <v>12</v>
      </c>
      <c r="F2981">
        <f t="shared" si="46"/>
        <v>0</v>
      </c>
      <c r="G2981" t="s">
        <v>16</v>
      </c>
      <c r="J2981" t="str">
        <f>"11/27/1993 23:00"</f>
        <v>11/27/1993 23:00</v>
      </c>
    </row>
    <row r="2982" spans="1:10" x14ac:dyDescent="0.3">
      <c r="A2982" t="s">
        <v>6</v>
      </c>
      <c r="B2982" t="str">
        <f>"11/28/1993 00:00"</f>
        <v>11/28/1993 00:00</v>
      </c>
      <c r="C2982">
        <v>0</v>
      </c>
      <c r="D2982" t="s">
        <v>7</v>
      </c>
      <c r="E2982" s="2" t="s">
        <v>12</v>
      </c>
      <c r="F2982">
        <f t="shared" si="46"/>
        <v>0</v>
      </c>
      <c r="G2982" t="s">
        <v>16</v>
      </c>
      <c r="J2982" t="str">
        <f>"11/28/1993 23:00"</f>
        <v>11/28/1993 23:00</v>
      </c>
    </row>
    <row r="2983" spans="1:10" x14ac:dyDescent="0.3">
      <c r="A2983" t="s">
        <v>6</v>
      </c>
      <c r="B2983" t="str">
        <f>"11/29/1993 00:00"</f>
        <v>11/29/1993 00:00</v>
      </c>
      <c r="C2983">
        <v>0</v>
      </c>
      <c r="D2983" t="s">
        <v>7</v>
      </c>
      <c r="E2983" s="2" t="s">
        <v>12</v>
      </c>
      <c r="F2983">
        <f t="shared" si="46"/>
        <v>0</v>
      </c>
      <c r="G2983" t="s">
        <v>16</v>
      </c>
      <c r="J2983" t="str">
        <f>"11/29/1993 23:00"</f>
        <v>11/29/1993 23:00</v>
      </c>
    </row>
    <row r="2984" spans="1:10" x14ac:dyDescent="0.3">
      <c r="A2984" t="s">
        <v>6</v>
      </c>
      <c r="B2984" t="str">
        <f>"11/30/1993 00:00"</f>
        <v>11/30/1993 00:00</v>
      </c>
      <c r="C2984">
        <v>0</v>
      </c>
      <c r="D2984" t="s">
        <v>7</v>
      </c>
      <c r="E2984" s="2" t="s">
        <v>12</v>
      </c>
      <c r="F2984">
        <f t="shared" si="46"/>
        <v>0</v>
      </c>
      <c r="G2984" t="s">
        <v>16</v>
      </c>
      <c r="J2984" t="str">
        <f>"11/30/1993 23:00"</f>
        <v>11/30/1993 23:00</v>
      </c>
    </row>
    <row r="2985" spans="1:10" x14ac:dyDescent="0.3">
      <c r="A2985" t="s">
        <v>6</v>
      </c>
      <c r="B2985" t="str">
        <f>"12/01/1993 00:00"</f>
        <v>12/01/1993 00:00</v>
      </c>
      <c r="C2985">
        <v>0</v>
      </c>
      <c r="D2985" t="s">
        <v>7</v>
      </c>
      <c r="E2985" s="2" t="s">
        <v>12</v>
      </c>
      <c r="F2985">
        <f t="shared" si="46"/>
        <v>0</v>
      </c>
      <c r="G2985" t="s">
        <v>16</v>
      </c>
      <c r="J2985" t="str">
        <f>"12/01/1993 23:00"</f>
        <v>12/01/1993 23:00</v>
      </c>
    </row>
    <row r="2986" spans="1:10" x14ac:dyDescent="0.3">
      <c r="A2986" t="s">
        <v>6</v>
      </c>
      <c r="B2986" t="str">
        <f>"12/02/1993 00:00"</f>
        <v>12/02/1993 00:00</v>
      </c>
      <c r="C2986">
        <v>0</v>
      </c>
      <c r="D2986" t="s">
        <v>7</v>
      </c>
      <c r="E2986" s="2" t="s">
        <v>12</v>
      </c>
      <c r="F2986">
        <f t="shared" si="46"/>
        <v>0</v>
      </c>
      <c r="G2986" t="s">
        <v>16</v>
      </c>
      <c r="J2986" t="str">
        <f>"12/02/1993 23:00"</f>
        <v>12/02/1993 23:00</v>
      </c>
    </row>
    <row r="2987" spans="1:10" x14ac:dyDescent="0.3">
      <c r="A2987" t="s">
        <v>6</v>
      </c>
      <c r="B2987" t="str">
        <f>"12/03/1993 00:00"</f>
        <v>12/03/1993 00:00</v>
      </c>
      <c r="C2987">
        <v>0</v>
      </c>
      <c r="D2987" t="s">
        <v>7</v>
      </c>
      <c r="E2987" s="2" t="s">
        <v>12</v>
      </c>
      <c r="F2987">
        <f t="shared" si="46"/>
        <v>0</v>
      </c>
      <c r="G2987" t="s">
        <v>16</v>
      </c>
      <c r="J2987" t="str">
        <f>"12/03/1993 23:00"</f>
        <v>12/03/1993 23:00</v>
      </c>
    </row>
    <row r="2988" spans="1:10" x14ac:dyDescent="0.3">
      <c r="A2988" t="s">
        <v>6</v>
      </c>
      <c r="B2988" t="str">
        <f>"12/04/1993 00:00"</f>
        <v>12/04/1993 00:00</v>
      </c>
      <c r="C2988">
        <v>0</v>
      </c>
      <c r="D2988" t="s">
        <v>7</v>
      </c>
      <c r="E2988" s="2" t="s">
        <v>12</v>
      </c>
      <c r="F2988">
        <f t="shared" si="46"/>
        <v>0</v>
      </c>
      <c r="G2988" t="s">
        <v>16</v>
      </c>
      <c r="J2988" t="str">
        <f>"12/04/1993 23:00"</f>
        <v>12/04/1993 23:00</v>
      </c>
    </row>
    <row r="2989" spans="1:10" x14ac:dyDescent="0.3">
      <c r="A2989" t="s">
        <v>6</v>
      </c>
      <c r="B2989" t="str">
        <f>"12/05/1993 00:00"</f>
        <v>12/05/1993 00:00</v>
      </c>
      <c r="C2989">
        <v>0</v>
      </c>
      <c r="D2989" t="s">
        <v>7</v>
      </c>
      <c r="E2989" s="2" t="s">
        <v>12</v>
      </c>
      <c r="F2989">
        <f t="shared" si="46"/>
        <v>0</v>
      </c>
      <c r="G2989" t="s">
        <v>16</v>
      </c>
      <c r="J2989" t="str">
        <f>"12/05/1993 23:00"</f>
        <v>12/05/1993 23:00</v>
      </c>
    </row>
    <row r="2990" spans="1:10" x14ac:dyDescent="0.3">
      <c r="A2990" t="s">
        <v>6</v>
      </c>
      <c r="B2990" t="str">
        <f>"12/06/1993 00:00"</f>
        <v>12/06/1993 00:00</v>
      </c>
      <c r="C2990">
        <v>0</v>
      </c>
      <c r="D2990" t="s">
        <v>7</v>
      </c>
      <c r="E2990" s="2" t="s">
        <v>12</v>
      </c>
      <c r="F2990">
        <f t="shared" si="46"/>
        <v>0</v>
      </c>
      <c r="G2990" t="s">
        <v>16</v>
      </c>
      <c r="J2990" t="str">
        <f>"12/06/1993 23:00"</f>
        <v>12/06/1993 23:00</v>
      </c>
    </row>
    <row r="2991" spans="1:10" x14ac:dyDescent="0.3">
      <c r="A2991" t="s">
        <v>6</v>
      </c>
      <c r="B2991" t="str">
        <f>"12/07/1993 00:00"</f>
        <v>12/07/1993 00:00</v>
      </c>
      <c r="C2991">
        <v>0</v>
      </c>
      <c r="D2991" t="s">
        <v>7</v>
      </c>
      <c r="E2991" s="2" t="s">
        <v>12</v>
      </c>
      <c r="F2991">
        <f t="shared" si="46"/>
        <v>0</v>
      </c>
      <c r="G2991" t="s">
        <v>16</v>
      </c>
      <c r="J2991" t="str">
        <f>"12/07/1993 23:00"</f>
        <v>12/07/1993 23:00</v>
      </c>
    </row>
    <row r="2992" spans="1:10" x14ac:dyDescent="0.3">
      <c r="A2992" t="s">
        <v>6</v>
      </c>
      <c r="B2992" t="str">
        <f>"12/08/1993 00:00"</f>
        <v>12/08/1993 00:00</v>
      </c>
      <c r="C2992">
        <v>0</v>
      </c>
      <c r="D2992" t="s">
        <v>7</v>
      </c>
      <c r="E2992" s="2" t="s">
        <v>12</v>
      </c>
      <c r="F2992">
        <f t="shared" si="46"/>
        <v>0</v>
      </c>
      <c r="G2992" t="s">
        <v>16</v>
      </c>
      <c r="J2992" t="str">
        <f>"12/08/1993 23:00"</f>
        <v>12/08/1993 23:00</v>
      </c>
    </row>
    <row r="2993" spans="1:10" x14ac:dyDescent="0.3">
      <c r="A2993" t="s">
        <v>6</v>
      </c>
      <c r="B2993" t="str">
        <f>"12/09/1993 00:00"</f>
        <v>12/09/1993 00:00</v>
      </c>
      <c r="C2993">
        <v>0</v>
      </c>
      <c r="D2993" t="s">
        <v>7</v>
      </c>
      <c r="E2993" s="2" t="s">
        <v>12</v>
      </c>
      <c r="F2993">
        <f t="shared" si="46"/>
        <v>0</v>
      </c>
      <c r="G2993" t="s">
        <v>16</v>
      </c>
      <c r="J2993" t="str">
        <f>"12/09/1993 23:00"</f>
        <v>12/09/1993 23:00</v>
      </c>
    </row>
    <row r="2994" spans="1:10" x14ac:dyDescent="0.3">
      <c r="A2994" t="s">
        <v>6</v>
      </c>
      <c r="B2994" t="str">
        <f>"12/10/1993 00:00"</f>
        <v>12/10/1993 00:00</v>
      </c>
      <c r="C2994">
        <v>0</v>
      </c>
      <c r="D2994" t="s">
        <v>7</v>
      </c>
      <c r="E2994" s="2" t="s">
        <v>12</v>
      </c>
      <c r="F2994">
        <f t="shared" si="46"/>
        <v>0</v>
      </c>
      <c r="G2994" t="s">
        <v>16</v>
      </c>
      <c r="J2994" t="str">
        <f>"12/10/1993 23:00"</f>
        <v>12/10/1993 23:00</v>
      </c>
    </row>
    <row r="2995" spans="1:10" x14ac:dyDescent="0.3">
      <c r="A2995" t="s">
        <v>6</v>
      </c>
      <c r="B2995" t="str">
        <f>"12/11/1993 00:00"</f>
        <v>12/11/1993 00:00</v>
      </c>
      <c r="C2995">
        <v>0</v>
      </c>
      <c r="D2995" t="s">
        <v>7</v>
      </c>
      <c r="E2995" s="2" t="s">
        <v>12</v>
      </c>
      <c r="F2995">
        <f t="shared" si="46"/>
        <v>0</v>
      </c>
      <c r="G2995" t="s">
        <v>16</v>
      </c>
      <c r="J2995" t="str">
        <f>"12/11/1993 23:00"</f>
        <v>12/11/1993 23:00</v>
      </c>
    </row>
    <row r="2996" spans="1:10" x14ac:dyDescent="0.3">
      <c r="A2996" t="s">
        <v>6</v>
      </c>
      <c r="B2996" t="str">
        <f>"12/12/1993 00:00"</f>
        <v>12/12/1993 00:00</v>
      </c>
      <c r="C2996">
        <v>0</v>
      </c>
      <c r="D2996" t="s">
        <v>7</v>
      </c>
      <c r="E2996" s="2" t="s">
        <v>12</v>
      </c>
      <c r="F2996">
        <f t="shared" si="46"/>
        <v>0</v>
      </c>
      <c r="G2996" t="s">
        <v>16</v>
      </c>
      <c r="J2996" t="str">
        <f>"12/12/1993 23:00"</f>
        <v>12/12/1993 23:00</v>
      </c>
    </row>
    <row r="2997" spans="1:10" x14ac:dyDescent="0.3">
      <c r="A2997" t="s">
        <v>6</v>
      </c>
      <c r="B2997" t="str">
        <f>"12/13/1993 00:00"</f>
        <v>12/13/1993 00:00</v>
      </c>
      <c r="C2997">
        <v>0</v>
      </c>
      <c r="D2997" t="s">
        <v>7</v>
      </c>
      <c r="E2997" s="2" t="s">
        <v>12</v>
      </c>
      <c r="F2997">
        <f t="shared" si="46"/>
        <v>0</v>
      </c>
      <c r="G2997" t="s">
        <v>16</v>
      </c>
      <c r="J2997" t="str">
        <f>"12/13/1993 23:00"</f>
        <v>12/13/1993 23:00</v>
      </c>
    </row>
    <row r="2998" spans="1:10" x14ac:dyDescent="0.3">
      <c r="A2998" t="s">
        <v>6</v>
      </c>
      <c r="B2998" t="str">
        <f>"12/14/1993 00:00"</f>
        <v>12/14/1993 00:00</v>
      </c>
      <c r="C2998">
        <v>0</v>
      </c>
      <c r="D2998" t="s">
        <v>7</v>
      </c>
      <c r="E2998" s="2" t="s">
        <v>12</v>
      </c>
      <c r="F2998">
        <f t="shared" si="46"/>
        <v>0</v>
      </c>
      <c r="G2998" t="s">
        <v>16</v>
      </c>
      <c r="J2998" t="str">
        <f>"12/14/1993 23:00"</f>
        <v>12/14/1993 23:00</v>
      </c>
    </row>
    <row r="2999" spans="1:10" x14ac:dyDescent="0.3">
      <c r="A2999" t="s">
        <v>6</v>
      </c>
      <c r="B2999" t="str">
        <f>"12/15/1993 00:00"</f>
        <v>12/15/1993 00:00</v>
      </c>
      <c r="C2999">
        <v>0</v>
      </c>
      <c r="D2999" t="s">
        <v>7</v>
      </c>
      <c r="E2999" s="2" t="s">
        <v>12</v>
      </c>
      <c r="F2999">
        <f t="shared" si="46"/>
        <v>0</v>
      </c>
      <c r="G2999" t="s">
        <v>16</v>
      </c>
      <c r="J2999" t="str">
        <f>"12/15/1993 23:00"</f>
        <v>12/15/1993 23:00</v>
      </c>
    </row>
    <row r="3000" spans="1:10" x14ac:dyDescent="0.3">
      <c r="A3000" t="s">
        <v>6</v>
      </c>
      <c r="B3000" t="str">
        <f>"12/16/1993 00:00"</f>
        <v>12/16/1993 00:00</v>
      </c>
      <c r="C3000">
        <v>0</v>
      </c>
      <c r="D3000" t="s">
        <v>7</v>
      </c>
      <c r="E3000" s="2" t="s">
        <v>12</v>
      </c>
      <c r="F3000">
        <f t="shared" si="46"/>
        <v>0</v>
      </c>
      <c r="G3000" t="s">
        <v>16</v>
      </c>
      <c r="J3000" t="str">
        <f>"12/16/1993 23:00"</f>
        <v>12/16/1993 23:00</v>
      </c>
    </row>
    <row r="3001" spans="1:10" x14ac:dyDescent="0.3">
      <c r="A3001" t="s">
        <v>6</v>
      </c>
      <c r="B3001" t="str">
        <f>"12/17/1993 00:00"</f>
        <v>12/17/1993 00:00</v>
      </c>
      <c r="C3001">
        <v>0</v>
      </c>
      <c r="D3001" t="s">
        <v>7</v>
      </c>
      <c r="E3001" s="2" t="s">
        <v>12</v>
      </c>
      <c r="F3001">
        <f t="shared" si="46"/>
        <v>0</v>
      </c>
      <c r="G3001" t="s">
        <v>16</v>
      </c>
      <c r="J3001" t="str">
        <f>"12/17/1993 23:00"</f>
        <v>12/17/1993 23:00</v>
      </c>
    </row>
    <row r="3002" spans="1:10" x14ac:dyDescent="0.3">
      <c r="A3002" t="s">
        <v>6</v>
      </c>
      <c r="B3002" t="str">
        <f>"12/18/1993 00:00"</f>
        <v>12/18/1993 00:00</v>
      </c>
      <c r="C3002">
        <v>0</v>
      </c>
      <c r="D3002" t="s">
        <v>7</v>
      </c>
      <c r="E3002" s="2" t="s">
        <v>12</v>
      </c>
      <c r="F3002">
        <f t="shared" si="46"/>
        <v>0</v>
      </c>
      <c r="G3002" t="s">
        <v>16</v>
      </c>
      <c r="J3002" t="str">
        <f>"12/18/1993 23:00"</f>
        <v>12/18/1993 23:00</v>
      </c>
    </row>
    <row r="3003" spans="1:10" x14ac:dyDescent="0.3">
      <c r="A3003" t="s">
        <v>6</v>
      </c>
      <c r="B3003" t="str">
        <f>"12/19/1993 00:00"</f>
        <v>12/19/1993 00:00</v>
      </c>
      <c r="C3003">
        <v>0</v>
      </c>
      <c r="D3003" t="s">
        <v>7</v>
      </c>
      <c r="E3003" s="2" t="s">
        <v>12</v>
      </c>
      <c r="F3003">
        <f t="shared" si="46"/>
        <v>0</v>
      </c>
      <c r="G3003" t="s">
        <v>16</v>
      </c>
      <c r="J3003" t="str">
        <f>"12/19/1993 23:00"</f>
        <v>12/19/1993 23:00</v>
      </c>
    </row>
    <row r="3004" spans="1:10" x14ac:dyDescent="0.3">
      <c r="A3004" t="s">
        <v>6</v>
      </c>
      <c r="B3004" t="str">
        <f>"12/20/1993 00:00"</f>
        <v>12/20/1993 00:00</v>
      </c>
      <c r="C3004">
        <v>0</v>
      </c>
      <c r="D3004" t="s">
        <v>7</v>
      </c>
      <c r="E3004" s="2" t="s">
        <v>12</v>
      </c>
      <c r="F3004">
        <f t="shared" si="46"/>
        <v>0</v>
      </c>
      <c r="G3004" t="s">
        <v>16</v>
      </c>
      <c r="J3004" t="str">
        <f>"12/20/1993 23:00"</f>
        <v>12/20/1993 23:00</v>
      </c>
    </row>
    <row r="3005" spans="1:10" x14ac:dyDescent="0.3">
      <c r="A3005" t="s">
        <v>6</v>
      </c>
      <c r="B3005" t="str">
        <f>"12/21/1993 00:00"</f>
        <v>12/21/1993 00:00</v>
      </c>
      <c r="C3005">
        <v>0</v>
      </c>
      <c r="D3005" t="s">
        <v>7</v>
      </c>
      <c r="E3005" s="2" t="s">
        <v>12</v>
      </c>
      <c r="F3005">
        <f t="shared" si="46"/>
        <v>0</v>
      </c>
      <c r="G3005" t="s">
        <v>16</v>
      </c>
      <c r="J3005" t="str">
        <f>"12/21/1993 23:00"</f>
        <v>12/21/1993 23:00</v>
      </c>
    </row>
    <row r="3006" spans="1:10" x14ac:dyDescent="0.3">
      <c r="A3006" t="s">
        <v>6</v>
      </c>
      <c r="B3006" t="str">
        <f>"12/22/1993 00:00"</f>
        <v>12/22/1993 00:00</v>
      </c>
      <c r="C3006">
        <v>0</v>
      </c>
      <c r="D3006" t="s">
        <v>7</v>
      </c>
      <c r="E3006" s="2" t="s">
        <v>12</v>
      </c>
      <c r="F3006">
        <f t="shared" si="46"/>
        <v>0</v>
      </c>
      <c r="G3006" t="s">
        <v>16</v>
      </c>
      <c r="J3006" t="str">
        <f>"12/22/1993 23:00"</f>
        <v>12/22/1993 23:00</v>
      </c>
    </row>
    <row r="3007" spans="1:10" x14ac:dyDescent="0.3">
      <c r="A3007" t="s">
        <v>6</v>
      </c>
      <c r="B3007" t="str">
        <f>"12/23/1993 00:00"</f>
        <v>12/23/1993 00:00</v>
      </c>
      <c r="C3007">
        <v>0</v>
      </c>
      <c r="D3007" t="s">
        <v>7</v>
      </c>
      <c r="E3007" s="2" t="s">
        <v>12</v>
      </c>
      <c r="F3007">
        <f t="shared" si="46"/>
        <v>0</v>
      </c>
      <c r="G3007" t="s">
        <v>16</v>
      </c>
      <c r="J3007" t="str">
        <f>"12/23/1993 23:00"</f>
        <v>12/23/1993 23:00</v>
      </c>
    </row>
    <row r="3008" spans="1:10" x14ac:dyDescent="0.3">
      <c r="A3008" t="s">
        <v>6</v>
      </c>
      <c r="B3008" t="str">
        <f>"12/24/1993 00:00"</f>
        <v>12/24/1993 00:00</v>
      </c>
      <c r="C3008">
        <v>0</v>
      </c>
      <c r="D3008" t="s">
        <v>7</v>
      </c>
      <c r="E3008" s="2" t="s">
        <v>12</v>
      </c>
      <c r="F3008">
        <f t="shared" si="46"/>
        <v>0</v>
      </c>
      <c r="G3008" t="s">
        <v>16</v>
      </c>
      <c r="J3008" t="str">
        <f>"12/24/1993 23:00"</f>
        <v>12/24/1993 23:00</v>
      </c>
    </row>
    <row r="3009" spans="1:10" x14ac:dyDescent="0.3">
      <c r="A3009" t="s">
        <v>6</v>
      </c>
      <c r="B3009" t="str">
        <f>"12/25/1993 00:00"</f>
        <v>12/25/1993 00:00</v>
      </c>
      <c r="C3009">
        <v>0</v>
      </c>
      <c r="D3009" t="s">
        <v>7</v>
      </c>
      <c r="E3009" s="2" t="s">
        <v>12</v>
      </c>
      <c r="F3009">
        <f t="shared" si="46"/>
        <v>0</v>
      </c>
      <c r="G3009" t="s">
        <v>16</v>
      </c>
      <c r="J3009" t="str">
        <f>"12/25/1993 23:00"</f>
        <v>12/25/1993 23:00</v>
      </c>
    </row>
    <row r="3010" spans="1:10" x14ac:dyDescent="0.3">
      <c r="A3010" t="s">
        <v>6</v>
      </c>
      <c r="B3010" t="str">
        <f>"12/26/1993 00:00"</f>
        <v>12/26/1993 00:00</v>
      </c>
      <c r="C3010">
        <v>0</v>
      </c>
      <c r="D3010" t="s">
        <v>7</v>
      </c>
      <c r="E3010" s="2" t="s">
        <v>12</v>
      </c>
      <c r="F3010">
        <f t="shared" si="46"/>
        <v>0</v>
      </c>
      <c r="G3010" t="s">
        <v>16</v>
      </c>
      <c r="J3010" t="str">
        <f>"12/26/1993 23:00"</f>
        <v>12/26/1993 23:00</v>
      </c>
    </row>
    <row r="3011" spans="1:10" x14ac:dyDescent="0.3">
      <c r="A3011" t="s">
        <v>6</v>
      </c>
      <c r="B3011" t="str">
        <f>"12/27/1993 00:00"</f>
        <v>12/27/1993 00:00</v>
      </c>
      <c r="C3011">
        <v>0</v>
      </c>
      <c r="D3011" t="s">
        <v>7</v>
      </c>
      <c r="E3011" s="2" t="s">
        <v>12</v>
      </c>
      <c r="F3011">
        <f t="shared" ref="F3011:F3074" si="47">C3011*1.983</f>
        <v>0</v>
      </c>
      <c r="G3011" t="s">
        <v>16</v>
      </c>
      <c r="J3011" t="str">
        <f>"12/27/1993 23:00"</f>
        <v>12/27/1993 23:00</v>
      </c>
    </row>
    <row r="3012" spans="1:10" x14ac:dyDescent="0.3">
      <c r="A3012" t="s">
        <v>6</v>
      </c>
      <c r="B3012" t="str">
        <f>"12/28/1993 00:00"</f>
        <v>12/28/1993 00:00</v>
      </c>
      <c r="C3012">
        <v>0</v>
      </c>
      <c r="D3012" t="s">
        <v>7</v>
      </c>
      <c r="E3012" s="2" t="s">
        <v>12</v>
      </c>
      <c r="F3012">
        <f t="shared" si="47"/>
        <v>0</v>
      </c>
      <c r="G3012" t="s">
        <v>16</v>
      </c>
      <c r="J3012" t="str">
        <f>"12/28/1993 23:00"</f>
        <v>12/28/1993 23:00</v>
      </c>
    </row>
    <row r="3013" spans="1:10" x14ac:dyDescent="0.3">
      <c r="A3013" t="s">
        <v>6</v>
      </c>
      <c r="B3013" t="str">
        <f>"12/29/1993 00:00"</f>
        <v>12/29/1993 00:00</v>
      </c>
      <c r="C3013">
        <v>0</v>
      </c>
      <c r="D3013" t="s">
        <v>7</v>
      </c>
      <c r="E3013" s="2" t="s">
        <v>12</v>
      </c>
      <c r="F3013">
        <f t="shared" si="47"/>
        <v>0</v>
      </c>
      <c r="G3013" t="s">
        <v>16</v>
      </c>
      <c r="J3013" t="str">
        <f>"12/29/1993 23:00"</f>
        <v>12/29/1993 23:00</v>
      </c>
    </row>
    <row r="3014" spans="1:10" x14ac:dyDescent="0.3">
      <c r="A3014" t="s">
        <v>6</v>
      </c>
      <c r="B3014" t="str">
        <f>"12/30/1993 00:00"</f>
        <v>12/30/1993 00:00</v>
      </c>
      <c r="C3014">
        <v>0</v>
      </c>
      <c r="D3014" t="s">
        <v>7</v>
      </c>
      <c r="E3014" s="2" t="s">
        <v>12</v>
      </c>
      <c r="F3014">
        <f t="shared" si="47"/>
        <v>0</v>
      </c>
      <c r="G3014" t="s">
        <v>16</v>
      </c>
      <c r="J3014" t="str">
        <f>"12/30/1993 23:00"</f>
        <v>12/30/1993 23:00</v>
      </c>
    </row>
    <row r="3015" spans="1:10" x14ac:dyDescent="0.3">
      <c r="A3015" t="s">
        <v>6</v>
      </c>
      <c r="B3015" t="str">
        <f>"12/31/1993 00:00"</f>
        <v>12/31/1993 00:00</v>
      </c>
      <c r="C3015">
        <v>0</v>
      </c>
      <c r="D3015" t="s">
        <v>7</v>
      </c>
      <c r="E3015" s="2" t="s">
        <v>12</v>
      </c>
      <c r="F3015">
        <f t="shared" si="47"/>
        <v>0</v>
      </c>
      <c r="G3015" t="s">
        <v>16</v>
      </c>
      <c r="J3015" t="str">
        <f>"12/31/1993 23:00"</f>
        <v>12/31/1993 23:00</v>
      </c>
    </row>
    <row r="3016" spans="1:10" x14ac:dyDescent="0.3">
      <c r="A3016" t="s">
        <v>6</v>
      </c>
      <c r="B3016" t="str">
        <f>"01/01/1994 00:00"</f>
        <v>01/01/1994 00:00</v>
      </c>
      <c r="C3016">
        <v>0</v>
      </c>
      <c r="D3016" t="s">
        <v>7</v>
      </c>
      <c r="E3016" s="2" t="s">
        <v>12</v>
      </c>
      <c r="F3016">
        <f t="shared" si="47"/>
        <v>0</v>
      </c>
      <c r="G3016" t="s">
        <v>16</v>
      </c>
      <c r="J3016" t="str">
        <f>"01/01/1994 23:00"</f>
        <v>01/01/1994 23:00</v>
      </c>
    </row>
    <row r="3017" spans="1:10" x14ac:dyDescent="0.3">
      <c r="A3017" t="s">
        <v>6</v>
      </c>
      <c r="B3017" t="str">
        <f>"01/02/1994 00:00"</f>
        <v>01/02/1994 00:00</v>
      </c>
      <c r="C3017">
        <v>0</v>
      </c>
      <c r="D3017" t="s">
        <v>7</v>
      </c>
      <c r="E3017" s="2" t="s">
        <v>12</v>
      </c>
      <c r="F3017">
        <f t="shared" si="47"/>
        <v>0</v>
      </c>
      <c r="G3017" t="s">
        <v>16</v>
      </c>
      <c r="J3017" t="str">
        <f>"01/02/1994 23:00"</f>
        <v>01/02/1994 23:00</v>
      </c>
    </row>
    <row r="3018" spans="1:10" x14ac:dyDescent="0.3">
      <c r="A3018" t="s">
        <v>6</v>
      </c>
      <c r="B3018" t="str">
        <f>"01/03/1994 00:00"</f>
        <v>01/03/1994 00:00</v>
      </c>
      <c r="C3018">
        <v>43.5</v>
      </c>
      <c r="D3018" t="s">
        <v>7</v>
      </c>
      <c r="E3018" s="2" t="s">
        <v>12</v>
      </c>
      <c r="F3018">
        <f t="shared" si="47"/>
        <v>86.260500000000008</v>
      </c>
      <c r="G3018" t="s">
        <v>16</v>
      </c>
      <c r="J3018" t="str">
        <f>"01/03/1994 23:00"</f>
        <v>01/03/1994 23:00</v>
      </c>
    </row>
    <row r="3019" spans="1:10" x14ac:dyDescent="0.3">
      <c r="A3019" t="s">
        <v>6</v>
      </c>
      <c r="B3019" t="str">
        <f>"01/04/1994 00:00"</f>
        <v>01/04/1994 00:00</v>
      </c>
      <c r="C3019">
        <v>0</v>
      </c>
      <c r="D3019" t="s">
        <v>7</v>
      </c>
      <c r="E3019" s="2" t="s">
        <v>12</v>
      </c>
      <c r="F3019">
        <f t="shared" si="47"/>
        <v>0</v>
      </c>
      <c r="G3019" t="s">
        <v>16</v>
      </c>
      <c r="J3019" t="str">
        <f>"01/04/1994 23:00"</f>
        <v>01/04/1994 23:00</v>
      </c>
    </row>
    <row r="3020" spans="1:10" x14ac:dyDescent="0.3">
      <c r="A3020" t="s">
        <v>6</v>
      </c>
      <c r="B3020" t="str">
        <f>"01/05/1994 00:00"</f>
        <v>01/05/1994 00:00</v>
      </c>
      <c r="C3020">
        <v>0</v>
      </c>
      <c r="D3020" t="s">
        <v>7</v>
      </c>
      <c r="E3020" s="2" t="s">
        <v>12</v>
      </c>
      <c r="F3020">
        <f t="shared" si="47"/>
        <v>0</v>
      </c>
      <c r="G3020" t="s">
        <v>16</v>
      </c>
      <c r="J3020" t="str">
        <f>"01/05/1994 23:00"</f>
        <v>01/05/1994 23:00</v>
      </c>
    </row>
    <row r="3021" spans="1:10" x14ac:dyDescent="0.3">
      <c r="A3021" t="s">
        <v>6</v>
      </c>
      <c r="B3021" t="str">
        <f>"01/06/1994 00:00"</f>
        <v>01/06/1994 00:00</v>
      </c>
      <c r="C3021">
        <v>0</v>
      </c>
      <c r="D3021" t="s">
        <v>7</v>
      </c>
      <c r="E3021" s="2" t="s">
        <v>12</v>
      </c>
      <c r="F3021">
        <f t="shared" si="47"/>
        <v>0</v>
      </c>
      <c r="G3021" t="s">
        <v>16</v>
      </c>
      <c r="J3021" t="str">
        <f>"01/06/1994 23:00"</f>
        <v>01/06/1994 23:00</v>
      </c>
    </row>
    <row r="3022" spans="1:10" x14ac:dyDescent="0.3">
      <c r="A3022" t="s">
        <v>6</v>
      </c>
      <c r="B3022" t="str">
        <f>"01/07/1994 00:00"</f>
        <v>01/07/1994 00:00</v>
      </c>
      <c r="C3022">
        <v>0</v>
      </c>
      <c r="D3022" t="s">
        <v>7</v>
      </c>
      <c r="E3022" s="2" t="s">
        <v>12</v>
      </c>
      <c r="F3022">
        <f t="shared" si="47"/>
        <v>0</v>
      </c>
      <c r="G3022" t="s">
        <v>16</v>
      </c>
      <c r="J3022" t="str">
        <f>"01/07/1994 23:00"</f>
        <v>01/07/1994 23:00</v>
      </c>
    </row>
    <row r="3023" spans="1:10" x14ac:dyDescent="0.3">
      <c r="A3023" t="s">
        <v>6</v>
      </c>
      <c r="B3023" t="str">
        <f>"01/08/1994 00:00"</f>
        <v>01/08/1994 00:00</v>
      </c>
      <c r="C3023">
        <v>43.2</v>
      </c>
      <c r="D3023" t="s">
        <v>7</v>
      </c>
      <c r="E3023" s="2" t="s">
        <v>12</v>
      </c>
      <c r="F3023">
        <f t="shared" si="47"/>
        <v>85.665600000000012</v>
      </c>
      <c r="G3023" t="s">
        <v>16</v>
      </c>
      <c r="J3023" t="str">
        <f>"01/08/1994 23:00"</f>
        <v>01/08/1994 23:00</v>
      </c>
    </row>
    <row r="3024" spans="1:10" x14ac:dyDescent="0.3">
      <c r="A3024" t="s">
        <v>6</v>
      </c>
      <c r="B3024" t="str">
        <f>"01/09/1994 00:00"</f>
        <v>01/09/1994 00:00</v>
      </c>
      <c r="C3024">
        <v>0</v>
      </c>
      <c r="D3024" t="s">
        <v>7</v>
      </c>
      <c r="E3024" s="2" t="s">
        <v>12</v>
      </c>
      <c r="F3024">
        <f t="shared" si="47"/>
        <v>0</v>
      </c>
      <c r="G3024" t="s">
        <v>16</v>
      </c>
      <c r="J3024" t="str">
        <f>"01/09/1994 23:00"</f>
        <v>01/09/1994 23:00</v>
      </c>
    </row>
    <row r="3025" spans="1:10" x14ac:dyDescent="0.3">
      <c r="A3025" t="s">
        <v>6</v>
      </c>
      <c r="B3025" t="str">
        <f>"01/10/1994 00:00"</f>
        <v>01/10/1994 00:00</v>
      </c>
      <c r="C3025">
        <v>0</v>
      </c>
      <c r="D3025" t="s">
        <v>7</v>
      </c>
      <c r="E3025" s="2" t="s">
        <v>12</v>
      </c>
      <c r="F3025">
        <f t="shared" si="47"/>
        <v>0</v>
      </c>
      <c r="G3025" t="s">
        <v>16</v>
      </c>
      <c r="J3025" t="str">
        <f>"01/10/1994 23:00"</f>
        <v>01/10/1994 23:00</v>
      </c>
    </row>
    <row r="3026" spans="1:10" x14ac:dyDescent="0.3">
      <c r="A3026" t="s">
        <v>6</v>
      </c>
      <c r="B3026" t="str">
        <f>"01/11/1994 00:00"</f>
        <v>01/11/1994 00:00</v>
      </c>
      <c r="C3026">
        <v>0</v>
      </c>
      <c r="D3026" t="s">
        <v>7</v>
      </c>
      <c r="E3026" s="2" t="s">
        <v>12</v>
      </c>
      <c r="F3026">
        <f t="shared" si="47"/>
        <v>0</v>
      </c>
      <c r="G3026" t="s">
        <v>16</v>
      </c>
      <c r="J3026" t="str">
        <f>"01/11/1994 23:00"</f>
        <v>01/11/1994 23:00</v>
      </c>
    </row>
    <row r="3027" spans="1:10" x14ac:dyDescent="0.3">
      <c r="A3027" t="s">
        <v>6</v>
      </c>
      <c r="B3027" t="str">
        <f>"01/12/1994 00:00"</f>
        <v>01/12/1994 00:00</v>
      </c>
      <c r="C3027">
        <v>0</v>
      </c>
      <c r="D3027" t="s">
        <v>7</v>
      </c>
      <c r="E3027" s="2" t="s">
        <v>12</v>
      </c>
      <c r="F3027">
        <f t="shared" si="47"/>
        <v>0</v>
      </c>
      <c r="G3027" t="s">
        <v>16</v>
      </c>
      <c r="J3027" t="str">
        <f>"01/12/1994 23:00"</f>
        <v>01/12/1994 23:00</v>
      </c>
    </row>
    <row r="3028" spans="1:10" x14ac:dyDescent="0.3">
      <c r="A3028" t="s">
        <v>6</v>
      </c>
      <c r="B3028" t="str">
        <f>"01/13/1994 00:00"</f>
        <v>01/13/1994 00:00</v>
      </c>
      <c r="C3028">
        <v>0</v>
      </c>
      <c r="D3028" t="s">
        <v>7</v>
      </c>
      <c r="E3028" s="2" t="s">
        <v>12</v>
      </c>
      <c r="F3028">
        <f t="shared" si="47"/>
        <v>0</v>
      </c>
      <c r="G3028" t="s">
        <v>16</v>
      </c>
      <c r="J3028" t="str">
        <f>"01/13/1994 23:00"</f>
        <v>01/13/1994 23:00</v>
      </c>
    </row>
    <row r="3029" spans="1:10" x14ac:dyDescent="0.3">
      <c r="A3029" t="s">
        <v>6</v>
      </c>
      <c r="B3029" t="str">
        <f>"01/14/1994 00:00"</f>
        <v>01/14/1994 00:00</v>
      </c>
      <c r="C3029">
        <v>0</v>
      </c>
      <c r="D3029" t="s">
        <v>7</v>
      </c>
      <c r="E3029" s="2" t="s">
        <v>12</v>
      </c>
      <c r="F3029">
        <f t="shared" si="47"/>
        <v>0</v>
      </c>
      <c r="G3029" t="s">
        <v>16</v>
      </c>
      <c r="J3029" t="str">
        <f>"01/14/1994 23:00"</f>
        <v>01/14/1994 23:00</v>
      </c>
    </row>
    <row r="3030" spans="1:10" x14ac:dyDescent="0.3">
      <c r="A3030" t="s">
        <v>6</v>
      </c>
      <c r="B3030" t="str">
        <f>"01/15/1994 00:00"</f>
        <v>01/15/1994 00:00</v>
      </c>
      <c r="C3030">
        <v>0</v>
      </c>
      <c r="D3030" t="s">
        <v>7</v>
      </c>
      <c r="E3030" s="2" t="s">
        <v>12</v>
      </c>
      <c r="F3030">
        <f t="shared" si="47"/>
        <v>0</v>
      </c>
      <c r="G3030" t="s">
        <v>16</v>
      </c>
      <c r="J3030" t="str">
        <f>"01/15/1994 23:00"</f>
        <v>01/15/1994 23:00</v>
      </c>
    </row>
    <row r="3031" spans="1:10" x14ac:dyDescent="0.3">
      <c r="A3031" t="s">
        <v>6</v>
      </c>
      <c r="B3031" t="str">
        <f>"01/16/1994 00:00"</f>
        <v>01/16/1994 00:00</v>
      </c>
      <c r="C3031">
        <v>0</v>
      </c>
      <c r="D3031" t="s">
        <v>7</v>
      </c>
      <c r="E3031" s="2" t="s">
        <v>12</v>
      </c>
      <c r="F3031">
        <f t="shared" si="47"/>
        <v>0</v>
      </c>
      <c r="G3031" t="s">
        <v>16</v>
      </c>
      <c r="J3031" t="str">
        <f>"01/16/1994 23:00"</f>
        <v>01/16/1994 23:00</v>
      </c>
    </row>
    <row r="3032" spans="1:10" x14ac:dyDescent="0.3">
      <c r="A3032" t="s">
        <v>6</v>
      </c>
      <c r="B3032" t="str">
        <f>"01/17/1994 00:00"</f>
        <v>01/17/1994 00:00</v>
      </c>
      <c r="C3032">
        <v>0</v>
      </c>
      <c r="D3032" t="s">
        <v>7</v>
      </c>
      <c r="E3032" s="2" t="s">
        <v>12</v>
      </c>
      <c r="F3032">
        <f t="shared" si="47"/>
        <v>0</v>
      </c>
      <c r="G3032" t="s">
        <v>16</v>
      </c>
      <c r="J3032" t="str">
        <f>"01/17/1994 23:00"</f>
        <v>01/17/1994 23:00</v>
      </c>
    </row>
    <row r="3033" spans="1:10" x14ac:dyDescent="0.3">
      <c r="A3033" t="s">
        <v>6</v>
      </c>
      <c r="B3033" t="str">
        <f>"01/18/1994 00:00"</f>
        <v>01/18/1994 00:00</v>
      </c>
      <c r="C3033">
        <v>0</v>
      </c>
      <c r="D3033" t="s">
        <v>7</v>
      </c>
      <c r="E3033" s="2" t="s">
        <v>12</v>
      </c>
      <c r="F3033">
        <f t="shared" si="47"/>
        <v>0</v>
      </c>
      <c r="G3033" t="s">
        <v>16</v>
      </c>
      <c r="J3033" t="str">
        <f>"01/18/1994 23:00"</f>
        <v>01/18/1994 23:00</v>
      </c>
    </row>
    <row r="3034" spans="1:10" x14ac:dyDescent="0.3">
      <c r="A3034" t="s">
        <v>6</v>
      </c>
      <c r="B3034" t="str">
        <f>"01/19/1994 00:00"</f>
        <v>01/19/1994 00:00</v>
      </c>
      <c r="C3034">
        <v>0</v>
      </c>
      <c r="D3034" t="s">
        <v>7</v>
      </c>
      <c r="E3034" s="2" t="s">
        <v>12</v>
      </c>
      <c r="F3034">
        <f t="shared" si="47"/>
        <v>0</v>
      </c>
      <c r="G3034" t="s">
        <v>16</v>
      </c>
      <c r="J3034" t="str">
        <f>"01/19/1994 23:00"</f>
        <v>01/19/1994 23:00</v>
      </c>
    </row>
    <row r="3035" spans="1:10" x14ac:dyDescent="0.3">
      <c r="A3035" t="s">
        <v>6</v>
      </c>
      <c r="B3035" t="str">
        <f>"01/20/1994 00:00"</f>
        <v>01/20/1994 00:00</v>
      </c>
      <c r="C3035">
        <v>0</v>
      </c>
      <c r="D3035" t="s">
        <v>7</v>
      </c>
      <c r="E3035" s="2" t="s">
        <v>12</v>
      </c>
      <c r="F3035">
        <f t="shared" si="47"/>
        <v>0</v>
      </c>
      <c r="G3035" t="s">
        <v>16</v>
      </c>
      <c r="J3035" t="str">
        <f>"01/20/1994 23:00"</f>
        <v>01/20/1994 23:00</v>
      </c>
    </row>
    <row r="3036" spans="1:10" x14ac:dyDescent="0.3">
      <c r="A3036" t="s">
        <v>6</v>
      </c>
      <c r="B3036" t="str">
        <f>"01/21/1994 00:00"</f>
        <v>01/21/1994 00:00</v>
      </c>
      <c r="C3036">
        <v>0</v>
      </c>
      <c r="D3036" t="s">
        <v>7</v>
      </c>
      <c r="E3036" s="2" t="s">
        <v>12</v>
      </c>
      <c r="F3036">
        <f t="shared" si="47"/>
        <v>0</v>
      </c>
      <c r="G3036" t="s">
        <v>16</v>
      </c>
      <c r="J3036" t="str">
        <f>"01/21/1994 23:00"</f>
        <v>01/21/1994 23:00</v>
      </c>
    </row>
    <row r="3037" spans="1:10" x14ac:dyDescent="0.3">
      <c r="A3037" t="s">
        <v>6</v>
      </c>
      <c r="B3037" t="str">
        <f>"01/22/1994 00:00"</f>
        <v>01/22/1994 00:00</v>
      </c>
      <c r="C3037">
        <v>0</v>
      </c>
      <c r="D3037" t="s">
        <v>7</v>
      </c>
      <c r="E3037" s="2" t="s">
        <v>12</v>
      </c>
      <c r="F3037">
        <f t="shared" si="47"/>
        <v>0</v>
      </c>
      <c r="G3037" t="s">
        <v>16</v>
      </c>
      <c r="J3037" t="str">
        <f>"01/22/1994 23:00"</f>
        <v>01/22/1994 23:00</v>
      </c>
    </row>
    <row r="3038" spans="1:10" x14ac:dyDescent="0.3">
      <c r="A3038" t="s">
        <v>6</v>
      </c>
      <c r="B3038" t="str">
        <f>"01/23/1994 00:00"</f>
        <v>01/23/1994 00:00</v>
      </c>
      <c r="C3038">
        <v>0</v>
      </c>
      <c r="D3038" t="s">
        <v>7</v>
      </c>
      <c r="E3038" s="2" t="s">
        <v>12</v>
      </c>
      <c r="F3038">
        <f t="shared" si="47"/>
        <v>0</v>
      </c>
      <c r="G3038" t="s">
        <v>16</v>
      </c>
      <c r="J3038" t="str">
        <f>"01/23/1994 23:00"</f>
        <v>01/23/1994 23:00</v>
      </c>
    </row>
    <row r="3039" spans="1:10" x14ac:dyDescent="0.3">
      <c r="A3039" t="s">
        <v>6</v>
      </c>
      <c r="B3039" t="str">
        <f>"01/24/1994 00:00"</f>
        <v>01/24/1994 00:00</v>
      </c>
      <c r="C3039">
        <v>30.6</v>
      </c>
      <c r="D3039" t="s">
        <v>7</v>
      </c>
      <c r="E3039" s="2" t="s">
        <v>12</v>
      </c>
      <c r="F3039">
        <f t="shared" si="47"/>
        <v>60.679800000000007</v>
      </c>
      <c r="G3039" t="s">
        <v>16</v>
      </c>
      <c r="J3039" t="str">
        <f>"01/24/1994 23:00"</f>
        <v>01/24/1994 23:00</v>
      </c>
    </row>
    <row r="3040" spans="1:10" x14ac:dyDescent="0.3">
      <c r="A3040" t="s">
        <v>6</v>
      </c>
      <c r="B3040" t="str">
        <f>"01/25/1994 00:00"</f>
        <v>01/25/1994 00:00</v>
      </c>
      <c r="C3040">
        <v>0</v>
      </c>
      <c r="D3040" t="s">
        <v>7</v>
      </c>
      <c r="E3040" s="2" t="s">
        <v>12</v>
      </c>
      <c r="F3040">
        <f t="shared" si="47"/>
        <v>0</v>
      </c>
      <c r="G3040" t="s">
        <v>16</v>
      </c>
      <c r="J3040" t="str">
        <f>"01/25/1994 23:00"</f>
        <v>01/25/1994 23:00</v>
      </c>
    </row>
    <row r="3041" spans="1:10" x14ac:dyDescent="0.3">
      <c r="A3041" t="s">
        <v>6</v>
      </c>
      <c r="B3041" t="str">
        <f>"01/26/1994 00:00"</f>
        <v>01/26/1994 00:00</v>
      </c>
      <c r="C3041">
        <v>0</v>
      </c>
      <c r="D3041" t="s">
        <v>7</v>
      </c>
      <c r="E3041" s="2" t="s">
        <v>12</v>
      </c>
      <c r="F3041">
        <f t="shared" si="47"/>
        <v>0</v>
      </c>
      <c r="G3041" t="s">
        <v>16</v>
      </c>
      <c r="J3041" t="str">
        <f>"01/26/1994 23:00"</f>
        <v>01/26/1994 23:00</v>
      </c>
    </row>
    <row r="3042" spans="1:10" x14ac:dyDescent="0.3">
      <c r="A3042" t="s">
        <v>6</v>
      </c>
      <c r="B3042" t="str">
        <f>"01/27/1994 00:00"</f>
        <v>01/27/1994 00:00</v>
      </c>
      <c r="C3042">
        <v>0</v>
      </c>
      <c r="D3042" t="s">
        <v>7</v>
      </c>
      <c r="E3042" s="2" t="s">
        <v>12</v>
      </c>
      <c r="F3042">
        <f t="shared" si="47"/>
        <v>0</v>
      </c>
      <c r="G3042" t="s">
        <v>16</v>
      </c>
      <c r="J3042" t="str">
        <f>"01/27/1994 23:00"</f>
        <v>01/27/1994 23:00</v>
      </c>
    </row>
    <row r="3043" spans="1:10" x14ac:dyDescent="0.3">
      <c r="A3043" t="s">
        <v>6</v>
      </c>
      <c r="B3043" t="str">
        <f>"01/28/1994 00:00"</f>
        <v>01/28/1994 00:00</v>
      </c>
      <c r="C3043">
        <v>0</v>
      </c>
      <c r="D3043" t="s">
        <v>7</v>
      </c>
      <c r="E3043" s="2" t="s">
        <v>12</v>
      </c>
      <c r="F3043">
        <f t="shared" si="47"/>
        <v>0</v>
      </c>
      <c r="G3043" t="s">
        <v>16</v>
      </c>
      <c r="J3043" t="str">
        <f>"01/28/1994 23:00"</f>
        <v>01/28/1994 23:00</v>
      </c>
    </row>
    <row r="3044" spans="1:10" x14ac:dyDescent="0.3">
      <c r="A3044" t="s">
        <v>6</v>
      </c>
      <c r="B3044" t="str">
        <f>"01/29/1994 00:00"</f>
        <v>01/29/1994 00:00</v>
      </c>
      <c r="C3044">
        <v>0</v>
      </c>
      <c r="D3044" t="s">
        <v>7</v>
      </c>
      <c r="E3044" s="2" t="s">
        <v>12</v>
      </c>
      <c r="F3044">
        <f t="shared" si="47"/>
        <v>0</v>
      </c>
      <c r="G3044" t="s">
        <v>16</v>
      </c>
      <c r="J3044" t="str">
        <f>"01/29/1994 23:00"</f>
        <v>01/29/1994 23:00</v>
      </c>
    </row>
    <row r="3045" spans="1:10" x14ac:dyDescent="0.3">
      <c r="A3045" t="s">
        <v>6</v>
      </c>
      <c r="B3045" t="str">
        <f>"01/30/1994 00:00"</f>
        <v>01/30/1994 00:00</v>
      </c>
      <c r="C3045">
        <v>0</v>
      </c>
      <c r="D3045" t="s">
        <v>7</v>
      </c>
      <c r="E3045" s="2" t="s">
        <v>12</v>
      </c>
      <c r="F3045">
        <f t="shared" si="47"/>
        <v>0</v>
      </c>
      <c r="G3045" t="s">
        <v>16</v>
      </c>
      <c r="J3045" t="str">
        <f>"01/30/1994 23:00"</f>
        <v>01/30/1994 23:00</v>
      </c>
    </row>
    <row r="3046" spans="1:10" x14ac:dyDescent="0.3">
      <c r="A3046" t="s">
        <v>6</v>
      </c>
      <c r="B3046" t="str">
        <f>"01/31/1994 00:00"</f>
        <v>01/31/1994 00:00</v>
      </c>
      <c r="C3046">
        <v>0</v>
      </c>
      <c r="D3046" t="s">
        <v>7</v>
      </c>
      <c r="E3046" s="2" t="s">
        <v>12</v>
      </c>
      <c r="F3046">
        <f t="shared" si="47"/>
        <v>0</v>
      </c>
      <c r="G3046" t="s">
        <v>16</v>
      </c>
      <c r="J3046" t="str">
        <f>"01/31/1994 23:00"</f>
        <v>01/31/1994 23:00</v>
      </c>
    </row>
    <row r="3047" spans="1:10" x14ac:dyDescent="0.3">
      <c r="A3047" t="s">
        <v>6</v>
      </c>
      <c r="B3047" t="str">
        <f>"02/01/1994 00:00"</f>
        <v>02/01/1994 00:00</v>
      </c>
      <c r="C3047">
        <v>0</v>
      </c>
      <c r="D3047" t="s">
        <v>7</v>
      </c>
      <c r="E3047" s="2" t="s">
        <v>12</v>
      </c>
      <c r="F3047">
        <f t="shared" si="47"/>
        <v>0</v>
      </c>
      <c r="G3047" t="s">
        <v>16</v>
      </c>
      <c r="J3047" t="str">
        <f>"02/01/1994 23:00"</f>
        <v>02/01/1994 23:00</v>
      </c>
    </row>
    <row r="3048" spans="1:10" x14ac:dyDescent="0.3">
      <c r="A3048" t="s">
        <v>6</v>
      </c>
      <c r="B3048" t="str">
        <f>"02/02/1994 00:00"</f>
        <v>02/02/1994 00:00</v>
      </c>
      <c r="C3048">
        <v>0</v>
      </c>
      <c r="D3048" t="s">
        <v>7</v>
      </c>
      <c r="E3048" s="2" t="s">
        <v>12</v>
      </c>
      <c r="F3048">
        <f t="shared" si="47"/>
        <v>0</v>
      </c>
      <c r="G3048" t="s">
        <v>16</v>
      </c>
      <c r="J3048" t="str">
        <f>"02/02/1994 23:00"</f>
        <v>02/02/1994 23:00</v>
      </c>
    </row>
    <row r="3049" spans="1:10" x14ac:dyDescent="0.3">
      <c r="A3049" t="s">
        <v>6</v>
      </c>
      <c r="B3049" t="str">
        <f>"02/03/1994 00:00"</f>
        <v>02/03/1994 00:00</v>
      </c>
      <c r="C3049">
        <v>0</v>
      </c>
      <c r="D3049" t="s">
        <v>7</v>
      </c>
      <c r="E3049" s="2" t="s">
        <v>12</v>
      </c>
      <c r="F3049">
        <f t="shared" si="47"/>
        <v>0</v>
      </c>
      <c r="G3049" t="s">
        <v>16</v>
      </c>
      <c r="J3049" t="str">
        <f>"02/03/1994 23:00"</f>
        <v>02/03/1994 23:00</v>
      </c>
    </row>
    <row r="3050" spans="1:10" x14ac:dyDescent="0.3">
      <c r="A3050" t="s">
        <v>6</v>
      </c>
      <c r="B3050" t="str">
        <f>"02/04/1994 00:00"</f>
        <v>02/04/1994 00:00</v>
      </c>
      <c r="C3050">
        <v>62</v>
      </c>
      <c r="D3050" t="s">
        <v>7</v>
      </c>
      <c r="E3050" s="2" t="s">
        <v>12</v>
      </c>
      <c r="F3050">
        <f t="shared" si="47"/>
        <v>122.94600000000001</v>
      </c>
      <c r="G3050" t="s">
        <v>16</v>
      </c>
      <c r="J3050" t="str">
        <f>"02/04/1994 23:00"</f>
        <v>02/04/1994 23:00</v>
      </c>
    </row>
    <row r="3051" spans="1:10" x14ac:dyDescent="0.3">
      <c r="A3051" t="s">
        <v>6</v>
      </c>
      <c r="B3051" t="str">
        <f>"02/05/1994 00:00"</f>
        <v>02/05/1994 00:00</v>
      </c>
      <c r="C3051">
        <v>76.400000000000006</v>
      </c>
      <c r="D3051" t="s">
        <v>7</v>
      </c>
      <c r="E3051" s="2" t="s">
        <v>12</v>
      </c>
      <c r="F3051">
        <f t="shared" si="47"/>
        <v>151.50120000000001</v>
      </c>
      <c r="G3051" t="s">
        <v>16</v>
      </c>
      <c r="J3051" t="str">
        <f>"02/05/1994 23:00"</f>
        <v>02/05/1994 23:00</v>
      </c>
    </row>
    <row r="3052" spans="1:10" x14ac:dyDescent="0.3">
      <c r="A3052" t="s">
        <v>6</v>
      </c>
      <c r="B3052" t="str">
        <f>"02/06/1994 00:00"</f>
        <v>02/06/1994 00:00</v>
      </c>
      <c r="C3052">
        <v>69.900000000000006</v>
      </c>
      <c r="D3052" t="s">
        <v>7</v>
      </c>
      <c r="E3052" s="2" t="s">
        <v>12</v>
      </c>
      <c r="F3052">
        <f t="shared" si="47"/>
        <v>138.61170000000001</v>
      </c>
      <c r="G3052" t="s">
        <v>16</v>
      </c>
      <c r="J3052" t="str">
        <f>"02/06/1994 23:00"</f>
        <v>02/06/1994 23:00</v>
      </c>
    </row>
    <row r="3053" spans="1:10" x14ac:dyDescent="0.3">
      <c r="A3053" t="s">
        <v>6</v>
      </c>
      <c r="B3053" t="str">
        <f>"02/07/1994 00:00"</f>
        <v>02/07/1994 00:00</v>
      </c>
      <c r="C3053">
        <v>0</v>
      </c>
      <c r="D3053" t="s">
        <v>7</v>
      </c>
      <c r="E3053" s="2" t="s">
        <v>12</v>
      </c>
      <c r="F3053">
        <f t="shared" si="47"/>
        <v>0</v>
      </c>
      <c r="G3053" t="s">
        <v>16</v>
      </c>
      <c r="J3053" t="str">
        <f>"02/07/1994 23:00"</f>
        <v>02/07/1994 23:00</v>
      </c>
    </row>
    <row r="3054" spans="1:10" x14ac:dyDescent="0.3">
      <c r="A3054" t="s">
        <v>6</v>
      </c>
      <c r="B3054" t="str">
        <f>"02/08/1994 00:00"</f>
        <v>02/08/1994 00:00</v>
      </c>
      <c r="C3054">
        <v>0</v>
      </c>
      <c r="D3054" t="s">
        <v>7</v>
      </c>
      <c r="E3054" s="2" t="s">
        <v>12</v>
      </c>
      <c r="F3054">
        <f t="shared" si="47"/>
        <v>0</v>
      </c>
      <c r="G3054" t="s">
        <v>16</v>
      </c>
      <c r="J3054" t="str">
        <f>"02/08/1994 23:00"</f>
        <v>02/08/1994 23:00</v>
      </c>
    </row>
    <row r="3055" spans="1:10" x14ac:dyDescent="0.3">
      <c r="A3055" t="s">
        <v>6</v>
      </c>
      <c r="B3055" t="str">
        <f>"02/09/1994 00:00"</f>
        <v>02/09/1994 00:00</v>
      </c>
      <c r="C3055">
        <v>0</v>
      </c>
      <c r="D3055" t="s">
        <v>7</v>
      </c>
      <c r="E3055" s="2" t="s">
        <v>12</v>
      </c>
      <c r="F3055">
        <f t="shared" si="47"/>
        <v>0</v>
      </c>
      <c r="G3055" t="s">
        <v>16</v>
      </c>
      <c r="J3055" t="str">
        <f>"02/09/1994 23:00"</f>
        <v>02/09/1994 23:00</v>
      </c>
    </row>
    <row r="3056" spans="1:10" x14ac:dyDescent="0.3">
      <c r="A3056" t="s">
        <v>6</v>
      </c>
      <c r="B3056" t="str">
        <f>"02/10/1994 00:00"</f>
        <v>02/10/1994 00:00</v>
      </c>
      <c r="C3056">
        <v>0</v>
      </c>
      <c r="D3056" t="s">
        <v>7</v>
      </c>
      <c r="E3056" s="2" t="s">
        <v>12</v>
      </c>
      <c r="F3056">
        <f t="shared" si="47"/>
        <v>0</v>
      </c>
      <c r="G3056" t="s">
        <v>16</v>
      </c>
      <c r="J3056" t="str">
        <f>"02/10/1994 23:00"</f>
        <v>02/10/1994 23:00</v>
      </c>
    </row>
    <row r="3057" spans="1:10" x14ac:dyDescent="0.3">
      <c r="A3057" t="s">
        <v>6</v>
      </c>
      <c r="B3057" t="str">
        <f>"02/11/1994 00:00"</f>
        <v>02/11/1994 00:00</v>
      </c>
      <c r="C3057">
        <v>0</v>
      </c>
      <c r="D3057" t="s">
        <v>7</v>
      </c>
      <c r="E3057" s="2" t="s">
        <v>12</v>
      </c>
      <c r="F3057">
        <f t="shared" si="47"/>
        <v>0</v>
      </c>
      <c r="G3057" t="s">
        <v>16</v>
      </c>
      <c r="J3057" t="str">
        <f>"02/11/1994 23:00"</f>
        <v>02/11/1994 23:00</v>
      </c>
    </row>
    <row r="3058" spans="1:10" x14ac:dyDescent="0.3">
      <c r="A3058" t="s">
        <v>6</v>
      </c>
      <c r="B3058" t="str">
        <f>"02/12/1994 00:00"</f>
        <v>02/12/1994 00:00</v>
      </c>
      <c r="C3058">
        <v>0</v>
      </c>
      <c r="D3058" t="s">
        <v>7</v>
      </c>
      <c r="E3058" s="2" t="s">
        <v>12</v>
      </c>
      <c r="F3058">
        <f t="shared" si="47"/>
        <v>0</v>
      </c>
      <c r="G3058" t="s">
        <v>16</v>
      </c>
      <c r="J3058" t="str">
        <f>"02/12/1994 23:00"</f>
        <v>02/12/1994 23:00</v>
      </c>
    </row>
    <row r="3059" spans="1:10" x14ac:dyDescent="0.3">
      <c r="A3059" t="s">
        <v>6</v>
      </c>
      <c r="B3059" t="str">
        <f>"02/13/1994 00:00"</f>
        <v>02/13/1994 00:00</v>
      </c>
      <c r="C3059">
        <v>0</v>
      </c>
      <c r="D3059" t="s">
        <v>7</v>
      </c>
      <c r="E3059" s="2" t="s">
        <v>12</v>
      </c>
      <c r="F3059">
        <f t="shared" si="47"/>
        <v>0</v>
      </c>
      <c r="G3059" t="s">
        <v>16</v>
      </c>
      <c r="J3059" t="str">
        <f>"02/13/1994 23:00"</f>
        <v>02/13/1994 23:00</v>
      </c>
    </row>
    <row r="3060" spans="1:10" x14ac:dyDescent="0.3">
      <c r="A3060" t="s">
        <v>6</v>
      </c>
      <c r="B3060" t="str">
        <f>"02/14/1994 00:00"</f>
        <v>02/14/1994 00:00</v>
      </c>
      <c r="C3060">
        <v>0</v>
      </c>
      <c r="D3060" t="s">
        <v>7</v>
      </c>
      <c r="E3060" s="2" t="s">
        <v>12</v>
      </c>
      <c r="F3060">
        <f t="shared" si="47"/>
        <v>0</v>
      </c>
      <c r="G3060" t="s">
        <v>16</v>
      </c>
      <c r="J3060" t="str">
        <f>"02/14/1994 23:00"</f>
        <v>02/14/1994 23:00</v>
      </c>
    </row>
    <row r="3061" spans="1:10" x14ac:dyDescent="0.3">
      <c r="A3061" t="s">
        <v>6</v>
      </c>
      <c r="B3061" t="str">
        <f>"02/15/1994 00:00"</f>
        <v>02/15/1994 00:00</v>
      </c>
      <c r="C3061">
        <v>0</v>
      </c>
      <c r="D3061" t="s">
        <v>7</v>
      </c>
      <c r="E3061" s="2" t="s">
        <v>12</v>
      </c>
      <c r="F3061">
        <f t="shared" si="47"/>
        <v>0</v>
      </c>
      <c r="G3061" t="s">
        <v>16</v>
      </c>
      <c r="J3061" t="str">
        <f>"02/15/1994 23:00"</f>
        <v>02/15/1994 23:00</v>
      </c>
    </row>
    <row r="3062" spans="1:10" x14ac:dyDescent="0.3">
      <c r="A3062" t="s">
        <v>6</v>
      </c>
      <c r="B3062" t="str">
        <f>"02/16/1994 00:00"</f>
        <v>02/16/1994 00:00</v>
      </c>
      <c r="C3062">
        <v>0</v>
      </c>
      <c r="D3062" t="s">
        <v>7</v>
      </c>
      <c r="E3062" s="2" t="s">
        <v>12</v>
      </c>
      <c r="F3062">
        <f t="shared" si="47"/>
        <v>0</v>
      </c>
      <c r="G3062" t="s">
        <v>16</v>
      </c>
      <c r="J3062" t="str">
        <f>"02/16/1994 23:00"</f>
        <v>02/16/1994 23:00</v>
      </c>
    </row>
    <row r="3063" spans="1:10" x14ac:dyDescent="0.3">
      <c r="A3063" t="s">
        <v>6</v>
      </c>
      <c r="B3063" t="str">
        <f>"02/17/1994 00:00"</f>
        <v>02/17/1994 00:00</v>
      </c>
      <c r="C3063">
        <v>0</v>
      </c>
      <c r="D3063" t="s">
        <v>7</v>
      </c>
      <c r="E3063" s="2" t="s">
        <v>12</v>
      </c>
      <c r="F3063">
        <f t="shared" si="47"/>
        <v>0</v>
      </c>
      <c r="G3063" t="s">
        <v>16</v>
      </c>
      <c r="J3063" t="str">
        <f>"02/17/1994 23:00"</f>
        <v>02/17/1994 23:00</v>
      </c>
    </row>
    <row r="3064" spans="1:10" x14ac:dyDescent="0.3">
      <c r="A3064" t="s">
        <v>6</v>
      </c>
      <c r="B3064" t="str">
        <f>"02/18/1994 00:00"</f>
        <v>02/18/1994 00:00</v>
      </c>
      <c r="C3064">
        <v>0</v>
      </c>
      <c r="D3064" t="s">
        <v>7</v>
      </c>
      <c r="E3064" s="2" t="s">
        <v>12</v>
      </c>
      <c r="F3064">
        <f t="shared" si="47"/>
        <v>0</v>
      </c>
      <c r="G3064" t="s">
        <v>16</v>
      </c>
      <c r="J3064" t="str">
        <f>"02/18/1994 23:00"</f>
        <v>02/18/1994 23:00</v>
      </c>
    </row>
    <row r="3065" spans="1:10" x14ac:dyDescent="0.3">
      <c r="A3065" t="s">
        <v>6</v>
      </c>
      <c r="B3065" t="str">
        <f>"02/19/1994 00:00"</f>
        <v>02/19/1994 00:00</v>
      </c>
      <c r="C3065">
        <v>0</v>
      </c>
      <c r="D3065" t="s">
        <v>7</v>
      </c>
      <c r="E3065" s="2" t="s">
        <v>12</v>
      </c>
      <c r="F3065">
        <f t="shared" si="47"/>
        <v>0</v>
      </c>
      <c r="G3065" t="s">
        <v>16</v>
      </c>
      <c r="J3065" t="str">
        <f>"02/19/1994 23:00"</f>
        <v>02/19/1994 23:00</v>
      </c>
    </row>
    <row r="3066" spans="1:10" x14ac:dyDescent="0.3">
      <c r="A3066" t="s">
        <v>6</v>
      </c>
      <c r="B3066" t="str">
        <f>"02/20/1994 00:00"</f>
        <v>02/20/1994 00:00</v>
      </c>
      <c r="C3066">
        <v>0</v>
      </c>
      <c r="D3066" t="s">
        <v>7</v>
      </c>
      <c r="E3066" s="2" t="s">
        <v>12</v>
      </c>
      <c r="F3066">
        <f t="shared" si="47"/>
        <v>0</v>
      </c>
      <c r="G3066" t="s">
        <v>16</v>
      </c>
      <c r="J3066" t="str">
        <f>"02/20/1994 23:00"</f>
        <v>02/20/1994 23:00</v>
      </c>
    </row>
    <row r="3067" spans="1:10" x14ac:dyDescent="0.3">
      <c r="A3067" t="s">
        <v>6</v>
      </c>
      <c r="B3067" t="str">
        <f>"02/21/1994 00:00"</f>
        <v>02/21/1994 00:00</v>
      </c>
      <c r="C3067">
        <v>4.79</v>
      </c>
      <c r="D3067" t="s">
        <v>7</v>
      </c>
      <c r="E3067" s="2" t="s">
        <v>12</v>
      </c>
      <c r="F3067">
        <f t="shared" si="47"/>
        <v>9.4985700000000008</v>
      </c>
      <c r="G3067" t="s">
        <v>16</v>
      </c>
      <c r="J3067" t="str">
        <f>"02/21/1994 23:00"</f>
        <v>02/21/1994 23:00</v>
      </c>
    </row>
    <row r="3068" spans="1:10" x14ac:dyDescent="0.3">
      <c r="A3068" t="s">
        <v>6</v>
      </c>
      <c r="B3068" t="str">
        <f>"02/22/1994 00:00"</f>
        <v>02/22/1994 00:00</v>
      </c>
      <c r="C3068">
        <v>0</v>
      </c>
      <c r="D3068" t="s">
        <v>7</v>
      </c>
      <c r="E3068" s="2" t="s">
        <v>12</v>
      </c>
      <c r="F3068">
        <f t="shared" si="47"/>
        <v>0</v>
      </c>
      <c r="G3068" t="s">
        <v>16</v>
      </c>
      <c r="J3068" t="str">
        <f>"02/22/1994 23:00"</f>
        <v>02/22/1994 23:00</v>
      </c>
    </row>
    <row r="3069" spans="1:10" x14ac:dyDescent="0.3">
      <c r="A3069" t="s">
        <v>6</v>
      </c>
      <c r="B3069" t="str">
        <f>"02/23/1994 00:00"</f>
        <v>02/23/1994 00:00</v>
      </c>
      <c r="C3069">
        <v>0</v>
      </c>
      <c r="D3069" t="s">
        <v>7</v>
      </c>
      <c r="E3069" s="2" t="s">
        <v>12</v>
      </c>
      <c r="F3069">
        <f t="shared" si="47"/>
        <v>0</v>
      </c>
      <c r="G3069" t="s">
        <v>16</v>
      </c>
      <c r="J3069" t="str">
        <f>"02/23/1994 23:00"</f>
        <v>02/23/1994 23:00</v>
      </c>
    </row>
    <row r="3070" spans="1:10" x14ac:dyDescent="0.3">
      <c r="A3070" t="s">
        <v>6</v>
      </c>
      <c r="B3070" t="str">
        <f>"02/24/1994 00:00"</f>
        <v>02/24/1994 00:00</v>
      </c>
      <c r="C3070">
        <v>0</v>
      </c>
      <c r="D3070" t="s">
        <v>7</v>
      </c>
      <c r="E3070" s="2" t="s">
        <v>12</v>
      </c>
      <c r="F3070">
        <f t="shared" si="47"/>
        <v>0</v>
      </c>
      <c r="G3070" t="s">
        <v>16</v>
      </c>
      <c r="J3070" t="str">
        <f>"02/24/1994 23:00"</f>
        <v>02/24/1994 23:00</v>
      </c>
    </row>
    <row r="3071" spans="1:10" x14ac:dyDescent="0.3">
      <c r="A3071" t="s">
        <v>6</v>
      </c>
      <c r="B3071" t="str">
        <f>"02/25/1994 00:00"</f>
        <v>02/25/1994 00:00</v>
      </c>
      <c r="C3071">
        <v>0</v>
      </c>
      <c r="D3071" t="s">
        <v>7</v>
      </c>
      <c r="E3071" s="2" t="s">
        <v>12</v>
      </c>
      <c r="F3071">
        <f t="shared" si="47"/>
        <v>0</v>
      </c>
      <c r="G3071" t="s">
        <v>16</v>
      </c>
      <c r="J3071" t="str">
        <f>"02/25/1994 23:00"</f>
        <v>02/25/1994 23:00</v>
      </c>
    </row>
    <row r="3072" spans="1:10" x14ac:dyDescent="0.3">
      <c r="A3072" t="s">
        <v>6</v>
      </c>
      <c r="B3072" t="str">
        <f>"02/26/1994 00:00"</f>
        <v>02/26/1994 00:00</v>
      </c>
      <c r="C3072">
        <v>0</v>
      </c>
      <c r="D3072" t="s">
        <v>7</v>
      </c>
      <c r="E3072" s="2" t="s">
        <v>12</v>
      </c>
      <c r="F3072">
        <f t="shared" si="47"/>
        <v>0</v>
      </c>
      <c r="G3072" t="s">
        <v>16</v>
      </c>
      <c r="J3072" t="str">
        <f>"02/26/1994 23:00"</f>
        <v>02/26/1994 23:00</v>
      </c>
    </row>
    <row r="3073" spans="1:10" x14ac:dyDescent="0.3">
      <c r="A3073" t="s">
        <v>6</v>
      </c>
      <c r="B3073" t="str">
        <f>"02/27/1994 00:00"</f>
        <v>02/27/1994 00:00</v>
      </c>
      <c r="C3073">
        <v>0</v>
      </c>
      <c r="D3073" t="s">
        <v>7</v>
      </c>
      <c r="E3073" s="2" t="s">
        <v>12</v>
      </c>
      <c r="F3073">
        <f t="shared" si="47"/>
        <v>0</v>
      </c>
      <c r="G3073" t="s">
        <v>16</v>
      </c>
      <c r="J3073" t="str">
        <f>"02/27/1994 23:00"</f>
        <v>02/27/1994 23:00</v>
      </c>
    </row>
    <row r="3074" spans="1:10" x14ac:dyDescent="0.3">
      <c r="A3074" t="s">
        <v>6</v>
      </c>
      <c r="B3074" t="str">
        <f>"02/28/1994 00:00"</f>
        <v>02/28/1994 00:00</v>
      </c>
      <c r="C3074">
        <v>0</v>
      </c>
      <c r="D3074" t="s">
        <v>7</v>
      </c>
      <c r="E3074" s="2" t="s">
        <v>12</v>
      </c>
      <c r="F3074">
        <f t="shared" si="47"/>
        <v>0</v>
      </c>
      <c r="G3074" t="s">
        <v>16</v>
      </c>
      <c r="J3074" t="str">
        <f>"02/28/1994 23:00"</f>
        <v>02/28/1994 23:00</v>
      </c>
    </row>
    <row r="3075" spans="1:10" x14ac:dyDescent="0.3">
      <c r="A3075" t="s">
        <v>6</v>
      </c>
      <c r="B3075" t="str">
        <f>"03/01/1994 00:00"</f>
        <v>03/01/1994 00:00</v>
      </c>
      <c r="C3075">
        <v>0</v>
      </c>
      <c r="D3075" t="s">
        <v>7</v>
      </c>
      <c r="E3075" s="2" t="s">
        <v>12</v>
      </c>
      <c r="F3075">
        <f t="shared" ref="F3075:F3138" si="48">C3075*1.983</f>
        <v>0</v>
      </c>
      <c r="G3075" t="s">
        <v>16</v>
      </c>
      <c r="J3075" t="str">
        <f>"03/01/1994 23:00"</f>
        <v>03/01/1994 23:00</v>
      </c>
    </row>
    <row r="3076" spans="1:10" x14ac:dyDescent="0.3">
      <c r="A3076" t="s">
        <v>6</v>
      </c>
      <c r="B3076" t="str">
        <f>"03/02/1994 00:00"</f>
        <v>03/02/1994 00:00</v>
      </c>
      <c r="C3076">
        <v>0</v>
      </c>
      <c r="D3076" t="s">
        <v>7</v>
      </c>
      <c r="E3076" s="2" t="s">
        <v>12</v>
      </c>
      <c r="F3076">
        <f t="shared" si="48"/>
        <v>0</v>
      </c>
      <c r="G3076" t="s">
        <v>16</v>
      </c>
      <c r="J3076" t="str">
        <f>"03/02/1994 23:00"</f>
        <v>03/02/1994 23:00</v>
      </c>
    </row>
    <row r="3077" spans="1:10" x14ac:dyDescent="0.3">
      <c r="A3077" t="s">
        <v>6</v>
      </c>
      <c r="B3077" t="str">
        <f>"03/03/1994 00:00"</f>
        <v>03/03/1994 00:00</v>
      </c>
      <c r="C3077">
        <v>0</v>
      </c>
      <c r="D3077" t="s">
        <v>7</v>
      </c>
      <c r="E3077" s="2" t="s">
        <v>12</v>
      </c>
      <c r="F3077">
        <f t="shared" si="48"/>
        <v>0</v>
      </c>
      <c r="G3077" t="s">
        <v>16</v>
      </c>
      <c r="J3077" t="str">
        <f>"03/03/1994 23:00"</f>
        <v>03/03/1994 23:00</v>
      </c>
    </row>
    <row r="3078" spans="1:10" x14ac:dyDescent="0.3">
      <c r="A3078" t="s">
        <v>6</v>
      </c>
      <c r="B3078" t="str">
        <f>"03/04/1994 00:00"</f>
        <v>03/04/1994 00:00</v>
      </c>
      <c r="C3078">
        <v>0</v>
      </c>
      <c r="D3078" t="s">
        <v>7</v>
      </c>
      <c r="E3078" s="2" t="s">
        <v>12</v>
      </c>
      <c r="F3078">
        <f t="shared" si="48"/>
        <v>0</v>
      </c>
      <c r="G3078" t="s">
        <v>16</v>
      </c>
      <c r="J3078" t="str">
        <f>"03/04/1994 23:00"</f>
        <v>03/04/1994 23:00</v>
      </c>
    </row>
    <row r="3079" spans="1:10" x14ac:dyDescent="0.3">
      <c r="A3079" t="s">
        <v>6</v>
      </c>
      <c r="B3079" t="str">
        <f>"03/05/1994 00:00"</f>
        <v>03/05/1994 00:00</v>
      </c>
      <c r="C3079">
        <v>0</v>
      </c>
      <c r="D3079" t="s">
        <v>7</v>
      </c>
      <c r="E3079" s="2" t="s">
        <v>12</v>
      </c>
      <c r="F3079">
        <f t="shared" si="48"/>
        <v>0</v>
      </c>
      <c r="G3079" t="s">
        <v>16</v>
      </c>
      <c r="J3079" t="str">
        <f>"03/05/1994 23:00"</f>
        <v>03/05/1994 23:00</v>
      </c>
    </row>
    <row r="3080" spans="1:10" x14ac:dyDescent="0.3">
      <c r="A3080" t="s">
        <v>6</v>
      </c>
      <c r="B3080" t="str">
        <f>"03/06/1994 00:00"</f>
        <v>03/06/1994 00:00</v>
      </c>
      <c r="C3080">
        <v>0</v>
      </c>
      <c r="D3080" t="s">
        <v>7</v>
      </c>
      <c r="E3080" s="2" t="s">
        <v>12</v>
      </c>
      <c r="F3080">
        <f t="shared" si="48"/>
        <v>0</v>
      </c>
      <c r="G3080" t="s">
        <v>16</v>
      </c>
      <c r="J3080" t="str">
        <f>"03/06/1994 23:00"</f>
        <v>03/06/1994 23:00</v>
      </c>
    </row>
    <row r="3081" spans="1:10" x14ac:dyDescent="0.3">
      <c r="A3081" t="s">
        <v>6</v>
      </c>
      <c r="B3081" t="str">
        <f>"03/07/1994 00:00"</f>
        <v>03/07/1994 00:00</v>
      </c>
      <c r="C3081">
        <v>0</v>
      </c>
      <c r="D3081" t="s">
        <v>7</v>
      </c>
      <c r="E3081" s="2" t="s">
        <v>12</v>
      </c>
      <c r="F3081">
        <f t="shared" si="48"/>
        <v>0</v>
      </c>
      <c r="G3081" t="s">
        <v>16</v>
      </c>
      <c r="J3081" t="str">
        <f>"03/07/1994 23:00"</f>
        <v>03/07/1994 23:00</v>
      </c>
    </row>
    <row r="3082" spans="1:10" x14ac:dyDescent="0.3">
      <c r="A3082" t="s">
        <v>6</v>
      </c>
      <c r="B3082" t="str">
        <f>"03/08/1994 00:00"</f>
        <v>03/08/1994 00:00</v>
      </c>
      <c r="C3082">
        <v>0</v>
      </c>
      <c r="D3082" t="s">
        <v>7</v>
      </c>
      <c r="E3082" s="2" t="s">
        <v>12</v>
      </c>
      <c r="F3082">
        <f t="shared" si="48"/>
        <v>0</v>
      </c>
      <c r="G3082" t="s">
        <v>16</v>
      </c>
      <c r="J3082" t="str">
        <f>"03/08/1994 23:00"</f>
        <v>03/08/1994 23:00</v>
      </c>
    </row>
    <row r="3083" spans="1:10" x14ac:dyDescent="0.3">
      <c r="A3083" t="s">
        <v>6</v>
      </c>
      <c r="B3083" t="str">
        <f>"03/09/1994 00:00"</f>
        <v>03/09/1994 00:00</v>
      </c>
      <c r="C3083">
        <v>0</v>
      </c>
      <c r="D3083" t="s">
        <v>7</v>
      </c>
      <c r="E3083" s="2" t="s">
        <v>12</v>
      </c>
      <c r="F3083">
        <f t="shared" si="48"/>
        <v>0</v>
      </c>
      <c r="G3083" t="s">
        <v>16</v>
      </c>
      <c r="J3083" t="str">
        <f>"03/09/1994 23:00"</f>
        <v>03/09/1994 23:00</v>
      </c>
    </row>
    <row r="3084" spans="1:10" x14ac:dyDescent="0.3">
      <c r="A3084" t="s">
        <v>6</v>
      </c>
      <c r="B3084" t="str">
        <f>"03/10/1994 00:00"</f>
        <v>03/10/1994 00:00</v>
      </c>
      <c r="C3084">
        <v>0</v>
      </c>
      <c r="D3084" t="s">
        <v>7</v>
      </c>
      <c r="E3084" s="2" t="s">
        <v>12</v>
      </c>
      <c r="F3084">
        <f t="shared" si="48"/>
        <v>0</v>
      </c>
      <c r="G3084" t="s">
        <v>16</v>
      </c>
      <c r="J3084" t="str">
        <f>"03/10/1994 23:00"</f>
        <v>03/10/1994 23:00</v>
      </c>
    </row>
    <row r="3085" spans="1:10" x14ac:dyDescent="0.3">
      <c r="A3085" t="s">
        <v>6</v>
      </c>
      <c r="B3085" t="str">
        <f>"03/11/1994 00:00"</f>
        <v>03/11/1994 00:00</v>
      </c>
      <c r="C3085">
        <v>0</v>
      </c>
      <c r="D3085" t="s">
        <v>7</v>
      </c>
      <c r="E3085" s="2" t="s">
        <v>12</v>
      </c>
      <c r="F3085">
        <f t="shared" si="48"/>
        <v>0</v>
      </c>
      <c r="G3085" t="s">
        <v>16</v>
      </c>
      <c r="J3085" t="str">
        <f>"03/11/1994 23:00"</f>
        <v>03/11/1994 23:00</v>
      </c>
    </row>
    <row r="3086" spans="1:10" x14ac:dyDescent="0.3">
      <c r="A3086" t="s">
        <v>6</v>
      </c>
      <c r="B3086" t="str">
        <f>"03/12/1994 00:00"</f>
        <v>03/12/1994 00:00</v>
      </c>
      <c r="C3086">
        <v>0</v>
      </c>
      <c r="D3086" t="s">
        <v>7</v>
      </c>
      <c r="E3086" s="2" t="s">
        <v>12</v>
      </c>
      <c r="F3086">
        <f t="shared" si="48"/>
        <v>0</v>
      </c>
      <c r="G3086" t="s">
        <v>16</v>
      </c>
      <c r="J3086" t="str">
        <f>"03/12/1994 23:00"</f>
        <v>03/12/1994 23:00</v>
      </c>
    </row>
    <row r="3087" spans="1:10" x14ac:dyDescent="0.3">
      <c r="A3087" t="s">
        <v>6</v>
      </c>
      <c r="B3087" t="str">
        <f>"03/13/1994 00:00"</f>
        <v>03/13/1994 00:00</v>
      </c>
      <c r="C3087">
        <v>0</v>
      </c>
      <c r="D3087" t="s">
        <v>7</v>
      </c>
      <c r="E3087" s="2" t="s">
        <v>12</v>
      </c>
      <c r="F3087">
        <f t="shared" si="48"/>
        <v>0</v>
      </c>
      <c r="G3087" t="s">
        <v>16</v>
      </c>
      <c r="J3087" t="str">
        <f>"03/13/1994 23:00"</f>
        <v>03/13/1994 23:00</v>
      </c>
    </row>
    <row r="3088" spans="1:10" x14ac:dyDescent="0.3">
      <c r="A3088" t="s">
        <v>6</v>
      </c>
      <c r="B3088" t="str">
        <f>"03/14/1994 00:00"</f>
        <v>03/14/1994 00:00</v>
      </c>
      <c r="C3088">
        <v>0</v>
      </c>
      <c r="D3088" t="s">
        <v>7</v>
      </c>
      <c r="E3088" s="2" t="s">
        <v>12</v>
      </c>
      <c r="F3088">
        <f t="shared" si="48"/>
        <v>0</v>
      </c>
      <c r="G3088" t="s">
        <v>16</v>
      </c>
      <c r="J3088" t="str">
        <f>"03/14/1994 23:00"</f>
        <v>03/14/1994 23:00</v>
      </c>
    </row>
    <row r="3089" spans="1:10" x14ac:dyDescent="0.3">
      <c r="A3089" t="s">
        <v>6</v>
      </c>
      <c r="B3089" t="str">
        <f>"03/15/1994 00:00"</f>
        <v>03/15/1994 00:00</v>
      </c>
      <c r="C3089">
        <v>0</v>
      </c>
      <c r="D3089" t="s">
        <v>7</v>
      </c>
      <c r="E3089" s="2" t="s">
        <v>12</v>
      </c>
      <c r="F3089">
        <f t="shared" si="48"/>
        <v>0</v>
      </c>
      <c r="G3089" t="s">
        <v>16</v>
      </c>
      <c r="J3089" t="str">
        <f>"03/15/1994 23:00"</f>
        <v>03/15/1994 23:00</v>
      </c>
    </row>
    <row r="3090" spans="1:10" x14ac:dyDescent="0.3">
      <c r="A3090" t="s">
        <v>6</v>
      </c>
      <c r="B3090" t="str">
        <f>"03/16/1994 00:00"</f>
        <v>03/16/1994 00:00</v>
      </c>
      <c r="C3090">
        <v>0</v>
      </c>
      <c r="D3090" t="s">
        <v>7</v>
      </c>
      <c r="E3090" s="2" t="s">
        <v>12</v>
      </c>
      <c r="F3090">
        <f t="shared" si="48"/>
        <v>0</v>
      </c>
      <c r="G3090" t="s">
        <v>16</v>
      </c>
      <c r="J3090" t="str">
        <f>"03/16/1994 23:00"</f>
        <v>03/16/1994 23:00</v>
      </c>
    </row>
    <row r="3091" spans="1:10" x14ac:dyDescent="0.3">
      <c r="A3091" t="s">
        <v>6</v>
      </c>
      <c r="B3091" t="str">
        <f>"03/17/1994 00:00"</f>
        <v>03/17/1994 00:00</v>
      </c>
      <c r="C3091">
        <v>0</v>
      </c>
      <c r="D3091" t="s">
        <v>7</v>
      </c>
      <c r="E3091" s="2" t="s">
        <v>12</v>
      </c>
      <c r="F3091">
        <f t="shared" si="48"/>
        <v>0</v>
      </c>
      <c r="G3091" t="s">
        <v>16</v>
      </c>
      <c r="J3091" t="str">
        <f>"03/17/1994 23:00"</f>
        <v>03/17/1994 23:00</v>
      </c>
    </row>
    <row r="3092" spans="1:10" x14ac:dyDescent="0.3">
      <c r="A3092" t="s">
        <v>6</v>
      </c>
      <c r="B3092" t="str">
        <f>"03/18/1994 00:00"</f>
        <v>03/18/1994 00:00</v>
      </c>
      <c r="C3092">
        <v>4.67</v>
      </c>
      <c r="D3092" t="s">
        <v>7</v>
      </c>
      <c r="E3092" s="2" t="s">
        <v>12</v>
      </c>
      <c r="F3092">
        <f t="shared" si="48"/>
        <v>9.2606099999999998</v>
      </c>
      <c r="G3092" t="s">
        <v>16</v>
      </c>
      <c r="J3092" t="str">
        <f>"03/18/1994 23:00"</f>
        <v>03/18/1994 23:00</v>
      </c>
    </row>
    <row r="3093" spans="1:10" x14ac:dyDescent="0.3">
      <c r="A3093" t="s">
        <v>6</v>
      </c>
      <c r="B3093" t="str">
        <f>"03/19/1994 00:00"</f>
        <v>03/19/1994 00:00</v>
      </c>
      <c r="C3093">
        <v>0</v>
      </c>
      <c r="D3093" t="s">
        <v>7</v>
      </c>
      <c r="E3093" s="2" t="s">
        <v>12</v>
      </c>
      <c r="F3093">
        <f t="shared" si="48"/>
        <v>0</v>
      </c>
      <c r="G3093" t="s">
        <v>16</v>
      </c>
      <c r="J3093" t="str">
        <f>"03/19/1994 23:00"</f>
        <v>03/19/1994 23:00</v>
      </c>
    </row>
    <row r="3094" spans="1:10" x14ac:dyDescent="0.3">
      <c r="A3094" t="s">
        <v>6</v>
      </c>
      <c r="B3094" t="str">
        <f>"03/20/1994 00:00"</f>
        <v>03/20/1994 00:00</v>
      </c>
      <c r="C3094">
        <v>19.8</v>
      </c>
      <c r="D3094" t="s">
        <v>7</v>
      </c>
      <c r="E3094" s="2" t="s">
        <v>12</v>
      </c>
      <c r="F3094">
        <f t="shared" si="48"/>
        <v>39.263400000000004</v>
      </c>
      <c r="G3094" t="s">
        <v>16</v>
      </c>
      <c r="J3094" t="str">
        <f>"03/20/1994 23:00"</f>
        <v>03/20/1994 23:00</v>
      </c>
    </row>
    <row r="3095" spans="1:10" x14ac:dyDescent="0.3">
      <c r="A3095" t="s">
        <v>6</v>
      </c>
      <c r="B3095" t="str">
        <f>"03/21/1994 00:00"</f>
        <v>03/21/1994 00:00</v>
      </c>
      <c r="C3095">
        <v>0</v>
      </c>
      <c r="D3095" t="s">
        <v>7</v>
      </c>
      <c r="E3095" s="2" t="s">
        <v>12</v>
      </c>
      <c r="F3095">
        <f t="shared" si="48"/>
        <v>0</v>
      </c>
      <c r="G3095" t="s">
        <v>16</v>
      </c>
      <c r="J3095" t="str">
        <f>"03/21/1994 23:00"</f>
        <v>03/21/1994 23:00</v>
      </c>
    </row>
    <row r="3096" spans="1:10" x14ac:dyDescent="0.3">
      <c r="A3096" t="s">
        <v>6</v>
      </c>
      <c r="B3096" t="str">
        <f>"03/22/1994 00:00"</f>
        <v>03/22/1994 00:00</v>
      </c>
      <c r="C3096">
        <v>0</v>
      </c>
      <c r="D3096" t="s">
        <v>7</v>
      </c>
      <c r="E3096" s="2" t="s">
        <v>12</v>
      </c>
      <c r="F3096">
        <f t="shared" si="48"/>
        <v>0</v>
      </c>
      <c r="G3096" t="s">
        <v>16</v>
      </c>
      <c r="J3096" t="str">
        <f>"03/22/1994 23:00"</f>
        <v>03/22/1994 23:00</v>
      </c>
    </row>
    <row r="3097" spans="1:10" x14ac:dyDescent="0.3">
      <c r="A3097" t="s">
        <v>6</v>
      </c>
      <c r="B3097" t="str">
        <f>"03/23/1994 00:00"</f>
        <v>03/23/1994 00:00</v>
      </c>
      <c r="C3097">
        <v>0</v>
      </c>
      <c r="D3097" t="s">
        <v>7</v>
      </c>
      <c r="E3097" s="2" t="s">
        <v>12</v>
      </c>
      <c r="F3097">
        <f t="shared" si="48"/>
        <v>0</v>
      </c>
      <c r="G3097" t="s">
        <v>16</v>
      </c>
      <c r="J3097" t="str">
        <f>"03/23/1994 23:00"</f>
        <v>03/23/1994 23:00</v>
      </c>
    </row>
    <row r="3098" spans="1:10" x14ac:dyDescent="0.3">
      <c r="A3098" t="s">
        <v>6</v>
      </c>
      <c r="B3098" t="str">
        <f>"03/24/1994 00:00"</f>
        <v>03/24/1994 00:00</v>
      </c>
      <c r="C3098">
        <v>0</v>
      </c>
      <c r="D3098" t="s">
        <v>7</v>
      </c>
      <c r="E3098" s="2" t="s">
        <v>12</v>
      </c>
      <c r="F3098">
        <f t="shared" si="48"/>
        <v>0</v>
      </c>
      <c r="G3098" t="s">
        <v>16</v>
      </c>
      <c r="J3098" t="str">
        <f>"03/24/1994 23:00"</f>
        <v>03/24/1994 23:00</v>
      </c>
    </row>
    <row r="3099" spans="1:10" x14ac:dyDescent="0.3">
      <c r="A3099" t="s">
        <v>6</v>
      </c>
      <c r="B3099" t="str">
        <f>"03/25/1994 00:00"</f>
        <v>03/25/1994 00:00</v>
      </c>
      <c r="C3099">
        <v>0</v>
      </c>
      <c r="D3099" t="s">
        <v>7</v>
      </c>
      <c r="E3099" s="2" t="s">
        <v>12</v>
      </c>
      <c r="F3099">
        <f t="shared" si="48"/>
        <v>0</v>
      </c>
      <c r="G3099" t="s">
        <v>16</v>
      </c>
      <c r="J3099" t="str">
        <f>"03/25/1994 23:00"</f>
        <v>03/25/1994 23:00</v>
      </c>
    </row>
    <row r="3100" spans="1:10" x14ac:dyDescent="0.3">
      <c r="A3100" t="s">
        <v>6</v>
      </c>
      <c r="B3100" t="str">
        <f>"03/26/1994 00:00"</f>
        <v>03/26/1994 00:00</v>
      </c>
      <c r="C3100">
        <v>0</v>
      </c>
      <c r="D3100" t="s">
        <v>7</v>
      </c>
      <c r="E3100" s="2" t="s">
        <v>12</v>
      </c>
      <c r="F3100">
        <f t="shared" si="48"/>
        <v>0</v>
      </c>
      <c r="G3100" t="s">
        <v>16</v>
      </c>
      <c r="J3100" t="str">
        <f>"03/26/1994 23:00"</f>
        <v>03/26/1994 23:00</v>
      </c>
    </row>
    <row r="3101" spans="1:10" x14ac:dyDescent="0.3">
      <c r="A3101" t="s">
        <v>6</v>
      </c>
      <c r="B3101" t="str">
        <f>"03/27/1994 00:00"</f>
        <v>03/27/1994 00:00</v>
      </c>
      <c r="C3101">
        <v>0</v>
      </c>
      <c r="D3101" t="s">
        <v>7</v>
      </c>
      <c r="E3101" s="2" t="s">
        <v>12</v>
      </c>
      <c r="F3101">
        <f t="shared" si="48"/>
        <v>0</v>
      </c>
      <c r="G3101" t="s">
        <v>16</v>
      </c>
      <c r="J3101" t="str">
        <f>"03/27/1994 23:00"</f>
        <v>03/27/1994 23:00</v>
      </c>
    </row>
    <row r="3102" spans="1:10" x14ac:dyDescent="0.3">
      <c r="A3102" t="s">
        <v>6</v>
      </c>
      <c r="B3102" t="str">
        <f>"03/28/1994 00:00"</f>
        <v>03/28/1994 00:00</v>
      </c>
      <c r="C3102">
        <v>0</v>
      </c>
      <c r="D3102" t="s">
        <v>7</v>
      </c>
      <c r="E3102" s="2" t="s">
        <v>12</v>
      </c>
      <c r="F3102">
        <f t="shared" si="48"/>
        <v>0</v>
      </c>
      <c r="G3102" t="s">
        <v>16</v>
      </c>
      <c r="J3102" t="str">
        <f>"03/28/1994 23:00"</f>
        <v>03/28/1994 23:00</v>
      </c>
    </row>
    <row r="3103" spans="1:10" x14ac:dyDescent="0.3">
      <c r="A3103" t="s">
        <v>6</v>
      </c>
      <c r="B3103" t="str">
        <f>"03/29/1994 00:00"</f>
        <v>03/29/1994 00:00</v>
      </c>
      <c r="C3103">
        <v>0</v>
      </c>
      <c r="D3103" t="s">
        <v>7</v>
      </c>
      <c r="E3103" s="2" t="s">
        <v>12</v>
      </c>
      <c r="F3103">
        <f t="shared" si="48"/>
        <v>0</v>
      </c>
      <c r="G3103" t="s">
        <v>16</v>
      </c>
      <c r="J3103" t="str">
        <f>"03/29/1994 23:00"</f>
        <v>03/29/1994 23:00</v>
      </c>
    </row>
    <row r="3104" spans="1:10" x14ac:dyDescent="0.3">
      <c r="A3104" t="s">
        <v>6</v>
      </c>
      <c r="B3104" t="str">
        <f>"03/30/1994 00:00"</f>
        <v>03/30/1994 00:00</v>
      </c>
      <c r="C3104">
        <v>0</v>
      </c>
      <c r="D3104" t="s">
        <v>7</v>
      </c>
      <c r="E3104" s="2" t="s">
        <v>12</v>
      </c>
      <c r="F3104">
        <f t="shared" si="48"/>
        <v>0</v>
      </c>
      <c r="G3104" t="s">
        <v>16</v>
      </c>
      <c r="J3104" t="str">
        <f>"03/30/1994 23:00"</f>
        <v>03/30/1994 23:00</v>
      </c>
    </row>
    <row r="3105" spans="1:10" x14ac:dyDescent="0.3">
      <c r="A3105" t="s">
        <v>6</v>
      </c>
      <c r="B3105" t="str">
        <f>"03/31/1994 00:00"</f>
        <v>03/31/1994 00:00</v>
      </c>
      <c r="C3105">
        <v>0</v>
      </c>
      <c r="D3105" t="s">
        <v>7</v>
      </c>
      <c r="E3105" s="2" t="s">
        <v>12</v>
      </c>
      <c r="F3105">
        <f t="shared" si="48"/>
        <v>0</v>
      </c>
      <c r="G3105" t="s">
        <v>16</v>
      </c>
      <c r="J3105" t="str">
        <f>"03/31/1994 23:00"</f>
        <v>03/31/1994 23:00</v>
      </c>
    </row>
    <row r="3106" spans="1:10" x14ac:dyDescent="0.3">
      <c r="A3106" t="s">
        <v>6</v>
      </c>
      <c r="B3106" t="str">
        <f>"04/01/1994 00:00"</f>
        <v>04/01/1994 00:00</v>
      </c>
      <c r="C3106">
        <v>4.42</v>
      </c>
      <c r="D3106" t="s">
        <v>7</v>
      </c>
      <c r="E3106" s="2" t="s">
        <v>12</v>
      </c>
      <c r="F3106">
        <f t="shared" si="48"/>
        <v>8.7648600000000005</v>
      </c>
      <c r="G3106" t="s">
        <v>16</v>
      </c>
      <c r="J3106" t="str">
        <f>"04/01/1994 23:00"</f>
        <v>04/01/1994 23:00</v>
      </c>
    </row>
    <row r="3107" spans="1:10" x14ac:dyDescent="0.3">
      <c r="A3107" t="s">
        <v>6</v>
      </c>
      <c r="B3107" t="str">
        <f>"04/02/1994 00:00"</f>
        <v>04/02/1994 00:00</v>
      </c>
      <c r="C3107">
        <v>0</v>
      </c>
      <c r="D3107" t="s">
        <v>7</v>
      </c>
      <c r="E3107" s="2" t="s">
        <v>12</v>
      </c>
      <c r="F3107">
        <f t="shared" si="48"/>
        <v>0</v>
      </c>
      <c r="G3107" t="s">
        <v>16</v>
      </c>
      <c r="J3107" t="str">
        <f>"04/02/1994 23:00"</f>
        <v>04/02/1994 23:00</v>
      </c>
    </row>
    <row r="3108" spans="1:10" x14ac:dyDescent="0.3">
      <c r="A3108" t="s">
        <v>6</v>
      </c>
      <c r="B3108" t="str">
        <f>"04/03/1994 00:00"</f>
        <v>04/03/1994 00:00</v>
      </c>
      <c r="C3108">
        <v>0</v>
      </c>
      <c r="D3108" t="s">
        <v>7</v>
      </c>
      <c r="E3108" s="2" t="s">
        <v>12</v>
      </c>
      <c r="F3108">
        <f t="shared" si="48"/>
        <v>0</v>
      </c>
      <c r="G3108" t="s">
        <v>16</v>
      </c>
      <c r="J3108" t="str">
        <f>"04/03/1994 23:00"</f>
        <v>04/03/1994 23:00</v>
      </c>
    </row>
    <row r="3109" spans="1:10" x14ac:dyDescent="0.3">
      <c r="A3109" t="s">
        <v>6</v>
      </c>
      <c r="B3109" t="str">
        <f>"04/04/1994 00:00"</f>
        <v>04/04/1994 00:00</v>
      </c>
      <c r="C3109">
        <v>23.4</v>
      </c>
      <c r="D3109" t="s">
        <v>7</v>
      </c>
      <c r="E3109" s="2" t="s">
        <v>12</v>
      </c>
      <c r="F3109">
        <f t="shared" si="48"/>
        <v>46.402200000000001</v>
      </c>
      <c r="G3109" t="s">
        <v>16</v>
      </c>
      <c r="J3109" t="str">
        <f>"04/04/1994 23:00"</f>
        <v>04/04/1994 23:00</v>
      </c>
    </row>
    <row r="3110" spans="1:10" x14ac:dyDescent="0.3">
      <c r="A3110" t="s">
        <v>6</v>
      </c>
      <c r="B3110" t="str">
        <f>"04/05/1994 00:00"</f>
        <v>04/05/1994 00:00</v>
      </c>
      <c r="C3110">
        <v>26.7</v>
      </c>
      <c r="D3110" t="s">
        <v>7</v>
      </c>
      <c r="E3110" s="2" t="s">
        <v>12</v>
      </c>
      <c r="F3110">
        <f t="shared" si="48"/>
        <v>52.946100000000001</v>
      </c>
      <c r="G3110" t="s">
        <v>16</v>
      </c>
      <c r="J3110" t="str">
        <f>"04/05/1994 23:00"</f>
        <v>04/05/1994 23:00</v>
      </c>
    </row>
    <row r="3111" spans="1:10" x14ac:dyDescent="0.3">
      <c r="A3111" t="s">
        <v>6</v>
      </c>
      <c r="B3111" t="str">
        <f>"04/06/1994 00:00"</f>
        <v>04/06/1994 00:00</v>
      </c>
      <c r="C3111">
        <v>63.8</v>
      </c>
      <c r="D3111" t="s">
        <v>7</v>
      </c>
      <c r="E3111" s="2" t="s">
        <v>12</v>
      </c>
      <c r="F3111">
        <f t="shared" si="48"/>
        <v>126.5154</v>
      </c>
      <c r="G3111" t="s">
        <v>16</v>
      </c>
      <c r="J3111" t="str">
        <f>"04/06/1994 23:00"</f>
        <v>04/06/1994 23:00</v>
      </c>
    </row>
    <row r="3112" spans="1:10" x14ac:dyDescent="0.3">
      <c r="A3112" t="s">
        <v>6</v>
      </c>
      <c r="B3112" t="str">
        <f>"04/07/1994 00:00"</f>
        <v>04/07/1994 00:00</v>
      </c>
      <c r="C3112">
        <v>0</v>
      </c>
      <c r="D3112" t="s">
        <v>7</v>
      </c>
      <c r="E3112" s="2" t="s">
        <v>12</v>
      </c>
      <c r="F3112">
        <f t="shared" si="48"/>
        <v>0</v>
      </c>
      <c r="G3112" t="s">
        <v>16</v>
      </c>
      <c r="J3112" t="str">
        <f>"04/07/1994 23:00"</f>
        <v>04/07/1994 23:00</v>
      </c>
    </row>
    <row r="3113" spans="1:10" x14ac:dyDescent="0.3">
      <c r="A3113" t="s">
        <v>6</v>
      </c>
      <c r="B3113" t="str">
        <f>"04/08/1994 00:00"</f>
        <v>04/08/1994 00:00</v>
      </c>
      <c r="C3113">
        <v>0</v>
      </c>
      <c r="D3113" t="s">
        <v>7</v>
      </c>
      <c r="E3113" s="2" t="s">
        <v>12</v>
      </c>
      <c r="F3113">
        <f t="shared" si="48"/>
        <v>0</v>
      </c>
      <c r="G3113" t="s">
        <v>16</v>
      </c>
      <c r="J3113" t="str">
        <f>"04/08/1994 23:00"</f>
        <v>04/08/1994 23:00</v>
      </c>
    </row>
    <row r="3114" spans="1:10" x14ac:dyDescent="0.3">
      <c r="A3114" t="s">
        <v>6</v>
      </c>
      <c r="B3114" t="str">
        <f>"04/09/1994 00:00"</f>
        <v>04/09/1994 00:00</v>
      </c>
      <c r="C3114">
        <v>0</v>
      </c>
      <c r="D3114" t="s">
        <v>7</v>
      </c>
      <c r="E3114" s="2" t="s">
        <v>12</v>
      </c>
      <c r="F3114">
        <f t="shared" si="48"/>
        <v>0</v>
      </c>
      <c r="G3114" t="s">
        <v>16</v>
      </c>
      <c r="J3114" t="str">
        <f>"04/09/1994 23:00"</f>
        <v>04/09/1994 23:00</v>
      </c>
    </row>
    <row r="3115" spans="1:10" x14ac:dyDescent="0.3">
      <c r="A3115" t="s">
        <v>6</v>
      </c>
      <c r="B3115" t="str">
        <f>"04/10/1994 00:00"</f>
        <v>04/10/1994 00:00</v>
      </c>
      <c r="C3115">
        <v>0</v>
      </c>
      <c r="D3115" t="s">
        <v>7</v>
      </c>
      <c r="E3115" s="2" t="s">
        <v>12</v>
      </c>
      <c r="F3115">
        <f t="shared" si="48"/>
        <v>0</v>
      </c>
      <c r="G3115" t="s">
        <v>16</v>
      </c>
      <c r="J3115" t="str">
        <f>"04/10/1994 23:00"</f>
        <v>04/10/1994 23:00</v>
      </c>
    </row>
    <row r="3116" spans="1:10" x14ac:dyDescent="0.3">
      <c r="A3116" t="s">
        <v>6</v>
      </c>
      <c r="B3116" t="str">
        <f>"04/11/1994 00:00"</f>
        <v>04/11/1994 00:00</v>
      </c>
      <c r="C3116">
        <v>0</v>
      </c>
      <c r="D3116" t="s">
        <v>7</v>
      </c>
      <c r="E3116" s="2" t="s">
        <v>12</v>
      </c>
      <c r="F3116">
        <f t="shared" si="48"/>
        <v>0</v>
      </c>
      <c r="G3116" t="s">
        <v>16</v>
      </c>
      <c r="J3116" t="str">
        <f>"04/11/1994 23:00"</f>
        <v>04/11/1994 23:00</v>
      </c>
    </row>
    <row r="3117" spans="1:10" x14ac:dyDescent="0.3">
      <c r="A3117" t="s">
        <v>6</v>
      </c>
      <c r="B3117" t="str">
        <f>"04/12/1994 00:00"</f>
        <v>04/12/1994 00:00</v>
      </c>
      <c r="C3117">
        <v>0</v>
      </c>
      <c r="D3117" t="s">
        <v>7</v>
      </c>
      <c r="E3117" s="2" t="s">
        <v>12</v>
      </c>
      <c r="F3117">
        <f t="shared" si="48"/>
        <v>0</v>
      </c>
      <c r="G3117" t="s">
        <v>16</v>
      </c>
      <c r="J3117" t="str">
        <f>"04/12/1994 23:00"</f>
        <v>04/12/1994 23:00</v>
      </c>
    </row>
    <row r="3118" spans="1:10" x14ac:dyDescent="0.3">
      <c r="A3118" t="s">
        <v>6</v>
      </c>
      <c r="B3118" t="str">
        <f>"04/13/1994 00:00"</f>
        <v>04/13/1994 00:00</v>
      </c>
      <c r="C3118">
        <v>0</v>
      </c>
      <c r="D3118" t="s">
        <v>7</v>
      </c>
      <c r="E3118" s="2" t="s">
        <v>12</v>
      </c>
      <c r="F3118">
        <f t="shared" si="48"/>
        <v>0</v>
      </c>
      <c r="G3118" t="s">
        <v>16</v>
      </c>
      <c r="J3118" t="str">
        <f>"04/13/1994 23:00"</f>
        <v>04/13/1994 23:00</v>
      </c>
    </row>
    <row r="3119" spans="1:10" x14ac:dyDescent="0.3">
      <c r="A3119" t="s">
        <v>6</v>
      </c>
      <c r="B3119" t="str">
        <f>"04/14/1994 00:00"</f>
        <v>04/14/1994 00:00</v>
      </c>
      <c r="C3119">
        <v>0</v>
      </c>
      <c r="D3119" t="s">
        <v>7</v>
      </c>
      <c r="E3119" s="2" t="s">
        <v>12</v>
      </c>
      <c r="F3119">
        <f t="shared" si="48"/>
        <v>0</v>
      </c>
      <c r="G3119" t="s">
        <v>16</v>
      </c>
      <c r="J3119" t="str">
        <f>"04/14/1994 23:00"</f>
        <v>04/14/1994 23:00</v>
      </c>
    </row>
    <row r="3120" spans="1:10" x14ac:dyDescent="0.3">
      <c r="A3120" t="s">
        <v>6</v>
      </c>
      <c r="B3120" t="str">
        <f>"04/15/1994 00:00"</f>
        <v>04/15/1994 00:00</v>
      </c>
      <c r="C3120">
        <v>0</v>
      </c>
      <c r="D3120" t="s">
        <v>7</v>
      </c>
      <c r="E3120" s="2" t="s">
        <v>12</v>
      </c>
      <c r="F3120">
        <f t="shared" si="48"/>
        <v>0</v>
      </c>
      <c r="G3120" t="s">
        <v>16</v>
      </c>
      <c r="J3120" t="str">
        <f>"04/15/1994 23:00"</f>
        <v>04/15/1994 23:00</v>
      </c>
    </row>
    <row r="3121" spans="1:10" x14ac:dyDescent="0.3">
      <c r="A3121" t="s">
        <v>6</v>
      </c>
      <c r="B3121" t="str">
        <f>"04/16/1994 00:00"</f>
        <v>04/16/1994 00:00</v>
      </c>
      <c r="C3121">
        <v>0</v>
      </c>
      <c r="D3121" t="s">
        <v>7</v>
      </c>
      <c r="E3121" s="2" t="s">
        <v>12</v>
      </c>
      <c r="F3121">
        <f t="shared" si="48"/>
        <v>0</v>
      </c>
      <c r="G3121" t="s">
        <v>16</v>
      </c>
      <c r="J3121" t="str">
        <f>"04/16/1994 23:00"</f>
        <v>04/16/1994 23:00</v>
      </c>
    </row>
    <row r="3122" spans="1:10" x14ac:dyDescent="0.3">
      <c r="A3122" t="s">
        <v>6</v>
      </c>
      <c r="B3122" t="str">
        <f>"04/17/1994 00:00"</f>
        <v>04/17/1994 00:00</v>
      </c>
      <c r="C3122">
        <v>4.5</v>
      </c>
      <c r="D3122" t="s">
        <v>7</v>
      </c>
      <c r="E3122" s="2" t="s">
        <v>12</v>
      </c>
      <c r="F3122">
        <f t="shared" si="48"/>
        <v>8.9235000000000007</v>
      </c>
      <c r="G3122" t="s">
        <v>16</v>
      </c>
      <c r="J3122" t="str">
        <f>"04/17/1994 23:00"</f>
        <v>04/17/1994 23:00</v>
      </c>
    </row>
    <row r="3123" spans="1:10" x14ac:dyDescent="0.3">
      <c r="A3123" t="s">
        <v>6</v>
      </c>
      <c r="B3123" t="str">
        <f>"04/18/1994 00:00"</f>
        <v>04/18/1994 00:00</v>
      </c>
      <c r="C3123">
        <v>19.2</v>
      </c>
      <c r="D3123" t="s">
        <v>7</v>
      </c>
      <c r="E3123" s="2" t="s">
        <v>12</v>
      </c>
      <c r="F3123">
        <f t="shared" si="48"/>
        <v>38.073599999999999</v>
      </c>
      <c r="G3123" t="s">
        <v>16</v>
      </c>
      <c r="J3123" t="str">
        <f>"04/18/1994 23:00"</f>
        <v>04/18/1994 23:00</v>
      </c>
    </row>
    <row r="3124" spans="1:10" x14ac:dyDescent="0.3">
      <c r="A3124" t="s">
        <v>6</v>
      </c>
      <c r="B3124" t="str">
        <f>"04/19/1994 00:00"</f>
        <v>04/19/1994 00:00</v>
      </c>
      <c r="C3124">
        <v>0</v>
      </c>
      <c r="D3124" t="s">
        <v>7</v>
      </c>
      <c r="E3124" s="2" t="s">
        <v>12</v>
      </c>
      <c r="F3124">
        <f t="shared" si="48"/>
        <v>0</v>
      </c>
      <c r="G3124" t="s">
        <v>16</v>
      </c>
      <c r="J3124" t="str">
        <f>"04/19/1994 23:00"</f>
        <v>04/19/1994 23:00</v>
      </c>
    </row>
    <row r="3125" spans="1:10" x14ac:dyDescent="0.3">
      <c r="A3125" t="s">
        <v>6</v>
      </c>
      <c r="B3125" t="str">
        <f>"04/20/1994 00:00"</f>
        <v>04/20/1994 00:00</v>
      </c>
      <c r="C3125">
        <v>0</v>
      </c>
      <c r="D3125" t="s">
        <v>7</v>
      </c>
      <c r="E3125" s="2" t="s">
        <v>12</v>
      </c>
      <c r="F3125">
        <f t="shared" si="48"/>
        <v>0</v>
      </c>
      <c r="G3125" t="s">
        <v>16</v>
      </c>
      <c r="J3125" t="str">
        <f>"04/20/1994 23:00"</f>
        <v>04/20/1994 23:00</v>
      </c>
    </row>
    <row r="3126" spans="1:10" x14ac:dyDescent="0.3">
      <c r="A3126" t="s">
        <v>6</v>
      </c>
      <c r="B3126" t="str">
        <f>"04/21/1994 00:00"</f>
        <v>04/21/1994 00:00</v>
      </c>
      <c r="C3126">
        <v>0</v>
      </c>
      <c r="D3126" t="s">
        <v>7</v>
      </c>
      <c r="E3126" s="2" t="s">
        <v>12</v>
      </c>
      <c r="F3126">
        <f t="shared" si="48"/>
        <v>0</v>
      </c>
      <c r="G3126" t="s">
        <v>16</v>
      </c>
      <c r="J3126" t="str">
        <f>"04/21/1994 23:00"</f>
        <v>04/21/1994 23:00</v>
      </c>
    </row>
    <row r="3127" spans="1:10" x14ac:dyDescent="0.3">
      <c r="A3127" t="s">
        <v>6</v>
      </c>
      <c r="B3127" t="str">
        <f>"04/22/1994 00:00"</f>
        <v>04/22/1994 00:00</v>
      </c>
      <c r="C3127">
        <v>0</v>
      </c>
      <c r="D3127" t="s">
        <v>7</v>
      </c>
      <c r="E3127" s="2" t="s">
        <v>12</v>
      </c>
      <c r="F3127">
        <f t="shared" si="48"/>
        <v>0</v>
      </c>
      <c r="G3127" t="s">
        <v>16</v>
      </c>
      <c r="J3127" t="str">
        <f>"04/22/1994 23:00"</f>
        <v>04/22/1994 23:00</v>
      </c>
    </row>
    <row r="3128" spans="1:10" x14ac:dyDescent="0.3">
      <c r="A3128" t="s">
        <v>6</v>
      </c>
      <c r="B3128" t="str">
        <f>"04/23/1994 00:00"</f>
        <v>04/23/1994 00:00</v>
      </c>
      <c r="C3128">
        <v>0</v>
      </c>
      <c r="D3128" t="s">
        <v>7</v>
      </c>
      <c r="E3128" s="2" t="s">
        <v>12</v>
      </c>
      <c r="F3128">
        <f t="shared" si="48"/>
        <v>0</v>
      </c>
      <c r="G3128" t="s">
        <v>16</v>
      </c>
      <c r="J3128" t="str">
        <f>"04/23/1994 23:00"</f>
        <v>04/23/1994 23:00</v>
      </c>
    </row>
    <row r="3129" spans="1:10" x14ac:dyDescent="0.3">
      <c r="A3129" t="s">
        <v>6</v>
      </c>
      <c r="B3129" t="str">
        <f>"04/24/1994 00:00"</f>
        <v>04/24/1994 00:00</v>
      </c>
      <c r="C3129">
        <v>24.7</v>
      </c>
      <c r="D3129" t="s">
        <v>7</v>
      </c>
      <c r="E3129" s="2" t="s">
        <v>12</v>
      </c>
      <c r="F3129">
        <f t="shared" si="48"/>
        <v>48.9801</v>
      </c>
      <c r="G3129" t="s">
        <v>16</v>
      </c>
      <c r="J3129" t="str">
        <f>"04/24/1994 23:00"</f>
        <v>04/24/1994 23:00</v>
      </c>
    </row>
    <row r="3130" spans="1:10" x14ac:dyDescent="0.3">
      <c r="A3130" t="s">
        <v>6</v>
      </c>
      <c r="B3130" t="str">
        <f>"04/25/1994 00:00"</f>
        <v>04/25/1994 00:00</v>
      </c>
      <c r="C3130">
        <v>0</v>
      </c>
      <c r="D3130" t="s">
        <v>7</v>
      </c>
      <c r="E3130" s="2" t="s">
        <v>12</v>
      </c>
      <c r="F3130">
        <f t="shared" si="48"/>
        <v>0</v>
      </c>
      <c r="G3130" t="s">
        <v>16</v>
      </c>
      <c r="J3130" t="str">
        <f>"04/25/1994 23:00"</f>
        <v>04/25/1994 23:00</v>
      </c>
    </row>
    <row r="3131" spans="1:10" x14ac:dyDescent="0.3">
      <c r="A3131" t="s">
        <v>6</v>
      </c>
      <c r="B3131" t="str">
        <f>"04/26/1994 00:00"</f>
        <v>04/26/1994 00:00</v>
      </c>
      <c r="C3131">
        <v>0</v>
      </c>
      <c r="D3131" t="s">
        <v>7</v>
      </c>
      <c r="E3131" s="2" t="s">
        <v>12</v>
      </c>
      <c r="F3131">
        <f t="shared" si="48"/>
        <v>0</v>
      </c>
      <c r="G3131" t="s">
        <v>16</v>
      </c>
      <c r="J3131" t="str">
        <f>"04/26/1994 23:00"</f>
        <v>04/26/1994 23:00</v>
      </c>
    </row>
    <row r="3132" spans="1:10" x14ac:dyDescent="0.3">
      <c r="A3132" t="s">
        <v>6</v>
      </c>
      <c r="B3132" t="str">
        <f>"04/27/1994 00:00"</f>
        <v>04/27/1994 00:00</v>
      </c>
      <c r="C3132">
        <v>0</v>
      </c>
      <c r="D3132" t="s">
        <v>7</v>
      </c>
      <c r="E3132" s="2" t="s">
        <v>12</v>
      </c>
      <c r="F3132">
        <f t="shared" si="48"/>
        <v>0</v>
      </c>
      <c r="G3132" t="s">
        <v>16</v>
      </c>
      <c r="J3132" t="str">
        <f>"04/27/1994 23:00"</f>
        <v>04/27/1994 23:00</v>
      </c>
    </row>
    <row r="3133" spans="1:10" x14ac:dyDescent="0.3">
      <c r="A3133" t="s">
        <v>6</v>
      </c>
      <c r="B3133" t="str">
        <f>"04/28/1994 00:00"</f>
        <v>04/28/1994 00:00</v>
      </c>
      <c r="C3133">
        <v>4.96</v>
      </c>
      <c r="D3133" t="s">
        <v>7</v>
      </c>
      <c r="E3133" s="2" t="s">
        <v>12</v>
      </c>
      <c r="F3133">
        <f t="shared" si="48"/>
        <v>9.83568</v>
      </c>
      <c r="G3133" t="s">
        <v>16</v>
      </c>
      <c r="J3133" t="str">
        <f>"04/28/1994 23:00"</f>
        <v>04/28/1994 23:00</v>
      </c>
    </row>
    <row r="3134" spans="1:10" x14ac:dyDescent="0.3">
      <c r="A3134" t="s">
        <v>6</v>
      </c>
      <c r="B3134" t="str">
        <f>"04/29/1994 00:00"</f>
        <v>04/29/1994 00:00</v>
      </c>
      <c r="C3134">
        <v>19.7</v>
      </c>
      <c r="D3134" t="s">
        <v>7</v>
      </c>
      <c r="E3134" s="2" t="s">
        <v>12</v>
      </c>
      <c r="F3134">
        <f t="shared" si="48"/>
        <v>39.065100000000001</v>
      </c>
      <c r="G3134" t="s">
        <v>16</v>
      </c>
      <c r="J3134" t="str">
        <f>"04/29/1994 23:00"</f>
        <v>04/29/1994 23:00</v>
      </c>
    </row>
    <row r="3135" spans="1:10" x14ac:dyDescent="0.3">
      <c r="A3135" t="s">
        <v>6</v>
      </c>
      <c r="B3135" t="str">
        <f>"04/30/1994 00:00"</f>
        <v>04/30/1994 00:00</v>
      </c>
      <c r="C3135">
        <v>51</v>
      </c>
      <c r="D3135" t="s">
        <v>7</v>
      </c>
      <c r="E3135" s="2" t="s">
        <v>12</v>
      </c>
      <c r="F3135">
        <f t="shared" si="48"/>
        <v>101.13300000000001</v>
      </c>
      <c r="G3135" t="s">
        <v>16</v>
      </c>
      <c r="J3135" t="str">
        <f>"04/30/1994 23:00"</f>
        <v>04/30/1994 23:00</v>
      </c>
    </row>
    <row r="3136" spans="1:10" x14ac:dyDescent="0.3">
      <c r="A3136" t="s">
        <v>6</v>
      </c>
      <c r="B3136" t="str">
        <f>"05/01/1994 00:00"</f>
        <v>05/01/1994 00:00</v>
      </c>
      <c r="C3136">
        <v>21.9</v>
      </c>
      <c r="D3136" t="s">
        <v>7</v>
      </c>
      <c r="E3136" s="2" t="s">
        <v>12</v>
      </c>
      <c r="F3136">
        <f t="shared" si="48"/>
        <v>43.427700000000002</v>
      </c>
      <c r="G3136" t="s">
        <v>16</v>
      </c>
      <c r="J3136" t="str">
        <f>"05/01/1994 23:00"</f>
        <v>05/01/1994 23:00</v>
      </c>
    </row>
    <row r="3137" spans="1:10" x14ac:dyDescent="0.3">
      <c r="A3137" t="s">
        <v>6</v>
      </c>
      <c r="B3137" t="str">
        <f>"05/02/1994 00:00"</f>
        <v>05/02/1994 00:00</v>
      </c>
      <c r="C3137">
        <v>0</v>
      </c>
      <c r="D3137" t="s">
        <v>7</v>
      </c>
      <c r="E3137" s="2" t="s">
        <v>12</v>
      </c>
      <c r="F3137">
        <f t="shared" si="48"/>
        <v>0</v>
      </c>
      <c r="G3137" t="s">
        <v>16</v>
      </c>
      <c r="I3137" t="s">
        <v>35</v>
      </c>
      <c r="J3137" t="str">
        <f>"05/02/1994 23:00"</f>
        <v>05/02/1994 23:00</v>
      </c>
    </row>
    <row r="3138" spans="1:10" x14ac:dyDescent="0.3">
      <c r="A3138" t="s">
        <v>6</v>
      </c>
      <c r="B3138" t="str">
        <f>"05/03/1994 00:00"</f>
        <v>05/03/1994 00:00</v>
      </c>
      <c r="C3138">
        <v>0</v>
      </c>
      <c r="D3138" t="s">
        <v>7</v>
      </c>
      <c r="E3138" s="2" t="s">
        <v>12</v>
      </c>
      <c r="F3138">
        <f t="shared" si="48"/>
        <v>0</v>
      </c>
      <c r="G3138" t="s">
        <v>16</v>
      </c>
      <c r="I3138" t="s">
        <v>35</v>
      </c>
      <c r="J3138" t="str">
        <f>"05/03/1994 23:00"</f>
        <v>05/03/1994 23:00</v>
      </c>
    </row>
    <row r="3139" spans="1:10" x14ac:dyDescent="0.3">
      <c r="A3139" t="s">
        <v>6</v>
      </c>
      <c r="B3139" t="str">
        <f>"05/04/1994 00:00"</f>
        <v>05/04/1994 00:00</v>
      </c>
      <c r="C3139">
        <v>0</v>
      </c>
      <c r="D3139" t="s">
        <v>7</v>
      </c>
      <c r="E3139" s="2" t="s">
        <v>12</v>
      </c>
      <c r="F3139">
        <f t="shared" ref="F3139:F3202" si="49">C3139*1.983</f>
        <v>0</v>
      </c>
      <c r="G3139" t="s">
        <v>16</v>
      </c>
      <c r="I3139" t="s">
        <v>35</v>
      </c>
      <c r="J3139" t="str">
        <f>"05/04/1994 23:00"</f>
        <v>05/04/1994 23:00</v>
      </c>
    </row>
    <row r="3140" spans="1:10" x14ac:dyDescent="0.3">
      <c r="A3140" t="s">
        <v>6</v>
      </c>
      <c r="B3140" t="str">
        <f>"05/05/1994 00:00"</f>
        <v>05/05/1994 00:00</v>
      </c>
      <c r="D3140" t="s">
        <v>7</v>
      </c>
      <c r="E3140" s="2" t="s">
        <v>12</v>
      </c>
      <c r="F3140">
        <f t="shared" si="49"/>
        <v>0</v>
      </c>
      <c r="G3140" t="s">
        <v>16</v>
      </c>
    </row>
    <row r="3141" spans="1:10" x14ac:dyDescent="0.3">
      <c r="A3141" t="s">
        <v>6</v>
      </c>
      <c r="B3141" t="str">
        <f>"05/06/1994 00:00"</f>
        <v>05/06/1994 00:00</v>
      </c>
      <c r="C3141">
        <v>18.5</v>
      </c>
      <c r="D3141" t="s">
        <v>7</v>
      </c>
      <c r="E3141" s="2" t="s">
        <v>12</v>
      </c>
      <c r="F3141">
        <f t="shared" si="49"/>
        <v>36.685500000000005</v>
      </c>
      <c r="G3141" t="s">
        <v>16</v>
      </c>
      <c r="I3141" t="s">
        <v>8</v>
      </c>
      <c r="J3141" t="str">
        <f>"05/06/1994 23:00"</f>
        <v>05/06/1994 23:00</v>
      </c>
    </row>
    <row r="3142" spans="1:10" x14ac:dyDescent="0.3">
      <c r="A3142" t="s">
        <v>6</v>
      </c>
      <c r="B3142" t="str">
        <f>"05/07/1994 00:00"</f>
        <v>05/07/1994 00:00</v>
      </c>
      <c r="C3142">
        <v>0</v>
      </c>
      <c r="D3142" t="s">
        <v>7</v>
      </c>
      <c r="E3142" s="2" t="s">
        <v>12</v>
      </c>
      <c r="F3142">
        <f t="shared" si="49"/>
        <v>0</v>
      </c>
      <c r="G3142" t="s">
        <v>16</v>
      </c>
      <c r="J3142" t="str">
        <f>"05/07/1994 23:00"</f>
        <v>05/07/1994 23:00</v>
      </c>
    </row>
    <row r="3143" spans="1:10" x14ac:dyDescent="0.3">
      <c r="A3143" t="s">
        <v>6</v>
      </c>
      <c r="B3143" t="str">
        <f>"05/08/1994 00:00"</f>
        <v>05/08/1994 00:00</v>
      </c>
      <c r="C3143">
        <v>5.13</v>
      </c>
      <c r="D3143" t="s">
        <v>7</v>
      </c>
      <c r="E3143" s="2" t="s">
        <v>12</v>
      </c>
      <c r="F3143">
        <f t="shared" si="49"/>
        <v>10.172790000000001</v>
      </c>
      <c r="G3143" t="s">
        <v>16</v>
      </c>
      <c r="J3143" t="str">
        <f>"05/08/1994 23:00"</f>
        <v>05/08/1994 23:00</v>
      </c>
    </row>
    <row r="3144" spans="1:10" x14ac:dyDescent="0.3">
      <c r="A3144" t="s">
        <v>6</v>
      </c>
      <c r="B3144" t="str">
        <f>"05/09/1994 00:00"</f>
        <v>05/09/1994 00:00</v>
      </c>
      <c r="C3144">
        <v>102</v>
      </c>
      <c r="D3144" t="s">
        <v>7</v>
      </c>
      <c r="E3144" s="2" t="s">
        <v>12</v>
      </c>
      <c r="F3144">
        <f t="shared" si="49"/>
        <v>202.26600000000002</v>
      </c>
      <c r="G3144" t="s">
        <v>16</v>
      </c>
      <c r="J3144" t="str">
        <f>"05/09/1994 23:00"</f>
        <v>05/09/1994 23:00</v>
      </c>
    </row>
    <row r="3145" spans="1:10" x14ac:dyDescent="0.3">
      <c r="A3145" t="s">
        <v>6</v>
      </c>
      <c r="B3145" t="str">
        <f>"05/10/1994 00:00"</f>
        <v>05/10/1994 00:00</v>
      </c>
      <c r="C3145">
        <v>0</v>
      </c>
      <c r="D3145" t="s">
        <v>7</v>
      </c>
      <c r="E3145" s="2" t="s">
        <v>12</v>
      </c>
      <c r="F3145">
        <f t="shared" si="49"/>
        <v>0</v>
      </c>
      <c r="G3145" t="s">
        <v>16</v>
      </c>
      <c r="J3145" t="str">
        <f>"05/10/1994 23:00"</f>
        <v>05/10/1994 23:00</v>
      </c>
    </row>
    <row r="3146" spans="1:10" x14ac:dyDescent="0.3">
      <c r="A3146" t="s">
        <v>6</v>
      </c>
      <c r="B3146" t="str">
        <f>"05/11/1994 00:00"</f>
        <v>05/11/1994 00:00</v>
      </c>
      <c r="C3146">
        <v>71.5</v>
      </c>
      <c r="D3146" t="s">
        <v>7</v>
      </c>
      <c r="E3146" s="2" t="s">
        <v>12</v>
      </c>
      <c r="F3146">
        <f t="shared" si="49"/>
        <v>141.78450000000001</v>
      </c>
      <c r="G3146" t="s">
        <v>16</v>
      </c>
      <c r="J3146" t="str">
        <f>"05/11/1994 23:00"</f>
        <v>05/11/1994 23:00</v>
      </c>
    </row>
    <row r="3147" spans="1:10" x14ac:dyDescent="0.3">
      <c r="A3147" t="s">
        <v>6</v>
      </c>
      <c r="B3147" t="str">
        <f>"05/12/1994 00:00"</f>
        <v>05/12/1994 00:00</v>
      </c>
      <c r="C3147">
        <v>83.3</v>
      </c>
      <c r="D3147" t="s">
        <v>7</v>
      </c>
      <c r="E3147" s="2" t="s">
        <v>12</v>
      </c>
      <c r="F3147">
        <f t="shared" si="49"/>
        <v>165.18389999999999</v>
      </c>
      <c r="G3147" t="s">
        <v>16</v>
      </c>
      <c r="J3147" t="str">
        <f>"05/12/1994 23:00"</f>
        <v>05/12/1994 23:00</v>
      </c>
    </row>
    <row r="3148" spans="1:10" x14ac:dyDescent="0.3">
      <c r="A3148" t="s">
        <v>6</v>
      </c>
      <c r="B3148" t="str">
        <f>"05/13/1994 00:00"</f>
        <v>05/13/1994 00:00</v>
      </c>
      <c r="C3148">
        <v>125</v>
      </c>
      <c r="D3148" t="s">
        <v>7</v>
      </c>
      <c r="E3148" s="2" t="s">
        <v>12</v>
      </c>
      <c r="F3148">
        <f t="shared" si="49"/>
        <v>247.875</v>
      </c>
      <c r="G3148" t="s">
        <v>16</v>
      </c>
      <c r="J3148" t="str">
        <f>"05/13/1994 23:00"</f>
        <v>05/13/1994 23:00</v>
      </c>
    </row>
    <row r="3149" spans="1:10" x14ac:dyDescent="0.3">
      <c r="A3149" t="s">
        <v>6</v>
      </c>
      <c r="B3149" t="str">
        <f>"05/14/1994 00:00"</f>
        <v>05/14/1994 00:00</v>
      </c>
      <c r="C3149">
        <v>109</v>
      </c>
      <c r="D3149" t="s">
        <v>7</v>
      </c>
      <c r="E3149" s="2" t="s">
        <v>12</v>
      </c>
      <c r="F3149">
        <f t="shared" si="49"/>
        <v>216.14700000000002</v>
      </c>
      <c r="G3149" t="s">
        <v>16</v>
      </c>
      <c r="J3149" t="str">
        <f>"05/14/1994 23:00"</f>
        <v>05/14/1994 23:00</v>
      </c>
    </row>
    <row r="3150" spans="1:10" x14ac:dyDescent="0.3">
      <c r="A3150" t="s">
        <v>6</v>
      </c>
      <c r="B3150" t="str">
        <f>"05/15/1994 00:00"</f>
        <v>05/15/1994 00:00</v>
      </c>
      <c r="C3150">
        <v>77.7</v>
      </c>
      <c r="D3150" t="s">
        <v>7</v>
      </c>
      <c r="E3150" s="2" t="s">
        <v>12</v>
      </c>
      <c r="F3150">
        <f t="shared" si="49"/>
        <v>154.07910000000001</v>
      </c>
      <c r="G3150" t="s">
        <v>16</v>
      </c>
      <c r="J3150" t="str">
        <f>"05/15/1994 18:00"</f>
        <v>05/15/1994 18:00</v>
      </c>
    </row>
    <row r="3151" spans="1:10" x14ac:dyDescent="0.3">
      <c r="A3151" t="s">
        <v>6</v>
      </c>
      <c r="B3151" t="str">
        <f>"05/16/1994 00:00"</f>
        <v>05/16/1994 00:00</v>
      </c>
      <c r="C3151">
        <v>0</v>
      </c>
      <c r="D3151" t="s">
        <v>7</v>
      </c>
      <c r="E3151" s="2" t="s">
        <v>12</v>
      </c>
      <c r="F3151">
        <f t="shared" si="49"/>
        <v>0</v>
      </c>
      <c r="G3151" t="s">
        <v>16</v>
      </c>
      <c r="J3151" t="str">
        <f>"05/16/1994 22:00"</f>
        <v>05/16/1994 22:00</v>
      </c>
    </row>
    <row r="3152" spans="1:10" x14ac:dyDescent="0.3">
      <c r="A3152" t="s">
        <v>6</v>
      </c>
      <c r="B3152" t="str">
        <f>"05/17/1994 00:00"</f>
        <v>05/17/1994 00:00</v>
      </c>
      <c r="D3152" t="s">
        <v>7</v>
      </c>
      <c r="E3152" s="2" t="s">
        <v>12</v>
      </c>
      <c r="F3152">
        <f t="shared" si="49"/>
        <v>0</v>
      </c>
      <c r="G3152" t="s">
        <v>16</v>
      </c>
    </row>
    <row r="3153" spans="1:10" x14ac:dyDescent="0.3">
      <c r="A3153" t="s">
        <v>6</v>
      </c>
      <c r="B3153" t="str">
        <f>"05/18/1994 00:00"</f>
        <v>05/18/1994 00:00</v>
      </c>
      <c r="C3153">
        <v>0</v>
      </c>
      <c r="D3153" t="s">
        <v>7</v>
      </c>
      <c r="E3153" s="2" t="s">
        <v>12</v>
      </c>
      <c r="F3153">
        <f t="shared" si="49"/>
        <v>0</v>
      </c>
      <c r="G3153" t="s">
        <v>16</v>
      </c>
      <c r="J3153" t="str">
        <f>"05/18/1994 23:00"</f>
        <v>05/18/1994 23:00</v>
      </c>
    </row>
    <row r="3154" spans="1:10" x14ac:dyDescent="0.3">
      <c r="A3154" t="s">
        <v>6</v>
      </c>
      <c r="B3154" t="str">
        <f>"05/19/1994 00:00"</f>
        <v>05/19/1994 00:00</v>
      </c>
      <c r="C3154">
        <v>0</v>
      </c>
      <c r="D3154" t="s">
        <v>7</v>
      </c>
      <c r="E3154" s="2" t="s">
        <v>12</v>
      </c>
      <c r="F3154">
        <f t="shared" si="49"/>
        <v>0</v>
      </c>
      <c r="G3154" t="s">
        <v>16</v>
      </c>
      <c r="J3154" t="str">
        <f>"05/19/1994 06:00"</f>
        <v>05/19/1994 06:00</v>
      </c>
    </row>
    <row r="3155" spans="1:10" x14ac:dyDescent="0.3">
      <c r="A3155" t="s">
        <v>6</v>
      </c>
      <c r="B3155" t="str">
        <f>"05/20/1994 00:00"</f>
        <v>05/20/1994 00:00</v>
      </c>
      <c r="D3155" t="s">
        <v>7</v>
      </c>
      <c r="E3155" s="2" t="s">
        <v>12</v>
      </c>
      <c r="F3155">
        <f t="shared" si="49"/>
        <v>0</v>
      </c>
      <c r="G3155" t="s">
        <v>16</v>
      </c>
    </row>
    <row r="3156" spans="1:10" x14ac:dyDescent="0.3">
      <c r="A3156" t="s">
        <v>6</v>
      </c>
      <c r="B3156" t="str">
        <f>"05/21/1994 00:00"</f>
        <v>05/21/1994 00:00</v>
      </c>
      <c r="D3156" t="s">
        <v>7</v>
      </c>
      <c r="E3156" s="2" t="s">
        <v>12</v>
      </c>
      <c r="F3156">
        <f t="shared" si="49"/>
        <v>0</v>
      </c>
      <c r="G3156" t="s">
        <v>16</v>
      </c>
    </row>
    <row r="3157" spans="1:10" x14ac:dyDescent="0.3">
      <c r="A3157" t="s">
        <v>6</v>
      </c>
      <c r="B3157" t="str">
        <f>"05/22/1994 00:00"</f>
        <v>05/22/1994 00:00</v>
      </c>
      <c r="D3157" t="s">
        <v>7</v>
      </c>
      <c r="E3157" s="2" t="s">
        <v>12</v>
      </c>
      <c r="F3157">
        <f t="shared" si="49"/>
        <v>0</v>
      </c>
      <c r="G3157" t="s">
        <v>16</v>
      </c>
    </row>
    <row r="3158" spans="1:10" x14ac:dyDescent="0.3">
      <c r="A3158" t="s">
        <v>6</v>
      </c>
      <c r="B3158" t="str">
        <f>"05/23/1994 00:00"</f>
        <v>05/23/1994 00:00</v>
      </c>
      <c r="D3158" t="s">
        <v>7</v>
      </c>
      <c r="E3158" s="2" t="s">
        <v>12</v>
      </c>
      <c r="F3158">
        <f t="shared" si="49"/>
        <v>0</v>
      </c>
      <c r="G3158" t="s">
        <v>16</v>
      </c>
    </row>
    <row r="3159" spans="1:10" x14ac:dyDescent="0.3">
      <c r="A3159" t="s">
        <v>6</v>
      </c>
      <c r="B3159" t="str">
        <f>"05/24/1994 00:00"</f>
        <v>05/24/1994 00:00</v>
      </c>
      <c r="D3159" t="s">
        <v>7</v>
      </c>
      <c r="E3159" s="2" t="s">
        <v>12</v>
      </c>
      <c r="F3159">
        <f t="shared" si="49"/>
        <v>0</v>
      </c>
      <c r="G3159" t="s">
        <v>16</v>
      </c>
    </row>
    <row r="3160" spans="1:10" x14ac:dyDescent="0.3">
      <c r="A3160" t="s">
        <v>6</v>
      </c>
      <c r="B3160" t="str">
        <f>"05/25/1994 00:00"</f>
        <v>05/25/1994 00:00</v>
      </c>
      <c r="D3160" t="s">
        <v>7</v>
      </c>
      <c r="E3160" s="2" t="s">
        <v>12</v>
      </c>
      <c r="F3160">
        <f t="shared" si="49"/>
        <v>0</v>
      </c>
      <c r="G3160" t="s">
        <v>16</v>
      </c>
    </row>
    <row r="3161" spans="1:10" x14ac:dyDescent="0.3">
      <c r="A3161" t="s">
        <v>6</v>
      </c>
      <c r="B3161" t="str">
        <f>"05/26/1994 00:00"</f>
        <v>05/26/1994 00:00</v>
      </c>
      <c r="D3161" t="s">
        <v>7</v>
      </c>
      <c r="E3161" s="2" t="s">
        <v>12</v>
      </c>
      <c r="F3161">
        <f t="shared" si="49"/>
        <v>0</v>
      </c>
      <c r="G3161" t="s">
        <v>16</v>
      </c>
    </row>
    <row r="3162" spans="1:10" x14ac:dyDescent="0.3">
      <c r="A3162" t="s">
        <v>6</v>
      </c>
      <c r="B3162" t="str">
        <f>"05/27/1994 00:00"</f>
        <v>05/27/1994 00:00</v>
      </c>
      <c r="D3162" t="s">
        <v>7</v>
      </c>
      <c r="E3162" s="2" t="s">
        <v>12</v>
      </c>
      <c r="F3162">
        <f t="shared" si="49"/>
        <v>0</v>
      </c>
      <c r="G3162" t="s">
        <v>16</v>
      </c>
    </row>
    <row r="3163" spans="1:10" x14ac:dyDescent="0.3">
      <c r="A3163" t="s">
        <v>6</v>
      </c>
      <c r="B3163" t="str">
        <f>"05/28/1994 00:00"</f>
        <v>05/28/1994 00:00</v>
      </c>
      <c r="C3163">
        <v>0</v>
      </c>
      <c r="D3163" t="s">
        <v>7</v>
      </c>
      <c r="E3163" s="2" t="s">
        <v>12</v>
      </c>
      <c r="F3163">
        <f t="shared" si="49"/>
        <v>0</v>
      </c>
      <c r="G3163" t="s">
        <v>16</v>
      </c>
      <c r="I3163" t="s">
        <v>35</v>
      </c>
      <c r="J3163" t="str">
        <f>"05/28/1994 23:00"</f>
        <v>05/28/1994 23:00</v>
      </c>
    </row>
    <row r="3164" spans="1:10" x14ac:dyDescent="0.3">
      <c r="A3164" t="s">
        <v>6</v>
      </c>
      <c r="B3164" t="str">
        <f>"05/29/1994 00:00"</f>
        <v>05/29/1994 00:00</v>
      </c>
      <c r="C3164">
        <v>0</v>
      </c>
      <c r="D3164" t="s">
        <v>7</v>
      </c>
      <c r="E3164" s="2" t="s">
        <v>12</v>
      </c>
      <c r="F3164">
        <f t="shared" si="49"/>
        <v>0</v>
      </c>
      <c r="G3164" t="s">
        <v>16</v>
      </c>
      <c r="I3164" t="s">
        <v>35</v>
      </c>
      <c r="J3164" t="str">
        <f>"05/29/1994 14:00"</f>
        <v>05/29/1994 14:00</v>
      </c>
    </row>
    <row r="3165" spans="1:10" x14ac:dyDescent="0.3">
      <c r="A3165" t="s">
        <v>6</v>
      </c>
      <c r="B3165" t="str">
        <f>"05/30/1994 00:00"</f>
        <v>05/30/1994 00:00</v>
      </c>
      <c r="C3165">
        <v>0</v>
      </c>
      <c r="D3165" t="s">
        <v>7</v>
      </c>
      <c r="E3165" s="2" t="s">
        <v>12</v>
      </c>
      <c r="F3165">
        <f t="shared" si="49"/>
        <v>0</v>
      </c>
      <c r="G3165" t="s">
        <v>16</v>
      </c>
      <c r="I3165" t="s">
        <v>35</v>
      </c>
      <c r="J3165" t="str">
        <f>"05/30/1994 14:00"</f>
        <v>05/30/1994 14:00</v>
      </c>
    </row>
    <row r="3166" spans="1:10" x14ac:dyDescent="0.3">
      <c r="A3166" t="s">
        <v>6</v>
      </c>
      <c r="B3166" t="str">
        <f>"05/31/1994 00:00"</f>
        <v>05/31/1994 00:00</v>
      </c>
      <c r="C3166">
        <v>0</v>
      </c>
      <c r="D3166" t="s">
        <v>7</v>
      </c>
      <c r="E3166" s="2" t="s">
        <v>12</v>
      </c>
      <c r="F3166">
        <f t="shared" si="49"/>
        <v>0</v>
      </c>
      <c r="G3166" t="s">
        <v>16</v>
      </c>
      <c r="J3166" t="str">
        <f>"05/31/1994 23:00"</f>
        <v>05/31/1994 23:00</v>
      </c>
    </row>
    <row r="3167" spans="1:10" x14ac:dyDescent="0.3">
      <c r="A3167" t="s">
        <v>6</v>
      </c>
      <c r="B3167" t="str">
        <f>"06/01/1994 00:00"</f>
        <v>06/01/1994 00:00</v>
      </c>
      <c r="C3167">
        <v>0</v>
      </c>
      <c r="D3167" t="s">
        <v>7</v>
      </c>
      <c r="E3167" s="2" t="s">
        <v>12</v>
      </c>
      <c r="F3167">
        <f t="shared" si="49"/>
        <v>0</v>
      </c>
      <c r="G3167" t="s">
        <v>16</v>
      </c>
      <c r="J3167" t="str">
        <f>"06/01/1994 23:00"</f>
        <v>06/01/1994 23:00</v>
      </c>
    </row>
    <row r="3168" spans="1:10" x14ac:dyDescent="0.3">
      <c r="A3168" t="s">
        <v>6</v>
      </c>
      <c r="B3168" t="str">
        <f>"06/02/1994 00:00"</f>
        <v>06/02/1994 00:00</v>
      </c>
      <c r="C3168">
        <v>9.94</v>
      </c>
      <c r="D3168" t="s">
        <v>7</v>
      </c>
      <c r="E3168" s="2" t="s">
        <v>12</v>
      </c>
      <c r="F3168">
        <f t="shared" si="49"/>
        <v>19.711020000000001</v>
      </c>
      <c r="G3168" t="s">
        <v>16</v>
      </c>
      <c r="J3168" t="str">
        <f>"06/02/1994 23:00"</f>
        <v>06/02/1994 23:00</v>
      </c>
    </row>
    <row r="3169" spans="1:10" x14ac:dyDescent="0.3">
      <c r="A3169" t="s">
        <v>6</v>
      </c>
      <c r="B3169" t="str">
        <f>"06/03/1994 00:00"</f>
        <v>06/03/1994 00:00</v>
      </c>
      <c r="C3169">
        <v>0</v>
      </c>
      <c r="D3169" t="s">
        <v>7</v>
      </c>
      <c r="E3169" s="2" t="s">
        <v>12</v>
      </c>
      <c r="F3169">
        <f t="shared" si="49"/>
        <v>0</v>
      </c>
      <c r="G3169" t="s">
        <v>16</v>
      </c>
      <c r="I3169" t="s">
        <v>8</v>
      </c>
      <c r="J3169" t="str">
        <f>"06/03/1994 23:00"</f>
        <v>06/03/1994 23:00</v>
      </c>
    </row>
    <row r="3170" spans="1:10" x14ac:dyDescent="0.3">
      <c r="A3170" t="s">
        <v>6</v>
      </c>
      <c r="B3170" t="str">
        <f>"06/04/1994 00:00"</f>
        <v>06/04/1994 00:00</v>
      </c>
      <c r="C3170">
        <v>0</v>
      </c>
      <c r="D3170" t="s">
        <v>7</v>
      </c>
      <c r="E3170" s="2" t="s">
        <v>12</v>
      </c>
      <c r="F3170">
        <f t="shared" si="49"/>
        <v>0</v>
      </c>
      <c r="G3170" t="s">
        <v>16</v>
      </c>
      <c r="I3170" t="s">
        <v>8</v>
      </c>
      <c r="J3170" t="str">
        <f>"06/04/1994 23:00"</f>
        <v>06/04/1994 23:00</v>
      </c>
    </row>
    <row r="3171" spans="1:10" x14ac:dyDescent="0.3">
      <c r="A3171" t="s">
        <v>6</v>
      </c>
      <c r="B3171" t="str">
        <f>"06/05/1994 00:00"</f>
        <v>06/05/1994 00:00</v>
      </c>
      <c r="C3171">
        <v>0</v>
      </c>
      <c r="D3171" t="s">
        <v>7</v>
      </c>
      <c r="E3171" s="2" t="s">
        <v>12</v>
      </c>
      <c r="F3171">
        <f t="shared" si="49"/>
        <v>0</v>
      </c>
      <c r="G3171" t="s">
        <v>16</v>
      </c>
      <c r="I3171" t="s">
        <v>35</v>
      </c>
      <c r="J3171" t="str">
        <f>"06/05/1994 23:00"</f>
        <v>06/05/1994 23:00</v>
      </c>
    </row>
    <row r="3172" spans="1:10" x14ac:dyDescent="0.3">
      <c r="A3172" t="s">
        <v>6</v>
      </c>
      <c r="B3172" t="str">
        <f>"06/06/1994 00:00"</f>
        <v>06/06/1994 00:00</v>
      </c>
      <c r="C3172">
        <v>39.299999999999997</v>
      </c>
      <c r="D3172" t="s">
        <v>7</v>
      </c>
      <c r="E3172" s="2" t="s">
        <v>12</v>
      </c>
      <c r="F3172">
        <f t="shared" si="49"/>
        <v>77.931899999999999</v>
      </c>
      <c r="G3172" t="s">
        <v>16</v>
      </c>
      <c r="I3172" t="s">
        <v>8</v>
      </c>
      <c r="J3172" t="str">
        <f>"06/06/1994 23:00"</f>
        <v>06/06/1994 23:00</v>
      </c>
    </row>
    <row r="3173" spans="1:10" x14ac:dyDescent="0.3">
      <c r="A3173" t="s">
        <v>6</v>
      </c>
      <c r="B3173" t="str">
        <f>"06/07/1994 00:00"</f>
        <v>06/07/1994 00:00</v>
      </c>
      <c r="C3173">
        <v>96.8</v>
      </c>
      <c r="D3173" t="s">
        <v>7</v>
      </c>
      <c r="E3173" s="2" t="s">
        <v>12</v>
      </c>
      <c r="F3173">
        <f t="shared" si="49"/>
        <v>191.95439999999999</v>
      </c>
      <c r="G3173" t="s">
        <v>16</v>
      </c>
      <c r="J3173" t="str">
        <f>"06/07/1994 23:00"</f>
        <v>06/07/1994 23:00</v>
      </c>
    </row>
    <row r="3174" spans="1:10" x14ac:dyDescent="0.3">
      <c r="A3174" t="s">
        <v>6</v>
      </c>
      <c r="B3174" t="str">
        <f>"06/08/1994 00:00"</f>
        <v>06/08/1994 00:00</v>
      </c>
      <c r="C3174">
        <v>155</v>
      </c>
      <c r="D3174" t="s">
        <v>7</v>
      </c>
      <c r="E3174" s="2" t="s">
        <v>12</v>
      </c>
      <c r="F3174">
        <f t="shared" si="49"/>
        <v>307.36500000000001</v>
      </c>
      <c r="G3174" t="s">
        <v>16</v>
      </c>
      <c r="J3174" t="str">
        <f>"06/08/1994 23:00"</f>
        <v>06/08/1994 23:00</v>
      </c>
    </row>
    <row r="3175" spans="1:10" x14ac:dyDescent="0.3">
      <c r="A3175" t="s">
        <v>6</v>
      </c>
      <c r="B3175" t="str">
        <f>"06/09/1994 00:00"</f>
        <v>06/09/1994 00:00</v>
      </c>
      <c r="C3175">
        <v>220</v>
      </c>
      <c r="D3175" t="s">
        <v>7</v>
      </c>
      <c r="E3175" s="2" t="s">
        <v>12</v>
      </c>
      <c r="F3175">
        <f t="shared" si="49"/>
        <v>436.26000000000005</v>
      </c>
      <c r="G3175" t="s">
        <v>16</v>
      </c>
      <c r="J3175" t="str">
        <f>"06/09/1994 23:00"</f>
        <v>06/09/1994 23:00</v>
      </c>
    </row>
    <row r="3176" spans="1:10" x14ac:dyDescent="0.3">
      <c r="A3176" t="s">
        <v>6</v>
      </c>
      <c r="B3176" t="str">
        <f>"06/10/1994 00:00"</f>
        <v>06/10/1994 00:00</v>
      </c>
      <c r="C3176">
        <v>231</v>
      </c>
      <c r="D3176" t="s">
        <v>7</v>
      </c>
      <c r="E3176" s="2" t="s">
        <v>12</v>
      </c>
      <c r="F3176">
        <f t="shared" si="49"/>
        <v>458.07300000000004</v>
      </c>
      <c r="G3176" t="s">
        <v>16</v>
      </c>
      <c r="I3176" t="s">
        <v>8</v>
      </c>
      <c r="J3176" t="str">
        <f>"06/10/1994 23:00"</f>
        <v>06/10/1994 23:00</v>
      </c>
    </row>
    <row r="3177" spans="1:10" x14ac:dyDescent="0.3">
      <c r="A3177" t="s">
        <v>6</v>
      </c>
      <c r="B3177" t="str">
        <f>"06/11/1994 00:00"</f>
        <v>06/11/1994 00:00</v>
      </c>
      <c r="C3177">
        <v>223</v>
      </c>
      <c r="D3177" t="s">
        <v>7</v>
      </c>
      <c r="E3177" s="2" t="s">
        <v>12</v>
      </c>
      <c r="F3177">
        <f t="shared" si="49"/>
        <v>442.209</v>
      </c>
      <c r="G3177" t="s">
        <v>16</v>
      </c>
      <c r="J3177" t="str">
        <f>"06/11/1994 23:00"</f>
        <v>06/11/1994 23:00</v>
      </c>
    </row>
    <row r="3178" spans="1:10" x14ac:dyDescent="0.3">
      <c r="A3178" t="s">
        <v>6</v>
      </c>
      <c r="B3178" t="str">
        <f>"06/12/1994 00:00"</f>
        <v>06/12/1994 00:00</v>
      </c>
      <c r="C3178">
        <v>229</v>
      </c>
      <c r="D3178" t="s">
        <v>7</v>
      </c>
      <c r="E3178" s="2" t="s">
        <v>12</v>
      </c>
      <c r="F3178">
        <f t="shared" si="49"/>
        <v>454.10700000000003</v>
      </c>
      <c r="G3178" t="s">
        <v>16</v>
      </c>
      <c r="J3178" t="str">
        <f>"06/12/1994 23:00"</f>
        <v>06/12/1994 23:00</v>
      </c>
    </row>
    <row r="3179" spans="1:10" x14ac:dyDescent="0.3">
      <c r="A3179" t="s">
        <v>6</v>
      </c>
      <c r="B3179" t="str">
        <f>"06/13/1994 00:00"</f>
        <v>06/13/1994 00:00</v>
      </c>
      <c r="C3179">
        <v>218</v>
      </c>
      <c r="D3179" t="s">
        <v>7</v>
      </c>
      <c r="E3179" s="2" t="s">
        <v>12</v>
      </c>
      <c r="F3179">
        <f t="shared" si="49"/>
        <v>432.29400000000004</v>
      </c>
      <c r="G3179" t="s">
        <v>16</v>
      </c>
      <c r="I3179" t="s">
        <v>8</v>
      </c>
      <c r="J3179" t="str">
        <f>"06/13/1994 23:00"</f>
        <v>06/13/1994 23:00</v>
      </c>
    </row>
    <row r="3180" spans="1:10" x14ac:dyDescent="0.3">
      <c r="A3180" t="s">
        <v>6</v>
      </c>
      <c r="B3180" t="str">
        <f>"06/14/1994 00:00"</f>
        <v>06/14/1994 00:00</v>
      </c>
      <c r="C3180">
        <v>241</v>
      </c>
      <c r="D3180" t="s">
        <v>7</v>
      </c>
      <c r="E3180" s="2" t="s">
        <v>12</v>
      </c>
      <c r="F3180">
        <f t="shared" si="49"/>
        <v>477.90300000000002</v>
      </c>
      <c r="G3180" t="s">
        <v>16</v>
      </c>
      <c r="J3180" t="str">
        <f>"06/14/1994 23:00"</f>
        <v>06/14/1994 23:00</v>
      </c>
    </row>
    <row r="3181" spans="1:10" x14ac:dyDescent="0.3">
      <c r="A3181" t="s">
        <v>6</v>
      </c>
      <c r="B3181" t="str">
        <f>"06/15/1994 00:00"</f>
        <v>06/15/1994 00:00</v>
      </c>
      <c r="C3181">
        <v>303</v>
      </c>
      <c r="D3181" t="s">
        <v>7</v>
      </c>
      <c r="E3181" s="2" t="s">
        <v>12</v>
      </c>
      <c r="F3181">
        <f t="shared" si="49"/>
        <v>600.84900000000005</v>
      </c>
      <c r="G3181" t="s">
        <v>16</v>
      </c>
      <c r="I3181" t="s">
        <v>8</v>
      </c>
      <c r="J3181" t="str">
        <f>"06/15/1994 23:00"</f>
        <v>06/15/1994 23:00</v>
      </c>
    </row>
    <row r="3182" spans="1:10" x14ac:dyDescent="0.3">
      <c r="A3182" t="s">
        <v>6</v>
      </c>
      <c r="B3182" t="str">
        <f>"06/16/1994 00:00"</f>
        <v>06/16/1994 00:00</v>
      </c>
      <c r="C3182">
        <v>303</v>
      </c>
      <c r="D3182" t="s">
        <v>7</v>
      </c>
      <c r="E3182" s="2" t="s">
        <v>12</v>
      </c>
      <c r="F3182">
        <f t="shared" si="49"/>
        <v>600.84900000000005</v>
      </c>
      <c r="G3182" t="s">
        <v>16</v>
      </c>
      <c r="I3182" t="s">
        <v>8</v>
      </c>
      <c r="J3182" t="str">
        <f>"06/16/1994 23:00"</f>
        <v>06/16/1994 23:00</v>
      </c>
    </row>
    <row r="3183" spans="1:10" x14ac:dyDescent="0.3">
      <c r="A3183" t="s">
        <v>6</v>
      </c>
      <c r="B3183" t="str">
        <f>"06/17/1994 00:00"</f>
        <v>06/17/1994 00:00</v>
      </c>
      <c r="C3183">
        <v>302</v>
      </c>
      <c r="D3183" t="s">
        <v>7</v>
      </c>
      <c r="E3183" s="2" t="s">
        <v>12</v>
      </c>
      <c r="F3183">
        <f t="shared" si="49"/>
        <v>598.86599999999999</v>
      </c>
      <c r="G3183" t="s">
        <v>16</v>
      </c>
      <c r="J3183" t="str">
        <f>"06/17/1994 23:00"</f>
        <v>06/17/1994 23:00</v>
      </c>
    </row>
    <row r="3184" spans="1:10" x14ac:dyDescent="0.3">
      <c r="A3184" t="s">
        <v>6</v>
      </c>
      <c r="B3184" t="str">
        <f>"06/18/1994 00:00"</f>
        <v>06/18/1994 00:00</v>
      </c>
      <c r="C3184">
        <v>300</v>
      </c>
      <c r="D3184" t="s">
        <v>7</v>
      </c>
      <c r="E3184" s="2" t="s">
        <v>12</v>
      </c>
      <c r="F3184">
        <f t="shared" si="49"/>
        <v>594.9</v>
      </c>
      <c r="G3184" t="s">
        <v>16</v>
      </c>
      <c r="I3184" t="s">
        <v>8</v>
      </c>
      <c r="J3184" t="str">
        <f>"06/18/1994 23:00"</f>
        <v>06/18/1994 23:00</v>
      </c>
    </row>
    <row r="3185" spans="1:10" x14ac:dyDescent="0.3">
      <c r="A3185" t="s">
        <v>6</v>
      </c>
      <c r="B3185" t="str">
        <f>"06/19/1994 00:00"</f>
        <v>06/19/1994 00:00</v>
      </c>
      <c r="C3185">
        <v>302</v>
      </c>
      <c r="D3185" t="s">
        <v>7</v>
      </c>
      <c r="E3185" s="2" t="s">
        <v>12</v>
      </c>
      <c r="F3185">
        <f t="shared" si="49"/>
        <v>598.86599999999999</v>
      </c>
      <c r="G3185" t="s">
        <v>16</v>
      </c>
      <c r="J3185" t="str">
        <f>"06/19/1994 23:00"</f>
        <v>06/19/1994 23:00</v>
      </c>
    </row>
    <row r="3186" spans="1:10" x14ac:dyDescent="0.3">
      <c r="A3186" t="s">
        <v>6</v>
      </c>
      <c r="B3186" t="str">
        <f>"06/20/1994 00:00"</f>
        <v>06/20/1994 00:00</v>
      </c>
      <c r="C3186">
        <v>277</v>
      </c>
      <c r="D3186" t="s">
        <v>7</v>
      </c>
      <c r="E3186" s="2" t="s">
        <v>12</v>
      </c>
      <c r="F3186">
        <f t="shared" si="49"/>
        <v>549.29100000000005</v>
      </c>
      <c r="G3186" t="s">
        <v>16</v>
      </c>
      <c r="J3186" t="str">
        <f>"06/20/1994 23:00"</f>
        <v>06/20/1994 23:00</v>
      </c>
    </row>
    <row r="3187" spans="1:10" x14ac:dyDescent="0.3">
      <c r="A3187" t="s">
        <v>6</v>
      </c>
      <c r="B3187" t="str">
        <f>"06/21/1994 00:00"</f>
        <v>06/21/1994 00:00</v>
      </c>
      <c r="C3187">
        <v>228</v>
      </c>
      <c r="D3187" t="s">
        <v>7</v>
      </c>
      <c r="E3187" s="2" t="s">
        <v>12</v>
      </c>
      <c r="F3187">
        <f t="shared" si="49"/>
        <v>452.12400000000002</v>
      </c>
      <c r="G3187" t="s">
        <v>16</v>
      </c>
      <c r="J3187" t="str">
        <f>"06/21/1994 23:00"</f>
        <v>06/21/1994 23:00</v>
      </c>
    </row>
    <row r="3188" spans="1:10" x14ac:dyDescent="0.3">
      <c r="A3188" t="s">
        <v>6</v>
      </c>
      <c r="B3188" t="str">
        <f>"06/22/1994 00:00"</f>
        <v>06/22/1994 00:00</v>
      </c>
      <c r="C3188">
        <v>153</v>
      </c>
      <c r="D3188" t="s">
        <v>7</v>
      </c>
      <c r="E3188" s="2" t="s">
        <v>12</v>
      </c>
      <c r="F3188">
        <f t="shared" si="49"/>
        <v>303.399</v>
      </c>
      <c r="G3188" t="s">
        <v>16</v>
      </c>
      <c r="J3188" t="str">
        <f>"06/22/1994 23:00"</f>
        <v>06/22/1994 23:00</v>
      </c>
    </row>
    <row r="3189" spans="1:10" x14ac:dyDescent="0.3">
      <c r="A3189" t="s">
        <v>6</v>
      </c>
      <c r="B3189" t="str">
        <f>"06/23/1994 00:00"</f>
        <v>06/23/1994 00:00</v>
      </c>
      <c r="C3189">
        <v>101</v>
      </c>
      <c r="D3189" t="s">
        <v>7</v>
      </c>
      <c r="E3189" s="2" t="s">
        <v>12</v>
      </c>
      <c r="F3189">
        <f t="shared" si="49"/>
        <v>200.28300000000002</v>
      </c>
      <c r="G3189" t="s">
        <v>16</v>
      </c>
      <c r="J3189" t="str">
        <f>"06/23/1994 23:00"</f>
        <v>06/23/1994 23:00</v>
      </c>
    </row>
    <row r="3190" spans="1:10" x14ac:dyDescent="0.3">
      <c r="A3190" t="s">
        <v>6</v>
      </c>
      <c r="B3190" t="str">
        <f>"06/24/1994 00:00"</f>
        <v>06/24/1994 00:00</v>
      </c>
      <c r="C3190">
        <v>165</v>
      </c>
      <c r="D3190" t="s">
        <v>7</v>
      </c>
      <c r="E3190" s="2" t="s">
        <v>12</v>
      </c>
      <c r="F3190">
        <f t="shared" si="49"/>
        <v>327.19499999999999</v>
      </c>
      <c r="G3190" t="s">
        <v>16</v>
      </c>
      <c r="J3190" t="str">
        <f>"06/24/1994 23:00"</f>
        <v>06/24/1994 23:00</v>
      </c>
    </row>
    <row r="3191" spans="1:10" x14ac:dyDescent="0.3">
      <c r="A3191" t="s">
        <v>6</v>
      </c>
      <c r="B3191" t="str">
        <f>"06/25/1994 00:00"</f>
        <v>06/25/1994 00:00</v>
      </c>
      <c r="C3191">
        <v>222</v>
      </c>
      <c r="D3191" t="s">
        <v>7</v>
      </c>
      <c r="E3191" s="2" t="s">
        <v>12</v>
      </c>
      <c r="F3191">
        <f t="shared" si="49"/>
        <v>440.226</v>
      </c>
      <c r="G3191" t="s">
        <v>16</v>
      </c>
      <c r="J3191" t="str">
        <f>"06/25/1994 23:00"</f>
        <v>06/25/1994 23:00</v>
      </c>
    </row>
    <row r="3192" spans="1:10" x14ac:dyDescent="0.3">
      <c r="A3192" t="s">
        <v>6</v>
      </c>
      <c r="B3192" t="str">
        <f>"06/26/1994 00:00"</f>
        <v>06/26/1994 00:00</v>
      </c>
      <c r="C3192">
        <v>228</v>
      </c>
      <c r="D3192" t="s">
        <v>7</v>
      </c>
      <c r="E3192" s="2" t="s">
        <v>12</v>
      </c>
      <c r="F3192">
        <f t="shared" si="49"/>
        <v>452.12400000000002</v>
      </c>
      <c r="G3192" t="s">
        <v>16</v>
      </c>
      <c r="J3192" t="str">
        <f>"06/26/1994 23:00"</f>
        <v>06/26/1994 23:00</v>
      </c>
    </row>
    <row r="3193" spans="1:10" x14ac:dyDescent="0.3">
      <c r="A3193" t="s">
        <v>6</v>
      </c>
      <c r="B3193" t="str">
        <f>"06/27/1994 00:00"</f>
        <v>06/27/1994 00:00</v>
      </c>
      <c r="C3193">
        <v>217</v>
      </c>
      <c r="D3193" t="s">
        <v>7</v>
      </c>
      <c r="E3193" s="2" t="s">
        <v>12</v>
      </c>
      <c r="F3193">
        <f t="shared" si="49"/>
        <v>430.31100000000004</v>
      </c>
      <c r="G3193" t="s">
        <v>16</v>
      </c>
      <c r="J3193" t="str">
        <f>"06/27/1994 23:00"</f>
        <v>06/27/1994 23:00</v>
      </c>
    </row>
    <row r="3194" spans="1:10" x14ac:dyDescent="0.3">
      <c r="A3194" t="s">
        <v>6</v>
      </c>
      <c r="B3194" t="str">
        <f>"06/28/1994 00:00"</f>
        <v>06/28/1994 00:00</v>
      </c>
      <c r="C3194">
        <v>201</v>
      </c>
      <c r="D3194" t="s">
        <v>7</v>
      </c>
      <c r="E3194" s="2" t="s">
        <v>12</v>
      </c>
      <c r="F3194">
        <f t="shared" si="49"/>
        <v>398.58300000000003</v>
      </c>
      <c r="G3194" t="s">
        <v>16</v>
      </c>
      <c r="J3194" t="str">
        <f>"06/28/1994 23:00"</f>
        <v>06/28/1994 23:00</v>
      </c>
    </row>
    <row r="3195" spans="1:10" x14ac:dyDescent="0.3">
      <c r="A3195" t="s">
        <v>6</v>
      </c>
      <c r="B3195" t="str">
        <f>"06/29/1994 00:00"</f>
        <v>06/29/1994 00:00</v>
      </c>
      <c r="C3195">
        <v>177</v>
      </c>
      <c r="D3195" t="s">
        <v>7</v>
      </c>
      <c r="E3195" s="2" t="s">
        <v>12</v>
      </c>
      <c r="F3195">
        <f t="shared" si="49"/>
        <v>350.99100000000004</v>
      </c>
      <c r="G3195" t="s">
        <v>16</v>
      </c>
      <c r="I3195" t="s">
        <v>8</v>
      </c>
      <c r="J3195" t="str">
        <f>"06/29/1994 23:00"</f>
        <v>06/29/1994 23:00</v>
      </c>
    </row>
    <row r="3196" spans="1:10" x14ac:dyDescent="0.3">
      <c r="A3196" t="s">
        <v>6</v>
      </c>
      <c r="B3196" t="str">
        <f>"06/30/1994 00:00"</f>
        <v>06/30/1994 00:00</v>
      </c>
      <c r="C3196">
        <v>177</v>
      </c>
      <c r="D3196" t="s">
        <v>7</v>
      </c>
      <c r="E3196" s="2" t="s">
        <v>12</v>
      </c>
      <c r="F3196">
        <f t="shared" si="49"/>
        <v>350.99100000000004</v>
      </c>
      <c r="G3196" t="s">
        <v>16</v>
      </c>
      <c r="I3196" t="s">
        <v>35</v>
      </c>
      <c r="J3196" t="str">
        <f>"06/30/1994 23:00"</f>
        <v>06/30/1994 23:00</v>
      </c>
    </row>
    <row r="3197" spans="1:10" x14ac:dyDescent="0.3">
      <c r="A3197" t="s">
        <v>6</v>
      </c>
      <c r="B3197" t="str">
        <f>"07/01/1994 00:00"</f>
        <v>07/01/1994 00:00</v>
      </c>
      <c r="C3197">
        <v>177</v>
      </c>
      <c r="D3197" t="s">
        <v>7</v>
      </c>
      <c r="E3197" s="2" t="s">
        <v>12</v>
      </c>
      <c r="F3197">
        <f t="shared" si="49"/>
        <v>350.99100000000004</v>
      </c>
      <c r="G3197" t="s">
        <v>16</v>
      </c>
      <c r="I3197" t="s">
        <v>8</v>
      </c>
      <c r="J3197" t="str">
        <f>"07/01/1994 23:00"</f>
        <v>07/01/1994 23:00</v>
      </c>
    </row>
    <row r="3198" spans="1:10" x14ac:dyDescent="0.3">
      <c r="A3198" t="s">
        <v>6</v>
      </c>
      <c r="B3198" t="str">
        <f>"07/02/1994 00:00"</f>
        <v>07/02/1994 00:00</v>
      </c>
      <c r="C3198">
        <v>177</v>
      </c>
      <c r="D3198" t="s">
        <v>7</v>
      </c>
      <c r="E3198" s="2" t="s">
        <v>12</v>
      </c>
      <c r="F3198">
        <f t="shared" si="49"/>
        <v>350.99100000000004</v>
      </c>
      <c r="G3198" t="s">
        <v>16</v>
      </c>
      <c r="I3198" t="s">
        <v>8</v>
      </c>
      <c r="J3198" t="str">
        <f>"07/02/1994 23:00"</f>
        <v>07/02/1994 23:00</v>
      </c>
    </row>
    <row r="3199" spans="1:10" x14ac:dyDescent="0.3">
      <c r="A3199" t="s">
        <v>6</v>
      </c>
      <c r="B3199" t="str">
        <f>"07/03/1994 00:00"</f>
        <v>07/03/1994 00:00</v>
      </c>
      <c r="C3199">
        <v>161</v>
      </c>
      <c r="D3199" t="s">
        <v>7</v>
      </c>
      <c r="E3199" s="2" t="s">
        <v>12</v>
      </c>
      <c r="F3199">
        <f t="shared" si="49"/>
        <v>319.26300000000003</v>
      </c>
      <c r="G3199" t="s">
        <v>16</v>
      </c>
      <c r="I3199" t="s">
        <v>8</v>
      </c>
      <c r="J3199" t="str">
        <f>"07/03/1994 23:00"</f>
        <v>07/03/1994 23:00</v>
      </c>
    </row>
    <row r="3200" spans="1:10" x14ac:dyDescent="0.3">
      <c r="A3200" t="s">
        <v>6</v>
      </c>
      <c r="B3200" t="str">
        <f>"07/04/1994 00:00"</f>
        <v>07/04/1994 00:00</v>
      </c>
      <c r="C3200">
        <v>177</v>
      </c>
      <c r="D3200" t="s">
        <v>7</v>
      </c>
      <c r="E3200" s="2" t="s">
        <v>12</v>
      </c>
      <c r="F3200">
        <f t="shared" si="49"/>
        <v>350.99100000000004</v>
      </c>
      <c r="G3200" t="s">
        <v>16</v>
      </c>
      <c r="J3200" t="str">
        <f>"07/04/1994 23:00"</f>
        <v>07/04/1994 23:00</v>
      </c>
    </row>
    <row r="3201" spans="1:10" x14ac:dyDescent="0.3">
      <c r="A3201" t="s">
        <v>6</v>
      </c>
      <c r="B3201" t="str">
        <f>"07/05/1994 00:00"</f>
        <v>07/05/1994 00:00</v>
      </c>
      <c r="C3201">
        <v>177</v>
      </c>
      <c r="D3201" t="s">
        <v>7</v>
      </c>
      <c r="E3201" s="2" t="s">
        <v>12</v>
      </c>
      <c r="F3201">
        <f t="shared" si="49"/>
        <v>350.99100000000004</v>
      </c>
      <c r="G3201" t="s">
        <v>16</v>
      </c>
      <c r="J3201" t="str">
        <f>"07/05/1994 23:00"</f>
        <v>07/05/1994 23:00</v>
      </c>
    </row>
    <row r="3202" spans="1:10" x14ac:dyDescent="0.3">
      <c r="A3202" t="s">
        <v>6</v>
      </c>
      <c r="B3202" t="str">
        <f>"07/06/1994 00:00"</f>
        <v>07/06/1994 00:00</v>
      </c>
      <c r="C3202">
        <v>155</v>
      </c>
      <c r="D3202" t="s">
        <v>7</v>
      </c>
      <c r="E3202" s="2" t="s">
        <v>12</v>
      </c>
      <c r="F3202">
        <f t="shared" si="49"/>
        <v>307.36500000000001</v>
      </c>
      <c r="G3202" t="s">
        <v>16</v>
      </c>
      <c r="J3202" t="str">
        <f>"07/06/1994 23:00"</f>
        <v>07/06/1994 23:00</v>
      </c>
    </row>
    <row r="3203" spans="1:10" x14ac:dyDescent="0.3">
      <c r="A3203" t="s">
        <v>6</v>
      </c>
      <c r="B3203" t="str">
        <f>"07/07/1994 00:00"</f>
        <v>07/07/1994 00:00</v>
      </c>
      <c r="C3203">
        <v>83.8</v>
      </c>
      <c r="D3203" t="s">
        <v>7</v>
      </c>
      <c r="E3203" s="2" t="s">
        <v>12</v>
      </c>
      <c r="F3203">
        <f t="shared" ref="F3203:F3266" si="50">C3203*1.983</f>
        <v>166.1754</v>
      </c>
      <c r="G3203" t="s">
        <v>16</v>
      </c>
      <c r="J3203" t="str">
        <f>"07/07/1994 23:00"</f>
        <v>07/07/1994 23:00</v>
      </c>
    </row>
    <row r="3204" spans="1:10" x14ac:dyDescent="0.3">
      <c r="A3204" t="s">
        <v>6</v>
      </c>
      <c r="B3204" t="str">
        <f>"07/08/1994 00:00"</f>
        <v>07/08/1994 00:00</v>
      </c>
      <c r="C3204">
        <v>86.9</v>
      </c>
      <c r="D3204" t="s">
        <v>7</v>
      </c>
      <c r="E3204" s="2" t="s">
        <v>12</v>
      </c>
      <c r="F3204">
        <f t="shared" si="50"/>
        <v>172.32270000000003</v>
      </c>
      <c r="G3204" t="s">
        <v>16</v>
      </c>
      <c r="J3204" t="str">
        <f>"07/08/1994 23:00"</f>
        <v>07/08/1994 23:00</v>
      </c>
    </row>
    <row r="3205" spans="1:10" x14ac:dyDescent="0.3">
      <c r="A3205" t="s">
        <v>6</v>
      </c>
      <c r="B3205" t="str">
        <f>"07/09/1994 00:00"</f>
        <v>07/09/1994 00:00</v>
      </c>
      <c r="C3205">
        <v>127</v>
      </c>
      <c r="D3205" t="s">
        <v>7</v>
      </c>
      <c r="E3205" s="2" t="s">
        <v>12</v>
      </c>
      <c r="F3205">
        <f t="shared" si="50"/>
        <v>251.84100000000001</v>
      </c>
      <c r="G3205" t="s">
        <v>16</v>
      </c>
      <c r="J3205" t="str">
        <f>"07/09/1994 23:00"</f>
        <v>07/09/1994 23:00</v>
      </c>
    </row>
    <row r="3206" spans="1:10" x14ac:dyDescent="0.3">
      <c r="A3206" t="s">
        <v>6</v>
      </c>
      <c r="B3206" t="str">
        <f>"07/10/1994 00:00"</f>
        <v>07/10/1994 00:00</v>
      </c>
      <c r="C3206">
        <v>126</v>
      </c>
      <c r="D3206" t="s">
        <v>7</v>
      </c>
      <c r="E3206" s="2" t="s">
        <v>12</v>
      </c>
      <c r="F3206">
        <f t="shared" si="50"/>
        <v>249.858</v>
      </c>
      <c r="G3206" t="s">
        <v>16</v>
      </c>
      <c r="J3206" t="str">
        <f>"07/10/1994 23:00"</f>
        <v>07/10/1994 23:00</v>
      </c>
    </row>
    <row r="3207" spans="1:10" x14ac:dyDescent="0.3">
      <c r="A3207" t="s">
        <v>6</v>
      </c>
      <c r="B3207" t="str">
        <f>"07/11/1994 00:00"</f>
        <v>07/11/1994 00:00</v>
      </c>
      <c r="C3207">
        <v>126</v>
      </c>
      <c r="D3207" t="s">
        <v>7</v>
      </c>
      <c r="E3207" s="2" t="s">
        <v>12</v>
      </c>
      <c r="F3207">
        <f t="shared" si="50"/>
        <v>249.858</v>
      </c>
      <c r="G3207" t="s">
        <v>16</v>
      </c>
      <c r="I3207" t="s">
        <v>8</v>
      </c>
      <c r="J3207" t="str">
        <f>"07/11/1994 23:00"</f>
        <v>07/11/1994 23:00</v>
      </c>
    </row>
    <row r="3208" spans="1:10" x14ac:dyDescent="0.3">
      <c r="A3208" t="s">
        <v>6</v>
      </c>
      <c r="B3208" t="str">
        <f>"07/12/1994 00:00"</f>
        <v>07/12/1994 00:00</v>
      </c>
      <c r="C3208">
        <v>126</v>
      </c>
      <c r="D3208" t="s">
        <v>7</v>
      </c>
      <c r="E3208" s="2" t="s">
        <v>12</v>
      </c>
      <c r="F3208">
        <f t="shared" si="50"/>
        <v>249.858</v>
      </c>
      <c r="G3208" t="s">
        <v>16</v>
      </c>
      <c r="J3208" t="str">
        <f>"07/12/1994 23:00"</f>
        <v>07/12/1994 23:00</v>
      </c>
    </row>
    <row r="3209" spans="1:10" x14ac:dyDescent="0.3">
      <c r="A3209" t="s">
        <v>6</v>
      </c>
      <c r="B3209" t="str">
        <f>"07/13/1994 00:00"</f>
        <v>07/13/1994 00:00</v>
      </c>
      <c r="C3209">
        <v>128</v>
      </c>
      <c r="D3209" t="s">
        <v>7</v>
      </c>
      <c r="E3209" s="2" t="s">
        <v>12</v>
      </c>
      <c r="F3209">
        <f t="shared" si="50"/>
        <v>253.82400000000001</v>
      </c>
      <c r="G3209" t="s">
        <v>16</v>
      </c>
      <c r="I3209" t="s">
        <v>8</v>
      </c>
      <c r="J3209" t="str">
        <f>"07/13/1994 23:00"</f>
        <v>07/13/1994 23:00</v>
      </c>
    </row>
    <row r="3210" spans="1:10" x14ac:dyDescent="0.3">
      <c r="A3210" t="s">
        <v>6</v>
      </c>
      <c r="B3210" t="str">
        <f>"07/14/1994 00:00"</f>
        <v>07/14/1994 00:00</v>
      </c>
      <c r="C3210">
        <v>128</v>
      </c>
      <c r="D3210" t="s">
        <v>7</v>
      </c>
      <c r="E3210" s="2" t="s">
        <v>12</v>
      </c>
      <c r="F3210">
        <f t="shared" si="50"/>
        <v>253.82400000000001</v>
      </c>
      <c r="G3210" t="s">
        <v>16</v>
      </c>
      <c r="I3210" t="s">
        <v>35</v>
      </c>
      <c r="J3210" t="str">
        <f>"07/14/1994 23:00"</f>
        <v>07/14/1994 23:00</v>
      </c>
    </row>
    <row r="3211" spans="1:10" x14ac:dyDescent="0.3">
      <c r="A3211" t="s">
        <v>6</v>
      </c>
      <c r="B3211" t="str">
        <f>"07/15/1994 00:00"</f>
        <v>07/15/1994 00:00</v>
      </c>
      <c r="C3211">
        <v>106</v>
      </c>
      <c r="D3211" t="s">
        <v>7</v>
      </c>
      <c r="E3211" s="2" t="s">
        <v>12</v>
      </c>
      <c r="F3211">
        <f t="shared" si="50"/>
        <v>210.19800000000001</v>
      </c>
      <c r="G3211" t="s">
        <v>16</v>
      </c>
      <c r="I3211" t="s">
        <v>8</v>
      </c>
      <c r="J3211" t="str">
        <f>"07/15/1994 23:00"</f>
        <v>07/15/1994 23:00</v>
      </c>
    </row>
    <row r="3212" spans="1:10" x14ac:dyDescent="0.3">
      <c r="A3212" t="s">
        <v>6</v>
      </c>
      <c r="B3212" t="str">
        <f>"07/16/1994 00:00"</f>
        <v>07/16/1994 00:00</v>
      </c>
      <c r="C3212">
        <v>89.9</v>
      </c>
      <c r="D3212" t="s">
        <v>7</v>
      </c>
      <c r="E3212" s="2" t="s">
        <v>12</v>
      </c>
      <c r="F3212">
        <f t="shared" si="50"/>
        <v>178.27170000000001</v>
      </c>
      <c r="G3212" t="s">
        <v>16</v>
      </c>
      <c r="J3212" t="str">
        <f>"07/16/1994 23:00"</f>
        <v>07/16/1994 23:00</v>
      </c>
    </row>
    <row r="3213" spans="1:10" x14ac:dyDescent="0.3">
      <c r="A3213" t="s">
        <v>6</v>
      </c>
      <c r="B3213" t="str">
        <f>"07/17/1994 00:00"</f>
        <v>07/17/1994 00:00</v>
      </c>
      <c r="C3213">
        <v>91.4</v>
      </c>
      <c r="D3213" t="s">
        <v>7</v>
      </c>
      <c r="E3213" s="2" t="s">
        <v>12</v>
      </c>
      <c r="F3213">
        <f t="shared" si="50"/>
        <v>181.24620000000002</v>
      </c>
      <c r="G3213" t="s">
        <v>16</v>
      </c>
      <c r="I3213" t="s">
        <v>8</v>
      </c>
      <c r="J3213" t="str">
        <f>"07/17/1994 23:00"</f>
        <v>07/17/1994 23:00</v>
      </c>
    </row>
    <row r="3214" spans="1:10" x14ac:dyDescent="0.3">
      <c r="A3214" t="s">
        <v>6</v>
      </c>
      <c r="B3214" t="str">
        <f>"07/18/1994 00:00"</f>
        <v>07/18/1994 00:00</v>
      </c>
      <c r="C3214">
        <v>77.400000000000006</v>
      </c>
      <c r="D3214" t="s">
        <v>7</v>
      </c>
      <c r="E3214" s="2" t="s">
        <v>12</v>
      </c>
      <c r="F3214">
        <f t="shared" si="50"/>
        <v>153.48420000000002</v>
      </c>
      <c r="G3214" t="s">
        <v>16</v>
      </c>
      <c r="I3214" t="s">
        <v>8</v>
      </c>
      <c r="J3214" t="str">
        <f>"07/18/1994 23:00"</f>
        <v>07/18/1994 23:00</v>
      </c>
    </row>
    <row r="3215" spans="1:10" x14ac:dyDescent="0.3">
      <c r="A3215" t="s">
        <v>6</v>
      </c>
      <c r="B3215" t="str">
        <f>"07/19/1994 00:00"</f>
        <v>07/19/1994 00:00</v>
      </c>
      <c r="C3215">
        <v>92.8</v>
      </c>
      <c r="D3215" t="s">
        <v>7</v>
      </c>
      <c r="E3215" s="2" t="s">
        <v>12</v>
      </c>
      <c r="F3215">
        <f t="shared" si="50"/>
        <v>184.0224</v>
      </c>
      <c r="G3215" t="s">
        <v>16</v>
      </c>
      <c r="J3215" t="str">
        <f>"07/19/1994 23:00"</f>
        <v>07/19/1994 23:00</v>
      </c>
    </row>
    <row r="3216" spans="1:10" x14ac:dyDescent="0.3">
      <c r="A3216" t="s">
        <v>6</v>
      </c>
      <c r="B3216" t="str">
        <f>"07/20/1994 00:00"</f>
        <v>07/20/1994 00:00</v>
      </c>
      <c r="C3216">
        <v>103</v>
      </c>
      <c r="D3216" t="s">
        <v>7</v>
      </c>
      <c r="E3216" s="2" t="s">
        <v>12</v>
      </c>
      <c r="F3216">
        <f t="shared" si="50"/>
        <v>204.24900000000002</v>
      </c>
      <c r="G3216" t="s">
        <v>16</v>
      </c>
      <c r="J3216" t="str">
        <f>"07/20/1994 23:00"</f>
        <v>07/20/1994 23:00</v>
      </c>
    </row>
    <row r="3217" spans="1:10" x14ac:dyDescent="0.3">
      <c r="A3217" t="s">
        <v>6</v>
      </c>
      <c r="B3217" t="str">
        <f>"07/21/1994 00:00"</f>
        <v>07/21/1994 00:00</v>
      </c>
      <c r="C3217">
        <v>116</v>
      </c>
      <c r="D3217" t="s">
        <v>7</v>
      </c>
      <c r="E3217" s="2" t="s">
        <v>12</v>
      </c>
      <c r="F3217">
        <f t="shared" si="50"/>
        <v>230.02800000000002</v>
      </c>
      <c r="G3217" t="s">
        <v>16</v>
      </c>
      <c r="J3217" t="str">
        <f>"07/21/1994 23:00"</f>
        <v>07/21/1994 23:00</v>
      </c>
    </row>
    <row r="3218" spans="1:10" x14ac:dyDescent="0.3">
      <c r="A3218" t="s">
        <v>6</v>
      </c>
      <c r="B3218" t="str">
        <f>"07/22/1994 00:00"</f>
        <v>07/22/1994 00:00</v>
      </c>
      <c r="C3218">
        <v>116</v>
      </c>
      <c r="D3218" t="s">
        <v>7</v>
      </c>
      <c r="E3218" s="2" t="s">
        <v>12</v>
      </c>
      <c r="F3218">
        <f t="shared" si="50"/>
        <v>230.02800000000002</v>
      </c>
      <c r="G3218" t="s">
        <v>16</v>
      </c>
      <c r="J3218" t="str">
        <f>"07/22/1994 23:00"</f>
        <v>07/22/1994 23:00</v>
      </c>
    </row>
    <row r="3219" spans="1:10" x14ac:dyDescent="0.3">
      <c r="A3219" t="s">
        <v>6</v>
      </c>
      <c r="B3219" t="str">
        <f>"07/23/1994 00:00"</f>
        <v>07/23/1994 00:00</v>
      </c>
      <c r="C3219">
        <v>116</v>
      </c>
      <c r="D3219" t="s">
        <v>7</v>
      </c>
      <c r="E3219" s="2" t="s">
        <v>12</v>
      </c>
      <c r="F3219">
        <f t="shared" si="50"/>
        <v>230.02800000000002</v>
      </c>
      <c r="G3219" t="s">
        <v>16</v>
      </c>
      <c r="J3219" t="str">
        <f>"07/23/1994 23:00"</f>
        <v>07/23/1994 23:00</v>
      </c>
    </row>
    <row r="3220" spans="1:10" x14ac:dyDescent="0.3">
      <c r="A3220" t="s">
        <v>6</v>
      </c>
      <c r="B3220" t="str">
        <f>"07/24/1994 00:00"</f>
        <v>07/24/1994 00:00</v>
      </c>
      <c r="C3220">
        <v>117</v>
      </c>
      <c r="D3220" t="s">
        <v>7</v>
      </c>
      <c r="E3220" s="2" t="s">
        <v>12</v>
      </c>
      <c r="F3220">
        <f t="shared" si="50"/>
        <v>232.01100000000002</v>
      </c>
      <c r="G3220" t="s">
        <v>16</v>
      </c>
      <c r="I3220" t="s">
        <v>8</v>
      </c>
      <c r="J3220" t="str">
        <f>"07/24/1994 23:00"</f>
        <v>07/24/1994 23:00</v>
      </c>
    </row>
    <row r="3221" spans="1:10" x14ac:dyDescent="0.3">
      <c r="A3221" t="s">
        <v>6</v>
      </c>
      <c r="B3221" t="str">
        <f>"07/25/1994 00:00"</f>
        <v>07/25/1994 00:00</v>
      </c>
      <c r="C3221">
        <v>113</v>
      </c>
      <c r="D3221" t="s">
        <v>7</v>
      </c>
      <c r="E3221" s="2" t="s">
        <v>12</v>
      </c>
      <c r="F3221">
        <f t="shared" si="50"/>
        <v>224.07900000000001</v>
      </c>
      <c r="G3221" t="s">
        <v>16</v>
      </c>
      <c r="J3221" t="str">
        <f>"07/25/1994 23:00"</f>
        <v>07/25/1994 23:00</v>
      </c>
    </row>
    <row r="3222" spans="1:10" x14ac:dyDescent="0.3">
      <c r="A3222" t="s">
        <v>6</v>
      </c>
      <c r="B3222" t="str">
        <f>"07/26/1994 00:00"</f>
        <v>07/26/1994 00:00</v>
      </c>
      <c r="C3222">
        <v>114</v>
      </c>
      <c r="D3222" t="s">
        <v>7</v>
      </c>
      <c r="E3222" s="2" t="s">
        <v>12</v>
      </c>
      <c r="F3222">
        <f t="shared" si="50"/>
        <v>226.06200000000001</v>
      </c>
      <c r="G3222" t="s">
        <v>16</v>
      </c>
      <c r="J3222" t="str">
        <f>"07/26/1994 23:00"</f>
        <v>07/26/1994 23:00</v>
      </c>
    </row>
    <row r="3223" spans="1:10" x14ac:dyDescent="0.3">
      <c r="A3223" t="s">
        <v>6</v>
      </c>
      <c r="B3223" t="str">
        <f>"07/27/1994 00:00"</f>
        <v>07/27/1994 00:00</v>
      </c>
      <c r="C3223">
        <v>115</v>
      </c>
      <c r="D3223" t="s">
        <v>7</v>
      </c>
      <c r="E3223" s="2" t="s">
        <v>12</v>
      </c>
      <c r="F3223">
        <f t="shared" si="50"/>
        <v>228.04500000000002</v>
      </c>
      <c r="G3223" t="s">
        <v>16</v>
      </c>
      <c r="J3223" t="str">
        <f>"07/27/1994 23:00"</f>
        <v>07/27/1994 23:00</v>
      </c>
    </row>
    <row r="3224" spans="1:10" x14ac:dyDescent="0.3">
      <c r="A3224" t="s">
        <v>6</v>
      </c>
      <c r="B3224" t="str">
        <f>"07/28/1994 00:00"</f>
        <v>07/28/1994 00:00</v>
      </c>
      <c r="C3224">
        <v>115</v>
      </c>
      <c r="D3224" t="s">
        <v>7</v>
      </c>
      <c r="E3224" s="2" t="s">
        <v>12</v>
      </c>
      <c r="F3224">
        <f t="shared" si="50"/>
        <v>228.04500000000002</v>
      </c>
      <c r="G3224" t="s">
        <v>16</v>
      </c>
      <c r="I3224" t="s">
        <v>35</v>
      </c>
      <c r="J3224" t="str">
        <f>"07/28/1994 23:00"</f>
        <v>07/28/1994 23:00</v>
      </c>
    </row>
    <row r="3225" spans="1:10" x14ac:dyDescent="0.3">
      <c r="A3225" t="s">
        <v>6</v>
      </c>
      <c r="B3225" t="str">
        <f>"07/29/1994 00:00"</f>
        <v>07/29/1994 00:00</v>
      </c>
      <c r="C3225">
        <v>115</v>
      </c>
      <c r="D3225" t="s">
        <v>7</v>
      </c>
      <c r="E3225" s="2" t="s">
        <v>12</v>
      </c>
      <c r="F3225">
        <f t="shared" si="50"/>
        <v>228.04500000000002</v>
      </c>
      <c r="G3225" t="s">
        <v>16</v>
      </c>
      <c r="I3225" t="s">
        <v>8</v>
      </c>
      <c r="J3225" t="str">
        <f>"07/29/1994 23:00"</f>
        <v>07/29/1994 23:00</v>
      </c>
    </row>
    <row r="3226" spans="1:10" x14ac:dyDescent="0.3">
      <c r="A3226" t="s">
        <v>6</v>
      </c>
      <c r="B3226" t="str">
        <f>"07/30/1994 00:00"</f>
        <v>07/30/1994 00:00</v>
      </c>
      <c r="C3226">
        <v>115</v>
      </c>
      <c r="D3226" t="s">
        <v>7</v>
      </c>
      <c r="E3226" s="2" t="s">
        <v>12</v>
      </c>
      <c r="F3226">
        <f t="shared" si="50"/>
        <v>228.04500000000002</v>
      </c>
      <c r="G3226" t="s">
        <v>16</v>
      </c>
      <c r="J3226" t="str">
        <f>"07/30/1994 23:00"</f>
        <v>07/30/1994 23:00</v>
      </c>
    </row>
    <row r="3227" spans="1:10" x14ac:dyDescent="0.3">
      <c r="A3227" t="s">
        <v>6</v>
      </c>
      <c r="B3227" t="str">
        <f>"07/31/1994 00:00"</f>
        <v>07/31/1994 00:00</v>
      </c>
      <c r="C3227">
        <v>116</v>
      </c>
      <c r="D3227" t="s">
        <v>7</v>
      </c>
      <c r="E3227" s="2" t="s">
        <v>12</v>
      </c>
      <c r="F3227">
        <f t="shared" si="50"/>
        <v>230.02800000000002</v>
      </c>
      <c r="G3227" t="s">
        <v>16</v>
      </c>
      <c r="J3227" t="str">
        <f>"07/31/1994 23:00"</f>
        <v>07/31/1994 23:00</v>
      </c>
    </row>
    <row r="3228" spans="1:10" x14ac:dyDescent="0.3">
      <c r="A3228" t="s">
        <v>6</v>
      </c>
      <c r="B3228" t="str">
        <f>"08/01/1994 00:00"</f>
        <v>08/01/1994 00:00</v>
      </c>
      <c r="C3228">
        <v>116</v>
      </c>
      <c r="D3228" t="s">
        <v>7</v>
      </c>
      <c r="E3228" s="2" t="s">
        <v>12</v>
      </c>
      <c r="F3228">
        <f t="shared" si="50"/>
        <v>230.02800000000002</v>
      </c>
      <c r="G3228" t="s">
        <v>16</v>
      </c>
      <c r="I3228" t="s">
        <v>8</v>
      </c>
      <c r="J3228" t="str">
        <f>"08/01/1994 23:00"</f>
        <v>08/01/1994 23:00</v>
      </c>
    </row>
    <row r="3229" spans="1:10" x14ac:dyDescent="0.3">
      <c r="A3229" t="s">
        <v>6</v>
      </c>
      <c r="B3229" t="str">
        <f>"08/02/1994 00:00"</f>
        <v>08/02/1994 00:00</v>
      </c>
      <c r="C3229">
        <v>124</v>
      </c>
      <c r="D3229" t="s">
        <v>7</v>
      </c>
      <c r="E3229" s="2" t="s">
        <v>12</v>
      </c>
      <c r="F3229">
        <f t="shared" si="50"/>
        <v>245.89200000000002</v>
      </c>
      <c r="G3229" t="s">
        <v>16</v>
      </c>
      <c r="I3229" t="s">
        <v>8</v>
      </c>
      <c r="J3229" t="str">
        <f>"08/02/1994 23:00"</f>
        <v>08/02/1994 23:00</v>
      </c>
    </row>
    <row r="3230" spans="1:10" x14ac:dyDescent="0.3">
      <c r="A3230" t="s">
        <v>6</v>
      </c>
      <c r="B3230" t="str">
        <f>"08/03/1994 00:00"</f>
        <v>08/03/1994 00:00</v>
      </c>
      <c r="C3230">
        <v>127</v>
      </c>
      <c r="D3230" t="s">
        <v>7</v>
      </c>
      <c r="E3230" s="2" t="s">
        <v>12</v>
      </c>
      <c r="F3230">
        <f t="shared" si="50"/>
        <v>251.84100000000001</v>
      </c>
      <c r="G3230" t="s">
        <v>16</v>
      </c>
      <c r="J3230" t="str">
        <f>"08/03/1994 23:00"</f>
        <v>08/03/1994 23:00</v>
      </c>
    </row>
    <row r="3231" spans="1:10" x14ac:dyDescent="0.3">
      <c r="A3231" t="s">
        <v>6</v>
      </c>
      <c r="B3231" t="str">
        <f>"08/04/1994 00:00"</f>
        <v>08/04/1994 00:00</v>
      </c>
      <c r="C3231">
        <v>116</v>
      </c>
      <c r="D3231" t="s">
        <v>7</v>
      </c>
      <c r="E3231" s="2" t="s">
        <v>12</v>
      </c>
      <c r="F3231">
        <f t="shared" si="50"/>
        <v>230.02800000000002</v>
      </c>
      <c r="G3231" t="s">
        <v>16</v>
      </c>
      <c r="J3231" t="str">
        <f>"08/04/1994 23:00"</f>
        <v>08/04/1994 23:00</v>
      </c>
    </row>
    <row r="3232" spans="1:10" x14ac:dyDescent="0.3">
      <c r="A3232" t="s">
        <v>6</v>
      </c>
      <c r="B3232" t="str">
        <f>"08/05/1994 00:00"</f>
        <v>08/05/1994 00:00</v>
      </c>
      <c r="C3232">
        <v>119</v>
      </c>
      <c r="D3232" t="s">
        <v>7</v>
      </c>
      <c r="E3232" s="2" t="s">
        <v>12</v>
      </c>
      <c r="F3232">
        <f t="shared" si="50"/>
        <v>235.977</v>
      </c>
      <c r="G3232" t="s">
        <v>16</v>
      </c>
      <c r="I3232" t="s">
        <v>8</v>
      </c>
      <c r="J3232" t="str">
        <f>"08/05/1994 23:00"</f>
        <v>08/05/1994 23:00</v>
      </c>
    </row>
    <row r="3233" spans="1:10" x14ac:dyDescent="0.3">
      <c r="A3233" t="s">
        <v>6</v>
      </c>
      <c r="B3233" t="str">
        <f>"08/06/1994 00:00"</f>
        <v>08/06/1994 00:00</v>
      </c>
      <c r="C3233">
        <v>119</v>
      </c>
      <c r="D3233" t="s">
        <v>7</v>
      </c>
      <c r="E3233" s="2" t="s">
        <v>12</v>
      </c>
      <c r="F3233">
        <f t="shared" si="50"/>
        <v>235.977</v>
      </c>
      <c r="G3233" t="s">
        <v>16</v>
      </c>
      <c r="I3233" t="s">
        <v>8</v>
      </c>
      <c r="J3233" t="str">
        <f>"08/06/1994 23:00"</f>
        <v>08/06/1994 23:00</v>
      </c>
    </row>
    <row r="3234" spans="1:10" x14ac:dyDescent="0.3">
      <c r="A3234" t="s">
        <v>6</v>
      </c>
      <c r="B3234" t="str">
        <f>"08/07/1994 00:00"</f>
        <v>08/07/1994 00:00</v>
      </c>
      <c r="C3234">
        <v>119</v>
      </c>
      <c r="D3234" t="s">
        <v>7</v>
      </c>
      <c r="E3234" s="2" t="s">
        <v>12</v>
      </c>
      <c r="F3234">
        <f t="shared" si="50"/>
        <v>235.977</v>
      </c>
      <c r="G3234" t="s">
        <v>16</v>
      </c>
      <c r="J3234" t="str">
        <f>"08/07/1994 23:00"</f>
        <v>08/07/1994 23:00</v>
      </c>
    </row>
    <row r="3235" spans="1:10" x14ac:dyDescent="0.3">
      <c r="A3235" t="s">
        <v>6</v>
      </c>
      <c r="B3235" t="str">
        <f>"08/08/1994 00:00"</f>
        <v>08/08/1994 00:00</v>
      </c>
      <c r="C3235">
        <v>119</v>
      </c>
      <c r="D3235" t="s">
        <v>7</v>
      </c>
      <c r="E3235" s="2" t="s">
        <v>12</v>
      </c>
      <c r="F3235">
        <f t="shared" si="50"/>
        <v>235.977</v>
      </c>
      <c r="G3235" t="s">
        <v>16</v>
      </c>
      <c r="I3235" t="s">
        <v>8</v>
      </c>
      <c r="J3235" t="str">
        <f>"08/08/1994 23:00"</f>
        <v>08/08/1994 23:00</v>
      </c>
    </row>
    <row r="3236" spans="1:10" x14ac:dyDescent="0.3">
      <c r="A3236" t="s">
        <v>6</v>
      </c>
      <c r="B3236" t="str">
        <f>"08/09/1994 00:00"</f>
        <v>08/09/1994 00:00</v>
      </c>
      <c r="C3236">
        <v>120</v>
      </c>
      <c r="D3236" t="s">
        <v>7</v>
      </c>
      <c r="E3236" s="2" t="s">
        <v>12</v>
      </c>
      <c r="F3236">
        <f t="shared" si="50"/>
        <v>237.96</v>
      </c>
      <c r="G3236" t="s">
        <v>16</v>
      </c>
      <c r="I3236" t="s">
        <v>8</v>
      </c>
      <c r="J3236" t="str">
        <f>"08/09/1994 23:00"</f>
        <v>08/09/1994 23:00</v>
      </c>
    </row>
    <row r="3237" spans="1:10" x14ac:dyDescent="0.3">
      <c r="A3237" t="s">
        <v>6</v>
      </c>
      <c r="B3237" t="str">
        <f>"08/10/1994 00:00"</f>
        <v>08/10/1994 00:00</v>
      </c>
      <c r="C3237">
        <v>111</v>
      </c>
      <c r="D3237" t="s">
        <v>7</v>
      </c>
      <c r="E3237" s="2" t="s">
        <v>12</v>
      </c>
      <c r="F3237">
        <f t="shared" si="50"/>
        <v>220.113</v>
      </c>
      <c r="G3237" t="s">
        <v>16</v>
      </c>
      <c r="J3237" t="str">
        <f>"08/10/1994 23:00"</f>
        <v>08/10/1994 23:00</v>
      </c>
    </row>
    <row r="3238" spans="1:10" x14ac:dyDescent="0.3">
      <c r="A3238" t="s">
        <v>6</v>
      </c>
      <c r="B3238" t="str">
        <f>"08/11/1994 00:00"</f>
        <v>08/11/1994 00:00</v>
      </c>
      <c r="C3238">
        <v>116</v>
      </c>
      <c r="D3238" t="s">
        <v>7</v>
      </c>
      <c r="E3238" s="2" t="s">
        <v>12</v>
      </c>
      <c r="F3238">
        <f t="shared" si="50"/>
        <v>230.02800000000002</v>
      </c>
      <c r="G3238" t="s">
        <v>16</v>
      </c>
      <c r="I3238" t="s">
        <v>8</v>
      </c>
      <c r="J3238" t="str">
        <f>"08/11/1994 23:00"</f>
        <v>08/11/1994 23:00</v>
      </c>
    </row>
    <row r="3239" spans="1:10" x14ac:dyDescent="0.3">
      <c r="A3239" t="s">
        <v>6</v>
      </c>
      <c r="B3239" t="str">
        <f>"08/12/1994 00:00"</f>
        <v>08/12/1994 00:00</v>
      </c>
      <c r="C3239">
        <v>116</v>
      </c>
      <c r="D3239" t="s">
        <v>7</v>
      </c>
      <c r="E3239" s="2" t="s">
        <v>12</v>
      </c>
      <c r="F3239">
        <f t="shared" si="50"/>
        <v>230.02800000000002</v>
      </c>
      <c r="G3239" t="s">
        <v>16</v>
      </c>
      <c r="J3239" t="str">
        <f>"08/12/1994 23:00"</f>
        <v>08/12/1994 23:00</v>
      </c>
    </row>
    <row r="3240" spans="1:10" x14ac:dyDescent="0.3">
      <c r="A3240" t="s">
        <v>6</v>
      </c>
      <c r="B3240" t="str">
        <f>"08/13/1994 00:00"</f>
        <v>08/13/1994 00:00</v>
      </c>
      <c r="C3240">
        <v>115</v>
      </c>
      <c r="D3240" t="s">
        <v>7</v>
      </c>
      <c r="E3240" s="2" t="s">
        <v>12</v>
      </c>
      <c r="F3240">
        <f t="shared" si="50"/>
        <v>228.04500000000002</v>
      </c>
      <c r="G3240" t="s">
        <v>16</v>
      </c>
      <c r="I3240" t="s">
        <v>8</v>
      </c>
      <c r="J3240" t="str">
        <f>"08/13/1994 23:00"</f>
        <v>08/13/1994 23:00</v>
      </c>
    </row>
    <row r="3241" spans="1:10" x14ac:dyDescent="0.3">
      <c r="A3241" t="s">
        <v>6</v>
      </c>
      <c r="B3241" t="str">
        <f>"08/14/1994 00:00"</f>
        <v>08/14/1994 00:00</v>
      </c>
      <c r="C3241">
        <v>115</v>
      </c>
      <c r="D3241" t="s">
        <v>7</v>
      </c>
      <c r="E3241" s="2" t="s">
        <v>12</v>
      </c>
      <c r="F3241">
        <f t="shared" si="50"/>
        <v>228.04500000000002</v>
      </c>
      <c r="G3241" t="s">
        <v>16</v>
      </c>
      <c r="I3241" t="s">
        <v>8</v>
      </c>
      <c r="J3241" t="str">
        <f>"08/14/1994 23:00"</f>
        <v>08/14/1994 23:00</v>
      </c>
    </row>
    <row r="3242" spans="1:10" x14ac:dyDescent="0.3">
      <c r="A3242" t="s">
        <v>6</v>
      </c>
      <c r="B3242" t="str">
        <f>"08/15/1994 00:00"</f>
        <v>08/15/1994 00:00</v>
      </c>
      <c r="C3242">
        <v>162</v>
      </c>
      <c r="D3242" t="s">
        <v>7</v>
      </c>
      <c r="E3242" s="2" t="s">
        <v>12</v>
      </c>
      <c r="F3242">
        <f t="shared" si="50"/>
        <v>321.24600000000004</v>
      </c>
      <c r="G3242" t="s">
        <v>16</v>
      </c>
      <c r="J3242" t="str">
        <f>"08/15/1994 23:00"</f>
        <v>08/15/1994 23:00</v>
      </c>
    </row>
    <row r="3243" spans="1:10" x14ac:dyDescent="0.3">
      <c r="A3243" t="s">
        <v>6</v>
      </c>
      <c r="B3243" t="str">
        <f>"08/16/1994 00:00"</f>
        <v>08/16/1994 00:00</v>
      </c>
      <c r="C3243">
        <v>218</v>
      </c>
      <c r="D3243" t="s">
        <v>7</v>
      </c>
      <c r="E3243" s="2" t="s">
        <v>12</v>
      </c>
      <c r="F3243">
        <f t="shared" si="50"/>
        <v>432.29400000000004</v>
      </c>
      <c r="G3243" t="s">
        <v>16</v>
      </c>
      <c r="J3243" t="str">
        <f>"08/16/1994 23:00"</f>
        <v>08/16/1994 23:00</v>
      </c>
    </row>
    <row r="3244" spans="1:10" x14ac:dyDescent="0.3">
      <c r="A3244" t="s">
        <v>6</v>
      </c>
      <c r="B3244" t="str">
        <f>"08/17/1994 00:00"</f>
        <v>08/17/1994 00:00</v>
      </c>
      <c r="C3244">
        <v>234</v>
      </c>
      <c r="D3244" t="s">
        <v>7</v>
      </c>
      <c r="E3244" s="2" t="s">
        <v>12</v>
      </c>
      <c r="F3244">
        <f t="shared" si="50"/>
        <v>464.02200000000005</v>
      </c>
      <c r="G3244" t="s">
        <v>16</v>
      </c>
      <c r="J3244" t="str">
        <f>"08/17/1994 23:00"</f>
        <v>08/17/1994 23:00</v>
      </c>
    </row>
    <row r="3245" spans="1:10" x14ac:dyDescent="0.3">
      <c r="A3245" t="s">
        <v>6</v>
      </c>
      <c r="B3245" t="str">
        <f>"08/18/1994 00:00"</f>
        <v>08/18/1994 00:00</v>
      </c>
      <c r="C3245">
        <v>195</v>
      </c>
      <c r="D3245" t="s">
        <v>7</v>
      </c>
      <c r="E3245" s="2" t="s">
        <v>12</v>
      </c>
      <c r="F3245">
        <f t="shared" si="50"/>
        <v>386.685</v>
      </c>
      <c r="G3245" t="s">
        <v>16</v>
      </c>
      <c r="J3245" t="str">
        <f>"08/18/1994 23:00"</f>
        <v>08/18/1994 23:00</v>
      </c>
    </row>
    <row r="3246" spans="1:10" x14ac:dyDescent="0.3">
      <c r="A3246" t="s">
        <v>6</v>
      </c>
      <c r="B3246" t="str">
        <f>"08/19/1994 00:00"</f>
        <v>08/19/1994 00:00</v>
      </c>
      <c r="C3246">
        <v>186</v>
      </c>
      <c r="D3246" t="s">
        <v>7</v>
      </c>
      <c r="E3246" s="2" t="s">
        <v>12</v>
      </c>
      <c r="F3246">
        <f t="shared" si="50"/>
        <v>368.83800000000002</v>
      </c>
      <c r="G3246" t="s">
        <v>16</v>
      </c>
      <c r="J3246" t="str">
        <f>"08/19/1994 23:00"</f>
        <v>08/19/1994 23:00</v>
      </c>
    </row>
    <row r="3247" spans="1:10" x14ac:dyDescent="0.3">
      <c r="A3247" t="s">
        <v>6</v>
      </c>
      <c r="B3247" t="str">
        <f>"08/20/1994 00:00"</f>
        <v>08/20/1994 00:00</v>
      </c>
      <c r="C3247">
        <v>206</v>
      </c>
      <c r="D3247" t="s">
        <v>7</v>
      </c>
      <c r="E3247" s="2" t="s">
        <v>12</v>
      </c>
      <c r="F3247">
        <f t="shared" si="50"/>
        <v>408.49800000000005</v>
      </c>
      <c r="G3247" t="s">
        <v>16</v>
      </c>
      <c r="J3247" t="str">
        <f>"08/20/1994 23:00"</f>
        <v>08/20/1994 23:00</v>
      </c>
    </row>
    <row r="3248" spans="1:10" x14ac:dyDescent="0.3">
      <c r="A3248" t="s">
        <v>6</v>
      </c>
      <c r="B3248" t="str">
        <f>"08/21/1994 00:00"</f>
        <v>08/21/1994 00:00</v>
      </c>
      <c r="C3248">
        <v>225</v>
      </c>
      <c r="D3248" t="s">
        <v>7</v>
      </c>
      <c r="E3248" s="2" t="s">
        <v>12</v>
      </c>
      <c r="F3248">
        <f t="shared" si="50"/>
        <v>446.17500000000001</v>
      </c>
      <c r="G3248" t="s">
        <v>16</v>
      </c>
      <c r="I3248" t="s">
        <v>8</v>
      </c>
      <c r="J3248" t="str">
        <f>"08/21/1994 23:00"</f>
        <v>08/21/1994 23:00</v>
      </c>
    </row>
    <row r="3249" spans="1:10" x14ac:dyDescent="0.3">
      <c r="A3249" t="s">
        <v>6</v>
      </c>
      <c r="B3249" t="str">
        <f>"08/22/1994 00:00"</f>
        <v>08/22/1994 00:00</v>
      </c>
      <c r="C3249">
        <v>204</v>
      </c>
      <c r="D3249" t="s">
        <v>7</v>
      </c>
      <c r="E3249" s="2" t="s">
        <v>12</v>
      </c>
      <c r="F3249">
        <f t="shared" si="50"/>
        <v>404.53200000000004</v>
      </c>
      <c r="G3249" t="s">
        <v>16</v>
      </c>
      <c r="I3249" t="s">
        <v>8</v>
      </c>
      <c r="J3249" t="str">
        <f>"08/22/1994 23:00"</f>
        <v>08/22/1994 23:00</v>
      </c>
    </row>
    <row r="3250" spans="1:10" x14ac:dyDescent="0.3">
      <c r="A3250" t="s">
        <v>6</v>
      </c>
      <c r="B3250" t="str">
        <f>"08/23/1994 00:00"</f>
        <v>08/23/1994 00:00</v>
      </c>
      <c r="C3250">
        <v>233</v>
      </c>
      <c r="D3250" t="s">
        <v>7</v>
      </c>
      <c r="E3250" s="2" t="s">
        <v>12</v>
      </c>
      <c r="F3250">
        <f t="shared" si="50"/>
        <v>462.03900000000004</v>
      </c>
      <c r="G3250" t="s">
        <v>16</v>
      </c>
      <c r="I3250" t="s">
        <v>35</v>
      </c>
      <c r="J3250" t="str">
        <f>"08/23/1994 23:00"</f>
        <v>08/23/1994 23:00</v>
      </c>
    </row>
    <row r="3251" spans="1:10" x14ac:dyDescent="0.3">
      <c r="A3251" t="s">
        <v>6</v>
      </c>
      <c r="B3251" t="str">
        <f>"08/24/1994 00:00"</f>
        <v>08/24/1994 00:00</v>
      </c>
      <c r="C3251">
        <v>214</v>
      </c>
      <c r="D3251" t="s">
        <v>7</v>
      </c>
      <c r="E3251" s="2" t="s">
        <v>12</v>
      </c>
      <c r="F3251">
        <f t="shared" si="50"/>
        <v>424.36200000000002</v>
      </c>
      <c r="G3251" t="s">
        <v>16</v>
      </c>
      <c r="I3251" t="s">
        <v>8</v>
      </c>
      <c r="J3251" t="str">
        <f>"08/24/1994 23:00"</f>
        <v>08/24/1994 23:00</v>
      </c>
    </row>
    <row r="3252" spans="1:10" x14ac:dyDescent="0.3">
      <c r="A3252" t="s">
        <v>6</v>
      </c>
      <c r="B3252" t="str">
        <f>"08/25/1994 00:00"</f>
        <v>08/25/1994 00:00</v>
      </c>
      <c r="C3252">
        <v>165</v>
      </c>
      <c r="D3252" t="s">
        <v>7</v>
      </c>
      <c r="E3252" s="2" t="s">
        <v>12</v>
      </c>
      <c r="F3252">
        <f t="shared" si="50"/>
        <v>327.19499999999999</v>
      </c>
      <c r="G3252" t="s">
        <v>16</v>
      </c>
      <c r="I3252" t="s">
        <v>8</v>
      </c>
      <c r="J3252" t="str">
        <f>"08/25/1994 23:00"</f>
        <v>08/25/1994 23:00</v>
      </c>
    </row>
    <row r="3253" spans="1:10" x14ac:dyDescent="0.3">
      <c r="A3253" t="s">
        <v>6</v>
      </c>
      <c r="B3253" t="str">
        <f>"08/26/1994 00:00"</f>
        <v>08/26/1994 00:00</v>
      </c>
      <c r="C3253">
        <v>233</v>
      </c>
      <c r="D3253" t="s">
        <v>7</v>
      </c>
      <c r="E3253" s="2" t="s">
        <v>12</v>
      </c>
      <c r="F3253">
        <f t="shared" si="50"/>
        <v>462.03900000000004</v>
      </c>
      <c r="G3253" t="s">
        <v>16</v>
      </c>
      <c r="I3253" t="s">
        <v>8</v>
      </c>
      <c r="J3253" t="str">
        <f>"08/26/1994 23:00"</f>
        <v>08/26/1994 23:00</v>
      </c>
    </row>
    <row r="3254" spans="1:10" x14ac:dyDescent="0.3">
      <c r="A3254" t="s">
        <v>6</v>
      </c>
      <c r="B3254" t="str">
        <f>"08/27/1994 00:00"</f>
        <v>08/27/1994 00:00</v>
      </c>
      <c r="C3254">
        <v>233</v>
      </c>
      <c r="D3254" t="s">
        <v>7</v>
      </c>
      <c r="E3254" s="2" t="s">
        <v>12</v>
      </c>
      <c r="F3254">
        <f t="shared" si="50"/>
        <v>462.03900000000004</v>
      </c>
      <c r="G3254" t="s">
        <v>16</v>
      </c>
      <c r="I3254" t="s">
        <v>8</v>
      </c>
      <c r="J3254" t="str">
        <f>"08/27/1994 23:00"</f>
        <v>08/27/1994 23:00</v>
      </c>
    </row>
    <row r="3255" spans="1:10" x14ac:dyDescent="0.3">
      <c r="A3255" t="s">
        <v>6</v>
      </c>
      <c r="B3255" t="str">
        <f>"08/28/1994 00:00"</f>
        <v>08/28/1994 00:00</v>
      </c>
      <c r="C3255">
        <v>233</v>
      </c>
      <c r="D3255" t="s">
        <v>7</v>
      </c>
      <c r="E3255" s="2" t="s">
        <v>12</v>
      </c>
      <c r="F3255">
        <f t="shared" si="50"/>
        <v>462.03900000000004</v>
      </c>
      <c r="G3255" t="s">
        <v>16</v>
      </c>
      <c r="I3255" t="s">
        <v>35</v>
      </c>
      <c r="J3255" t="str">
        <f>"08/28/1994 23:00"</f>
        <v>08/28/1994 23:00</v>
      </c>
    </row>
    <row r="3256" spans="1:10" x14ac:dyDescent="0.3">
      <c r="A3256" t="s">
        <v>6</v>
      </c>
      <c r="B3256" t="str">
        <f>"08/29/1994 00:00"</f>
        <v>08/29/1994 00:00</v>
      </c>
      <c r="C3256">
        <v>184</v>
      </c>
      <c r="D3256" t="s">
        <v>7</v>
      </c>
      <c r="E3256" s="2" t="s">
        <v>12</v>
      </c>
      <c r="F3256">
        <f t="shared" si="50"/>
        <v>364.87200000000001</v>
      </c>
      <c r="G3256" t="s">
        <v>16</v>
      </c>
      <c r="I3256" t="s">
        <v>8</v>
      </c>
      <c r="J3256" t="str">
        <f>"08/29/1994 23:00"</f>
        <v>08/29/1994 23:00</v>
      </c>
    </row>
    <row r="3257" spans="1:10" x14ac:dyDescent="0.3">
      <c r="A3257" t="s">
        <v>6</v>
      </c>
      <c r="B3257" t="str">
        <f>"08/30/1994 00:00"</f>
        <v>08/30/1994 00:00</v>
      </c>
      <c r="C3257">
        <v>194</v>
      </c>
      <c r="D3257" t="s">
        <v>7</v>
      </c>
      <c r="E3257" s="2" t="s">
        <v>12</v>
      </c>
      <c r="F3257">
        <f t="shared" si="50"/>
        <v>384.702</v>
      </c>
      <c r="G3257" t="s">
        <v>16</v>
      </c>
      <c r="I3257" t="s">
        <v>8</v>
      </c>
      <c r="J3257" t="str">
        <f>"08/30/1994 23:00"</f>
        <v>08/30/1994 23:00</v>
      </c>
    </row>
    <row r="3258" spans="1:10" x14ac:dyDescent="0.3">
      <c r="A3258" t="s">
        <v>6</v>
      </c>
      <c r="B3258" t="str">
        <f>"08/31/1994 00:00"</f>
        <v>08/31/1994 00:00</v>
      </c>
      <c r="C3258">
        <v>162</v>
      </c>
      <c r="D3258" t="s">
        <v>7</v>
      </c>
      <c r="E3258" s="2" t="s">
        <v>12</v>
      </c>
      <c r="F3258">
        <f t="shared" si="50"/>
        <v>321.24600000000004</v>
      </c>
      <c r="G3258" t="s">
        <v>16</v>
      </c>
      <c r="J3258" t="str">
        <f>"08/31/1994 23:00"</f>
        <v>08/31/1994 23:00</v>
      </c>
    </row>
    <row r="3259" spans="1:10" x14ac:dyDescent="0.3">
      <c r="A3259" t="s">
        <v>6</v>
      </c>
      <c r="B3259" t="str">
        <f>"09/01/1994 00:00"</f>
        <v>09/01/1994 00:00</v>
      </c>
      <c r="C3259">
        <v>212</v>
      </c>
      <c r="D3259" t="s">
        <v>7</v>
      </c>
      <c r="E3259" s="2" t="s">
        <v>12</v>
      </c>
      <c r="F3259">
        <f t="shared" si="50"/>
        <v>420.39600000000002</v>
      </c>
      <c r="G3259" t="s">
        <v>16</v>
      </c>
      <c r="J3259" t="str">
        <f>"09/01/1994 23:00"</f>
        <v>09/01/1994 23:00</v>
      </c>
    </row>
    <row r="3260" spans="1:10" x14ac:dyDescent="0.3">
      <c r="A3260" t="s">
        <v>6</v>
      </c>
      <c r="B3260" t="str">
        <f>"09/02/1994 00:00"</f>
        <v>09/02/1994 00:00</v>
      </c>
      <c r="C3260">
        <v>183</v>
      </c>
      <c r="D3260" t="s">
        <v>7</v>
      </c>
      <c r="E3260" s="2" t="s">
        <v>12</v>
      </c>
      <c r="F3260">
        <f t="shared" si="50"/>
        <v>362.88900000000001</v>
      </c>
      <c r="G3260" t="s">
        <v>16</v>
      </c>
      <c r="I3260" t="s">
        <v>8</v>
      </c>
      <c r="J3260" t="str">
        <f>"09/02/1994 23:00"</f>
        <v>09/02/1994 23:00</v>
      </c>
    </row>
    <row r="3261" spans="1:10" x14ac:dyDescent="0.3">
      <c r="A3261" t="s">
        <v>6</v>
      </c>
      <c r="B3261" t="str">
        <f>"09/03/1994 00:00"</f>
        <v>09/03/1994 00:00</v>
      </c>
      <c r="C3261">
        <v>183</v>
      </c>
      <c r="D3261" t="s">
        <v>7</v>
      </c>
      <c r="E3261" s="2" t="s">
        <v>12</v>
      </c>
      <c r="F3261">
        <f t="shared" si="50"/>
        <v>362.88900000000001</v>
      </c>
      <c r="G3261" t="s">
        <v>16</v>
      </c>
      <c r="I3261" t="s">
        <v>35</v>
      </c>
      <c r="J3261" t="str">
        <f>"09/03/1994 23:00"</f>
        <v>09/03/1994 23:00</v>
      </c>
    </row>
    <row r="3262" spans="1:10" x14ac:dyDescent="0.3">
      <c r="A3262" t="s">
        <v>6</v>
      </c>
      <c r="B3262" t="str">
        <f>"09/04/1994 00:00"</f>
        <v>09/04/1994 00:00</v>
      </c>
      <c r="C3262">
        <v>153</v>
      </c>
      <c r="D3262" t="s">
        <v>7</v>
      </c>
      <c r="E3262" s="2" t="s">
        <v>12</v>
      </c>
      <c r="F3262">
        <f t="shared" si="50"/>
        <v>303.399</v>
      </c>
      <c r="G3262" t="s">
        <v>16</v>
      </c>
      <c r="I3262" t="s">
        <v>8</v>
      </c>
      <c r="J3262" t="str">
        <f>"09/04/1994 23:00"</f>
        <v>09/04/1994 23:00</v>
      </c>
    </row>
    <row r="3263" spans="1:10" x14ac:dyDescent="0.3">
      <c r="A3263" t="s">
        <v>6</v>
      </c>
      <c r="B3263" t="str">
        <f>"09/05/1994 00:00"</f>
        <v>09/05/1994 00:00</v>
      </c>
      <c r="C3263">
        <v>183</v>
      </c>
      <c r="D3263" t="s">
        <v>7</v>
      </c>
      <c r="E3263" s="2" t="s">
        <v>12</v>
      </c>
      <c r="F3263">
        <f t="shared" si="50"/>
        <v>362.88900000000001</v>
      </c>
      <c r="G3263" t="s">
        <v>16</v>
      </c>
      <c r="I3263" t="s">
        <v>8</v>
      </c>
      <c r="J3263" t="str">
        <f>"09/05/1994 23:00"</f>
        <v>09/05/1994 23:00</v>
      </c>
    </row>
    <row r="3264" spans="1:10" x14ac:dyDescent="0.3">
      <c r="A3264" t="s">
        <v>6</v>
      </c>
      <c r="B3264" t="str">
        <f>"09/06/1994 00:00"</f>
        <v>09/06/1994 00:00</v>
      </c>
      <c r="C3264">
        <v>183</v>
      </c>
      <c r="D3264" t="s">
        <v>7</v>
      </c>
      <c r="E3264" s="2" t="s">
        <v>12</v>
      </c>
      <c r="F3264">
        <f t="shared" si="50"/>
        <v>362.88900000000001</v>
      </c>
      <c r="G3264" t="s">
        <v>16</v>
      </c>
      <c r="I3264" t="s">
        <v>8</v>
      </c>
      <c r="J3264" t="str">
        <f>"09/06/1994 23:00"</f>
        <v>09/06/1994 23:00</v>
      </c>
    </row>
    <row r="3265" spans="1:10" x14ac:dyDescent="0.3">
      <c r="A3265" t="s">
        <v>6</v>
      </c>
      <c r="B3265" t="str">
        <f>"09/07/1994 00:00"</f>
        <v>09/07/1994 00:00</v>
      </c>
      <c r="C3265">
        <v>188</v>
      </c>
      <c r="D3265" t="s">
        <v>7</v>
      </c>
      <c r="E3265" s="2" t="s">
        <v>12</v>
      </c>
      <c r="F3265">
        <f t="shared" si="50"/>
        <v>372.80400000000003</v>
      </c>
      <c r="G3265" t="s">
        <v>16</v>
      </c>
      <c r="I3265" t="s">
        <v>8</v>
      </c>
      <c r="J3265" t="str">
        <f>"09/07/1994 23:00"</f>
        <v>09/07/1994 23:00</v>
      </c>
    </row>
    <row r="3266" spans="1:10" x14ac:dyDescent="0.3">
      <c r="A3266" t="s">
        <v>6</v>
      </c>
      <c r="B3266" t="str">
        <f>"09/08/1994 00:00"</f>
        <v>09/08/1994 00:00</v>
      </c>
      <c r="C3266">
        <v>182</v>
      </c>
      <c r="D3266" t="s">
        <v>7</v>
      </c>
      <c r="E3266" s="2" t="s">
        <v>12</v>
      </c>
      <c r="F3266">
        <f t="shared" si="50"/>
        <v>360.90600000000001</v>
      </c>
      <c r="G3266" t="s">
        <v>16</v>
      </c>
      <c r="I3266" t="s">
        <v>8</v>
      </c>
      <c r="J3266" t="str">
        <f>"09/08/1994 23:00"</f>
        <v>09/08/1994 23:00</v>
      </c>
    </row>
    <row r="3267" spans="1:10" x14ac:dyDescent="0.3">
      <c r="A3267" t="s">
        <v>6</v>
      </c>
      <c r="B3267" t="str">
        <f>"09/09/1994 00:00"</f>
        <v>09/09/1994 00:00</v>
      </c>
      <c r="C3267">
        <v>190</v>
      </c>
      <c r="D3267" t="s">
        <v>7</v>
      </c>
      <c r="E3267" s="2" t="s">
        <v>12</v>
      </c>
      <c r="F3267">
        <f t="shared" ref="F3267:F3330" si="51">C3267*1.983</f>
        <v>376.77000000000004</v>
      </c>
      <c r="G3267" t="s">
        <v>16</v>
      </c>
      <c r="I3267" t="s">
        <v>35</v>
      </c>
      <c r="J3267" t="str">
        <f>"09/09/1994 23:00"</f>
        <v>09/09/1994 23:00</v>
      </c>
    </row>
    <row r="3268" spans="1:10" x14ac:dyDescent="0.3">
      <c r="A3268" t="s">
        <v>6</v>
      </c>
      <c r="B3268" t="str">
        <f>"09/10/1994 00:00"</f>
        <v>09/10/1994 00:00</v>
      </c>
      <c r="C3268">
        <v>190</v>
      </c>
      <c r="D3268" t="s">
        <v>7</v>
      </c>
      <c r="E3268" s="2" t="s">
        <v>12</v>
      </c>
      <c r="F3268">
        <f t="shared" si="51"/>
        <v>376.77000000000004</v>
      </c>
      <c r="G3268" t="s">
        <v>16</v>
      </c>
      <c r="I3268" t="s">
        <v>8</v>
      </c>
      <c r="J3268" t="str">
        <f>"09/10/1994 23:00"</f>
        <v>09/10/1994 23:00</v>
      </c>
    </row>
    <row r="3269" spans="1:10" x14ac:dyDescent="0.3">
      <c r="A3269" t="s">
        <v>6</v>
      </c>
      <c r="B3269" t="str">
        <f>"09/11/1994 00:00"</f>
        <v>09/11/1994 00:00</v>
      </c>
      <c r="C3269">
        <v>190</v>
      </c>
      <c r="D3269" t="s">
        <v>7</v>
      </c>
      <c r="E3269" s="2" t="s">
        <v>12</v>
      </c>
      <c r="F3269">
        <f t="shared" si="51"/>
        <v>376.77000000000004</v>
      </c>
      <c r="G3269" t="s">
        <v>16</v>
      </c>
      <c r="J3269" t="str">
        <f>"09/11/1994 23:00"</f>
        <v>09/11/1994 23:00</v>
      </c>
    </row>
    <row r="3270" spans="1:10" x14ac:dyDescent="0.3">
      <c r="A3270" t="s">
        <v>6</v>
      </c>
      <c r="B3270" t="str">
        <f>"09/12/1994 00:00"</f>
        <v>09/12/1994 00:00</v>
      </c>
      <c r="C3270">
        <v>190</v>
      </c>
      <c r="D3270" t="s">
        <v>7</v>
      </c>
      <c r="E3270" s="2" t="s">
        <v>12</v>
      </c>
      <c r="F3270">
        <f t="shared" si="51"/>
        <v>376.77000000000004</v>
      </c>
      <c r="G3270" t="s">
        <v>16</v>
      </c>
      <c r="J3270" t="str">
        <f>"09/12/1994 23:00"</f>
        <v>09/12/1994 23:00</v>
      </c>
    </row>
    <row r="3271" spans="1:10" x14ac:dyDescent="0.3">
      <c r="A3271" t="s">
        <v>6</v>
      </c>
      <c r="B3271" t="str">
        <f>"09/13/1994 00:00"</f>
        <v>09/13/1994 00:00</v>
      </c>
      <c r="C3271">
        <v>150</v>
      </c>
      <c r="D3271" t="s">
        <v>7</v>
      </c>
      <c r="E3271" s="2" t="s">
        <v>12</v>
      </c>
      <c r="F3271">
        <f t="shared" si="51"/>
        <v>297.45</v>
      </c>
      <c r="G3271" t="s">
        <v>16</v>
      </c>
      <c r="I3271" t="s">
        <v>8</v>
      </c>
      <c r="J3271" t="str">
        <f>"09/13/1994 23:00"</f>
        <v>09/13/1994 23:00</v>
      </c>
    </row>
    <row r="3272" spans="1:10" x14ac:dyDescent="0.3">
      <c r="A3272" t="s">
        <v>6</v>
      </c>
      <c r="B3272" t="str">
        <f>"09/14/1994 00:00"</f>
        <v>09/14/1994 00:00</v>
      </c>
      <c r="C3272">
        <v>158</v>
      </c>
      <c r="D3272" t="s">
        <v>7</v>
      </c>
      <c r="E3272" s="2" t="s">
        <v>12</v>
      </c>
      <c r="F3272">
        <f t="shared" si="51"/>
        <v>313.31400000000002</v>
      </c>
      <c r="G3272" t="s">
        <v>16</v>
      </c>
      <c r="I3272" t="s">
        <v>8</v>
      </c>
      <c r="J3272" t="str">
        <f>"09/14/1994 23:00"</f>
        <v>09/14/1994 23:00</v>
      </c>
    </row>
    <row r="3273" spans="1:10" x14ac:dyDescent="0.3">
      <c r="A3273" t="s">
        <v>6</v>
      </c>
      <c r="B3273" t="str">
        <f>"09/15/1994 00:00"</f>
        <v>09/15/1994 00:00</v>
      </c>
      <c r="C3273">
        <v>166</v>
      </c>
      <c r="D3273" t="s">
        <v>7</v>
      </c>
      <c r="E3273" s="2" t="s">
        <v>12</v>
      </c>
      <c r="F3273">
        <f t="shared" si="51"/>
        <v>329.178</v>
      </c>
      <c r="G3273" t="s">
        <v>16</v>
      </c>
      <c r="I3273" t="s">
        <v>8</v>
      </c>
      <c r="J3273" t="str">
        <f>"09/15/1994 23:00"</f>
        <v>09/15/1994 23:00</v>
      </c>
    </row>
    <row r="3274" spans="1:10" x14ac:dyDescent="0.3">
      <c r="A3274" t="s">
        <v>6</v>
      </c>
      <c r="B3274" t="str">
        <f>"09/16/1994 00:00"</f>
        <v>09/16/1994 00:00</v>
      </c>
      <c r="C3274">
        <v>190</v>
      </c>
      <c r="D3274" t="s">
        <v>7</v>
      </c>
      <c r="E3274" s="2" t="s">
        <v>12</v>
      </c>
      <c r="F3274">
        <f t="shared" si="51"/>
        <v>376.77000000000004</v>
      </c>
      <c r="G3274" t="s">
        <v>16</v>
      </c>
      <c r="I3274" t="s">
        <v>8</v>
      </c>
      <c r="J3274" t="str">
        <f>"09/16/1994 23:00"</f>
        <v>09/16/1994 23:00</v>
      </c>
    </row>
    <row r="3275" spans="1:10" x14ac:dyDescent="0.3">
      <c r="A3275" t="s">
        <v>6</v>
      </c>
      <c r="B3275" t="str">
        <f>"09/17/1994 00:00"</f>
        <v>09/17/1994 00:00</v>
      </c>
      <c r="C3275">
        <v>190</v>
      </c>
      <c r="D3275" t="s">
        <v>7</v>
      </c>
      <c r="E3275" s="2" t="s">
        <v>12</v>
      </c>
      <c r="F3275">
        <f t="shared" si="51"/>
        <v>376.77000000000004</v>
      </c>
      <c r="G3275" t="s">
        <v>16</v>
      </c>
      <c r="I3275" t="s">
        <v>8</v>
      </c>
      <c r="J3275" t="str">
        <f>"09/17/1994 23:00"</f>
        <v>09/17/1994 23:00</v>
      </c>
    </row>
    <row r="3276" spans="1:10" x14ac:dyDescent="0.3">
      <c r="A3276" t="s">
        <v>6</v>
      </c>
      <c r="B3276" t="str">
        <f>"09/18/1994 00:00"</f>
        <v>09/18/1994 00:00</v>
      </c>
      <c r="C3276">
        <v>190</v>
      </c>
      <c r="D3276" t="s">
        <v>7</v>
      </c>
      <c r="E3276" s="2" t="s">
        <v>12</v>
      </c>
      <c r="F3276">
        <f t="shared" si="51"/>
        <v>376.77000000000004</v>
      </c>
      <c r="G3276" t="s">
        <v>16</v>
      </c>
      <c r="I3276" t="s">
        <v>8</v>
      </c>
      <c r="J3276" t="str">
        <f>"09/18/1994 23:00"</f>
        <v>09/18/1994 23:00</v>
      </c>
    </row>
    <row r="3277" spans="1:10" x14ac:dyDescent="0.3">
      <c r="A3277" t="s">
        <v>6</v>
      </c>
      <c r="B3277" t="str">
        <f>"09/19/1994 00:00"</f>
        <v>09/19/1994 00:00</v>
      </c>
      <c r="C3277">
        <v>190</v>
      </c>
      <c r="D3277" t="s">
        <v>7</v>
      </c>
      <c r="E3277" s="2" t="s">
        <v>12</v>
      </c>
      <c r="F3277">
        <f t="shared" si="51"/>
        <v>376.77000000000004</v>
      </c>
      <c r="G3277" t="s">
        <v>16</v>
      </c>
      <c r="I3277" t="s">
        <v>8</v>
      </c>
      <c r="J3277" t="str">
        <f>"09/19/1994 23:00"</f>
        <v>09/19/1994 23:00</v>
      </c>
    </row>
    <row r="3278" spans="1:10" x14ac:dyDescent="0.3">
      <c r="A3278" t="s">
        <v>6</v>
      </c>
      <c r="B3278" t="str">
        <f>"09/20/1994 00:00"</f>
        <v>09/20/1994 00:00</v>
      </c>
      <c r="C3278">
        <v>194</v>
      </c>
      <c r="D3278" t="s">
        <v>7</v>
      </c>
      <c r="E3278" s="2" t="s">
        <v>12</v>
      </c>
      <c r="F3278">
        <f t="shared" si="51"/>
        <v>384.702</v>
      </c>
      <c r="G3278" t="s">
        <v>16</v>
      </c>
      <c r="I3278" t="s">
        <v>8</v>
      </c>
      <c r="J3278" t="str">
        <f>"09/20/1994 23:00"</f>
        <v>09/20/1994 23:00</v>
      </c>
    </row>
    <row r="3279" spans="1:10" x14ac:dyDescent="0.3">
      <c r="A3279" t="s">
        <v>6</v>
      </c>
      <c r="B3279" t="str">
        <f>"09/21/1994 00:00"</f>
        <v>09/21/1994 00:00</v>
      </c>
      <c r="C3279">
        <v>148</v>
      </c>
      <c r="D3279" t="s">
        <v>7</v>
      </c>
      <c r="E3279" s="2" t="s">
        <v>12</v>
      </c>
      <c r="F3279">
        <f t="shared" si="51"/>
        <v>293.48400000000004</v>
      </c>
      <c r="G3279" t="s">
        <v>16</v>
      </c>
      <c r="J3279" t="str">
        <f>"09/21/1994 23:00"</f>
        <v>09/21/1994 23:00</v>
      </c>
    </row>
    <row r="3280" spans="1:10" x14ac:dyDescent="0.3">
      <c r="A3280" t="s">
        <v>6</v>
      </c>
      <c r="B3280" t="str">
        <f>"09/22/1994 00:00"</f>
        <v>09/22/1994 00:00</v>
      </c>
      <c r="C3280">
        <v>168</v>
      </c>
      <c r="D3280" t="s">
        <v>7</v>
      </c>
      <c r="E3280" s="2" t="s">
        <v>12</v>
      </c>
      <c r="F3280">
        <f t="shared" si="51"/>
        <v>333.14400000000001</v>
      </c>
      <c r="G3280" t="s">
        <v>16</v>
      </c>
      <c r="J3280" t="str">
        <f>"09/22/1994 23:00"</f>
        <v>09/22/1994 23:00</v>
      </c>
    </row>
    <row r="3281" spans="1:10" x14ac:dyDescent="0.3">
      <c r="A3281" t="s">
        <v>6</v>
      </c>
      <c r="B3281" t="str">
        <f>"09/23/1994 00:00"</f>
        <v>09/23/1994 00:00</v>
      </c>
      <c r="C3281">
        <v>57</v>
      </c>
      <c r="D3281" t="s">
        <v>7</v>
      </c>
      <c r="E3281" s="2" t="s">
        <v>12</v>
      </c>
      <c r="F3281">
        <f t="shared" si="51"/>
        <v>113.03100000000001</v>
      </c>
      <c r="G3281" t="s">
        <v>16</v>
      </c>
      <c r="J3281" t="str">
        <f>"09/23/1994 23:00"</f>
        <v>09/23/1994 23:00</v>
      </c>
    </row>
    <row r="3282" spans="1:10" x14ac:dyDescent="0.3">
      <c r="A3282" t="s">
        <v>6</v>
      </c>
      <c r="B3282" t="str">
        <f>"09/24/1994 00:00"</f>
        <v>09/24/1994 00:00</v>
      </c>
      <c r="C3282">
        <v>19.600000000000001</v>
      </c>
      <c r="D3282" t="s">
        <v>7</v>
      </c>
      <c r="E3282" s="2" t="s">
        <v>12</v>
      </c>
      <c r="F3282">
        <f t="shared" si="51"/>
        <v>38.866800000000005</v>
      </c>
      <c r="G3282" t="s">
        <v>16</v>
      </c>
      <c r="J3282" t="str">
        <f>"09/24/1994 23:00"</f>
        <v>09/24/1994 23:00</v>
      </c>
    </row>
    <row r="3283" spans="1:10" x14ac:dyDescent="0.3">
      <c r="A3283" t="s">
        <v>6</v>
      </c>
      <c r="B3283" t="str">
        <f>"09/25/1994 00:00"</f>
        <v>09/25/1994 00:00</v>
      </c>
      <c r="C3283">
        <v>0</v>
      </c>
      <c r="D3283" t="s">
        <v>7</v>
      </c>
      <c r="E3283" s="2" t="s">
        <v>12</v>
      </c>
      <c r="F3283">
        <f t="shared" si="51"/>
        <v>0</v>
      </c>
      <c r="G3283" t="s">
        <v>16</v>
      </c>
      <c r="J3283" t="str">
        <f>"09/25/1994 23:00"</f>
        <v>09/25/1994 23:00</v>
      </c>
    </row>
    <row r="3284" spans="1:10" x14ac:dyDescent="0.3">
      <c r="A3284" t="s">
        <v>6</v>
      </c>
      <c r="B3284" t="str">
        <f>"09/26/1994 00:00"</f>
        <v>09/26/1994 00:00</v>
      </c>
      <c r="C3284">
        <v>0</v>
      </c>
      <c r="D3284" t="s">
        <v>7</v>
      </c>
      <c r="E3284" s="2" t="s">
        <v>12</v>
      </c>
      <c r="F3284">
        <f t="shared" si="51"/>
        <v>0</v>
      </c>
      <c r="G3284" t="s">
        <v>16</v>
      </c>
      <c r="J3284" t="str">
        <f>"09/26/1994 23:00"</f>
        <v>09/26/1994 23:00</v>
      </c>
    </row>
    <row r="3285" spans="1:10" x14ac:dyDescent="0.3">
      <c r="A3285" t="s">
        <v>6</v>
      </c>
      <c r="B3285" t="str">
        <f>"09/27/1994 00:00"</f>
        <v>09/27/1994 00:00</v>
      </c>
      <c r="C3285">
        <v>0</v>
      </c>
      <c r="D3285" t="s">
        <v>7</v>
      </c>
      <c r="E3285" s="2" t="s">
        <v>12</v>
      </c>
      <c r="F3285">
        <f t="shared" si="51"/>
        <v>0</v>
      </c>
      <c r="G3285" t="s">
        <v>16</v>
      </c>
      <c r="J3285" t="str">
        <f>"09/27/1994 23:00"</f>
        <v>09/27/1994 23:00</v>
      </c>
    </row>
    <row r="3286" spans="1:10" x14ac:dyDescent="0.3">
      <c r="A3286" t="s">
        <v>6</v>
      </c>
      <c r="B3286" t="str">
        <f>"09/28/1994 00:00"</f>
        <v>09/28/1994 00:00</v>
      </c>
      <c r="C3286">
        <v>0</v>
      </c>
      <c r="D3286" t="s">
        <v>7</v>
      </c>
      <c r="E3286" s="2" t="s">
        <v>12</v>
      </c>
      <c r="F3286">
        <f t="shared" si="51"/>
        <v>0</v>
      </c>
      <c r="G3286" t="s">
        <v>16</v>
      </c>
      <c r="J3286" t="str">
        <f>"09/28/1994 23:00"</f>
        <v>09/28/1994 23:00</v>
      </c>
    </row>
    <row r="3287" spans="1:10" x14ac:dyDescent="0.3">
      <c r="A3287" t="s">
        <v>6</v>
      </c>
      <c r="B3287" t="str">
        <f>"09/29/1994 00:00"</f>
        <v>09/29/1994 00:00</v>
      </c>
      <c r="C3287">
        <v>43.7</v>
      </c>
      <c r="D3287" t="s">
        <v>7</v>
      </c>
      <c r="E3287" s="2" t="s">
        <v>12</v>
      </c>
      <c r="F3287">
        <f t="shared" si="51"/>
        <v>86.657100000000014</v>
      </c>
      <c r="G3287" t="s">
        <v>16</v>
      </c>
      <c r="J3287" t="str">
        <f>"09/29/1994 23:00"</f>
        <v>09/29/1994 23:00</v>
      </c>
    </row>
    <row r="3288" spans="1:10" x14ac:dyDescent="0.3">
      <c r="A3288" t="s">
        <v>6</v>
      </c>
      <c r="B3288" t="str">
        <f>"09/30/1994 00:00"</f>
        <v>09/30/1994 00:00</v>
      </c>
      <c r="C3288">
        <v>62.1</v>
      </c>
      <c r="D3288" t="s">
        <v>7</v>
      </c>
      <c r="E3288" s="2" t="s">
        <v>12</v>
      </c>
      <c r="F3288">
        <f t="shared" si="51"/>
        <v>123.14430000000002</v>
      </c>
      <c r="G3288" t="s">
        <v>16</v>
      </c>
      <c r="J3288" t="str">
        <f>"09/30/1994 23:00"</f>
        <v>09/30/1994 23:00</v>
      </c>
    </row>
    <row r="3289" spans="1:10" x14ac:dyDescent="0.3">
      <c r="A3289" t="s">
        <v>6</v>
      </c>
      <c r="B3289" t="str">
        <f>"10/01/1994 00:00"</f>
        <v>10/01/1994 00:00</v>
      </c>
      <c r="C3289">
        <v>262</v>
      </c>
      <c r="D3289" t="s">
        <v>7</v>
      </c>
      <c r="E3289" s="2" t="s">
        <v>12</v>
      </c>
      <c r="F3289">
        <f t="shared" si="51"/>
        <v>519.54600000000005</v>
      </c>
      <c r="G3289" t="s">
        <v>16</v>
      </c>
      <c r="J3289" t="str">
        <f>"10/01/1994 23:00"</f>
        <v>10/01/1994 23:00</v>
      </c>
    </row>
    <row r="3290" spans="1:10" x14ac:dyDescent="0.3">
      <c r="A3290" t="s">
        <v>6</v>
      </c>
      <c r="B3290" t="str">
        <f>"10/02/1994 00:00"</f>
        <v>10/02/1994 00:00</v>
      </c>
      <c r="C3290">
        <v>231</v>
      </c>
      <c r="D3290" t="s">
        <v>7</v>
      </c>
      <c r="E3290" s="2" t="s">
        <v>12</v>
      </c>
      <c r="F3290">
        <f t="shared" si="51"/>
        <v>458.07300000000004</v>
      </c>
      <c r="G3290" t="s">
        <v>16</v>
      </c>
      <c r="I3290" t="s">
        <v>8</v>
      </c>
      <c r="J3290" t="str">
        <f>"10/02/1994 23:00"</f>
        <v>10/02/1994 23:00</v>
      </c>
    </row>
    <row r="3291" spans="1:10" x14ac:dyDescent="0.3">
      <c r="A3291" t="s">
        <v>6</v>
      </c>
      <c r="B3291" t="str">
        <f>"10/03/1994 00:00"</f>
        <v>10/03/1994 00:00</v>
      </c>
      <c r="C3291">
        <v>221</v>
      </c>
      <c r="D3291" t="s">
        <v>7</v>
      </c>
      <c r="E3291" s="2" t="s">
        <v>12</v>
      </c>
      <c r="F3291">
        <f t="shared" si="51"/>
        <v>438.24299999999999</v>
      </c>
      <c r="G3291" t="s">
        <v>16</v>
      </c>
      <c r="I3291" t="s">
        <v>8</v>
      </c>
      <c r="J3291" t="str">
        <f>"10/03/1994 23:00"</f>
        <v>10/03/1994 23:00</v>
      </c>
    </row>
    <row r="3292" spans="1:10" x14ac:dyDescent="0.3">
      <c r="A3292" t="s">
        <v>6</v>
      </c>
      <c r="B3292" t="str">
        <f>"10/04/1994 00:00"</f>
        <v>10/04/1994 00:00</v>
      </c>
      <c r="C3292">
        <v>231</v>
      </c>
      <c r="D3292" t="s">
        <v>7</v>
      </c>
      <c r="E3292" s="2" t="s">
        <v>12</v>
      </c>
      <c r="F3292">
        <f t="shared" si="51"/>
        <v>458.07300000000004</v>
      </c>
      <c r="G3292" t="s">
        <v>16</v>
      </c>
      <c r="J3292" t="str">
        <f>"10/04/1994 23:00"</f>
        <v>10/04/1994 23:00</v>
      </c>
    </row>
    <row r="3293" spans="1:10" x14ac:dyDescent="0.3">
      <c r="A3293" t="s">
        <v>6</v>
      </c>
      <c r="B3293" t="str">
        <f>"10/05/1994 00:00"</f>
        <v>10/05/1994 00:00</v>
      </c>
      <c r="C3293">
        <v>133</v>
      </c>
      <c r="D3293" t="s">
        <v>7</v>
      </c>
      <c r="E3293" s="2" t="s">
        <v>12</v>
      </c>
      <c r="F3293">
        <f t="shared" si="51"/>
        <v>263.73900000000003</v>
      </c>
      <c r="G3293" t="s">
        <v>16</v>
      </c>
      <c r="J3293" t="str">
        <f>"10/05/1994 23:00"</f>
        <v>10/05/1994 23:00</v>
      </c>
    </row>
    <row r="3294" spans="1:10" x14ac:dyDescent="0.3">
      <c r="A3294" t="s">
        <v>6</v>
      </c>
      <c r="B3294" t="str">
        <f>"10/06/1994 00:00"</f>
        <v>10/06/1994 00:00</v>
      </c>
      <c r="C3294">
        <v>57.5</v>
      </c>
      <c r="D3294" t="s">
        <v>7</v>
      </c>
      <c r="E3294" s="2" t="s">
        <v>12</v>
      </c>
      <c r="F3294">
        <f t="shared" si="51"/>
        <v>114.02250000000001</v>
      </c>
      <c r="G3294" t="s">
        <v>16</v>
      </c>
      <c r="J3294" t="str">
        <f>"10/06/1994 23:00"</f>
        <v>10/06/1994 23:00</v>
      </c>
    </row>
    <row r="3295" spans="1:10" x14ac:dyDescent="0.3">
      <c r="A3295" t="s">
        <v>6</v>
      </c>
      <c r="B3295" t="str">
        <f>"10/07/1994 00:00"</f>
        <v>10/07/1994 00:00</v>
      </c>
      <c r="C3295">
        <v>40.4</v>
      </c>
      <c r="D3295" t="s">
        <v>7</v>
      </c>
      <c r="E3295" s="2" t="s">
        <v>12</v>
      </c>
      <c r="F3295">
        <f t="shared" si="51"/>
        <v>80.113200000000006</v>
      </c>
      <c r="G3295" t="s">
        <v>16</v>
      </c>
      <c r="J3295" t="str">
        <f>"10/07/1994 23:00"</f>
        <v>10/07/1994 23:00</v>
      </c>
    </row>
    <row r="3296" spans="1:10" x14ac:dyDescent="0.3">
      <c r="A3296" t="s">
        <v>6</v>
      </c>
      <c r="B3296" t="str">
        <f>"10/08/1994 00:00"</f>
        <v>10/08/1994 00:00</v>
      </c>
      <c r="C3296">
        <v>0</v>
      </c>
      <c r="D3296" t="s">
        <v>7</v>
      </c>
      <c r="E3296" s="2" t="s">
        <v>12</v>
      </c>
      <c r="F3296">
        <f t="shared" si="51"/>
        <v>0</v>
      </c>
      <c r="G3296" t="s">
        <v>16</v>
      </c>
      <c r="I3296" t="s">
        <v>8</v>
      </c>
      <c r="J3296" t="str">
        <f>"10/08/1994 23:00"</f>
        <v>10/08/1994 23:00</v>
      </c>
    </row>
    <row r="3297" spans="1:10" x14ac:dyDescent="0.3">
      <c r="A3297" t="s">
        <v>6</v>
      </c>
      <c r="B3297" t="str">
        <f>"10/09/1994 00:00"</f>
        <v>10/09/1994 00:00</v>
      </c>
      <c r="C3297">
        <v>0</v>
      </c>
      <c r="D3297" t="s">
        <v>7</v>
      </c>
      <c r="E3297" s="2" t="s">
        <v>12</v>
      </c>
      <c r="F3297">
        <f t="shared" si="51"/>
        <v>0</v>
      </c>
      <c r="G3297" t="s">
        <v>16</v>
      </c>
      <c r="I3297" t="s">
        <v>35</v>
      </c>
      <c r="J3297" t="str">
        <f>"10/09/1994 23:00"</f>
        <v>10/09/1994 23:00</v>
      </c>
    </row>
    <row r="3298" spans="1:10" x14ac:dyDescent="0.3">
      <c r="A3298" t="s">
        <v>6</v>
      </c>
      <c r="B3298" t="str">
        <f>"10/10/1994 00:00"</f>
        <v>10/10/1994 00:00</v>
      </c>
      <c r="C3298">
        <v>0</v>
      </c>
      <c r="D3298" t="s">
        <v>7</v>
      </c>
      <c r="E3298" s="2" t="s">
        <v>12</v>
      </c>
      <c r="F3298">
        <f t="shared" si="51"/>
        <v>0</v>
      </c>
      <c r="G3298" t="s">
        <v>16</v>
      </c>
      <c r="I3298" t="s">
        <v>35</v>
      </c>
      <c r="J3298" t="str">
        <f>"10/10/1994 23:00"</f>
        <v>10/10/1994 23:00</v>
      </c>
    </row>
    <row r="3299" spans="1:10" x14ac:dyDescent="0.3">
      <c r="A3299" t="s">
        <v>6</v>
      </c>
      <c r="B3299" t="str">
        <f>"10/11/1994 00:00"</f>
        <v>10/11/1994 00:00</v>
      </c>
      <c r="C3299">
        <v>0</v>
      </c>
      <c r="D3299" t="s">
        <v>7</v>
      </c>
      <c r="E3299" s="2" t="s">
        <v>12</v>
      </c>
      <c r="F3299">
        <f t="shared" si="51"/>
        <v>0</v>
      </c>
      <c r="G3299" t="s">
        <v>16</v>
      </c>
      <c r="I3299" t="s">
        <v>8</v>
      </c>
      <c r="J3299" t="str">
        <f>"10/11/1994 23:00"</f>
        <v>10/11/1994 23:00</v>
      </c>
    </row>
    <row r="3300" spans="1:10" x14ac:dyDescent="0.3">
      <c r="A3300" t="s">
        <v>6</v>
      </c>
      <c r="B3300" t="str">
        <f>"10/12/1994 00:00"</f>
        <v>10/12/1994 00:00</v>
      </c>
      <c r="C3300">
        <v>0</v>
      </c>
      <c r="D3300" t="s">
        <v>7</v>
      </c>
      <c r="E3300" s="2" t="s">
        <v>12</v>
      </c>
      <c r="F3300">
        <f t="shared" si="51"/>
        <v>0</v>
      </c>
      <c r="G3300" t="s">
        <v>16</v>
      </c>
      <c r="I3300" t="s">
        <v>35</v>
      </c>
      <c r="J3300" t="str">
        <f>"10/12/1994 23:00"</f>
        <v>10/12/1994 23:00</v>
      </c>
    </row>
    <row r="3301" spans="1:10" x14ac:dyDescent="0.3">
      <c r="A3301" t="s">
        <v>6</v>
      </c>
      <c r="B3301" t="str">
        <f>"10/13/1994 00:00"</f>
        <v>10/13/1994 00:00</v>
      </c>
      <c r="C3301">
        <v>0</v>
      </c>
      <c r="D3301" t="s">
        <v>7</v>
      </c>
      <c r="E3301" s="2" t="s">
        <v>12</v>
      </c>
      <c r="F3301">
        <f t="shared" si="51"/>
        <v>0</v>
      </c>
      <c r="G3301" t="s">
        <v>16</v>
      </c>
      <c r="I3301" t="s">
        <v>35</v>
      </c>
      <c r="J3301" t="str">
        <f>"10/13/1994 23:00"</f>
        <v>10/13/1994 23:00</v>
      </c>
    </row>
    <row r="3302" spans="1:10" x14ac:dyDescent="0.3">
      <c r="A3302" t="s">
        <v>6</v>
      </c>
      <c r="B3302" t="str">
        <f>"10/14/1994 00:00"</f>
        <v>10/14/1994 00:00</v>
      </c>
      <c r="C3302">
        <v>0</v>
      </c>
      <c r="D3302" t="s">
        <v>7</v>
      </c>
      <c r="E3302" s="2" t="s">
        <v>12</v>
      </c>
      <c r="F3302">
        <f t="shared" si="51"/>
        <v>0</v>
      </c>
      <c r="G3302" t="s">
        <v>16</v>
      </c>
      <c r="I3302" t="s">
        <v>35</v>
      </c>
      <c r="J3302" t="str">
        <f>"10/14/1994 23:00"</f>
        <v>10/14/1994 23:00</v>
      </c>
    </row>
    <row r="3303" spans="1:10" x14ac:dyDescent="0.3">
      <c r="A3303" t="s">
        <v>6</v>
      </c>
      <c r="B3303" t="str">
        <f>"10/15/1994 00:00"</f>
        <v>10/15/1994 00:00</v>
      </c>
      <c r="C3303">
        <v>0</v>
      </c>
      <c r="D3303" t="s">
        <v>7</v>
      </c>
      <c r="E3303" s="2" t="s">
        <v>12</v>
      </c>
      <c r="F3303">
        <f t="shared" si="51"/>
        <v>0</v>
      </c>
      <c r="G3303" t="s">
        <v>16</v>
      </c>
      <c r="I3303" t="s">
        <v>35</v>
      </c>
      <c r="J3303" t="str">
        <f>"10/15/1994 23:00"</f>
        <v>10/15/1994 23:00</v>
      </c>
    </row>
    <row r="3304" spans="1:10" x14ac:dyDescent="0.3">
      <c r="A3304" t="s">
        <v>6</v>
      </c>
      <c r="B3304" t="str">
        <f>"10/16/1994 00:00"</f>
        <v>10/16/1994 00:00</v>
      </c>
      <c r="C3304">
        <v>0</v>
      </c>
      <c r="D3304" t="s">
        <v>7</v>
      </c>
      <c r="E3304" s="2" t="s">
        <v>12</v>
      </c>
      <c r="F3304">
        <f t="shared" si="51"/>
        <v>0</v>
      </c>
      <c r="G3304" t="s">
        <v>16</v>
      </c>
      <c r="I3304" t="s">
        <v>35</v>
      </c>
      <c r="J3304" t="str">
        <f>"10/16/1994 23:00"</f>
        <v>10/16/1994 23:00</v>
      </c>
    </row>
    <row r="3305" spans="1:10" x14ac:dyDescent="0.3">
      <c r="A3305" t="s">
        <v>6</v>
      </c>
      <c r="B3305" t="str">
        <f>"10/17/1994 00:00"</f>
        <v>10/17/1994 00:00</v>
      </c>
      <c r="C3305">
        <v>0</v>
      </c>
      <c r="D3305" t="s">
        <v>7</v>
      </c>
      <c r="E3305" s="2" t="s">
        <v>12</v>
      </c>
      <c r="F3305">
        <f t="shared" si="51"/>
        <v>0</v>
      </c>
      <c r="G3305" t="s">
        <v>16</v>
      </c>
      <c r="I3305" t="s">
        <v>35</v>
      </c>
      <c r="J3305" t="str">
        <f>"10/17/1994 23:00"</f>
        <v>10/17/1994 23:00</v>
      </c>
    </row>
    <row r="3306" spans="1:10" x14ac:dyDescent="0.3">
      <c r="A3306" t="s">
        <v>6</v>
      </c>
      <c r="B3306" t="str">
        <f>"10/18/1994 00:00"</f>
        <v>10/18/1994 00:00</v>
      </c>
      <c r="C3306">
        <v>0</v>
      </c>
      <c r="D3306" t="s">
        <v>7</v>
      </c>
      <c r="E3306" s="2" t="s">
        <v>12</v>
      </c>
      <c r="F3306">
        <f t="shared" si="51"/>
        <v>0</v>
      </c>
      <c r="G3306" t="s">
        <v>16</v>
      </c>
      <c r="I3306" t="s">
        <v>35</v>
      </c>
      <c r="J3306" t="str">
        <f>"10/18/1994 23:00"</f>
        <v>10/18/1994 23:00</v>
      </c>
    </row>
    <row r="3307" spans="1:10" x14ac:dyDescent="0.3">
      <c r="A3307" t="s">
        <v>6</v>
      </c>
      <c r="B3307" t="str">
        <f>"10/19/1994 00:00"</f>
        <v>10/19/1994 00:00</v>
      </c>
      <c r="C3307">
        <v>0</v>
      </c>
      <c r="D3307" t="s">
        <v>7</v>
      </c>
      <c r="E3307" s="2" t="s">
        <v>12</v>
      </c>
      <c r="F3307">
        <f t="shared" si="51"/>
        <v>0</v>
      </c>
      <c r="G3307" t="s">
        <v>16</v>
      </c>
      <c r="I3307" t="s">
        <v>35</v>
      </c>
      <c r="J3307" t="str">
        <f>"10/19/1994 23:00"</f>
        <v>10/19/1994 23:00</v>
      </c>
    </row>
    <row r="3308" spans="1:10" x14ac:dyDescent="0.3">
      <c r="A3308" t="s">
        <v>6</v>
      </c>
      <c r="B3308" t="str">
        <f>"10/20/1994 00:00"</f>
        <v>10/20/1994 00:00</v>
      </c>
      <c r="C3308">
        <v>0</v>
      </c>
      <c r="D3308" t="s">
        <v>7</v>
      </c>
      <c r="E3308" s="2" t="s">
        <v>12</v>
      </c>
      <c r="F3308">
        <f t="shared" si="51"/>
        <v>0</v>
      </c>
      <c r="G3308" t="s">
        <v>16</v>
      </c>
      <c r="I3308" t="s">
        <v>8</v>
      </c>
      <c r="J3308" t="str">
        <f>"10/20/1994 23:00"</f>
        <v>10/20/1994 23:00</v>
      </c>
    </row>
    <row r="3309" spans="1:10" x14ac:dyDescent="0.3">
      <c r="A3309" t="s">
        <v>6</v>
      </c>
      <c r="B3309" t="str">
        <f>"10/21/1994 00:00"</f>
        <v>10/21/1994 00:00</v>
      </c>
      <c r="C3309">
        <v>0</v>
      </c>
      <c r="D3309" t="s">
        <v>7</v>
      </c>
      <c r="E3309" s="2" t="s">
        <v>12</v>
      </c>
      <c r="F3309">
        <f t="shared" si="51"/>
        <v>0</v>
      </c>
      <c r="G3309" t="s">
        <v>16</v>
      </c>
      <c r="I3309" t="s">
        <v>8</v>
      </c>
      <c r="J3309" t="str">
        <f>"10/21/1994 23:00"</f>
        <v>10/21/1994 23:00</v>
      </c>
    </row>
    <row r="3310" spans="1:10" x14ac:dyDescent="0.3">
      <c r="A3310" t="s">
        <v>6</v>
      </c>
      <c r="B3310" t="str">
        <f>"10/22/1994 00:00"</f>
        <v>10/22/1994 00:00</v>
      </c>
      <c r="C3310">
        <v>0</v>
      </c>
      <c r="D3310" t="s">
        <v>7</v>
      </c>
      <c r="E3310" s="2" t="s">
        <v>12</v>
      </c>
      <c r="F3310">
        <f t="shared" si="51"/>
        <v>0</v>
      </c>
      <c r="G3310" t="s">
        <v>16</v>
      </c>
      <c r="I3310" t="s">
        <v>35</v>
      </c>
      <c r="J3310" t="str">
        <f>"10/22/1994 23:00"</f>
        <v>10/22/1994 23:00</v>
      </c>
    </row>
    <row r="3311" spans="1:10" x14ac:dyDescent="0.3">
      <c r="A3311" t="s">
        <v>6</v>
      </c>
      <c r="B3311" t="str">
        <f>"10/23/1994 00:00"</f>
        <v>10/23/1994 00:00</v>
      </c>
      <c r="C3311">
        <v>0</v>
      </c>
      <c r="D3311" t="s">
        <v>7</v>
      </c>
      <c r="E3311" s="2" t="s">
        <v>12</v>
      </c>
      <c r="F3311">
        <f t="shared" si="51"/>
        <v>0</v>
      </c>
      <c r="G3311" t="s">
        <v>16</v>
      </c>
      <c r="I3311" t="s">
        <v>35</v>
      </c>
      <c r="J3311" t="str">
        <f>"10/23/1994 23:00"</f>
        <v>10/23/1994 23:00</v>
      </c>
    </row>
    <row r="3312" spans="1:10" x14ac:dyDescent="0.3">
      <c r="A3312" t="s">
        <v>6</v>
      </c>
      <c r="B3312" t="str">
        <f>"10/24/1994 00:00"</f>
        <v>10/24/1994 00:00</v>
      </c>
      <c r="C3312">
        <v>0</v>
      </c>
      <c r="D3312" t="s">
        <v>7</v>
      </c>
      <c r="E3312" s="2" t="s">
        <v>12</v>
      </c>
      <c r="F3312">
        <f t="shared" si="51"/>
        <v>0</v>
      </c>
      <c r="G3312" t="s">
        <v>16</v>
      </c>
      <c r="I3312" t="s">
        <v>8</v>
      </c>
      <c r="J3312" t="str">
        <f>"10/24/1994 23:00"</f>
        <v>10/24/1994 23:00</v>
      </c>
    </row>
    <row r="3313" spans="1:10" x14ac:dyDescent="0.3">
      <c r="A3313" t="s">
        <v>6</v>
      </c>
      <c r="B3313" t="str">
        <f>"10/25/1994 00:00"</f>
        <v>10/25/1994 00:00</v>
      </c>
      <c r="C3313">
        <v>0</v>
      </c>
      <c r="D3313" t="s">
        <v>7</v>
      </c>
      <c r="E3313" s="2" t="s">
        <v>12</v>
      </c>
      <c r="F3313">
        <f t="shared" si="51"/>
        <v>0</v>
      </c>
      <c r="G3313" t="s">
        <v>16</v>
      </c>
      <c r="J3313" t="str">
        <f>"10/25/1994 23:00"</f>
        <v>10/25/1994 23:00</v>
      </c>
    </row>
    <row r="3314" spans="1:10" x14ac:dyDescent="0.3">
      <c r="A3314" t="s">
        <v>6</v>
      </c>
      <c r="B3314" t="str">
        <f>"10/26/1994 00:00"</f>
        <v>10/26/1994 00:00</v>
      </c>
      <c r="C3314">
        <v>21.1</v>
      </c>
      <c r="D3314" t="s">
        <v>7</v>
      </c>
      <c r="E3314" s="2" t="s">
        <v>12</v>
      </c>
      <c r="F3314">
        <f t="shared" si="51"/>
        <v>41.841300000000004</v>
      </c>
      <c r="G3314" t="s">
        <v>16</v>
      </c>
      <c r="J3314" t="str">
        <f>"10/26/1994 23:00"</f>
        <v>10/26/1994 23:00</v>
      </c>
    </row>
    <row r="3315" spans="1:10" x14ac:dyDescent="0.3">
      <c r="A3315" t="s">
        <v>6</v>
      </c>
      <c r="B3315" t="str">
        <f>"10/27/1994 00:00"</f>
        <v>10/27/1994 00:00</v>
      </c>
      <c r="C3315">
        <v>0</v>
      </c>
      <c r="D3315" t="s">
        <v>7</v>
      </c>
      <c r="E3315" s="2" t="s">
        <v>12</v>
      </c>
      <c r="F3315">
        <f t="shared" si="51"/>
        <v>0</v>
      </c>
      <c r="G3315" t="s">
        <v>16</v>
      </c>
      <c r="I3315" t="s">
        <v>8</v>
      </c>
      <c r="J3315" t="str">
        <f>"10/27/1994 23:00"</f>
        <v>10/27/1994 23:00</v>
      </c>
    </row>
    <row r="3316" spans="1:10" x14ac:dyDescent="0.3">
      <c r="A3316" t="s">
        <v>6</v>
      </c>
      <c r="B3316" t="str">
        <f>"10/28/1994 00:00"</f>
        <v>10/28/1994 00:00</v>
      </c>
      <c r="C3316">
        <v>0</v>
      </c>
      <c r="D3316" t="s">
        <v>7</v>
      </c>
      <c r="E3316" s="2" t="s">
        <v>12</v>
      </c>
      <c r="F3316">
        <f t="shared" si="51"/>
        <v>0</v>
      </c>
      <c r="G3316" t="s">
        <v>16</v>
      </c>
      <c r="I3316" t="s">
        <v>35</v>
      </c>
      <c r="J3316" t="str">
        <f>"10/28/1994 23:00"</f>
        <v>10/28/1994 23:00</v>
      </c>
    </row>
    <row r="3317" spans="1:10" x14ac:dyDescent="0.3">
      <c r="A3317" t="s">
        <v>6</v>
      </c>
      <c r="B3317" t="str">
        <f>"10/29/1994 00:00"</f>
        <v>10/29/1994 00:00</v>
      </c>
      <c r="C3317">
        <v>0</v>
      </c>
      <c r="D3317" t="s">
        <v>7</v>
      </c>
      <c r="E3317" s="2" t="s">
        <v>12</v>
      </c>
      <c r="F3317">
        <f t="shared" si="51"/>
        <v>0</v>
      </c>
      <c r="G3317" t="s">
        <v>16</v>
      </c>
      <c r="I3317" t="s">
        <v>35</v>
      </c>
      <c r="J3317" t="str">
        <f>"10/29/1994 23:00"</f>
        <v>10/29/1994 23:00</v>
      </c>
    </row>
    <row r="3318" spans="1:10" x14ac:dyDescent="0.3">
      <c r="A3318" t="s">
        <v>6</v>
      </c>
      <c r="B3318" t="str">
        <f>"10/30/1994 00:00"</f>
        <v>10/30/1994 00:00</v>
      </c>
      <c r="C3318">
        <v>0</v>
      </c>
      <c r="D3318" t="s">
        <v>7</v>
      </c>
      <c r="E3318" s="2" t="s">
        <v>12</v>
      </c>
      <c r="F3318">
        <f t="shared" si="51"/>
        <v>0</v>
      </c>
      <c r="G3318" t="s">
        <v>16</v>
      </c>
      <c r="I3318" t="s">
        <v>35</v>
      </c>
      <c r="J3318" t="str">
        <f>"10/30/1994 23:00"</f>
        <v>10/30/1994 23:00</v>
      </c>
    </row>
    <row r="3319" spans="1:10" x14ac:dyDescent="0.3">
      <c r="A3319" t="s">
        <v>6</v>
      </c>
      <c r="B3319" t="str">
        <f>"10/31/1994 00:00"</f>
        <v>10/31/1994 00:00</v>
      </c>
      <c r="C3319">
        <v>0</v>
      </c>
      <c r="D3319" t="s">
        <v>7</v>
      </c>
      <c r="E3319" s="2" t="s">
        <v>12</v>
      </c>
      <c r="F3319">
        <f t="shared" si="51"/>
        <v>0</v>
      </c>
      <c r="G3319" t="s">
        <v>16</v>
      </c>
      <c r="I3319" t="s">
        <v>8</v>
      </c>
      <c r="J3319" t="str">
        <f>"10/31/1994 23:00"</f>
        <v>10/31/1994 23:00</v>
      </c>
    </row>
    <row r="3320" spans="1:10" x14ac:dyDescent="0.3">
      <c r="A3320" t="s">
        <v>6</v>
      </c>
      <c r="B3320" t="str">
        <f>"11/01/1994 00:00"</f>
        <v>11/01/1994 00:00</v>
      </c>
      <c r="C3320">
        <v>0</v>
      </c>
      <c r="D3320" t="s">
        <v>7</v>
      </c>
      <c r="E3320" s="2" t="s">
        <v>12</v>
      </c>
      <c r="F3320">
        <f t="shared" si="51"/>
        <v>0</v>
      </c>
      <c r="G3320" t="s">
        <v>16</v>
      </c>
      <c r="I3320" t="s">
        <v>8</v>
      </c>
      <c r="J3320" t="str">
        <f>"11/01/1994 23:00"</f>
        <v>11/01/1994 23:00</v>
      </c>
    </row>
    <row r="3321" spans="1:10" x14ac:dyDescent="0.3">
      <c r="A3321" t="s">
        <v>6</v>
      </c>
      <c r="B3321" t="str">
        <f>"11/02/1994 00:00"</f>
        <v>11/02/1994 00:00</v>
      </c>
      <c r="C3321">
        <v>0</v>
      </c>
      <c r="D3321" t="s">
        <v>7</v>
      </c>
      <c r="E3321" s="2" t="s">
        <v>12</v>
      </c>
      <c r="F3321">
        <f t="shared" si="51"/>
        <v>0</v>
      </c>
      <c r="G3321" t="s">
        <v>16</v>
      </c>
      <c r="I3321" t="s">
        <v>8</v>
      </c>
      <c r="J3321" t="str">
        <f>"11/02/1994 23:00"</f>
        <v>11/02/1994 23:00</v>
      </c>
    </row>
    <row r="3322" spans="1:10" x14ac:dyDescent="0.3">
      <c r="A3322" t="s">
        <v>6</v>
      </c>
      <c r="B3322" t="str">
        <f>"11/03/1994 00:00"</f>
        <v>11/03/1994 00:00</v>
      </c>
      <c r="C3322">
        <v>0</v>
      </c>
      <c r="D3322" t="s">
        <v>7</v>
      </c>
      <c r="E3322" s="2" t="s">
        <v>12</v>
      </c>
      <c r="F3322">
        <f t="shared" si="51"/>
        <v>0</v>
      </c>
      <c r="G3322" t="s">
        <v>16</v>
      </c>
      <c r="I3322" t="s">
        <v>35</v>
      </c>
      <c r="J3322" t="str">
        <f>"11/03/1994 23:00"</f>
        <v>11/03/1994 23:00</v>
      </c>
    </row>
    <row r="3323" spans="1:10" x14ac:dyDescent="0.3">
      <c r="A3323" t="s">
        <v>6</v>
      </c>
      <c r="B3323" t="str">
        <f>"11/04/1994 00:00"</f>
        <v>11/04/1994 00:00</v>
      </c>
      <c r="C3323">
        <v>0</v>
      </c>
      <c r="D3323" t="s">
        <v>7</v>
      </c>
      <c r="E3323" s="2" t="s">
        <v>12</v>
      </c>
      <c r="F3323">
        <f t="shared" si="51"/>
        <v>0</v>
      </c>
      <c r="G3323" t="s">
        <v>16</v>
      </c>
      <c r="I3323" t="s">
        <v>35</v>
      </c>
      <c r="J3323" t="str">
        <f>"11/04/1994 23:00"</f>
        <v>11/04/1994 23:00</v>
      </c>
    </row>
    <row r="3324" spans="1:10" x14ac:dyDescent="0.3">
      <c r="A3324" t="s">
        <v>6</v>
      </c>
      <c r="B3324" t="str">
        <f>"11/05/1994 00:00"</f>
        <v>11/05/1994 00:00</v>
      </c>
      <c r="C3324">
        <v>0</v>
      </c>
      <c r="D3324" t="s">
        <v>7</v>
      </c>
      <c r="E3324" s="2" t="s">
        <v>12</v>
      </c>
      <c r="F3324">
        <f t="shared" si="51"/>
        <v>0</v>
      </c>
      <c r="G3324" t="s">
        <v>16</v>
      </c>
      <c r="I3324" t="s">
        <v>35</v>
      </c>
      <c r="J3324" t="str">
        <f>"11/05/1994 23:00"</f>
        <v>11/05/1994 23:00</v>
      </c>
    </row>
    <row r="3325" spans="1:10" x14ac:dyDescent="0.3">
      <c r="A3325" t="s">
        <v>6</v>
      </c>
      <c r="B3325" t="str">
        <f>"11/06/1994 00:00"</f>
        <v>11/06/1994 00:00</v>
      </c>
      <c r="C3325">
        <v>0</v>
      </c>
      <c r="D3325" t="s">
        <v>7</v>
      </c>
      <c r="E3325" s="2" t="s">
        <v>12</v>
      </c>
      <c r="F3325">
        <f t="shared" si="51"/>
        <v>0</v>
      </c>
      <c r="G3325" t="s">
        <v>16</v>
      </c>
      <c r="I3325" t="s">
        <v>35</v>
      </c>
      <c r="J3325" t="str">
        <f>"11/06/1994 23:00"</f>
        <v>11/06/1994 23:00</v>
      </c>
    </row>
    <row r="3326" spans="1:10" x14ac:dyDescent="0.3">
      <c r="A3326" t="s">
        <v>6</v>
      </c>
      <c r="B3326" t="str">
        <f>"11/07/1994 00:00"</f>
        <v>11/07/1994 00:00</v>
      </c>
      <c r="C3326">
        <v>0</v>
      </c>
      <c r="D3326" t="s">
        <v>7</v>
      </c>
      <c r="E3326" s="2" t="s">
        <v>12</v>
      </c>
      <c r="F3326">
        <f t="shared" si="51"/>
        <v>0</v>
      </c>
      <c r="G3326" t="s">
        <v>16</v>
      </c>
      <c r="I3326" t="s">
        <v>35</v>
      </c>
      <c r="J3326" t="str">
        <f>"11/07/1994 23:00"</f>
        <v>11/07/1994 23:00</v>
      </c>
    </row>
    <row r="3327" spans="1:10" x14ac:dyDescent="0.3">
      <c r="A3327" t="s">
        <v>6</v>
      </c>
      <c r="B3327" t="str">
        <f>"11/08/1994 00:00"</f>
        <v>11/08/1994 00:00</v>
      </c>
      <c r="C3327">
        <v>0</v>
      </c>
      <c r="D3327" t="s">
        <v>7</v>
      </c>
      <c r="E3327" s="2" t="s">
        <v>12</v>
      </c>
      <c r="F3327">
        <f t="shared" si="51"/>
        <v>0</v>
      </c>
      <c r="G3327" t="s">
        <v>16</v>
      </c>
      <c r="I3327" t="s">
        <v>35</v>
      </c>
      <c r="J3327" t="str">
        <f>"11/08/1994 23:00"</f>
        <v>11/08/1994 23:00</v>
      </c>
    </row>
    <row r="3328" spans="1:10" x14ac:dyDescent="0.3">
      <c r="A3328" t="s">
        <v>6</v>
      </c>
      <c r="B3328" t="str">
        <f>"11/09/1994 00:00"</f>
        <v>11/09/1994 00:00</v>
      </c>
      <c r="C3328">
        <v>0</v>
      </c>
      <c r="D3328" t="s">
        <v>7</v>
      </c>
      <c r="E3328" s="2" t="s">
        <v>12</v>
      </c>
      <c r="F3328">
        <f t="shared" si="51"/>
        <v>0</v>
      </c>
      <c r="G3328" t="s">
        <v>16</v>
      </c>
      <c r="I3328" t="s">
        <v>35</v>
      </c>
      <c r="J3328" t="str">
        <f>"11/09/1994 23:00"</f>
        <v>11/09/1994 23:00</v>
      </c>
    </row>
    <row r="3329" spans="1:10" x14ac:dyDescent="0.3">
      <c r="A3329" t="s">
        <v>6</v>
      </c>
      <c r="B3329" t="str">
        <f>"11/10/1994 00:00"</f>
        <v>11/10/1994 00:00</v>
      </c>
      <c r="C3329">
        <v>0</v>
      </c>
      <c r="D3329" t="s">
        <v>7</v>
      </c>
      <c r="E3329" s="2" t="s">
        <v>12</v>
      </c>
      <c r="F3329">
        <f t="shared" si="51"/>
        <v>0</v>
      </c>
      <c r="G3329" t="s">
        <v>16</v>
      </c>
      <c r="I3329" t="s">
        <v>35</v>
      </c>
      <c r="J3329" t="str">
        <f>"11/10/1994 23:00"</f>
        <v>11/10/1994 23:00</v>
      </c>
    </row>
    <row r="3330" spans="1:10" x14ac:dyDescent="0.3">
      <c r="A3330" t="s">
        <v>6</v>
      </c>
      <c r="B3330" t="str">
        <f>"11/11/1994 00:00"</f>
        <v>11/11/1994 00:00</v>
      </c>
      <c r="C3330">
        <v>0</v>
      </c>
      <c r="D3330" t="s">
        <v>7</v>
      </c>
      <c r="E3330" s="2" t="s">
        <v>12</v>
      </c>
      <c r="F3330">
        <f t="shared" si="51"/>
        <v>0</v>
      </c>
      <c r="G3330" t="s">
        <v>16</v>
      </c>
      <c r="I3330" t="s">
        <v>35</v>
      </c>
      <c r="J3330" t="str">
        <f>"11/11/1994 23:00"</f>
        <v>11/11/1994 23:00</v>
      </c>
    </row>
    <row r="3331" spans="1:10" x14ac:dyDescent="0.3">
      <c r="A3331" t="s">
        <v>6</v>
      </c>
      <c r="B3331" t="str">
        <f>"11/12/1994 00:00"</f>
        <v>11/12/1994 00:00</v>
      </c>
      <c r="C3331">
        <v>0</v>
      </c>
      <c r="D3331" t="s">
        <v>7</v>
      </c>
      <c r="E3331" s="2" t="s">
        <v>12</v>
      </c>
      <c r="F3331">
        <f t="shared" ref="F3331:F3394" si="52">C3331*1.983</f>
        <v>0</v>
      </c>
      <c r="G3331" t="s">
        <v>16</v>
      </c>
      <c r="I3331" t="s">
        <v>35</v>
      </c>
      <c r="J3331" t="str">
        <f>"11/12/1994 23:00"</f>
        <v>11/12/1994 23:00</v>
      </c>
    </row>
    <row r="3332" spans="1:10" x14ac:dyDescent="0.3">
      <c r="A3332" t="s">
        <v>6</v>
      </c>
      <c r="B3332" t="str">
        <f>"11/13/1994 00:00"</f>
        <v>11/13/1994 00:00</v>
      </c>
      <c r="C3332">
        <v>0</v>
      </c>
      <c r="D3332" t="s">
        <v>7</v>
      </c>
      <c r="E3332" s="2" t="s">
        <v>12</v>
      </c>
      <c r="F3332">
        <f t="shared" si="52"/>
        <v>0</v>
      </c>
      <c r="G3332" t="s">
        <v>16</v>
      </c>
      <c r="I3332" t="s">
        <v>35</v>
      </c>
      <c r="J3332" t="str">
        <f>"11/13/1994 23:00"</f>
        <v>11/13/1994 23:00</v>
      </c>
    </row>
    <row r="3333" spans="1:10" x14ac:dyDescent="0.3">
      <c r="A3333" t="s">
        <v>6</v>
      </c>
      <c r="B3333" t="str">
        <f>"11/14/1994 00:00"</f>
        <v>11/14/1994 00:00</v>
      </c>
      <c r="C3333">
        <v>0</v>
      </c>
      <c r="D3333" t="s">
        <v>7</v>
      </c>
      <c r="E3333" s="2" t="s">
        <v>12</v>
      </c>
      <c r="F3333">
        <f t="shared" si="52"/>
        <v>0</v>
      </c>
      <c r="G3333" t="s">
        <v>16</v>
      </c>
      <c r="I3333" t="s">
        <v>8</v>
      </c>
      <c r="J3333" t="str">
        <f>"11/14/1994 23:00"</f>
        <v>11/14/1994 23:00</v>
      </c>
    </row>
    <row r="3334" spans="1:10" x14ac:dyDescent="0.3">
      <c r="A3334" t="s">
        <v>6</v>
      </c>
      <c r="B3334" t="str">
        <f>"11/15/1994 00:00"</f>
        <v>11/15/1994 00:00</v>
      </c>
      <c r="C3334">
        <v>32.9</v>
      </c>
      <c r="D3334" t="s">
        <v>7</v>
      </c>
      <c r="E3334" s="2" t="s">
        <v>12</v>
      </c>
      <c r="F3334">
        <f t="shared" si="52"/>
        <v>65.240700000000004</v>
      </c>
      <c r="G3334" t="s">
        <v>16</v>
      </c>
      <c r="J3334" t="str">
        <f>"11/15/1994 23:00"</f>
        <v>11/15/1994 23:00</v>
      </c>
    </row>
    <row r="3335" spans="1:10" x14ac:dyDescent="0.3">
      <c r="A3335" t="s">
        <v>6</v>
      </c>
      <c r="B3335" t="str">
        <f>"11/16/1994 00:00"</f>
        <v>11/16/1994 00:00</v>
      </c>
      <c r="C3335">
        <v>14.3</v>
      </c>
      <c r="D3335" t="s">
        <v>7</v>
      </c>
      <c r="E3335" s="2" t="s">
        <v>12</v>
      </c>
      <c r="F3335">
        <f t="shared" si="52"/>
        <v>28.356900000000003</v>
      </c>
      <c r="G3335" t="s">
        <v>16</v>
      </c>
      <c r="J3335" t="str">
        <f>"11/16/1994 23:00"</f>
        <v>11/16/1994 23:00</v>
      </c>
    </row>
    <row r="3336" spans="1:10" x14ac:dyDescent="0.3">
      <c r="A3336" t="s">
        <v>6</v>
      </c>
      <c r="B3336" t="str">
        <f>"11/17/1994 00:00"</f>
        <v>11/17/1994 00:00</v>
      </c>
      <c r="C3336">
        <v>63.9</v>
      </c>
      <c r="D3336" t="s">
        <v>7</v>
      </c>
      <c r="E3336" s="2" t="s">
        <v>12</v>
      </c>
      <c r="F3336">
        <f t="shared" si="52"/>
        <v>126.7137</v>
      </c>
      <c r="G3336" t="s">
        <v>16</v>
      </c>
      <c r="J3336" t="str">
        <f>"11/17/1994 23:00"</f>
        <v>11/17/1994 23:00</v>
      </c>
    </row>
    <row r="3337" spans="1:10" x14ac:dyDescent="0.3">
      <c r="A3337" t="s">
        <v>6</v>
      </c>
      <c r="B3337" t="str">
        <f>"11/18/1994 00:00"</f>
        <v>11/18/1994 00:00</v>
      </c>
      <c r="C3337">
        <v>85.8</v>
      </c>
      <c r="D3337" t="s">
        <v>7</v>
      </c>
      <c r="E3337" s="2" t="s">
        <v>12</v>
      </c>
      <c r="F3337">
        <f t="shared" si="52"/>
        <v>170.1414</v>
      </c>
      <c r="G3337" t="s">
        <v>16</v>
      </c>
      <c r="J3337" t="str">
        <f>"11/18/1994 23:00"</f>
        <v>11/18/1994 23:00</v>
      </c>
    </row>
    <row r="3338" spans="1:10" x14ac:dyDescent="0.3">
      <c r="A3338" t="s">
        <v>6</v>
      </c>
      <c r="B3338" t="str">
        <f>"11/19/1994 00:00"</f>
        <v>11/19/1994 00:00</v>
      </c>
      <c r="C3338">
        <v>71.400000000000006</v>
      </c>
      <c r="D3338" t="s">
        <v>7</v>
      </c>
      <c r="E3338" s="2" t="s">
        <v>12</v>
      </c>
      <c r="F3338">
        <f t="shared" si="52"/>
        <v>141.58620000000002</v>
      </c>
      <c r="G3338" t="s">
        <v>16</v>
      </c>
      <c r="J3338" t="str">
        <f>"11/19/1994 23:00"</f>
        <v>11/19/1994 23:00</v>
      </c>
    </row>
    <row r="3339" spans="1:10" x14ac:dyDescent="0.3">
      <c r="A3339" t="s">
        <v>6</v>
      </c>
      <c r="B3339" t="str">
        <f>"11/20/1994 00:00"</f>
        <v>11/20/1994 00:00</v>
      </c>
      <c r="C3339">
        <v>85.2</v>
      </c>
      <c r="D3339" t="s">
        <v>7</v>
      </c>
      <c r="E3339" s="2" t="s">
        <v>12</v>
      </c>
      <c r="F3339">
        <f t="shared" si="52"/>
        <v>168.95160000000001</v>
      </c>
      <c r="G3339" t="s">
        <v>16</v>
      </c>
      <c r="I3339" t="s">
        <v>8</v>
      </c>
      <c r="J3339" t="str">
        <f>"11/20/1994 23:00"</f>
        <v>11/20/1994 23:00</v>
      </c>
    </row>
    <row r="3340" spans="1:10" x14ac:dyDescent="0.3">
      <c r="A3340" t="s">
        <v>6</v>
      </c>
      <c r="B3340" t="str">
        <f>"11/21/1994 00:00"</f>
        <v>11/21/1994 00:00</v>
      </c>
      <c r="C3340">
        <v>84</v>
      </c>
      <c r="D3340" t="s">
        <v>7</v>
      </c>
      <c r="E3340" s="2" t="s">
        <v>12</v>
      </c>
      <c r="F3340">
        <f t="shared" si="52"/>
        <v>166.572</v>
      </c>
      <c r="G3340" t="s">
        <v>16</v>
      </c>
      <c r="I3340" t="s">
        <v>8</v>
      </c>
      <c r="J3340" t="str">
        <f>"11/21/1994 23:00"</f>
        <v>11/21/1994 23:00</v>
      </c>
    </row>
    <row r="3341" spans="1:10" x14ac:dyDescent="0.3">
      <c r="A3341" t="s">
        <v>6</v>
      </c>
      <c r="B3341" t="str">
        <f>"11/22/1994 00:00"</f>
        <v>11/22/1994 00:00</v>
      </c>
      <c r="C3341">
        <v>75.2</v>
      </c>
      <c r="D3341" t="s">
        <v>7</v>
      </c>
      <c r="E3341" s="2" t="s">
        <v>12</v>
      </c>
      <c r="F3341">
        <f t="shared" si="52"/>
        <v>149.1216</v>
      </c>
      <c r="G3341" t="s">
        <v>16</v>
      </c>
      <c r="J3341" t="str">
        <f>"11/22/1994 23:00"</f>
        <v>11/22/1994 23:00</v>
      </c>
    </row>
    <row r="3342" spans="1:10" x14ac:dyDescent="0.3">
      <c r="A3342" t="s">
        <v>6</v>
      </c>
      <c r="B3342" t="str">
        <f>"11/23/1994 00:00"</f>
        <v>11/23/1994 00:00</v>
      </c>
      <c r="C3342">
        <v>76.400000000000006</v>
      </c>
      <c r="D3342" t="s">
        <v>7</v>
      </c>
      <c r="E3342" s="2" t="s">
        <v>12</v>
      </c>
      <c r="F3342">
        <f t="shared" si="52"/>
        <v>151.50120000000001</v>
      </c>
      <c r="G3342" t="s">
        <v>16</v>
      </c>
      <c r="J3342" t="str">
        <f>"11/23/1994 23:00"</f>
        <v>11/23/1994 23:00</v>
      </c>
    </row>
    <row r="3343" spans="1:10" x14ac:dyDescent="0.3">
      <c r="A3343" t="s">
        <v>6</v>
      </c>
      <c r="B3343" t="str">
        <f>"11/24/1994 00:00"</f>
        <v>11/24/1994 00:00</v>
      </c>
      <c r="C3343">
        <v>88.5</v>
      </c>
      <c r="D3343" t="s">
        <v>7</v>
      </c>
      <c r="E3343" s="2" t="s">
        <v>12</v>
      </c>
      <c r="F3343">
        <f t="shared" si="52"/>
        <v>175.49550000000002</v>
      </c>
      <c r="G3343" t="s">
        <v>16</v>
      </c>
      <c r="J3343" t="str">
        <f>"11/24/1994 23:00"</f>
        <v>11/24/1994 23:00</v>
      </c>
    </row>
    <row r="3344" spans="1:10" x14ac:dyDescent="0.3">
      <c r="A3344" t="s">
        <v>6</v>
      </c>
      <c r="B3344" t="str">
        <f>"11/25/1994 00:00"</f>
        <v>11/25/1994 00:00</v>
      </c>
      <c r="C3344">
        <v>103</v>
      </c>
      <c r="D3344" t="s">
        <v>7</v>
      </c>
      <c r="E3344" s="2" t="s">
        <v>12</v>
      </c>
      <c r="F3344">
        <f t="shared" si="52"/>
        <v>204.24900000000002</v>
      </c>
      <c r="G3344" t="s">
        <v>16</v>
      </c>
      <c r="J3344" t="str">
        <f>"11/25/1994 23:00"</f>
        <v>11/25/1994 23:00</v>
      </c>
    </row>
    <row r="3345" spans="1:10" x14ac:dyDescent="0.3">
      <c r="A3345" t="s">
        <v>6</v>
      </c>
      <c r="B3345" t="str">
        <f>"11/26/1994 00:00"</f>
        <v>11/26/1994 00:00</v>
      </c>
      <c r="C3345">
        <v>102</v>
      </c>
      <c r="D3345" t="s">
        <v>7</v>
      </c>
      <c r="E3345" s="2" t="s">
        <v>12</v>
      </c>
      <c r="F3345">
        <f t="shared" si="52"/>
        <v>202.26600000000002</v>
      </c>
      <c r="G3345" t="s">
        <v>16</v>
      </c>
      <c r="I3345" t="s">
        <v>8</v>
      </c>
      <c r="J3345" t="str">
        <f>"11/26/1994 23:00"</f>
        <v>11/26/1994 23:00</v>
      </c>
    </row>
    <row r="3346" spans="1:10" x14ac:dyDescent="0.3">
      <c r="A3346" t="s">
        <v>6</v>
      </c>
      <c r="B3346" t="str">
        <f>"11/27/1994 00:00"</f>
        <v>11/27/1994 00:00</v>
      </c>
      <c r="C3346">
        <v>112</v>
      </c>
      <c r="D3346" t="s">
        <v>7</v>
      </c>
      <c r="E3346" s="2" t="s">
        <v>12</v>
      </c>
      <c r="F3346">
        <f t="shared" si="52"/>
        <v>222.096</v>
      </c>
      <c r="G3346" t="s">
        <v>16</v>
      </c>
      <c r="I3346" t="s">
        <v>8</v>
      </c>
      <c r="J3346" t="str">
        <f>"11/27/1994 23:00"</f>
        <v>11/27/1994 23:00</v>
      </c>
    </row>
    <row r="3347" spans="1:10" x14ac:dyDescent="0.3">
      <c r="A3347" t="s">
        <v>6</v>
      </c>
      <c r="B3347" t="str">
        <f>"11/28/1994 00:00"</f>
        <v>11/28/1994 00:00</v>
      </c>
      <c r="C3347">
        <v>76.3</v>
      </c>
      <c r="D3347" t="s">
        <v>7</v>
      </c>
      <c r="E3347" s="2" t="s">
        <v>12</v>
      </c>
      <c r="F3347">
        <f t="shared" si="52"/>
        <v>151.30289999999999</v>
      </c>
      <c r="G3347" t="s">
        <v>16</v>
      </c>
      <c r="J3347" t="str">
        <f>"11/28/1994 23:00"</f>
        <v>11/28/1994 23:00</v>
      </c>
    </row>
    <row r="3348" spans="1:10" x14ac:dyDescent="0.3">
      <c r="A3348" t="s">
        <v>6</v>
      </c>
      <c r="B3348" t="str">
        <f>"11/29/1994 00:00"</f>
        <v>11/29/1994 00:00</v>
      </c>
      <c r="C3348">
        <v>72.900000000000006</v>
      </c>
      <c r="D3348" t="s">
        <v>7</v>
      </c>
      <c r="E3348" s="2" t="s">
        <v>12</v>
      </c>
      <c r="F3348">
        <f t="shared" si="52"/>
        <v>144.56070000000003</v>
      </c>
      <c r="G3348" t="s">
        <v>16</v>
      </c>
      <c r="J3348" t="str">
        <f>"11/29/1994 23:00"</f>
        <v>11/29/1994 23:00</v>
      </c>
    </row>
    <row r="3349" spans="1:10" x14ac:dyDescent="0.3">
      <c r="A3349" t="s">
        <v>6</v>
      </c>
      <c r="B3349" t="str">
        <f>"11/30/1994 00:00"</f>
        <v>11/30/1994 00:00</v>
      </c>
      <c r="C3349">
        <v>65.599999999999994</v>
      </c>
      <c r="D3349" t="s">
        <v>7</v>
      </c>
      <c r="E3349" s="2" t="s">
        <v>12</v>
      </c>
      <c r="F3349">
        <f t="shared" si="52"/>
        <v>130.0848</v>
      </c>
      <c r="G3349" t="s">
        <v>16</v>
      </c>
      <c r="J3349" t="str">
        <f>"11/30/1994 23:00"</f>
        <v>11/30/1994 23:00</v>
      </c>
    </row>
    <row r="3350" spans="1:10" x14ac:dyDescent="0.3">
      <c r="A3350" t="s">
        <v>6</v>
      </c>
      <c r="B3350" t="str">
        <f>"12/01/1994 00:00"</f>
        <v>12/01/1994 00:00</v>
      </c>
      <c r="C3350">
        <v>75.2</v>
      </c>
      <c r="D3350" t="s">
        <v>7</v>
      </c>
      <c r="E3350" s="2" t="s">
        <v>12</v>
      </c>
      <c r="F3350">
        <f t="shared" si="52"/>
        <v>149.1216</v>
      </c>
      <c r="G3350" t="s">
        <v>16</v>
      </c>
      <c r="J3350" t="str">
        <f>"12/01/1994 23:00"</f>
        <v>12/01/1994 23:00</v>
      </c>
    </row>
    <row r="3351" spans="1:10" x14ac:dyDescent="0.3">
      <c r="A3351" t="s">
        <v>6</v>
      </c>
      <c r="B3351" t="str">
        <f>"12/02/1994 00:00"</f>
        <v>12/02/1994 00:00</v>
      </c>
      <c r="C3351">
        <v>142</v>
      </c>
      <c r="D3351" t="s">
        <v>7</v>
      </c>
      <c r="E3351" s="2" t="s">
        <v>12</v>
      </c>
      <c r="F3351">
        <f t="shared" si="52"/>
        <v>281.58600000000001</v>
      </c>
      <c r="G3351" t="s">
        <v>16</v>
      </c>
      <c r="J3351" t="str">
        <f>"12/02/1994 23:00"</f>
        <v>12/02/1994 23:00</v>
      </c>
    </row>
    <row r="3352" spans="1:10" x14ac:dyDescent="0.3">
      <c r="A3352" t="s">
        <v>6</v>
      </c>
      <c r="B3352" t="str">
        <f>"12/03/1994 00:00"</f>
        <v>12/03/1994 00:00</v>
      </c>
      <c r="C3352">
        <v>170</v>
      </c>
      <c r="D3352" t="s">
        <v>7</v>
      </c>
      <c r="E3352" s="2" t="s">
        <v>12</v>
      </c>
      <c r="F3352">
        <f t="shared" si="52"/>
        <v>337.11</v>
      </c>
      <c r="G3352" t="s">
        <v>16</v>
      </c>
      <c r="I3352" t="s">
        <v>8</v>
      </c>
      <c r="J3352" t="str">
        <f>"12/03/1994 23:00"</f>
        <v>12/03/1994 23:00</v>
      </c>
    </row>
    <row r="3353" spans="1:10" x14ac:dyDescent="0.3">
      <c r="A3353" t="s">
        <v>6</v>
      </c>
      <c r="B3353" t="str">
        <f>"12/04/1994 00:00"</f>
        <v>12/04/1994 00:00</v>
      </c>
      <c r="C3353">
        <v>170</v>
      </c>
      <c r="D3353" t="s">
        <v>7</v>
      </c>
      <c r="E3353" s="2" t="s">
        <v>12</v>
      </c>
      <c r="F3353">
        <f t="shared" si="52"/>
        <v>337.11</v>
      </c>
      <c r="G3353" t="s">
        <v>16</v>
      </c>
      <c r="J3353" t="str">
        <f>"12/04/1994 23:00"</f>
        <v>12/04/1994 23:00</v>
      </c>
    </row>
    <row r="3354" spans="1:10" x14ac:dyDescent="0.3">
      <c r="A3354" t="s">
        <v>6</v>
      </c>
      <c r="B3354" t="str">
        <f>"12/05/1994 00:00"</f>
        <v>12/05/1994 00:00</v>
      </c>
      <c r="C3354">
        <v>127</v>
      </c>
      <c r="D3354" t="s">
        <v>7</v>
      </c>
      <c r="E3354" s="2" t="s">
        <v>12</v>
      </c>
      <c r="F3354">
        <f t="shared" si="52"/>
        <v>251.84100000000001</v>
      </c>
      <c r="G3354" t="s">
        <v>16</v>
      </c>
      <c r="J3354" t="str">
        <f>"12/05/1994 23:00"</f>
        <v>12/05/1994 23:00</v>
      </c>
    </row>
    <row r="3355" spans="1:10" x14ac:dyDescent="0.3">
      <c r="A3355" t="s">
        <v>6</v>
      </c>
      <c r="B3355" t="str">
        <f>"12/06/1994 00:00"</f>
        <v>12/06/1994 00:00</v>
      </c>
      <c r="C3355">
        <v>112</v>
      </c>
      <c r="D3355" t="s">
        <v>7</v>
      </c>
      <c r="E3355" s="2" t="s">
        <v>12</v>
      </c>
      <c r="F3355">
        <f t="shared" si="52"/>
        <v>222.096</v>
      </c>
      <c r="G3355" t="s">
        <v>16</v>
      </c>
      <c r="J3355" t="str">
        <f>"12/06/1994 23:00"</f>
        <v>12/06/1994 23:00</v>
      </c>
    </row>
    <row r="3356" spans="1:10" x14ac:dyDescent="0.3">
      <c r="A3356" t="s">
        <v>6</v>
      </c>
      <c r="B3356" t="str">
        <f>"12/07/1994 00:00"</f>
        <v>12/07/1994 00:00</v>
      </c>
      <c r="C3356">
        <v>127</v>
      </c>
      <c r="D3356" t="s">
        <v>7</v>
      </c>
      <c r="E3356" s="2" t="s">
        <v>12</v>
      </c>
      <c r="F3356">
        <f t="shared" si="52"/>
        <v>251.84100000000001</v>
      </c>
      <c r="G3356" t="s">
        <v>16</v>
      </c>
      <c r="J3356" t="str">
        <f>"12/07/1994 23:00"</f>
        <v>12/07/1994 23:00</v>
      </c>
    </row>
    <row r="3357" spans="1:10" x14ac:dyDescent="0.3">
      <c r="A3357" t="s">
        <v>6</v>
      </c>
      <c r="B3357" t="str">
        <f>"12/08/1994 00:00"</f>
        <v>12/08/1994 00:00</v>
      </c>
      <c r="C3357">
        <v>112</v>
      </c>
      <c r="D3357" t="s">
        <v>7</v>
      </c>
      <c r="E3357" s="2" t="s">
        <v>12</v>
      </c>
      <c r="F3357">
        <f t="shared" si="52"/>
        <v>222.096</v>
      </c>
      <c r="G3357" t="s">
        <v>16</v>
      </c>
      <c r="J3357" t="str">
        <f>"12/08/1994 23:00"</f>
        <v>12/08/1994 23:00</v>
      </c>
    </row>
    <row r="3358" spans="1:10" x14ac:dyDescent="0.3">
      <c r="A3358" t="s">
        <v>6</v>
      </c>
      <c r="B3358" t="str">
        <f>"12/09/1994 00:00"</f>
        <v>12/09/1994 00:00</v>
      </c>
      <c r="C3358">
        <v>80.7</v>
      </c>
      <c r="D3358" t="s">
        <v>7</v>
      </c>
      <c r="E3358" s="2" t="s">
        <v>12</v>
      </c>
      <c r="F3358">
        <f t="shared" si="52"/>
        <v>160.02810000000002</v>
      </c>
      <c r="G3358" t="s">
        <v>16</v>
      </c>
      <c r="J3358" t="str">
        <f>"12/09/1994 23:00"</f>
        <v>12/09/1994 23:00</v>
      </c>
    </row>
    <row r="3359" spans="1:10" x14ac:dyDescent="0.3">
      <c r="A3359" t="s">
        <v>6</v>
      </c>
      <c r="B3359" t="str">
        <f>"12/10/1994 00:00"</f>
        <v>12/10/1994 00:00</v>
      </c>
      <c r="C3359">
        <v>72.8</v>
      </c>
      <c r="D3359" t="s">
        <v>7</v>
      </c>
      <c r="E3359" s="2" t="s">
        <v>12</v>
      </c>
      <c r="F3359">
        <f t="shared" si="52"/>
        <v>144.36240000000001</v>
      </c>
      <c r="G3359" t="s">
        <v>16</v>
      </c>
      <c r="J3359" t="str">
        <f>"12/10/1994 23:00"</f>
        <v>12/10/1994 23:00</v>
      </c>
    </row>
    <row r="3360" spans="1:10" x14ac:dyDescent="0.3">
      <c r="A3360" t="s">
        <v>6</v>
      </c>
      <c r="B3360" t="str">
        <f>"12/11/1994 00:00"</f>
        <v>12/11/1994 00:00</v>
      </c>
      <c r="C3360">
        <v>71.3</v>
      </c>
      <c r="D3360" t="s">
        <v>7</v>
      </c>
      <c r="E3360" s="2" t="s">
        <v>12</v>
      </c>
      <c r="F3360">
        <f t="shared" si="52"/>
        <v>141.3879</v>
      </c>
      <c r="G3360" t="s">
        <v>16</v>
      </c>
      <c r="J3360" t="str">
        <f>"12/11/1994 23:00"</f>
        <v>12/11/1994 23:00</v>
      </c>
    </row>
    <row r="3361" spans="1:10" x14ac:dyDescent="0.3">
      <c r="A3361" t="s">
        <v>6</v>
      </c>
      <c r="B3361" t="str">
        <f>"12/12/1994 00:00"</f>
        <v>12/12/1994 00:00</v>
      </c>
      <c r="C3361">
        <v>56.6</v>
      </c>
      <c r="D3361" t="s">
        <v>7</v>
      </c>
      <c r="E3361" s="2" t="s">
        <v>12</v>
      </c>
      <c r="F3361">
        <f t="shared" si="52"/>
        <v>112.23780000000001</v>
      </c>
      <c r="G3361" t="s">
        <v>16</v>
      </c>
      <c r="J3361" t="str">
        <f>"12/12/1994 23:00"</f>
        <v>12/12/1994 23:00</v>
      </c>
    </row>
    <row r="3362" spans="1:10" x14ac:dyDescent="0.3">
      <c r="A3362" t="s">
        <v>6</v>
      </c>
      <c r="B3362" t="str">
        <f>"12/13/1994 00:00"</f>
        <v>12/13/1994 00:00</v>
      </c>
      <c r="C3362">
        <v>49.6</v>
      </c>
      <c r="D3362" t="s">
        <v>7</v>
      </c>
      <c r="E3362" s="2" t="s">
        <v>12</v>
      </c>
      <c r="F3362">
        <f t="shared" si="52"/>
        <v>98.356800000000007</v>
      </c>
      <c r="G3362" t="s">
        <v>16</v>
      </c>
      <c r="J3362" t="str">
        <f>"12/13/1994 23:00"</f>
        <v>12/13/1994 23:00</v>
      </c>
    </row>
    <row r="3363" spans="1:10" x14ac:dyDescent="0.3">
      <c r="A3363" t="s">
        <v>6</v>
      </c>
      <c r="B3363" t="str">
        <f>"12/14/1994 00:00"</f>
        <v>12/14/1994 00:00</v>
      </c>
      <c r="C3363">
        <v>78.2</v>
      </c>
      <c r="D3363" t="s">
        <v>7</v>
      </c>
      <c r="E3363" s="2" t="s">
        <v>12</v>
      </c>
      <c r="F3363">
        <f t="shared" si="52"/>
        <v>155.07060000000001</v>
      </c>
      <c r="G3363" t="s">
        <v>16</v>
      </c>
      <c r="J3363" t="str">
        <f>"12/14/1994 23:00"</f>
        <v>12/14/1994 23:00</v>
      </c>
    </row>
    <row r="3364" spans="1:10" x14ac:dyDescent="0.3">
      <c r="A3364" t="s">
        <v>6</v>
      </c>
      <c r="B3364" t="str">
        <f>"12/15/1994 00:00"</f>
        <v>12/15/1994 00:00</v>
      </c>
      <c r="C3364">
        <v>85.1</v>
      </c>
      <c r="D3364" t="s">
        <v>7</v>
      </c>
      <c r="E3364" s="2" t="s">
        <v>12</v>
      </c>
      <c r="F3364">
        <f t="shared" si="52"/>
        <v>168.7533</v>
      </c>
      <c r="G3364" t="s">
        <v>16</v>
      </c>
      <c r="J3364" t="str">
        <f>"12/15/1994 23:00"</f>
        <v>12/15/1994 23:00</v>
      </c>
    </row>
    <row r="3365" spans="1:10" x14ac:dyDescent="0.3">
      <c r="A3365" t="s">
        <v>6</v>
      </c>
      <c r="B3365" t="str">
        <f>"12/16/1994 00:00"</f>
        <v>12/16/1994 00:00</v>
      </c>
      <c r="C3365">
        <v>85.2</v>
      </c>
      <c r="D3365" t="s">
        <v>7</v>
      </c>
      <c r="E3365" s="2" t="s">
        <v>12</v>
      </c>
      <c r="F3365">
        <f t="shared" si="52"/>
        <v>168.95160000000001</v>
      </c>
      <c r="G3365" t="s">
        <v>16</v>
      </c>
      <c r="J3365" t="str">
        <f>"12/16/1994 23:00"</f>
        <v>12/16/1994 23:00</v>
      </c>
    </row>
    <row r="3366" spans="1:10" x14ac:dyDescent="0.3">
      <c r="A3366" t="s">
        <v>6</v>
      </c>
      <c r="B3366" t="str">
        <f>"12/17/1994 00:00"</f>
        <v>12/17/1994 00:00</v>
      </c>
      <c r="C3366">
        <v>86.8</v>
      </c>
      <c r="D3366" t="s">
        <v>7</v>
      </c>
      <c r="E3366" s="2" t="s">
        <v>12</v>
      </c>
      <c r="F3366">
        <f t="shared" si="52"/>
        <v>172.12440000000001</v>
      </c>
      <c r="G3366" t="s">
        <v>16</v>
      </c>
      <c r="J3366" t="str">
        <f>"12/17/1994 23:00"</f>
        <v>12/17/1994 23:00</v>
      </c>
    </row>
    <row r="3367" spans="1:10" x14ac:dyDescent="0.3">
      <c r="A3367" t="s">
        <v>6</v>
      </c>
      <c r="B3367" t="str">
        <f>"12/18/1994 00:00"</f>
        <v>12/18/1994 00:00</v>
      </c>
      <c r="C3367">
        <v>89.3</v>
      </c>
      <c r="D3367" t="s">
        <v>7</v>
      </c>
      <c r="E3367" s="2" t="s">
        <v>12</v>
      </c>
      <c r="F3367">
        <f t="shared" si="52"/>
        <v>177.08189999999999</v>
      </c>
      <c r="G3367" t="s">
        <v>16</v>
      </c>
      <c r="J3367" t="str">
        <f>"12/18/1994 23:00"</f>
        <v>12/18/1994 23:00</v>
      </c>
    </row>
    <row r="3368" spans="1:10" x14ac:dyDescent="0.3">
      <c r="A3368" t="s">
        <v>6</v>
      </c>
      <c r="B3368" t="str">
        <f>"12/19/1994 00:00"</f>
        <v>12/19/1994 00:00</v>
      </c>
      <c r="C3368">
        <v>96.6</v>
      </c>
      <c r="D3368" t="s">
        <v>7</v>
      </c>
      <c r="E3368" s="2" t="s">
        <v>12</v>
      </c>
      <c r="F3368">
        <f t="shared" si="52"/>
        <v>191.55779999999999</v>
      </c>
      <c r="G3368" t="s">
        <v>16</v>
      </c>
      <c r="J3368" t="str">
        <f>"12/19/1994 23:00"</f>
        <v>12/19/1994 23:00</v>
      </c>
    </row>
    <row r="3369" spans="1:10" x14ac:dyDescent="0.3">
      <c r="A3369" t="s">
        <v>6</v>
      </c>
      <c r="B3369" t="str">
        <f>"12/20/1994 00:00"</f>
        <v>12/20/1994 00:00</v>
      </c>
      <c r="C3369">
        <v>93.5</v>
      </c>
      <c r="D3369" t="s">
        <v>7</v>
      </c>
      <c r="E3369" s="2" t="s">
        <v>12</v>
      </c>
      <c r="F3369">
        <f t="shared" si="52"/>
        <v>185.41050000000001</v>
      </c>
      <c r="G3369" t="s">
        <v>16</v>
      </c>
      <c r="J3369" t="str">
        <f>"12/20/1994 23:00"</f>
        <v>12/20/1994 23:00</v>
      </c>
    </row>
    <row r="3370" spans="1:10" x14ac:dyDescent="0.3">
      <c r="A3370" t="s">
        <v>6</v>
      </c>
      <c r="B3370" t="str">
        <f>"12/21/1994 00:00"</f>
        <v>12/21/1994 00:00</v>
      </c>
      <c r="C3370">
        <v>88.8</v>
      </c>
      <c r="D3370" t="s">
        <v>7</v>
      </c>
      <c r="E3370" s="2" t="s">
        <v>12</v>
      </c>
      <c r="F3370">
        <f t="shared" si="52"/>
        <v>176.09040000000002</v>
      </c>
      <c r="G3370" t="s">
        <v>16</v>
      </c>
      <c r="J3370" t="str">
        <f>"12/21/1994 23:00"</f>
        <v>12/21/1994 23:00</v>
      </c>
    </row>
    <row r="3371" spans="1:10" x14ac:dyDescent="0.3">
      <c r="A3371" t="s">
        <v>6</v>
      </c>
      <c r="B3371" t="str">
        <f>"12/22/1994 00:00"</f>
        <v>12/22/1994 00:00</v>
      </c>
      <c r="C3371">
        <v>91.1</v>
      </c>
      <c r="D3371" t="s">
        <v>7</v>
      </c>
      <c r="E3371" s="2" t="s">
        <v>12</v>
      </c>
      <c r="F3371">
        <f t="shared" si="52"/>
        <v>180.65129999999999</v>
      </c>
      <c r="G3371" t="s">
        <v>16</v>
      </c>
      <c r="I3371" t="s">
        <v>35</v>
      </c>
      <c r="J3371" t="str">
        <f>"12/22/1994 23:00"</f>
        <v>12/22/1994 23:00</v>
      </c>
    </row>
    <row r="3372" spans="1:10" x14ac:dyDescent="0.3">
      <c r="A3372" t="s">
        <v>6</v>
      </c>
      <c r="B3372" t="str">
        <f>"12/23/1994 00:00"</f>
        <v>12/23/1994 00:00</v>
      </c>
      <c r="C3372">
        <v>92.7</v>
      </c>
      <c r="D3372" t="s">
        <v>7</v>
      </c>
      <c r="E3372" s="2" t="s">
        <v>12</v>
      </c>
      <c r="F3372">
        <f t="shared" si="52"/>
        <v>183.82410000000002</v>
      </c>
      <c r="G3372" t="s">
        <v>16</v>
      </c>
      <c r="I3372" t="s">
        <v>35</v>
      </c>
      <c r="J3372" t="str">
        <f>"12/23/1994 23:00"</f>
        <v>12/23/1994 23:00</v>
      </c>
    </row>
    <row r="3373" spans="1:10" x14ac:dyDescent="0.3">
      <c r="A3373" t="s">
        <v>6</v>
      </c>
      <c r="B3373" t="str">
        <f>"12/24/1994 00:00"</f>
        <v>12/24/1994 00:00</v>
      </c>
      <c r="C3373">
        <v>92.7</v>
      </c>
      <c r="D3373" t="s">
        <v>7</v>
      </c>
      <c r="E3373" s="2" t="s">
        <v>12</v>
      </c>
      <c r="F3373">
        <f t="shared" si="52"/>
        <v>183.82410000000002</v>
      </c>
      <c r="G3373" t="s">
        <v>16</v>
      </c>
      <c r="I3373" t="s">
        <v>35</v>
      </c>
      <c r="J3373" t="str">
        <f>"12/24/1994 23:00"</f>
        <v>12/24/1994 23:00</v>
      </c>
    </row>
    <row r="3374" spans="1:10" x14ac:dyDescent="0.3">
      <c r="A3374" t="s">
        <v>6</v>
      </c>
      <c r="B3374" t="str">
        <f>"12/25/1994 00:00"</f>
        <v>12/25/1994 00:00</v>
      </c>
      <c r="C3374">
        <v>93.9</v>
      </c>
      <c r="D3374" t="s">
        <v>7</v>
      </c>
      <c r="E3374" s="2" t="s">
        <v>12</v>
      </c>
      <c r="F3374">
        <f t="shared" si="52"/>
        <v>186.20370000000003</v>
      </c>
      <c r="G3374" t="s">
        <v>16</v>
      </c>
      <c r="I3374" t="s">
        <v>8</v>
      </c>
      <c r="J3374" t="str">
        <f>"12/25/1994 23:00"</f>
        <v>12/25/1994 23:00</v>
      </c>
    </row>
    <row r="3375" spans="1:10" x14ac:dyDescent="0.3">
      <c r="A3375" t="s">
        <v>6</v>
      </c>
      <c r="B3375" t="str">
        <f>"12/26/1994 00:00"</f>
        <v>12/26/1994 00:00</v>
      </c>
      <c r="C3375">
        <v>91.8</v>
      </c>
      <c r="D3375" t="s">
        <v>7</v>
      </c>
      <c r="E3375" s="2" t="s">
        <v>12</v>
      </c>
      <c r="F3375">
        <f t="shared" si="52"/>
        <v>182.0394</v>
      </c>
      <c r="G3375" t="s">
        <v>16</v>
      </c>
      <c r="J3375" t="str">
        <f>"12/26/1994 23:00"</f>
        <v>12/26/1994 23:00</v>
      </c>
    </row>
    <row r="3376" spans="1:10" x14ac:dyDescent="0.3">
      <c r="A3376" t="s">
        <v>6</v>
      </c>
      <c r="B3376" t="str">
        <f>"12/27/1994 00:00"</f>
        <v>12/27/1994 00:00</v>
      </c>
      <c r="C3376">
        <v>91.1</v>
      </c>
      <c r="D3376" t="s">
        <v>7</v>
      </c>
      <c r="E3376" s="2" t="s">
        <v>12</v>
      </c>
      <c r="F3376">
        <f t="shared" si="52"/>
        <v>180.65129999999999</v>
      </c>
      <c r="G3376" t="s">
        <v>16</v>
      </c>
      <c r="J3376" t="str">
        <f>"12/27/1994 23:00"</f>
        <v>12/27/1994 23:00</v>
      </c>
    </row>
    <row r="3377" spans="1:10" x14ac:dyDescent="0.3">
      <c r="A3377" t="s">
        <v>6</v>
      </c>
      <c r="B3377" t="str">
        <f>"12/28/1994 00:00"</f>
        <v>12/28/1994 00:00</v>
      </c>
      <c r="C3377">
        <v>91.4</v>
      </c>
      <c r="D3377" t="s">
        <v>7</v>
      </c>
      <c r="E3377" s="2" t="s">
        <v>12</v>
      </c>
      <c r="F3377">
        <f t="shared" si="52"/>
        <v>181.24620000000002</v>
      </c>
      <c r="G3377" t="s">
        <v>16</v>
      </c>
      <c r="I3377" t="s">
        <v>8</v>
      </c>
      <c r="J3377" t="str">
        <f>"12/28/1994 23:00"</f>
        <v>12/28/1994 23:00</v>
      </c>
    </row>
    <row r="3378" spans="1:10" x14ac:dyDescent="0.3">
      <c r="A3378" t="s">
        <v>6</v>
      </c>
      <c r="B3378" t="str">
        <f>"12/29/1994 00:00"</f>
        <v>12/29/1994 00:00</v>
      </c>
      <c r="C3378">
        <v>91.3</v>
      </c>
      <c r="D3378" t="s">
        <v>7</v>
      </c>
      <c r="E3378" s="2" t="s">
        <v>12</v>
      </c>
      <c r="F3378">
        <f t="shared" si="52"/>
        <v>181.0479</v>
      </c>
      <c r="G3378" t="s">
        <v>16</v>
      </c>
      <c r="J3378" t="str">
        <f>"12/29/1994 23:00"</f>
        <v>12/29/1994 23:00</v>
      </c>
    </row>
    <row r="3379" spans="1:10" x14ac:dyDescent="0.3">
      <c r="A3379" t="s">
        <v>6</v>
      </c>
      <c r="B3379" t="str">
        <f>"12/30/1994 00:00"</f>
        <v>12/30/1994 00:00</v>
      </c>
      <c r="C3379">
        <v>91.4</v>
      </c>
      <c r="D3379" t="s">
        <v>7</v>
      </c>
      <c r="E3379" s="2" t="s">
        <v>12</v>
      </c>
      <c r="F3379">
        <f t="shared" si="52"/>
        <v>181.24620000000002</v>
      </c>
      <c r="G3379" t="s">
        <v>16</v>
      </c>
      <c r="I3379" t="s">
        <v>8</v>
      </c>
      <c r="J3379" t="str">
        <f>"12/30/1994 23:00"</f>
        <v>12/30/1994 23:00</v>
      </c>
    </row>
    <row r="3380" spans="1:10" x14ac:dyDescent="0.3">
      <c r="A3380" t="s">
        <v>6</v>
      </c>
      <c r="B3380" t="str">
        <f>"12/31/1994 00:00"</f>
        <v>12/31/1994 00:00</v>
      </c>
      <c r="C3380">
        <v>91.4</v>
      </c>
      <c r="D3380" t="s">
        <v>7</v>
      </c>
      <c r="E3380" s="2" t="s">
        <v>12</v>
      </c>
      <c r="F3380">
        <f t="shared" si="52"/>
        <v>181.24620000000002</v>
      </c>
      <c r="G3380" t="s">
        <v>16</v>
      </c>
      <c r="I3380" t="s">
        <v>8</v>
      </c>
      <c r="J3380" t="str">
        <f>"12/31/1994 23:00"</f>
        <v>12/31/1994 23:00</v>
      </c>
    </row>
    <row r="3381" spans="1:10" x14ac:dyDescent="0.3">
      <c r="A3381" t="s">
        <v>6</v>
      </c>
      <c r="B3381" t="str">
        <f>"01/01/1995 00:00"</f>
        <v>01/01/1995 00:00</v>
      </c>
      <c r="C3381">
        <v>90.5</v>
      </c>
      <c r="D3381" t="s">
        <v>7</v>
      </c>
      <c r="E3381" s="2" t="s">
        <v>12</v>
      </c>
      <c r="F3381">
        <f t="shared" si="52"/>
        <v>179.4615</v>
      </c>
      <c r="G3381" t="s">
        <v>16</v>
      </c>
      <c r="J3381" t="str">
        <f>"01/01/1995 23:00"</f>
        <v>01/01/1995 23:00</v>
      </c>
    </row>
    <row r="3382" spans="1:10" x14ac:dyDescent="0.3">
      <c r="A3382" t="s">
        <v>6</v>
      </c>
      <c r="B3382" t="str">
        <f>"01/02/1995 00:00"</f>
        <v>01/02/1995 00:00</v>
      </c>
      <c r="C3382">
        <v>90.6</v>
      </c>
      <c r="D3382" t="s">
        <v>7</v>
      </c>
      <c r="E3382" s="2" t="s">
        <v>12</v>
      </c>
      <c r="F3382">
        <f t="shared" si="52"/>
        <v>179.65979999999999</v>
      </c>
      <c r="G3382" t="s">
        <v>16</v>
      </c>
      <c r="J3382" t="str">
        <f>"01/02/1995 23:00"</f>
        <v>01/02/1995 23:00</v>
      </c>
    </row>
    <row r="3383" spans="1:10" x14ac:dyDescent="0.3">
      <c r="A3383" t="s">
        <v>6</v>
      </c>
      <c r="B3383" t="str">
        <f>"01/03/1995 00:00"</f>
        <v>01/03/1995 00:00</v>
      </c>
      <c r="C3383">
        <v>90.5</v>
      </c>
      <c r="D3383" t="s">
        <v>7</v>
      </c>
      <c r="E3383" s="2" t="s">
        <v>12</v>
      </c>
      <c r="F3383">
        <f t="shared" si="52"/>
        <v>179.4615</v>
      </c>
      <c r="G3383" t="s">
        <v>16</v>
      </c>
      <c r="J3383" t="str">
        <f>"01/03/1995 23:00"</f>
        <v>01/03/1995 23:00</v>
      </c>
    </row>
    <row r="3384" spans="1:10" x14ac:dyDescent="0.3">
      <c r="A3384" t="s">
        <v>6</v>
      </c>
      <c r="B3384" t="str">
        <f>"01/04/1995 00:00"</f>
        <v>01/04/1995 00:00</v>
      </c>
      <c r="C3384">
        <v>90.6</v>
      </c>
      <c r="D3384" t="s">
        <v>7</v>
      </c>
      <c r="E3384" s="2" t="s">
        <v>12</v>
      </c>
      <c r="F3384">
        <f t="shared" si="52"/>
        <v>179.65979999999999</v>
      </c>
      <c r="G3384" t="s">
        <v>16</v>
      </c>
      <c r="J3384" t="str">
        <f>"01/04/1995 23:00"</f>
        <v>01/04/1995 23:00</v>
      </c>
    </row>
    <row r="3385" spans="1:10" x14ac:dyDescent="0.3">
      <c r="A3385" t="s">
        <v>6</v>
      </c>
      <c r="B3385" t="str">
        <f>"01/05/1995 00:00"</f>
        <v>01/05/1995 00:00</v>
      </c>
      <c r="C3385">
        <v>90.2</v>
      </c>
      <c r="D3385" t="s">
        <v>7</v>
      </c>
      <c r="E3385" s="2" t="s">
        <v>12</v>
      </c>
      <c r="F3385">
        <f t="shared" si="52"/>
        <v>178.86660000000001</v>
      </c>
      <c r="G3385" t="s">
        <v>16</v>
      </c>
      <c r="J3385" t="str">
        <f>"01/05/1995 23:00"</f>
        <v>01/05/1995 23:00</v>
      </c>
    </row>
    <row r="3386" spans="1:10" x14ac:dyDescent="0.3">
      <c r="A3386" t="s">
        <v>6</v>
      </c>
      <c r="B3386" t="str">
        <f>"01/06/1995 00:00"</f>
        <v>01/06/1995 00:00</v>
      </c>
      <c r="C3386">
        <v>90.1</v>
      </c>
      <c r="D3386" t="s">
        <v>7</v>
      </c>
      <c r="E3386" s="2" t="s">
        <v>12</v>
      </c>
      <c r="F3386">
        <f t="shared" si="52"/>
        <v>178.66829999999999</v>
      </c>
      <c r="G3386" t="s">
        <v>16</v>
      </c>
      <c r="I3386" t="s">
        <v>8</v>
      </c>
      <c r="J3386" t="str">
        <f>"01/06/1995 23:00"</f>
        <v>01/06/1995 23:00</v>
      </c>
    </row>
    <row r="3387" spans="1:10" x14ac:dyDescent="0.3">
      <c r="A3387" t="s">
        <v>6</v>
      </c>
      <c r="B3387" t="str">
        <f>"01/07/1995 00:00"</f>
        <v>01/07/1995 00:00</v>
      </c>
      <c r="C3387">
        <v>90.1</v>
      </c>
      <c r="D3387" t="s">
        <v>7</v>
      </c>
      <c r="E3387" s="2" t="s">
        <v>12</v>
      </c>
      <c r="F3387">
        <f t="shared" si="52"/>
        <v>178.66829999999999</v>
      </c>
      <c r="G3387" t="s">
        <v>16</v>
      </c>
      <c r="I3387" t="s">
        <v>8</v>
      </c>
      <c r="J3387" t="str">
        <f>"01/07/1995 23:00"</f>
        <v>01/07/1995 23:00</v>
      </c>
    </row>
    <row r="3388" spans="1:10" x14ac:dyDescent="0.3">
      <c r="A3388" t="s">
        <v>6</v>
      </c>
      <c r="B3388" t="str">
        <f>"01/08/1995 00:00"</f>
        <v>01/08/1995 00:00</v>
      </c>
      <c r="C3388">
        <v>90.1</v>
      </c>
      <c r="D3388" t="s">
        <v>7</v>
      </c>
      <c r="E3388" s="2" t="s">
        <v>12</v>
      </c>
      <c r="F3388">
        <f t="shared" si="52"/>
        <v>178.66829999999999</v>
      </c>
      <c r="G3388" t="s">
        <v>16</v>
      </c>
      <c r="I3388" t="s">
        <v>8</v>
      </c>
      <c r="J3388" t="str">
        <f>"01/08/1995 23:00"</f>
        <v>01/08/1995 23:00</v>
      </c>
    </row>
    <row r="3389" spans="1:10" x14ac:dyDescent="0.3">
      <c r="A3389" t="s">
        <v>6</v>
      </c>
      <c r="B3389" t="str">
        <f>"01/09/1995 00:00"</f>
        <v>01/09/1995 00:00</v>
      </c>
      <c r="C3389">
        <v>90.1</v>
      </c>
      <c r="D3389" t="s">
        <v>7</v>
      </c>
      <c r="E3389" s="2" t="s">
        <v>12</v>
      </c>
      <c r="F3389">
        <f t="shared" si="52"/>
        <v>178.66829999999999</v>
      </c>
      <c r="G3389" t="s">
        <v>16</v>
      </c>
      <c r="J3389" t="str">
        <f>"01/09/1995 23:00"</f>
        <v>01/09/1995 23:00</v>
      </c>
    </row>
    <row r="3390" spans="1:10" x14ac:dyDescent="0.3">
      <c r="A3390" t="s">
        <v>6</v>
      </c>
      <c r="B3390" t="str">
        <f>"01/10/1995 00:00"</f>
        <v>01/10/1995 00:00</v>
      </c>
      <c r="C3390">
        <v>90.1</v>
      </c>
      <c r="D3390" t="s">
        <v>7</v>
      </c>
      <c r="E3390" s="2" t="s">
        <v>12</v>
      </c>
      <c r="F3390">
        <f t="shared" si="52"/>
        <v>178.66829999999999</v>
      </c>
      <c r="G3390" t="s">
        <v>16</v>
      </c>
      <c r="J3390" t="str">
        <f>"01/10/1995 23:00"</f>
        <v>01/10/1995 23:00</v>
      </c>
    </row>
    <row r="3391" spans="1:10" x14ac:dyDescent="0.3">
      <c r="A3391" t="s">
        <v>6</v>
      </c>
      <c r="B3391" t="str">
        <f>"01/11/1995 00:00"</f>
        <v>01/11/1995 00:00</v>
      </c>
      <c r="C3391">
        <v>90.1</v>
      </c>
      <c r="D3391" t="s">
        <v>7</v>
      </c>
      <c r="E3391" s="2" t="s">
        <v>12</v>
      </c>
      <c r="F3391">
        <f t="shared" si="52"/>
        <v>178.66829999999999</v>
      </c>
      <c r="G3391" t="s">
        <v>16</v>
      </c>
      <c r="J3391" t="str">
        <f>"01/11/1995 23:00"</f>
        <v>01/11/1995 23:00</v>
      </c>
    </row>
    <row r="3392" spans="1:10" x14ac:dyDescent="0.3">
      <c r="A3392" t="s">
        <v>6</v>
      </c>
      <c r="B3392" t="str">
        <f>"01/12/1995 00:00"</f>
        <v>01/12/1995 00:00</v>
      </c>
      <c r="C3392">
        <v>90.1</v>
      </c>
      <c r="D3392" t="s">
        <v>7</v>
      </c>
      <c r="E3392" s="2" t="s">
        <v>12</v>
      </c>
      <c r="F3392">
        <f t="shared" si="52"/>
        <v>178.66829999999999</v>
      </c>
      <c r="G3392" t="s">
        <v>16</v>
      </c>
      <c r="I3392" t="s">
        <v>8</v>
      </c>
      <c r="J3392" t="str">
        <f>"01/12/1995 23:00"</f>
        <v>01/12/1995 23:00</v>
      </c>
    </row>
    <row r="3393" spans="1:10" x14ac:dyDescent="0.3">
      <c r="A3393" t="s">
        <v>6</v>
      </c>
      <c r="B3393" t="str">
        <f>"01/13/1995 00:00"</f>
        <v>01/13/1995 00:00</v>
      </c>
      <c r="C3393">
        <v>90.1</v>
      </c>
      <c r="D3393" t="s">
        <v>7</v>
      </c>
      <c r="E3393" s="2" t="s">
        <v>12</v>
      </c>
      <c r="F3393">
        <f t="shared" si="52"/>
        <v>178.66829999999999</v>
      </c>
      <c r="G3393" t="s">
        <v>16</v>
      </c>
      <c r="I3393" t="s">
        <v>35</v>
      </c>
      <c r="J3393" t="str">
        <f>"01/13/1995 23:00"</f>
        <v>01/13/1995 23:00</v>
      </c>
    </row>
    <row r="3394" spans="1:10" x14ac:dyDescent="0.3">
      <c r="A3394" t="s">
        <v>6</v>
      </c>
      <c r="B3394" t="str">
        <f>"01/14/1995 00:00"</f>
        <v>01/14/1995 00:00</v>
      </c>
      <c r="C3394">
        <v>90.1</v>
      </c>
      <c r="D3394" t="s">
        <v>7</v>
      </c>
      <c r="E3394" s="2" t="s">
        <v>12</v>
      </c>
      <c r="F3394">
        <f t="shared" si="52"/>
        <v>178.66829999999999</v>
      </c>
      <c r="G3394" t="s">
        <v>16</v>
      </c>
      <c r="I3394" t="s">
        <v>35</v>
      </c>
      <c r="J3394" t="str">
        <f>"01/14/1995 23:00"</f>
        <v>01/14/1995 23:00</v>
      </c>
    </row>
    <row r="3395" spans="1:10" x14ac:dyDescent="0.3">
      <c r="A3395" t="s">
        <v>6</v>
      </c>
      <c r="B3395" t="str">
        <f>"01/15/1995 00:00"</f>
        <v>01/15/1995 00:00</v>
      </c>
      <c r="C3395">
        <v>90.1</v>
      </c>
      <c r="D3395" t="s">
        <v>7</v>
      </c>
      <c r="E3395" s="2" t="s">
        <v>12</v>
      </c>
      <c r="F3395">
        <f t="shared" ref="F3395:F3458" si="53">C3395*1.983</f>
        <v>178.66829999999999</v>
      </c>
      <c r="G3395" t="s">
        <v>16</v>
      </c>
      <c r="I3395" t="s">
        <v>35</v>
      </c>
      <c r="J3395" t="str">
        <f>"01/15/1995 23:00"</f>
        <v>01/15/1995 23:00</v>
      </c>
    </row>
    <row r="3396" spans="1:10" x14ac:dyDescent="0.3">
      <c r="A3396" t="s">
        <v>6</v>
      </c>
      <c r="B3396" t="str">
        <f>"01/16/1995 00:00"</f>
        <v>01/16/1995 00:00</v>
      </c>
      <c r="C3396">
        <v>90.1</v>
      </c>
      <c r="D3396" t="s">
        <v>7</v>
      </c>
      <c r="E3396" s="2" t="s">
        <v>12</v>
      </c>
      <c r="F3396">
        <f t="shared" si="53"/>
        <v>178.66829999999999</v>
      </c>
      <c r="G3396" t="s">
        <v>16</v>
      </c>
      <c r="I3396" t="s">
        <v>35</v>
      </c>
      <c r="J3396" t="str">
        <f>"01/16/1995 23:00"</f>
        <v>01/16/1995 23:00</v>
      </c>
    </row>
    <row r="3397" spans="1:10" x14ac:dyDescent="0.3">
      <c r="A3397" t="s">
        <v>6</v>
      </c>
      <c r="B3397" t="str">
        <f>"01/17/1995 00:00"</f>
        <v>01/17/1995 00:00</v>
      </c>
      <c r="C3397">
        <v>90.1</v>
      </c>
      <c r="D3397" t="s">
        <v>7</v>
      </c>
      <c r="E3397" s="2" t="s">
        <v>12</v>
      </c>
      <c r="F3397">
        <f t="shared" si="53"/>
        <v>178.66829999999999</v>
      </c>
      <c r="G3397" t="s">
        <v>16</v>
      </c>
      <c r="I3397" t="s">
        <v>35</v>
      </c>
      <c r="J3397" t="str">
        <f>"01/17/1995 23:00"</f>
        <v>01/17/1995 23:00</v>
      </c>
    </row>
    <row r="3398" spans="1:10" x14ac:dyDescent="0.3">
      <c r="A3398" t="s">
        <v>6</v>
      </c>
      <c r="B3398" t="str">
        <f>"01/18/1995 00:00"</f>
        <v>01/18/1995 00:00</v>
      </c>
      <c r="C3398">
        <v>90.1</v>
      </c>
      <c r="D3398" t="s">
        <v>7</v>
      </c>
      <c r="E3398" s="2" t="s">
        <v>12</v>
      </c>
      <c r="F3398">
        <f t="shared" si="53"/>
        <v>178.66829999999999</v>
      </c>
      <c r="G3398" t="s">
        <v>16</v>
      </c>
      <c r="I3398" t="s">
        <v>35</v>
      </c>
      <c r="J3398" t="str">
        <f>"01/18/1995 23:00"</f>
        <v>01/18/1995 23:00</v>
      </c>
    </row>
    <row r="3399" spans="1:10" x14ac:dyDescent="0.3">
      <c r="A3399" t="s">
        <v>6</v>
      </c>
      <c r="B3399" t="str">
        <f>"01/19/1995 00:00"</f>
        <v>01/19/1995 00:00</v>
      </c>
      <c r="C3399">
        <v>90.1</v>
      </c>
      <c r="D3399" t="s">
        <v>7</v>
      </c>
      <c r="E3399" s="2" t="s">
        <v>12</v>
      </c>
      <c r="F3399">
        <f t="shared" si="53"/>
        <v>178.66829999999999</v>
      </c>
      <c r="G3399" t="s">
        <v>16</v>
      </c>
      <c r="I3399" t="s">
        <v>8</v>
      </c>
      <c r="J3399" t="str">
        <f>"01/19/1995 23:00"</f>
        <v>01/19/1995 23:00</v>
      </c>
    </row>
    <row r="3400" spans="1:10" x14ac:dyDescent="0.3">
      <c r="A3400" t="s">
        <v>6</v>
      </c>
      <c r="B3400" t="str">
        <f>"01/20/1995 00:00"</f>
        <v>01/20/1995 00:00</v>
      </c>
      <c r="C3400">
        <v>90.1</v>
      </c>
      <c r="D3400" t="s">
        <v>7</v>
      </c>
      <c r="E3400" s="2" t="s">
        <v>12</v>
      </c>
      <c r="F3400">
        <f t="shared" si="53"/>
        <v>178.66829999999999</v>
      </c>
      <c r="G3400" t="s">
        <v>16</v>
      </c>
      <c r="I3400" t="s">
        <v>8</v>
      </c>
      <c r="J3400" t="str">
        <f>"01/20/1995 23:00"</f>
        <v>01/20/1995 23:00</v>
      </c>
    </row>
    <row r="3401" spans="1:10" x14ac:dyDescent="0.3">
      <c r="A3401" t="s">
        <v>6</v>
      </c>
      <c r="B3401" t="str">
        <f>"01/21/1995 00:00"</f>
        <v>01/21/1995 00:00</v>
      </c>
      <c r="C3401">
        <v>90.1</v>
      </c>
      <c r="D3401" t="s">
        <v>7</v>
      </c>
      <c r="E3401" s="2" t="s">
        <v>12</v>
      </c>
      <c r="F3401">
        <f t="shared" si="53"/>
        <v>178.66829999999999</v>
      </c>
      <c r="G3401" t="s">
        <v>16</v>
      </c>
      <c r="J3401" t="str">
        <f>"01/21/1995 23:00"</f>
        <v>01/21/1995 23:00</v>
      </c>
    </row>
    <row r="3402" spans="1:10" x14ac:dyDescent="0.3">
      <c r="A3402" t="s">
        <v>6</v>
      </c>
      <c r="B3402" t="str">
        <f>"01/22/1995 00:00"</f>
        <v>01/22/1995 00:00</v>
      </c>
      <c r="C3402">
        <v>90.1</v>
      </c>
      <c r="D3402" t="s">
        <v>7</v>
      </c>
      <c r="E3402" s="2" t="s">
        <v>12</v>
      </c>
      <c r="F3402">
        <f t="shared" si="53"/>
        <v>178.66829999999999</v>
      </c>
      <c r="G3402" t="s">
        <v>16</v>
      </c>
      <c r="J3402" t="str">
        <f>"01/22/1995 23:00"</f>
        <v>01/22/1995 23:00</v>
      </c>
    </row>
    <row r="3403" spans="1:10" x14ac:dyDescent="0.3">
      <c r="A3403" t="s">
        <v>6</v>
      </c>
      <c r="B3403" t="str">
        <f>"01/23/1995 00:00"</f>
        <v>01/23/1995 00:00</v>
      </c>
      <c r="C3403">
        <v>90.1</v>
      </c>
      <c r="D3403" t="s">
        <v>7</v>
      </c>
      <c r="E3403" s="2" t="s">
        <v>12</v>
      </c>
      <c r="F3403">
        <f t="shared" si="53"/>
        <v>178.66829999999999</v>
      </c>
      <c r="G3403" t="s">
        <v>16</v>
      </c>
      <c r="J3403" t="str">
        <f>"01/23/1995 23:00"</f>
        <v>01/23/1995 23:00</v>
      </c>
    </row>
    <row r="3404" spans="1:10" x14ac:dyDescent="0.3">
      <c r="A3404" t="s">
        <v>6</v>
      </c>
      <c r="B3404" t="str">
        <f>"01/24/1995 00:00"</f>
        <v>01/24/1995 00:00</v>
      </c>
      <c r="C3404">
        <v>90.1</v>
      </c>
      <c r="D3404" t="s">
        <v>7</v>
      </c>
      <c r="E3404" s="2" t="s">
        <v>12</v>
      </c>
      <c r="F3404">
        <f t="shared" si="53"/>
        <v>178.66829999999999</v>
      </c>
      <c r="G3404" t="s">
        <v>16</v>
      </c>
      <c r="J3404" t="str">
        <f>"01/24/1995 23:00"</f>
        <v>01/24/1995 23:00</v>
      </c>
    </row>
    <row r="3405" spans="1:10" x14ac:dyDescent="0.3">
      <c r="A3405" t="s">
        <v>6</v>
      </c>
      <c r="B3405" t="str">
        <f>"01/25/1995 00:00"</f>
        <v>01/25/1995 00:00</v>
      </c>
      <c r="C3405">
        <v>91</v>
      </c>
      <c r="D3405" t="s">
        <v>7</v>
      </c>
      <c r="E3405" s="2" t="s">
        <v>12</v>
      </c>
      <c r="F3405">
        <f t="shared" si="53"/>
        <v>180.453</v>
      </c>
      <c r="G3405" t="s">
        <v>16</v>
      </c>
      <c r="J3405" t="str">
        <f>"01/25/1995 23:00"</f>
        <v>01/25/1995 23:00</v>
      </c>
    </row>
    <row r="3406" spans="1:10" x14ac:dyDescent="0.3">
      <c r="A3406" t="s">
        <v>6</v>
      </c>
      <c r="B3406" t="str">
        <f>"01/26/1995 00:00"</f>
        <v>01/26/1995 00:00</v>
      </c>
      <c r="C3406">
        <v>89.9</v>
      </c>
      <c r="D3406" t="s">
        <v>7</v>
      </c>
      <c r="E3406" s="2" t="s">
        <v>12</v>
      </c>
      <c r="F3406">
        <f t="shared" si="53"/>
        <v>178.27170000000001</v>
      </c>
      <c r="G3406" t="s">
        <v>16</v>
      </c>
      <c r="J3406" t="str">
        <f>"01/26/1995 23:00"</f>
        <v>01/26/1995 23:00</v>
      </c>
    </row>
    <row r="3407" spans="1:10" x14ac:dyDescent="0.3">
      <c r="A3407" t="s">
        <v>6</v>
      </c>
      <c r="B3407" t="str">
        <f>"01/27/1995 00:00"</f>
        <v>01/27/1995 00:00</v>
      </c>
      <c r="C3407">
        <v>91.4</v>
      </c>
      <c r="D3407" t="s">
        <v>7</v>
      </c>
      <c r="E3407" s="2" t="s">
        <v>12</v>
      </c>
      <c r="F3407">
        <f t="shared" si="53"/>
        <v>181.24620000000002</v>
      </c>
      <c r="G3407" t="s">
        <v>16</v>
      </c>
      <c r="J3407" t="str">
        <f>"01/27/1995 23:00"</f>
        <v>01/27/1995 23:00</v>
      </c>
    </row>
    <row r="3408" spans="1:10" x14ac:dyDescent="0.3">
      <c r="A3408" t="s">
        <v>6</v>
      </c>
      <c r="B3408" t="str">
        <f>"01/28/1995 00:00"</f>
        <v>01/28/1995 00:00</v>
      </c>
      <c r="C3408">
        <v>91.4</v>
      </c>
      <c r="D3408" t="s">
        <v>7</v>
      </c>
      <c r="E3408" s="2" t="s">
        <v>12</v>
      </c>
      <c r="F3408">
        <f t="shared" si="53"/>
        <v>181.24620000000002</v>
      </c>
      <c r="G3408" t="s">
        <v>16</v>
      </c>
      <c r="I3408" t="s">
        <v>8</v>
      </c>
      <c r="J3408" t="str">
        <f>"01/28/1995 23:00"</f>
        <v>01/28/1995 23:00</v>
      </c>
    </row>
    <row r="3409" spans="1:10" x14ac:dyDescent="0.3">
      <c r="A3409" t="s">
        <v>6</v>
      </c>
      <c r="B3409" t="str">
        <f>"01/29/1995 00:00"</f>
        <v>01/29/1995 00:00</v>
      </c>
      <c r="C3409">
        <v>91.1</v>
      </c>
      <c r="D3409" t="s">
        <v>7</v>
      </c>
      <c r="E3409" s="2" t="s">
        <v>12</v>
      </c>
      <c r="F3409">
        <f t="shared" si="53"/>
        <v>180.65129999999999</v>
      </c>
      <c r="G3409" t="s">
        <v>16</v>
      </c>
      <c r="I3409" t="s">
        <v>8</v>
      </c>
      <c r="J3409" t="str">
        <f>"01/29/1995 23:00"</f>
        <v>01/29/1995 23:00</v>
      </c>
    </row>
    <row r="3410" spans="1:10" x14ac:dyDescent="0.3">
      <c r="A3410" t="s">
        <v>6</v>
      </c>
      <c r="B3410" t="str">
        <f>"01/30/1995 00:00"</f>
        <v>01/30/1995 00:00</v>
      </c>
      <c r="C3410">
        <v>90.3</v>
      </c>
      <c r="D3410" t="s">
        <v>7</v>
      </c>
      <c r="E3410" s="2" t="s">
        <v>12</v>
      </c>
      <c r="F3410">
        <f t="shared" si="53"/>
        <v>179.06489999999999</v>
      </c>
      <c r="G3410" t="s">
        <v>16</v>
      </c>
      <c r="J3410" t="str">
        <f>"01/30/1995 23:00"</f>
        <v>01/30/1995 23:00</v>
      </c>
    </row>
    <row r="3411" spans="1:10" x14ac:dyDescent="0.3">
      <c r="A3411" t="s">
        <v>6</v>
      </c>
      <c r="B3411" t="str">
        <f>"01/31/1995 00:00"</f>
        <v>01/31/1995 00:00</v>
      </c>
      <c r="C3411">
        <v>93.5</v>
      </c>
      <c r="D3411" t="s">
        <v>7</v>
      </c>
      <c r="E3411" s="2" t="s">
        <v>12</v>
      </c>
      <c r="F3411">
        <f t="shared" si="53"/>
        <v>185.41050000000001</v>
      </c>
      <c r="G3411" t="s">
        <v>16</v>
      </c>
      <c r="J3411" t="str">
        <f>"01/31/1995 23:00"</f>
        <v>01/31/1995 23:00</v>
      </c>
    </row>
    <row r="3412" spans="1:10" x14ac:dyDescent="0.3">
      <c r="A3412" t="s">
        <v>6</v>
      </c>
      <c r="B3412" t="str">
        <f>"02/01/1995 00:00"</f>
        <v>02/01/1995 00:00</v>
      </c>
      <c r="C3412">
        <v>89.7</v>
      </c>
      <c r="D3412" t="s">
        <v>7</v>
      </c>
      <c r="E3412" s="2" t="s">
        <v>12</v>
      </c>
      <c r="F3412">
        <f t="shared" si="53"/>
        <v>177.8751</v>
      </c>
      <c r="G3412" t="s">
        <v>16</v>
      </c>
      <c r="I3412" t="s">
        <v>8</v>
      </c>
      <c r="J3412" t="str">
        <f>"02/01/1995 23:00"</f>
        <v>02/01/1995 23:00</v>
      </c>
    </row>
    <row r="3413" spans="1:10" x14ac:dyDescent="0.3">
      <c r="A3413" t="s">
        <v>6</v>
      </c>
      <c r="B3413" t="str">
        <f>"02/02/1995 00:00"</f>
        <v>02/02/1995 00:00</v>
      </c>
      <c r="C3413">
        <v>90.4</v>
      </c>
      <c r="D3413" t="s">
        <v>7</v>
      </c>
      <c r="E3413" s="2" t="s">
        <v>12</v>
      </c>
      <c r="F3413">
        <f t="shared" si="53"/>
        <v>179.26320000000001</v>
      </c>
      <c r="G3413" t="s">
        <v>16</v>
      </c>
      <c r="J3413" t="str">
        <f>"02/02/1995 23:00"</f>
        <v>02/02/1995 23:00</v>
      </c>
    </row>
    <row r="3414" spans="1:10" x14ac:dyDescent="0.3">
      <c r="A3414" t="s">
        <v>6</v>
      </c>
      <c r="B3414" t="str">
        <f>"02/03/1995 00:00"</f>
        <v>02/03/1995 00:00</v>
      </c>
      <c r="C3414">
        <v>92.3</v>
      </c>
      <c r="D3414" t="s">
        <v>7</v>
      </c>
      <c r="E3414" s="2" t="s">
        <v>12</v>
      </c>
      <c r="F3414">
        <f t="shared" si="53"/>
        <v>183.0309</v>
      </c>
      <c r="G3414" t="s">
        <v>16</v>
      </c>
      <c r="J3414" t="str">
        <f>"02/03/1995 23:00"</f>
        <v>02/03/1995 23:00</v>
      </c>
    </row>
    <row r="3415" spans="1:10" x14ac:dyDescent="0.3">
      <c r="A3415" t="s">
        <v>6</v>
      </c>
      <c r="B3415" t="str">
        <f>"02/04/1995 00:00"</f>
        <v>02/04/1995 00:00</v>
      </c>
      <c r="C3415">
        <v>90.6</v>
      </c>
      <c r="D3415" t="s">
        <v>7</v>
      </c>
      <c r="E3415" s="2" t="s">
        <v>12</v>
      </c>
      <c r="F3415">
        <f t="shared" si="53"/>
        <v>179.65979999999999</v>
      </c>
      <c r="G3415" t="s">
        <v>16</v>
      </c>
      <c r="J3415" t="str">
        <f>"02/04/1995 23:00"</f>
        <v>02/04/1995 23:00</v>
      </c>
    </row>
    <row r="3416" spans="1:10" x14ac:dyDescent="0.3">
      <c r="A3416" t="s">
        <v>6</v>
      </c>
      <c r="B3416" t="str">
        <f>"02/05/1995 00:00"</f>
        <v>02/05/1995 00:00</v>
      </c>
      <c r="C3416">
        <v>89.8</v>
      </c>
      <c r="D3416" t="s">
        <v>7</v>
      </c>
      <c r="E3416" s="2" t="s">
        <v>12</v>
      </c>
      <c r="F3416">
        <f t="shared" si="53"/>
        <v>178.07339999999999</v>
      </c>
      <c r="G3416" t="s">
        <v>16</v>
      </c>
      <c r="J3416" t="str">
        <f>"02/05/1995 23:00"</f>
        <v>02/05/1995 23:00</v>
      </c>
    </row>
    <row r="3417" spans="1:10" x14ac:dyDescent="0.3">
      <c r="A3417" t="s">
        <v>6</v>
      </c>
      <c r="B3417" t="str">
        <f>"02/06/1995 00:00"</f>
        <v>02/06/1995 00:00</v>
      </c>
      <c r="C3417">
        <v>88</v>
      </c>
      <c r="D3417" t="s">
        <v>7</v>
      </c>
      <c r="E3417" s="2" t="s">
        <v>12</v>
      </c>
      <c r="F3417">
        <f t="shared" si="53"/>
        <v>174.50400000000002</v>
      </c>
      <c r="G3417" t="s">
        <v>16</v>
      </c>
      <c r="J3417" t="str">
        <f>"02/06/1995 23:00"</f>
        <v>02/06/1995 23:00</v>
      </c>
    </row>
    <row r="3418" spans="1:10" x14ac:dyDescent="0.3">
      <c r="A3418" t="s">
        <v>6</v>
      </c>
      <c r="B3418" t="str">
        <f>"02/07/1995 00:00"</f>
        <v>02/07/1995 00:00</v>
      </c>
      <c r="C3418">
        <v>88.7</v>
      </c>
      <c r="D3418" t="s">
        <v>7</v>
      </c>
      <c r="E3418" s="2" t="s">
        <v>12</v>
      </c>
      <c r="F3418">
        <f t="shared" si="53"/>
        <v>175.89210000000003</v>
      </c>
      <c r="G3418" t="s">
        <v>16</v>
      </c>
      <c r="J3418" t="str">
        <f>"02/07/1995 23:00"</f>
        <v>02/07/1995 23:00</v>
      </c>
    </row>
    <row r="3419" spans="1:10" x14ac:dyDescent="0.3">
      <c r="A3419" t="s">
        <v>6</v>
      </c>
      <c r="B3419" t="str">
        <f>"02/08/1995 00:00"</f>
        <v>02/08/1995 00:00</v>
      </c>
      <c r="C3419">
        <v>88.2</v>
      </c>
      <c r="D3419" t="s">
        <v>7</v>
      </c>
      <c r="E3419" s="2" t="s">
        <v>12</v>
      </c>
      <c r="F3419">
        <f t="shared" si="53"/>
        <v>174.90060000000003</v>
      </c>
      <c r="G3419" t="s">
        <v>16</v>
      </c>
      <c r="J3419" t="str">
        <f>"02/08/1995 23:00"</f>
        <v>02/08/1995 23:00</v>
      </c>
    </row>
    <row r="3420" spans="1:10" x14ac:dyDescent="0.3">
      <c r="A3420" t="s">
        <v>6</v>
      </c>
      <c r="B3420" t="str">
        <f>"02/09/1995 00:00"</f>
        <v>02/09/1995 00:00</v>
      </c>
      <c r="C3420">
        <v>88.8</v>
      </c>
      <c r="D3420" t="s">
        <v>7</v>
      </c>
      <c r="E3420" s="2" t="s">
        <v>12</v>
      </c>
      <c r="F3420">
        <f t="shared" si="53"/>
        <v>176.09040000000002</v>
      </c>
      <c r="G3420" t="s">
        <v>16</v>
      </c>
      <c r="J3420" t="str">
        <f>"02/09/1995 23:00"</f>
        <v>02/09/1995 23:00</v>
      </c>
    </row>
    <row r="3421" spans="1:10" x14ac:dyDescent="0.3">
      <c r="A3421" t="s">
        <v>6</v>
      </c>
      <c r="B3421" t="str">
        <f>"02/10/1995 00:00"</f>
        <v>02/10/1995 00:00</v>
      </c>
      <c r="C3421">
        <v>91.9</v>
      </c>
      <c r="D3421" t="s">
        <v>7</v>
      </c>
      <c r="E3421" s="2" t="s">
        <v>12</v>
      </c>
      <c r="F3421">
        <f t="shared" si="53"/>
        <v>182.23770000000002</v>
      </c>
      <c r="G3421" t="s">
        <v>16</v>
      </c>
      <c r="J3421" t="str">
        <f>"02/10/1995 23:00"</f>
        <v>02/10/1995 23:00</v>
      </c>
    </row>
    <row r="3422" spans="1:10" x14ac:dyDescent="0.3">
      <c r="A3422" t="s">
        <v>6</v>
      </c>
      <c r="B3422" t="str">
        <f>"02/11/1995 00:00"</f>
        <v>02/11/1995 00:00</v>
      </c>
      <c r="C3422">
        <v>92.6</v>
      </c>
      <c r="D3422" t="s">
        <v>7</v>
      </c>
      <c r="E3422" s="2" t="s">
        <v>12</v>
      </c>
      <c r="F3422">
        <f t="shared" si="53"/>
        <v>183.6258</v>
      </c>
      <c r="G3422" t="s">
        <v>16</v>
      </c>
      <c r="J3422" t="str">
        <f>"02/11/1995 23:00"</f>
        <v>02/11/1995 23:00</v>
      </c>
    </row>
    <row r="3423" spans="1:10" x14ac:dyDescent="0.3">
      <c r="A3423" t="s">
        <v>6</v>
      </c>
      <c r="B3423" t="str">
        <f>"02/12/1995 00:00"</f>
        <v>02/12/1995 00:00</v>
      </c>
      <c r="C3423">
        <v>92.7</v>
      </c>
      <c r="D3423" t="s">
        <v>7</v>
      </c>
      <c r="E3423" s="2" t="s">
        <v>12</v>
      </c>
      <c r="F3423">
        <f t="shared" si="53"/>
        <v>183.82410000000002</v>
      </c>
      <c r="G3423" t="s">
        <v>16</v>
      </c>
      <c r="I3423" t="s">
        <v>8</v>
      </c>
      <c r="J3423" t="str">
        <f>"02/12/1995 23:00"</f>
        <v>02/12/1995 23:00</v>
      </c>
    </row>
    <row r="3424" spans="1:10" x14ac:dyDescent="0.3">
      <c r="A3424" t="s">
        <v>6</v>
      </c>
      <c r="B3424" t="str">
        <f>"02/13/1995 00:00"</f>
        <v>02/13/1995 00:00</v>
      </c>
      <c r="C3424">
        <v>92.7</v>
      </c>
      <c r="D3424" t="s">
        <v>7</v>
      </c>
      <c r="E3424" s="2" t="s">
        <v>12</v>
      </c>
      <c r="F3424">
        <f t="shared" si="53"/>
        <v>183.82410000000002</v>
      </c>
      <c r="G3424" t="s">
        <v>16</v>
      </c>
      <c r="J3424" t="str">
        <f>"02/13/1995 23:00"</f>
        <v>02/13/1995 23:00</v>
      </c>
    </row>
    <row r="3425" spans="1:10" x14ac:dyDescent="0.3">
      <c r="A3425" t="s">
        <v>6</v>
      </c>
      <c r="B3425" t="str">
        <f>"02/14/1995 00:00"</f>
        <v>02/14/1995 00:00</v>
      </c>
      <c r="C3425">
        <v>93</v>
      </c>
      <c r="D3425" t="s">
        <v>7</v>
      </c>
      <c r="E3425" s="2" t="s">
        <v>12</v>
      </c>
      <c r="F3425">
        <f t="shared" si="53"/>
        <v>184.41900000000001</v>
      </c>
      <c r="G3425" t="s">
        <v>16</v>
      </c>
      <c r="I3425" t="s">
        <v>8</v>
      </c>
      <c r="J3425" t="str">
        <f>"02/14/1995 23:00"</f>
        <v>02/14/1995 23:00</v>
      </c>
    </row>
    <row r="3426" spans="1:10" x14ac:dyDescent="0.3">
      <c r="A3426" t="s">
        <v>6</v>
      </c>
      <c r="B3426" t="str">
        <f>"02/15/1995 00:00"</f>
        <v>02/15/1995 00:00</v>
      </c>
      <c r="C3426">
        <v>93.5</v>
      </c>
      <c r="D3426" t="s">
        <v>7</v>
      </c>
      <c r="E3426" s="2" t="s">
        <v>12</v>
      </c>
      <c r="F3426">
        <f t="shared" si="53"/>
        <v>185.41050000000001</v>
      </c>
      <c r="G3426" t="s">
        <v>16</v>
      </c>
      <c r="J3426" t="str">
        <f>"02/15/1995 23:00"</f>
        <v>02/15/1995 23:00</v>
      </c>
    </row>
    <row r="3427" spans="1:10" x14ac:dyDescent="0.3">
      <c r="A3427" t="s">
        <v>6</v>
      </c>
      <c r="B3427" t="str">
        <f>"02/16/1995 00:00"</f>
        <v>02/16/1995 00:00</v>
      </c>
      <c r="C3427">
        <v>93.8</v>
      </c>
      <c r="D3427" t="s">
        <v>7</v>
      </c>
      <c r="E3427" s="2" t="s">
        <v>12</v>
      </c>
      <c r="F3427">
        <f t="shared" si="53"/>
        <v>186.00540000000001</v>
      </c>
      <c r="G3427" t="s">
        <v>16</v>
      </c>
      <c r="J3427" t="str">
        <f>"02/16/1995 23:00"</f>
        <v>02/16/1995 23:00</v>
      </c>
    </row>
    <row r="3428" spans="1:10" x14ac:dyDescent="0.3">
      <c r="A3428" t="s">
        <v>6</v>
      </c>
      <c r="B3428" t="str">
        <f>"02/17/1995 00:00"</f>
        <v>02/17/1995 00:00</v>
      </c>
      <c r="C3428">
        <v>93.7</v>
      </c>
      <c r="D3428" t="s">
        <v>7</v>
      </c>
      <c r="E3428" s="2" t="s">
        <v>12</v>
      </c>
      <c r="F3428">
        <f t="shared" si="53"/>
        <v>185.80710000000002</v>
      </c>
      <c r="G3428" t="s">
        <v>16</v>
      </c>
      <c r="J3428" t="str">
        <f>"02/17/1995 23:00"</f>
        <v>02/17/1995 23:00</v>
      </c>
    </row>
    <row r="3429" spans="1:10" x14ac:dyDescent="0.3">
      <c r="A3429" t="s">
        <v>6</v>
      </c>
      <c r="B3429" t="str">
        <f>"02/18/1995 00:00"</f>
        <v>02/18/1995 00:00</v>
      </c>
      <c r="C3429">
        <v>94</v>
      </c>
      <c r="D3429" t="s">
        <v>7</v>
      </c>
      <c r="E3429" s="2" t="s">
        <v>12</v>
      </c>
      <c r="F3429">
        <f t="shared" si="53"/>
        <v>186.40200000000002</v>
      </c>
      <c r="G3429" t="s">
        <v>16</v>
      </c>
      <c r="I3429" t="s">
        <v>8</v>
      </c>
      <c r="J3429" t="str">
        <f>"02/18/1995 23:00"</f>
        <v>02/18/1995 23:00</v>
      </c>
    </row>
    <row r="3430" spans="1:10" x14ac:dyDescent="0.3">
      <c r="A3430" t="s">
        <v>6</v>
      </c>
      <c r="B3430" t="str">
        <f>"02/19/1995 00:00"</f>
        <v>02/19/1995 00:00</v>
      </c>
      <c r="C3430">
        <v>94</v>
      </c>
      <c r="D3430" t="s">
        <v>7</v>
      </c>
      <c r="E3430" s="2" t="s">
        <v>12</v>
      </c>
      <c r="F3430">
        <f t="shared" si="53"/>
        <v>186.40200000000002</v>
      </c>
      <c r="G3430" t="s">
        <v>16</v>
      </c>
      <c r="I3430" t="s">
        <v>8</v>
      </c>
      <c r="J3430" t="str">
        <f>"02/19/1995 23:00"</f>
        <v>02/19/1995 23:00</v>
      </c>
    </row>
    <row r="3431" spans="1:10" x14ac:dyDescent="0.3">
      <c r="A3431" t="s">
        <v>6</v>
      </c>
      <c r="B3431" t="str">
        <f>"02/20/1995 00:00"</f>
        <v>02/20/1995 00:00</v>
      </c>
      <c r="C3431">
        <v>86.2</v>
      </c>
      <c r="D3431" t="s">
        <v>7</v>
      </c>
      <c r="E3431" s="2" t="s">
        <v>12</v>
      </c>
      <c r="F3431">
        <f t="shared" si="53"/>
        <v>170.93460000000002</v>
      </c>
      <c r="G3431" t="s">
        <v>16</v>
      </c>
      <c r="J3431" t="str">
        <f>"02/20/1995 23:00"</f>
        <v>02/20/1995 23:00</v>
      </c>
    </row>
    <row r="3432" spans="1:10" x14ac:dyDescent="0.3">
      <c r="A3432" t="s">
        <v>6</v>
      </c>
      <c r="B3432" t="str">
        <f>"02/21/1995 00:00"</f>
        <v>02/21/1995 00:00</v>
      </c>
      <c r="C3432">
        <v>96.4</v>
      </c>
      <c r="D3432" t="s">
        <v>7</v>
      </c>
      <c r="E3432" s="2" t="s">
        <v>12</v>
      </c>
      <c r="F3432">
        <f t="shared" si="53"/>
        <v>191.16120000000001</v>
      </c>
      <c r="G3432" t="s">
        <v>16</v>
      </c>
      <c r="J3432" t="str">
        <f>"02/21/1995 21:00"</f>
        <v>02/21/1995 21:00</v>
      </c>
    </row>
    <row r="3433" spans="1:10" x14ac:dyDescent="0.3">
      <c r="A3433" t="s">
        <v>6</v>
      </c>
      <c r="B3433" t="str">
        <f>"02/22/1995 00:00"</f>
        <v>02/22/1995 00:00</v>
      </c>
      <c r="C3433">
        <v>95.8</v>
      </c>
      <c r="D3433" t="s">
        <v>7</v>
      </c>
      <c r="E3433" s="2" t="s">
        <v>12</v>
      </c>
      <c r="F3433">
        <f t="shared" si="53"/>
        <v>189.97140000000002</v>
      </c>
      <c r="G3433" t="s">
        <v>16</v>
      </c>
      <c r="J3433" t="str">
        <f>"02/22/1995 23:00"</f>
        <v>02/22/1995 23:00</v>
      </c>
    </row>
    <row r="3434" spans="1:10" x14ac:dyDescent="0.3">
      <c r="A3434" t="s">
        <v>6</v>
      </c>
      <c r="B3434" t="str">
        <f>"02/23/1995 00:00"</f>
        <v>02/23/1995 00:00</v>
      </c>
      <c r="C3434">
        <v>94.5</v>
      </c>
      <c r="D3434" t="s">
        <v>7</v>
      </c>
      <c r="E3434" s="2" t="s">
        <v>12</v>
      </c>
      <c r="F3434">
        <f t="shared" si="53"/>
        <v>187.39350000000002</v>
      </c>
      <c r="G3434" t="s">
        <v>16</v>
      </c>
      <c r="I3434" t="s">
        <v>8</v>
      </c>
      <c r="J3434" t="str">
        <f>"02/23/1995 23:00"</f>
        <v>02/23/1995 23:00</v>
      </c>
    </row>
    <row r="3435" spans="1:10" x14ac:dyDescent="0.3">
      <c r="A3435" t="s">
        <v>6</v>
      </c>
      <c r="B3435" t="str">
        <f>"02/24/1995 00:00"</f>
        <v>02/24/1995 00:00</v>
      </c>
      <c r="C3435">
        <v>92.6</v>
      </c>
      <c r="D3435" t="s">
        <v>7</v>
      </c>
      <c r="E3435" s="2" t="s">
        <v>12</v>
      </c>
      <c r="F3435">
        <f t="shared" si="53"/>
        <v>183.6258</v>
      </c>
      <c r="G3435" t="s">
        <v>16</v>
      </c>
      <c r="I3435" t="s">
        <v>8</v>
      </c>
      <c r="J3435" t="str">
        <f>"02/24/1995 23:00"</f>
        <v>02/24/1995 23:00</v>
      </c>
    </row>
    <row r="3436" spans="1:10" x14ac:dyDescent="0.3">
      <c r="A3436" t="s">
        <v>6</v>
      </c>
      <c r="B3436" t="str">
        <f>"02/25/1995 00:00"</f>
        <v>02/25/1995 00:00</v>
      </c>
      <c r="C3436">
        <v>91.8</v>
      </c>
      <c r="D3436" t="s">
        <v>7</v>
      </c>
      <c r="E3436" s="2" t="s">
        <v>12</v>
      </c>
      <c r="F3436">
        <f t="shared" si="53"/>
        <v>182.0394</v>
      </c>
      <c r="G3436" t="s">
        <v>16</v>
      </c>
      <c r="J3436" t="str">
        <f>"02/25/1995 23:00"</f>
        <v>02/25/1995 23:00</v>
      </c>
    </row>
    <row r="3437" spans="1:10" x14ac:dyDescent="0.3">
      <c r="A3437" t="s">
        <v>6</v>
      </c>
      <c r="B3437" t="str">
        <f>"02/26/1995 00:00"</f>
        <v>02/26/1995 00:00</v>
      </c>
      <c r="C3437">
        <v>93.1</v>
      </c>
      <c r="D3437" t="s">
        <v>7</v>
      </c>
      <c r="E3437" s="2" t="s">
        <v>12</v>
      </c>
      <c r="F3437">
        <f t="shared" si="53"/>
        <v>184.6173</v>
      </c>
      <c r="G3437" t="s">
        <v>16</v>
      </c>
      <c r="I3437" t="s">
        <v>8</v>
      </c>
      <c r="J3437" t="str">
        <f>"02/26/1995 23:00"</f>
        <v>02/26/1995 23:00</v>
      </c>
    </row>
    <row r="3438" spans="1:10" x14ac:dyDescent="0.3">
      <c r="A3438" t="s">
        <v>6</v>
      </c>
      <c r="B3438" t="str">
        <f>"02/27/1995 00:00"</f>
        <v>02/27/1995 00:00</v>
      </c>
      <c r="C3438">
        <v>124</v>
      </c>
      <c r="D3438" t="s">
        <v>7</v>
      </c>
      <c r="E3438" s="2" t="s">
        <v>12</v>
      </c>
      <c r="F3438">
        <f t="shared" si="53"/>
        <v>245.89200000000002</v>
      </c>
      <c r="G3438" t="s">
        <v>16</v>
      </c>
      <c r="I3438" t="s">
        <v>8</v>
      </c>
      <c r="J3438" t="str">
        <f>"02/27/1995 23:00"</f>
        <v>02/27/1995 23:00</v>
      </c>
    </row>
    <row r="3439" spans="1:10" x14ac:dyDescent="0.3">
      <c r="A3439" t="s">
        <v>6</v>
      </c>
      <c r="B3439" t="str">
        <f>"02/28/1995 00:00"</f>
        <v>02/28/1995 00:00</v>
      </c>
      <c r="C3439">
        <v>145</v>
      </c>
      <c r="D3439" t="s">
        <v>7</v>
      </c>
      <c r="E3439" s="2" t="s">
        <v>12</v>
      </c>
      <c r="F3439">
        <f t="shared" si="53"/>
        <v>287.53500000000003</v>
      </c>
      <c r="G3439" t="s">
        <v>16</v>
      </c>
      <c r="J3439" t="str">
        <f>"02/28/1995 23:00"</f>
        <v>02/28/1995 23:00</v>
      </c>
    </row>
    <row r="3440" spans="1:10" x14ac:dyDescent="0.3">
      <c r="A3440" t="s">
        <v>6</v>
      </c>
      <c r="B3440" t="str">
        <f>"03/01/1995 00:00"</f>
        <v>03/01/1995 00:00</v>
      </c>
      <c r="C3440">
        <v>126</v>
      </c>
      <c r="D3440" t="s">
        <v>7</v>
      </c>
      <c r="E3440" s="2" t="s">
        <v>12</v>
      </c>
      <c r="F3440">
        <f t="shared" si="53"/>
        <v>249.858</v>
      </c>
      <c r="G3440" t="s">
        <v>16</v>
      </c>
      <c r="J3440" t="str">
        <f>"03/01/1995 23:00"</f>
        <v>03/01/1995 23:00</v>
      </c>
    </row>
    <row r="3441" spans="1:10" x14ac:dyDescent="0.3">
      <c r="A3441" t="s">
        <v>6</v>
      </c>
      <c r="B3441" t="str">
        <f>"03/02/1995 00:00"</f>
        <v>03/02/1995 00:00</v>
      </c>
      <c r="C3441">
        <v>137</v>
      </c>
      <c r="D3441" t="s">
        <v>7</v>
      </c>
      <c r="E3441" s="2" t="s">
        <v>12</v>
      </c>
      <c r="F3441">
        <f t="shared" si="53"/>
        <v>271.67099999999999</v>
      </c>
      <c r="G3441" t="s">
        <v>16</v>
      </c>
      <c r="J3441" t="str">
        <f>"03/02/1995 23:00"</f>
        <v>03/02/1995 23:00</v>
      </c>
    </row>
    <row r="3442" spans="1:10" x14ac:dyDescent="0.3">
      <c r="A3442" t="s">
        <v>6</v>
      </c>
      <c r="B3442" t="str">
        <f>"03/03/1995 00:00"</f>
        <v>03/03/1995 00:00</v>
      </c>
      <c r="C3442">
        <v>137</v>
      </c>
      <c r="D3442" t="s">
        <v>7</v>
      </c>
      <c r="E3442" s="2" t="s">
        <v>12</v>
      </c>
      <c r="F3442">
        <f t="shared" si="53"/>
        <v>271.67099999999999</v>
      </c>
      <c r="G3442" t="s">
        <v>16</v>
      </c>
      <c r="J3442" t="str">
        <f>"03/03/1995 23:00"</f>
        <v>03/03/1995 23:00</v>
      </c>
    </row>
    <row r="3443" spans="1:10" x14ac:dyDescent="0.3">
      <c r="A3443" t="s">
        <v>6</v>
      </c>
      <c r="B3443" t="str">
        <f>"03/04/1995 00:00"</f>
        <v>03/04/1995 00:00</v>
      </c>
      <c r="C3443">
        <v>135</v>
      </c>
      <c r="D3443" t="s">
        <v>7</v>
      </c>
      <c r="E3443" s="2" t="s">
        <v>12</v>
      </c>
      <c r="F3443">
        <f t="shared" si="53"/>
        <v>267.70500000000004</v>
      </c>
      <c r="G3443" t="s">
        <v>16</v>
      </c>
      <c r="J3443" t="str">
        <f>"03/04/1995 23:00"</f>
        <v>03/04/1995 23:00</v>
      </c>
    </row>
    <row r="3444" spans="1:10" x14ac:dyDescent="0.3">
      <c r="A3444" t="s">
        <v>6</v>
      </c>
      <c r="B3444" t="str">
        <f>"03/05/1995 00:00"</f>
        <v>03/05/1995 00:00</v>
      </c>
      <c r="C3444">
        <v>134</v>
      </c>
      <c r="D3444" t="s">
        <v>7</v>
      </c>
      <c r="E3444" s="2" t="s">
        <v>12</v>
      </c>
      <c r="F3444">
        <f t="shared" si="53"/>
        <v>265.72200000000004</v>
      </c>
      <c r="G3444" t="s">
        <v>16</v>
      </c>
      <c r="J3444" t="str">
        <f>"03/05/1995 23:00"</f>
        <v>03/05/1995 23:00</v>
      </c>
    </row>
    <row r="3445" spans="1:10" x14ac:dyDescent="0.3">
      <c r="A3445" t="s">
        <v>6</v>
      </c>
      <c r="B3445" t="str">
        <f>"03/06/1995 00:00"</f>
        <v>03/06/1995 00:00</v>
      </c>
      <c r="C3445">
        <v>141</v>
      </c>
      <c r="D3445" t="s">
        <v>7</v>
      </c>
      <c r="E3445" s="2" t="s">
        <v>12</v>
      </c>
      <c r="F3445">
        <f t="shared" si="53"/>
        <v>279.60300000000001</v>
      </c>
      <c r="G3445" t="s">
        <v>16</v>
      </c>
      <c r="J3445" t="str">
        <f>"03/06/1995 23:00"</f>
        <v>03/06/1995 23:00</v>
      </c>
    </row>
    <row r="3446" spans="1:10" x14ac:dyDescent="0.3">
      <c r="A3446" t="s">
        <v>6</v>
      </c>
      <c r="B3446" t="str">
        <f>"03/07/1995 00:00"</f>
        <v>03/07/1995 00:00</v>
      </c>
      <c r="C3446">
        <v>152</v>
      </c>
      <c r="D3446" t="s">
        <v>7</v>
      </c>
      <c r="E3446" s="2" t="s">
        <v>12</v>
      </c>
      <c r="F3446">
        <f t="shared" si="53"/>
        <v>301.416</v>
      </c>
      <c r="G3446" t="s">
        <v>16</v>
      </c>
      <c r="J3446" t="str">
        <f>"03/07/1995 05:00"</f>
        <v>03/07/1995 05:00</v>
      </c>
    </row>
    <row r="3447" spans="1:10" x14ac:dyDescent="0.3">
      <c r="A3447" t="s">
        <v>6</v>
      </c>
      <c r="B3447" t="str">
        <f>"03/08/1995 00:00"</f>
        <v>03/08/1995 00:00</v>
      </c>
      <c r="C3447">
        <v>114</v>
      </c>
      <c r="D3447" t="s">
        <v>7</v>
      </c>
      <c r="E3447" s="2" t="s">
        <v>12</v>
      </c>
      <c r="F3447">
        <f t="shared" si="53"/>
        <v>226.06200000000001</v>
      </c>
      <c r="G3447" t="s">
        <v>16</v>
      </c>
      <c r="J3447" t="str">
        <f>"03/08/1995 23:00"</f>
        <v>03/08/1995 23:00</v>
      </c>
    </row>
    <row r="3448" spans="1:10" x14ac:dyDescent="0.3">
      <c r="A3448" t="s">
        <v>6</v>
      </c>
      <c r="B3448" t="str">
        <f>"03/09/1995 00:00"</f>
        <v>03/09/1995 00:00</v>
      </c>
      <c r="C3448">
        <v>114</v>
      </c>
      <c r="D3448" t="s">
        <v>7</v>
      </c>
      <c r="E3448" s="2" t="s">
        <v>12</v>
      </c>
      <c r="F3448">
        <f t="shared" si="53"/>
        <v>226.06200000000001</v>
      </c>
      <c r="G3448" t="s">
        <v>16</v>
      </c>
      <c r="J3448" t="str">
        <f>"03/09/1995 23:00"</f>
        <v>03/09/1995 23:00</v>
      </c>
    </row>
    <row r="3449" spans="1:10" x14ac:dyDescent="0.3">
      <c r="A3449" t="s">
        <v>6</v>
      </c>
      <c r="B3449" t="str">
        <f>"03/10/1995 00:00"</f>
        <v>03/10/1995 00:00</v>
      </c>
      <c r="C3449">
        <v>110</v>
      </c>
      <c r="D3449" t="s">
        <v>7</v>
      </c>
      <c r="E3449" s="2" t="s">
        <v>12</v>
      </c>
      <c r="F3449">
        <f t="shared" si="53"/>
        <v>218.13000000000002</v>
      </c>
      <c r="G3449" t="s">
        <v>16</v>
      </c>
      <c r="I3449" t="s">
        <v>8</v>
      </c>
      <c r="J3449" t="str">
        <f>"03/10/1995 23:00"</f>
        <v>03/10/1995 23:00</v>
      </c>
    </row>
    <row r="3450" spans="1:10" x14ac:dyDescent="0.3">
      <c r="A3450" t="s">
        <v>6</v>
      </c>
      <c r="B3450" t="str">
        <f>"03/11/1995 00:00"</f>
        <v>03/11/1995 00:00</v>
      </c>
      <c r="C3450">
        <v>89.2</v>
      </c>
      <c r="D3450" t="s">
        <v>7</v>
      </c>
      <c r="E3450" s="2" t="s">
        <v>12</v>
      </c>
      <c r="F3450">
        <f t="shared" si="53"/>
        <v>176.8836</v>
      </c>
      <c r="G3450" t="s">
        <v>16</v>
      </c>
      <c r="I3450" t="s">
        <v>8</v>
      </c>
      <c r="J3450" t="str">
        <f>"03/11/1995 23:00"</f>
        <v>03/11/1995 23:00</v>
      </c>
    </row>
    <row r="3451" spans="1:10" x14ac:dyDescent="0.3">
      <c r="A3451" t="s">
        <v>6</v>
      </c>
      <c r="B3451" t="str">
        <f>"03/12/1995 00:00"</f>
        <v>03/12/1995 00:00</v>
      </c>
      <c r="C3451">
        <v>90.1</v>
      </c>
      <c r="D3451" t="s">
        <v>7</v>
      </c>
      <c r="E3451" s="2" t="s">
        <v>12</v>
      </c>
      <c r="F3451">
        <f t="shared" si="53"/>
        <v>178.66829999999999</v>
      </c>
      <c r="G3451" t="s">
        <v>16</v>
      </c>
      <c r="I3451" t="s">
        <v>8</v>
      </c>
      <c r="J3451" t="str">
        <f>"03/12/1995 23:00"</f>
        <v>03/12/1995 23:00</v>
      </c>
    </row>
    <row r="3452" spans="1:10" x14ac:dyDescent="0.3">
      <c r="A3452" t="s">
        <v>6</v>
      </c>
      <c r="B3452" t="str">
        <f>"03/13/1995 00:00"</f>
        <v>03/13/1995 00:00</v>
      </c>
      <c r="C3452">
        <v>90.1</v>
      </c>
      <c r="D3452" t="s">
        <v>7</v>
      </c>
      <c r="E3452" s="2" t="s">
        <v>12</v>
      </c>
      <c r="F3452">
        <f t="shared" si="53"/>
        <v>178.66829999999999</v>
      </c>
      <c r="G3452" t="s">
        <v>16</v>
      </c>
      <c r="J3452" t="str">
        <f>"03/13/1995 23:00"</f>
        <v>03/13/1995 23:00</v>
      </c>
    </row>
    <row r="3453" spans="1:10" x14ac:dyDescent="0.3">
      <c r="A3453" t="s">
        <v>6</v>
      </c>
      <c r="B3453" t="str">
        <f>"03/14/1995 00:00"</f>
        <v>03/14/1995 00:00</v>
      </c>
      <c r="C3453">
        <v>90.3</v>
      </c>
      <c r="D3453" t="s">
        <v>7</v>
      </c>
      <c r="E3453" s="2" t="s">
        <v>12</v>
      </c>
      <c r="F3453">
        <f t="shared" si="53"/>
        <v>179.06489999999999</v>
      </c>
      <c r="G3453" t="s">
        <v>16</v>
      </c>
      <c r="J3453" t="str">
        <f>"03/14/1995 23:00"</f>
        <v>03/14/1995 23:00</v>
      </c>
    </row>
    <row r="3454" spans="1:10" x14ac:dyDescent="0.3">
      <c r="A3454" t="s">
        <v>6</v>
      </c>
      <c r="B3454" t="str">
        <f>"03/15/1995 00:00"</f>
        <v>03/15/1995 00:00</v>
      </c>
      <c r="C3454">
        <v>90.2</v>
      </c>
      <c r="D3454" t="s">
        <v>7</v>
      </c>
      <c r="E3454" s="2" t="s">
        <v>12</v>
      </c>
      <c r="F3454">
        <f t="shared" si="53"/>
        <v>178.86660000000001</v>
      </c>
      <c r="G3454" t="s">
        <v>16</v>
      </c>
      <c r="J3454" t="str">
        <f>"03/15/1995 23:00"</f>
        <v>03/15/1995 23:00</v>
      </c>
    </row>
    <row r="3455" spans="1:10" x14ac:dyDescent="0.3">
      <c r="A3455" t="s">
        <v>6</v>
      </c>
      <c r="B3455" t="str">
        <f>"03/16/1995 00:00"</f>
        <v>03/16/1995 00:00</v>
      </c>
      <c r="C3455">
        <v>103</v>
      </c>
      <c r="D3455" t="s">
        <v>7</v>
      </c>
      <c r="E3455" s="2" t="s">
        <v>12</v>
      </c>
      <c r="F3455">
        <f t="shared" si="53"/>
        <v>204.24900000000002</v>
      </c>
      <c r="G3455" t="s">
        <v>16</v>
      </c>
      <c r="J3455" t="str">
        <f>"03/16/1995 23:00"</f>
        <v>03/16/1995 23:00</v>
      </c>
    </row>
    <row r="3456" spans="1:10" x14ac:dyDescent="0.3">
      <c r="A3456" t="s">
        <v>6</v>
      </c>
      <c r="B3456" t="str">
        <f>"03/17/1995 00:00"</f>
        <v>03/17/1995 00:00</v>
      </c>
      <c r="C3456">
        <v>129</v>
      </c>
      <c r="D3456" t="s">
        <v>7</v>
      </c>
      <c r="E3456" s="2" t="s">
        <v>12</v>
      </c>
      <c r="F3456">
        <f t="shared" si="53"/>
        <v>255.80700000000002</v>
      </c>
      <c r="G3456" t="s">
        <v>16</v>
      </c>
      <c r="J3456" t="str">
        <f>"03/17/1995 23:00"</f>
        <v>03/17/1995 23:00</v>
      </c>
    </row>
    <row r="3457" spans="1:10" x14ac:dyDescent="0.3">
      <c r="A3457" t="s">
        <v>6</v>
      </c>
      <c r="B3457" t="str">
        <f>"03/18/1995 00:00"</f>
        <v>03/18/1995 00:00</v>
      </c>
      <c r="C3457">
        <v>138</v>
      </c>
      <c r="D3457" t="s">
        <v>7</v>
      </c>
      <c r="E3457" s="2" t="s">
        <v>12</v>
      </c>
      <c r="F3457">
        <f t="shared" si="53"/>
        <v>273.654</v>
      </c>
      <c r="G3457" t="s">
        <v>16</v>
      </c>
      <c r="J3457" t="str">
        <f>"03/18/1995 23:00"</f>
        <v>03/18/1995 23:00</v>
      </c>
    </row>
    <row r="3458" spans="1:10" x14ac:dyDescent="0.3">
      <c r="A3458" t="s">
        <v>6</v>
      </c>
      <c r="B3458" t="str">
        <f>"03/19/1995 00:00"</f>
        <v>03/19/1995 00:00</v>
      </c>
      <c r="C3458">
        <v>138</v>
      </c>
      <c r="D3458" t="s">
        <v>7</v>
      </c>
      <c r="E3458" s="2" t="s">
        <v>12</v>
      </c>
      <c r="F3458">
        <f t="shared" si="53"/>
        <v>273.654</v>
      </c>
      <c r="G3458" t="s">
        <v>16</v>
      </c>
      <c r="I3458" t="s">
        <v>8</v>
      </c>
      <c r="J3458" t="str">
        <f>"03/19/1995 23:00"</f>
        <v>03/19/1995 23:00</v>
      </c>
    </row>
    <row r="3459" spans="1:10" x14ac:dyDescent="0.3">
      <c r="A3459" t="s">
        <v>6</v>
      </c>
      <c r="B3459" t="str">
        <f>"03/20/1995 00:00"</f>
        <v>03/20/1995 00:00</v>
      </c>
      <c r="C3459">
        <v>139</v>
      </c>
      <c r="D3459" t="s">
        <v>7</v>
      </c>
      <c r="E3459" s="2" t="s">
        <v>12</v>
      </c>
      <c r="F3459">
        <f t="shared" ref="F3459:F3522" si="54">C3459*1.983</f>
        <v>275.637</v>
      </c>
      <c r="G3459" t="s">
        <v>16</v>
      </c>
      <c r="I3459" t="s">
        <v>8</v>
      </c>
      <c r="J3459" t="str">
        <f>"03/20/1995 23:00"</f>
        <v>03/20/1995 23:00</v>
      </c>
    </row>
    <row r="3460" spans="1:10" x14ac:dyDescent="0.3">
      <c r="A3460" t="s">
        <v>6</v>
      </c>
      <c r="B3460" t="str">
        <f>"03/21/1995 00:00"</f>
        <v>03/21/1995 00:00</v>
      </c>
      <c r="C3460">
        <v>140</v>
      </c>
      <c r="D3460" t="s">
        <v>7</v>
      </c>
      <c r="E3460" s="2" t="s">
        <v>12</v>
      </c>
      <c r="F3460">
        <f t="shared" si="54"/>
        <v>277.62</v>
      </c>
      <c r="G3460" t="s">
        <v>16</v>
      </c>
      <c r="J3460" t="str">
        <f>"03/21/1995 23:00"</f>
        <v>03/21/1995 23:00</v>
      </c>
    </row>
    <row r="3461" spans="1:10" x14ac:dyDescent="0.3">
      <c r="A3461" t="s">
        <v>6</v>
      </c>
      <c r="B3461" t="str">
        <f>"03/22/1995 00:00"</f>
        <v>03/22/1995 00:00</v>
      </c>
      <c r="C3461">
        <v>140</v>
      </c>
      <c r="D3461" t="s">
        <v>7</v>
      </c>
      <c r="E3461" s="2" t="s">
        <v>12</v>
      </c>
      <c r="F3461">
        <f t="shared" si="54"/>
        <v>277.62</v>
      </c>
      <c r="G3461" t="s">
        <v>16</v>
      </c>
      <c r="I3461" t="s">
        <v>8</v>
      </c>
      <c r="J3461" t="str">
        <f>"03/22/1995 23:00"</f>
        <v>03/22/1995 23:00</v>
      </c>
    </row>
    <row r="3462" spans="1:10" x14ac:dyDescent="0.3">
      <c r="A3462" t="s">
        <v>6</v>
      </c>
      <c r="B3462" t="str">
        <f>"03/23/1995 00:00"</f>
        <v>03/23/1995 00:00</v>
      </c>
      <c r="C3462">
        <v>140</v>
      </c>
      <c r="D3462" t="s">
        <v>7</v>
      </c>
      <c r="E3462" s="2" t="s">
        <v>12</v>
      </c>
      <c r="F3462">
        <f t="shared" si="54"/>
        <v>277.62</v>
      </c>
      <c r="G3462" t="s">
        <v>16</v>
      </c>
      <c r="I3462" t="s">
        <v>8</v>
      </c>
      <c r="J3462" t="str">
        <f>"03/23/1995 23:00"</f>
        <v>03/23/1995 23:00</v>
      </c>
    </row>
    <row r="3463" spans="1:10" x14ac:dyDescent="0.3">
      <c r="A3463" t="s">
        <v>6</v>
      </c>
      <c r="B3463" t="str">
        <f>"03/24/1995 00:00"</f>
        <v>03/24/1995 00:00</v>
      </c>
      <c r="C3463">
        <v>148</v>
      </c>
      <c r="D3463" t="s">
        <v>7</v>
      </c>
      <c r="E3463" s="2" t="s">
        <v>12</v>
      </c>
      <c r="F3463">
        <f t="shared" si="54"/>
        <v>293.48400000000004</v>
      </c>
      <c r="G3463" t="s">
        <v>16</v>
      </c>
      <c r="I3463" t="s">
        <v>8</v>
      </c>
      <c r="J3463" t="str">
        <f>"03/24/1995 23:00"</f>
        <v>03/24/1995 23:00</v>
      </c>
    </row>
    <row r="3464" spans="1:10" x14ac:dyDescent="0.3">
      <c r="A3464" t="s">
        <v>6</v>
      </c>
      <c r="B3464" t="str">
        <f>"03/25/1995 00:00"</f>
        <v>03/25/1995 00:00</v>
      </c>
      <c r="C3464">
        <v>184</v>
      </c>
      <c r="D3464" t="s">
        <v>7</v>
      </c>
      <c r="E3464" s="2" t="s">
        <v>12</v>
      </c>
      <c r="F3464">
        <f t="shared" si="54"/>
        <v>364.87200000000001</v>
      </c>
      <c r="G3464" t="s">
        <v>16</v>
      </c>
      <c r="I3464" t="s">
        <v>8</v>
      </c>
      <c r="J3464" t="str">
        <f>"03/25/1995 23:00"</f>
        <v>03/25/1995 23:00</v>
      </c>
    </row>
    <row r="3465" spans="1:10" x14ac:dyDescent="0.3">
      <c r="A3465" t="s">
        <v>6</v>
      </c>
      <c r="B3465" t="str">
        <f>"03/26/1995 00:00"</f>
        <v>03/26/1995 00:00</v>
      </c>
      <c r="C3465">
        <v>183</v>
      </c>
      <c r="D3465" t="s">
        <v>7</v>
      </c>
      <c r="E3465" s="2" t="s">
        <v>12</v>
      </c>
      <c r="F3465">
        <f t="shared" si="54"/>
        <v>362.88900000000001</v>
      </c>
      <c r="G3465" t="s">
        <v>16</v>
      </c>
      <c r="J3465" t="str">
        <f>"03/26/1995 23:00"</f>
        <v>03/26/1995 23:00</v>
      </c>
    </row>
    <row r="3466" spans="1:10" x14ac:dyDescent="0.3">
      <c r="A3466" t="s">
        <v>6</v>
      </c>
      <c r="B3466" t="str">
        <f>"03/27/1995 00:00"</f>
        <v>03/27/1995 00:00</v>
      </c>
      <c r="C3466">
        <v>157</v>
      </c>
      <c r="D3466" t="s">
        <v>7</v>
      </c>
      <c r="E3466" s="2" t="s">
        <v>12</v>
      </c>
      <c r="F3466">
        <f t="shared" si="54"/>
        <v>311.33100000000002</v>
      </c>
      <c r="G3466" t="s">
        <v>16</v>
      </c>
      <c r="J3466" t="str">
        <f>"03/27/1995 23:00"</f>
        <v>03/27/1995 23:00</v>
      </c>
    </row>
    <row r="3467" spans="1:10" x14ac:dyDescent="0.3">
      <c r="A3467" t="s">
        <v>6</v>
      </c>
      <c r="B3467" t="str">
        <f>"03/28/1995 00:00"</f>
        <v>03/28/1995 00:00</v>
      </c>
      <c r="C3467">
        <v>91.9</v>
      </c>
      <c r="D3467" t="s">
        <v>7</v>
      </c>
      <c r="E3467" s="2" t="s">
        <v>12</v>
      </c>
      <c r="F3467">
        <f t="shared" si="54"/>
        <v>182.23770000000002</v>
      </c>
      <c r="G3467" t="s">
        <v>16</v>
      </c>
      <c r="J3467" t="str">
        <f>"03/28/1995 23:00"</f>
        <v>03/28/1995 23:00</v>
      </c>
    </row>
    <row r="3468" spans="1:10" x14ac:dyDescent="0.3">
      <c r="A3468" t="s">
        <v>6</v>
      </c>
      <c r="B3468" t="str">
        <f>"03/29/1995 00:00"</f>
        <v>03/29/1995 00:00</v>
      </c>
      <c r="C3468">
        <v>242</v>
      </c>
      <c r="D3468" t="s">
        <v>7</v>
      </c>
      <c r="E3468" s="2" t="s">
        <v>12</v>
      </c>
      <c r="F3468">
        <f t="shared" si="54"/>
        <v>479.88600000000002</v>
      </c>
      <c r="G3468" t="s">
        <v>16</v>
      </c>
      <c r="J3468" t="str">
        <f>"03/29/1995 23:00"</f>
        <v>03/29/1995 23:00</v>
      </c>
    </row>
    <row r="3469" spans="1:10" x14ac:dyDescent="0.3">
      <c r="A3469" t="s">
        <v>6</v>
      </c>
      <c r="B3469" t="str">
        <f>"03/30/1995 00:00"</f>
        <v>03/30/1995 00:00</v>
      </c>
      <c r="C3469">
        <v>242</v>
      </c>
      <c r="D3469" t="s">
        <v>7</v>
      </c>
      <c r="E3469" s="2" t="s">
        <v>12</v>
      </c>
      <c r="F3469">
        <f t="shared" si="54"/>
        <v>479.88600000000002</v>
      </c>
      <c r="G3469" t="s">
        <v>16</v>
      </c>
      <c r="J3469" t="str">
        <f>"03/30/1995 23:00"</f>
        <v>03/30/1995 23:00</v>
      </c>
    </row>
    <row r="3470" spans="1:10" x14ac:dyDescent="0.3">
      <c r="A3470" t="s">
        <v>6</v>
      </c>
      <c r="B3470" t="str">
        <f>"03/31/1995 00:00"</f>
        <v>03/31/1995 00:00</v>
      </c>
      <c r="C3470">
        <v>235</v>
      </c>
      <c r="D3470" t="s">
        <v>7</v>
      </c>
      <c r="E3470" s="2" t="s">
        <v>12</v>
      </c>
      <c r="F3470">
        <f t="shared" si="54"/>
        <v>466.005</v>
      </c>
      <c r="G3470" t="s">
        <v>16</v>
      </c>
      <c r="J3470" t="str">
        <f>"03/31/1995 23:00"</f>
        <v>03/31/1995 23:00</v>
      </c>
    </row>
    <row r="3471" spans="1:10" x14ac:dyDescent="0.3">
      <c r="A3471" t="s">
        <v>6</v>
      </c>
      <c r="B3471" t="str">
        <f>"04/01/1995 00:00"</f>
        <v>04/01/1995 00:00</v>
      </c>
      <c r="C3471">
        <v>242</v>
      </c>
      <c r="D3471" t="s">
        <v>7</v>
      </c>
      <c r="E3471" s="2" t="s">
        <v>12</v>
      </c>
      <c r="F3471">
        <f t="shared" si="54"/>
        <v>479.88600000000002</v>
      </c>
      <c r="G3471" t="s">
        <v>16</v>
      </c>
      <c r="I3471" t="s">
        <v>8</v>
      </c>
      <c r="J3471" t="str">
        <f>"04/01/1995 23:00"</f>
        <v>04/01/1995 23:00</v>
      </c>
    </row>
    <row r="3472" spans="1:10" x14ac:dyDescent="0.3">
      <c r="A3472" t="s">
        <v>6</v>
      </c>
      <c r="B3472" t="str">
        <f>"04/02/1995 00:00"</f>
        <v>04/02/1995 00:00</v>
      </c>
      <c r="C3472">
        <v>242</v>
      </c>
      <c r="D3472" t="s">
        <v>7</v>
      </c>
      <c r="E3472" s="2" t="s">
        <v>12</v>
      </c>
      <c r="F3472">
        <f t="shared" si="54"/>
        <v>479.88600000000002</v>
      </c>
      <c r="G3472" t="s">
        <v>16</v>
      </c>
      <c r="I3472" t="s">
        <v>8</v>
      </c>
      <c r="J3472" t="str">
        <f>"04/02/1995 23:00"</f>
        <v>04/02/1995 23:00</v>
      </c>
    </row>
    <row r="3473" spans="1:10" x14ac:dyDescent="0.3">
      <c r="A3473" t="s">
        <v>6</v>
      </c>
      <c r="B3473" t="str">
        <f>"04/03/1995 00:00"</f>
        <v>04/03/1995 00:00</v>
      </c>
      <c r="C3473">
        <v>242</v>
      </c>
      <c r="D3473" t="s">
        <v>7</v>
      </c>
      <c r="E3473" s="2" t="s">
        <v>12</v>
      </c>
      <c r="F3473">
        <f t="shared" si="54"/>
        <v>479.88600000000002</v>
      </c>
      <c r="G3473" t="s">
        <v>16</v>
      </c>
      <c r="I3473" t="s">
        <v>8</v>
      </c>
      <c r="J3473" t="str">
        <f>"04/03/1995 23:00"</f>
        <v>04/03/1995 23:00</v>
      </c>
    </row>
    <row r="3474" spans="1:10" x14ac:dyDescent="0.3">
      <c r="A3474" t="s">
        <v>6</v>
      </c>
      <c r="B3474" t="str">
        <f>"04/04/1995 00:00"</f>
        <v>04/04/1995 00:00</v>
      </c>
      <c r="C3474">
        <v>242</v>
      </c>
      <c r="D3474" t="s">
        <v>7</v>
      </c>
      <c r="E3474" s="2" t="s">
        <v>12</v>
      </c>
      <c r="F3474">
        <f t="shared" si="54"/>
        <v>479.88600000000002</v>
      </c>
      <c r="G3474" t="s">
        <v>16</v>
      </c>
      <c r="I3474" t="s">
        <v>8</v>
      </c>
      <c r="J3474" t="str">
        <f>"04/04/1995 23:00"</f>
        <v>04/04/1995 23:00</v>
      </c>
    </row>
    <row r="3475" spans="1:10" x14ac:dyDescent="0.3">
      <c r="A3475" t="s">
        <v>6</v>
      </c>
      <c r="B3475" t="str">
        <f>"04/05/1995 00:00"</f>
        <v>04/05/1995 00:00</v>
      </c>
      <c r="C3475">
        <v>242</v>
      </c>
      <c r="D3475" t="s">
        <v>7</v>
      </c>
      <c r="E3475" s="2" t="s">
        <v>12</v>
      </c>
      <c r="F3475">
        <f t="shared" si="54"/>
        <v>479.88600000000002</v>
      </c>
      <c r="G3475" t="s">
        <v>16</v>
      </c>
      <c r="I3475" t="s">
        <v>8</v>
      </c>
      <c r="J3475" t="str">
        <f>"04/05/1995 23:00"</f>
        <v>04/05/1995 23:00</v>
      </c>
    </row>
    <row r="3476" spans="1:10" x14ac:dyDescent="0.3">
      <c r="A3476" t="s">
        <v>6</v>
      </c>
      <c r="B3476" t="str">
        <f>"04/06/1995 00:00"</f>
        <v>04/06/1995 00:00</v>
      </c>
      <c r="C3476">
        <v>258</v>
      </c>
      <c r="D3476" t="s">
        <v>7</v>
      </c>
      <c r="E3476" s="2" t="s">
        <v>12</v>
      </c>
      <c r="F3476">
        <f t="shared" si="54"/>
        <v>511.61400000000003</v>
      </c>
      <c r="G3476" t="s">
        <v>16</v>
      </c>
      <c r="I3476" t="s">
        <v>8</v>
      </c>
      <c r="J3476" t="str">
        <f>"04/06/1995 23:00"</f>
        <v>04/06/1995 23:00</v>
      </c>
    </row>
    <row r="3477" spans="1:10" x14ac:dyDescent="0.3">
      <c r="A3477" t="s">
        <v>6</v>
      </c>
      <c r="B3477" t="str">
        <f>"04/07/1995 00:00"</f>
        <v>04/07/1995 00:00</v>
      </c>
      <c r="C3477">
        <v>279</v>
      </c>
      <c r="D3477" t="s">
        <v>7</v>
      </c>
      <c r="E3477" s="2" t="s">
        <v>12</v>
      </c>
      <c r="F3477">
        <f t="shared" si="54"/>
        <v>553.25700000000006</v>
      </c>
      <c r="G3477" t="s">
        <v>16</v>
      </c>
      <c r="I3477" t="s">
        <v>8</v>
      </c>
      <c r="J3477" t="str">
        <f>"04/07/1995 23:00"</f>
        <v>04/07/1995 23:00</v>
      </c>
    </row>
    <row r="3478" spans="1:10" x14ac:dyDescent="0.3">
      <c r="A3478" t="s">
        <v>6</v>
      </c>
      <c r="B3478" t="str">
        <f>"04/08/1995 00:00"</f>
        <v>04/08/1995 00:00</v>
      </c>
      <c r="C3478">
        <v>278</v>
      </c>
      <c r="D3478" t="s">
        <v>7</v>
      </c>
      <c r="E3478" s="2" t="s">
        <v>12</v>
      </c>
      <c r="F3478">
        <f t="shared" si="54"/>
        <v>551.274</v>
      </c>
      <c r="G3478" t="s">
        <v>16</v>
      </c>
      <c r="I3478" t="s">
        <v>8</v>
      </c>
      <c r="J3478" t="str">
        <f>"04/08/1995 23:00"</f>
        <v>04/08/1995 23:00</v>
      </c>
    </row>
    <row r="3479" spans="1:10" x14ac:dyDescent="0.3">
      <c r="A3479" t="s">
        <v>6</v>
      </c>
      <c r="B3479" t="str">
        <f>"04/09/1995 00:00"</f>
        <v>04/09/1995 00:00</v>
      </c>
      <c r="C3479">
        <v>277</v>
      </c>
      <c r="D3479" t="s">
        <v>7</v>
      </c>
      <c r="E3479" s="2" t="s">
        <v>12</v>
      </c>
      <c r="F3479">
        <f t="shared" si="54"/>
        <v>549.29100000000005</v>
      </c>
      <c r="G3479" t="s">
        <v>16</v>
      </c>
      <c r="I3479" t="s">
        <v>8</v>
      </c>
      <c r="J3479" t="str">
        <f>"04/09/1995 23:00"</f>
        <v>04/09/1995 23:00</v>
      </c>
    </row>
    <row r="3480" spans="1:10" x14ac:dyDescent="0.3">
      <c r="A3480" t="s">
        <v>6</v>
      </c>
      <c r="B3480" t="str">
        <f>"04/10/1995 00:00"</f>
        <v>04/10/1995 00:00</v>
      </c>
      <c r="C3480">
        <v>253</v>
      </c>
      <c r="D3480" t="s">
        <v>7</v>
      </c>
      <c r="E3480" s="2" t="s">
        <v>12</v>
      </c>
      <c r="F3480">
        <f t="shared" si="54"/>
        <v>501.69900000000001</v>
      </c>
      <c r="G3480" t="s">
        <v>16</v>
      </c>
      <c r="I3480" t="s">
        <v>8</v>
      </c>
      <c r="J3480" t="str">
        <f>"04/10/1995 23:00"</f>
        <v>04/10/1995 23:00</v>
      </c>
    </row>
    <row r="3481" spans="1:10" x14ac:dyDescent="0.3">
      <c r="A3481" t="s">
        <v>6</v>
      </c>
      <c r="B3481" t="str">
        <f>"04/11/1995 00:00"</f>
        <v>04/11/1995 00:00</v>
      </c>
      <c r="C3481">
        <v>235</v>
      </c>
      <c r="D3481" t="s">
        <v>7</v>
      </c>
      <c r="E3481" s="2" t="s">
        <v>12</v>
      </c>
      <c r="F3481">
        <f t="shared" si="54"/>
        <v>466.005</v>
      </c>
      <c r="G3481" t="s">
        <v>16</v>
      </c>
      <c r="J3481" t="str">
        <f>"04/11/1995 23:00"</f>
        <v>04/11/1995 23:00</v>
      </c>
    </row>
    <row r="3482" spans="1:10" x14ac:dyDescent="0.3">
      <c r="A3482" t="s">
        <v>6</v>
      </c>
      <c r="B3482" t="str">
        <f>"04/12/1995 00:00"</f>
        <v>04/12/1995 00:00</v>
      </c>
      <c r="C3482">
        <v>238</v>
      </c>
      <c r="D3482" t="s">
        <v>7</v>
      </c>
      <c r="E3482" s="2" t="s">
        <v>12</v>
      </c>
      <c r="F3482">
        <f t="shared" si="54"/>
        <v>471.95400000000001</v>
      </c>
      <c r="G3482" t="s">
        <v>16</v>
      </c>
      <c r="I3482" t="s">
        <v>8</v>
      </c>
      <c r="J3482" t="str">
        <f>"04/12/1995 23:00"</f>
        <v>04/12/1995 23:00</v>
      </c>
    </row>
    <row r="3483" spans="1:10" x14ac:dyDescent="0.3">
      <c r="A3483" t="s">
        <v>6</v>
      </c>
      <c r="B3483" t="str">
        <f>"04/13/1995 00:00"</f>
        <v>04/13/1995 00:00</v>
      </c>
      <c r="C3483">
        <v>241</v>
      </c>
      <c r="D3483" t="s">
        <v>7</v>
      </c>
      <c r="E3483" s="2" t="s">
        <v>12</v>
      </c>
      <c r="F3483">
        <f t="shared" si="54"/>
        <v>477.90300000000002</v>
      </c>
      <c r="G3483" t="s">
        <v>16</v>
      </c>
      <c r="I3483" t="s">
        <v>8</v>
      </c>
      <c r="J3483" t="str">
        <f>"04/13/1995 23:00"</f>
        <v>04/13/1995 23:00</v>
      </c>
    </row>
    <row r="3484" spans="1:10" x14ac:dyDescent="0.3">
      <c r="A3484" t="s">
        <v>6</v>
      </c>
      <c r="B3484" t="str">
        <f>"04/14/1995 00:00"</f>
        <v>04/14/1995 00:00</v>
      </c>
      <c r="C3484">
        <v>244</v>
      </c>
      <c r="D3484" t="s">
        <v>7</v>
      </c>
      <c r="E3484" s="2" t="s">
        <v>12</v>
      </c>
      <c r="F3484">
        <f t="shared" si="54"/>
        <v>483.85200000000003</v>
      </c>
      <c r="G3484" t="s">
        <v>16</v>
      </c>
      <c r="I3484" t="s">
        <v>8</v>
      </c>
      <c r="J3484" t="str">
        <f>"04/14/1995 23:00"</f>
        <v>04/14/1995 23:00</v>
      </c>
    </row>
    <row r="3485" spans="1:10" x14ac:dyDescent="0.3">
      <c r="A3485" t="s">
        <v>6</v>
      </c>
      <c r="B3485" t="str">
        <f>"04/15/1995 00:00"</f>
        <v>04/15/1995 00:00</v>
      </c>
      <c r="C3485">
        <v>244</v>
      </c>
      <c r="D3485" t="s">
        <v>7</v>
      </c>
      <c r="E3485" s="2" t="s">
        <v>12</v>
      </c>
      <c r="F3485">
        <f t="shared" si="54"/>
        <v>483.85200000000003</v>
      </c>
      <c r="G3485" t="s">
        <v>16</v>
      </c>
      <c r="I3485" t="s">
        <v>8</v>
      </c>
      <c r="J3485" t="str">
        <f>"04/15/1995 23:00"</f>
        <v>04/15/1995 23:00</v>
      </c>
    </row>
    <row r="3486" spans="1:10" x14ac:dyDescent="0.3">
      <c r="A3486" t="s">
        <v>6</v>
      </c>
      <c r="B3486" t="str">
        <f>"04/16/1995 00:00"</f>
        <v>04/16/1995 00:00</v>
      </c>
      <c r="C3486">
        <v>244</v>
      </c>
      <c r="D3486" t="s">
        <v>7</v>
      </c>
      <c r="E3486" s="2" t="s">
        <v>12</v>
      </c>
      <c r="F3486">
        <f t="shared" si="54"/>
        <v>483.85200000000003</v>
      </c>
      <c r="G3486" t="s">
        <v>16</v>
      </c>
      <c r="I3486" t="s">
        <v>8</v>
      </c>
      <c r="J3486" t="str">
        <f>"04/16/1995 23:00"</f>
        <v>04/16/1995 23:00</v>
      </c>
    </row>
    <row r="3487" spans="1:10" x14ac:dyDescent="0.3">
      <c r="A3487" t="s">
        <v>6</v>
      </c>
      <c r="B3487" t="str">
        <f>"04/17/1995 00:00"</f>
        <v>04/17/1995 00:00</v>
      </c>
      <c r="C3487">
        <v>244</v>
      </c>
      <c r="D3487" t="s">
        <v>7</v>
      </c>
      <c r="E3487" s="2" t="s">
        <v>12</v>
      </c>
      <c r="F3487">
        <f t="shared" si="54"/>
        <v>483.85200000000003</v>
      </c>
      <c r="G3487" t="s">
        <v>16</v>
      </c>
      <c r="I3487" t="s">
        <v>8</v>
      </c>
      <c r="J3487" t="str">
        <f>"04/17/1995 23:00"</f>
        <v>04/17/1995 23:00</v>
      </c>
    </row>
    <row r="3488" spans="1:10" x14ac:dyDescent="0.3">
      <c r="A3488" t="s">
        <v>6</v>
      </c>
      <c r="B3488" t="str">
        <f>"04/18/1995 00:00"</f>
        <v>04/18/1995 00:00</v>
      </c>
      <c r="C3488">
        <v>244</v>
      </c>
      <c r="D3488" t="s">
        <v>7</v>
      </c>
      <c r="E3488" s="2" t="s">
        <v>12</v>
      </c>
      <c r="F3488">
        <f t="shared" si="54"/>
        <v>483.85200000000003</v>
      </c>
      <c r="G3488" t="s">
        <v>16</v>
      </c>
      <c r="I3488" t="s">
        <v>8</v>
      </c>
      <c r="J3488" t="str">
        <f>"04/18/1995 23:00"</f>
        <v>04/18/1995 23:00</v>
      </c>
    </row>
    <row r="3489" spans="1:10" x14ac:dyDescent="0.3">
      <c r="A3489" t="s">
        <v>6</v>
      </c>
      <c r="B3489" t="str">
        <f>"04/19/1995 00:00"</f>
        <v>04/19/1995 00:00</v>
      </c>
      <c r="C3489">
        <v>244</v>
      </c>
      <c r="D3489" t="s">
        <v>7</v>
      </c>
      <c r="E3489" s="2" t="s">
        <v>12</v>
      </c>
      <c r="F3489">
        <f t="shared" si="54"/>
        <v>483.85200000000003</v>
      </c>
      <c r="G3489" t="s">
        <v>16</v>
      </c>
      <c r="I3489" t="s">
        <v>8</v>
      </c>
      <c r="J3489" t="str">
        <f>"04/19/1995 23:00"</f>
        <v>04/19/1995 23:00</v>
      </c>
    </row>
    <row r="3490" spans="1:10" x14ac:dyDescent="0.3">
      <c r="A3490" t="s">
        <v>6</v>
      </c>
      <c r="B3490" t="str">
        <f>"04/20/1995 00:00"</f>
        <v>04/20/1995 00:00</v>
      </c>
      <c r="C3490">
        <v>244</v>
      </c>
      <c r="D3490" t="s">
        <v>7</v>
      </c>
      <c r="E3490" s="2" t="s">
        <v>12</v>
      </c>
      <c r="F3490">
        <f t="shared" si="54"/>
        <v>483.85200000000003</v>
      </c>
      <c r="G3490" t="s">
        <v>16</v>
      </c>
      <c r="J3490" t="str">
        <f>"04/20/1995 23:00"</f>
        <v>04/20/1995 23:00</v>
      </c>
    </row>
    <row r="3491" spans="1:10" x14ac:dyDescent="0.3">
      <c r="A3491" t="s">
        <v>6</v>
      </c>
      <c r="B3491" t="str">
        <f>"04/21/1995 00:00"</f>
        <v>04/21/1995 00:00</v>
      </c>
      <c r="C3491">
        <v>244</v>
      </c>
      <c r="D3491" t="s">
        <v>7</v>
      </c>
      <c r="E3491" s="2" t="s">
        <v>12</v>
      </c>
      <c r="F3491">
        <f t="shared" si="54"/>
        <v>483.85200000000003</v>
      </c>
      <c r="G3491" t="s">
        <v>16</v>
      </c>
      <c r="I3491" t="s">
        <v>8</v>
      </c>
      <c r="J3491" t="str">
        <f>"04/21/1995 23:00"</f>
        <v>04/21/1995 23:00</v>
      </c>
    </row>
    <row r="3492" spans="1:10" x14ac:dyDescent="0.3">
      <c r="A3492" t="s">
        <v>6</v>
      </c>
      <c r="B3492" t="str">
        <f>"04/22/1995 00:00"</f>
        <v>04/22/1995 00:00</v>
      </c>
      <c r="C3492">
        <v>244</v>
      </c>
      <c r="D3492" t="s">
        <v>7</v>
      </c>
      <c r="E3492" s="2" t="s">
        <v>12</v>
      </c>
      <c r="F3492">
        <f t="shared" si="54"/>
        <v>483.85200000000003</v>
      </c>
      <c r="G3492" t="s">
        <v>16</v>
      </c>
      <c r="I3492" t="s">
        <v>8</v>
      </c>
      <c r="J3492" t="str">
        <f>"04/22/1995 23:00"</f>
        <v>04/22/1995 23:00</v>
      </c>
    </row>
    <row r="3493" spans="1:10" x14ac:dyDescent="0.3">
      <c r="A3493" t="s">
        <v>6</v>
      </c>
      <c r="B3493" t="str">
        <f>"04/23/1995 00:00"</f>
        <v>04/23/1995 00:00</v>
      </c>
      <c r="C3493">
        <v>244</v>
      </c>
      <c r="D3493" t="s">
        <v>7</v>
      </c>
      <c r="E3493" s="2" t="s">
        <v>12</v>
      </c>
      <c r="F3493">
        <f t="shared" si="54"/>
        <v>483.85200000000003</v>
      </c>
      <c r="G3493" t="s">
        <v>16</v>
      </c>
      <c r="I3493" t="s">
        <v>8</v>
      </c>
      <c r="J3493" t="str">
        <f>"04/23/1995 23:00"</f>
        <v>04/23/1995 23:00</v>
      </c>
    </row>
    <row r="3494" spans="1:10" x14ac:dyDescent="0.3">
      <c r="A3494" t="s">
        <v>6</v>
      </c>
      <c r="B3494" t="str">
        <f>"04/24/1995 00:00"</f>
        <v>04/24/1995 00:00</v>
      </c>
      <c r="C3494">
        <v>244</v>
      </c>
      <c r="D3494" t="s">
        <v>7</v>
      </c>
      <c r="E3494" s="2" t="s">
        <v>12</v>
      </c>
      <c r="F3494">
        <f t="shared" si="54"/>
        <v>483.85200000000003</v>
      </c>
      <c r="G3494" t="s">
        <v>16</v>
      </c>
      <c r="J3494" t="str">
        <f>"04/24/1995 23:00"</f>
        <v>04/24/1995 23:00</v>
      </c>
    </row>
    <row r="3495" spans="1:10" x14ac:dyDescent="0.3">
      <c r="A3495" t="s">
        <v>6</v>
      </c>
      <c r="B3495" t="str">
        <f>"04/25/1995 00:00"</f>
        <v>04/25/1995 00:00</v>
      </c>
      <c r="C3495">
        <v>237</v>
      </c>
      <c r="D3495" t="s">
        <v>7</v>
      </c>
      <c r="E3495" s="2" t="s">
        <v>12</v>
      </c>
      <c r="F3495">
        <f t="shared" si="54"/>
        <v>469.971</v>
      </c>
      <c r="G3495" t="s">
        <v>16</v>
      </c>
      <c r="I3495" t="s">
        <v>8</v>
      </c>
      <c r="J3495" t="str">
        <f>"04/25/1995 23:00"</f>
        <v>04/25/1995 23:00</v>
      </c>
    </row>
    <row r="3496" spans="1:10" x14ac:dyDescent="0.3">
      <c r="A3496" t="s">
        <v>6</v>
      </c>
      <c r="B3496" t="str">
        <f>"04/26/1995 00:00"</f>
        <v>04/26/1995 00:00</v>
      </c>
      <c r="C3496">
        <v>252</v>
      </c>
      <c r="D3496" t="s">
        <v>7</v>
      </c>
      <c r="E3496" s="2" t="s">
        <v>12</v>
      </c>
      <c r="F3496">
        <f t="shared" si="54"/>
        <v>499.71600000000001</v>
      </c>
      <c r="G3496" t="s">
        <v>16</v>
      </c>
      <c r="J3496" t="str">
        <f>"04/26/1995 23:00"</f>
        <v>04/26/1995 23:00</v>
      </c>
    </row>
    <row r="3497" spans="1:10" x14ac:dyDescent="0.3">
      <c r="A3497" t="s">
        <v>6</v>
      </c>
      <c r="B3497" t="str">
        <f>"04/27/1995 00:00"</f>
        <v>04/27/1995 00:00</v>
      </c>
      <c r="C3497">
        <v>252</v>
      </c>
      <c r="D3497" t="s">
        <v>7</v>
      </c>
      <c r="E3497" s="2" t="s">
        <v>12</v>
      </c>
      <c r="F3497">
        <f t="shared" si="54"/>
        <v>499.71600000000001</v>
      </c>
      <c r="G3497" t="s">
        <v>16</v>
      </c>
      <c r="J3497" t="str">
        <f>"04/27/1995 23:00"</f>
        <v>04/27/1995 23:00</v>
      </c>
    </row>
    <row r="3498" spans="1:10" x14ac:dyDescent="0.3">
      <c r="A3498" t="s">
        <v>6</v>
      </c>
      <c r="B3498" t="str">
        <f>"04/28/1995 00:00"</f>
        <v>04/28/1995 00:00</v>
      </c>
      <c r="C3498">
        <v>250</v>
      </c>
      <c r="D3498" t="s">
        <v>7</v>
      </c>
      <c r="E3498" s="2" t="s">
        <v>12</v>
      </c>
      <c r="F3498">
        <f t="shared" si="54"/>
        <v>495.75</v>
      </c>
      <c r="G3498" t="s">
        <v>16</v>
      </c>
      <c r="I3498" t="s">
        <v>8</v>
      </c>
      <c r="J3498" t="str">
        <f>"04/28/1995 23:00"</f>
        <v>04/28/1995 23:00</v>
      </c>
    </row>
    <row r="3499" spans="1:10" x14ac:dyDescent="0.3">
      <c r="A3499" t="s">
        <v>6</v>
      </c>
      <c r="B3499" t="str">
        <f>"04/29/1995 00:00"</f>
        <v>04/29/1995 00:00</v>
      </c>
      <c r="C3499">
        <v>250</v>
      </c>
      <c r="D3499" t="s">
        <v>7</v>
      </c>
      <c r="E3499" s="2" t="s">
        <v>12</v>
      </c>
      <c r="F3499">
        <f t="shared" si="54"/>
        <v>495.75</v>
      </c>
      <c r="G3499" t="s">
        <v>16</v>
      </c>
      <c r="I3499" t="s">
        <v>8</v>
      </c>
      <c r="J3499" t="str">
        <f>"04/29/1995 23:00"</f>
        <v>04/29/1995 23:00</v>
      </c>
    </row>
    <row r="3500" spans="1:10" x14ac:dyDescent="0.3">
      <c r="A3500" t="s">
        <v>6</v>
      </c>
      <c r="B3500" t="str">
        <f>"04/30/1995 00:00"</f>
        <v>04/30/1995 00:00</v>
      </c>
      <c r="C3500">
        <v>250</v>
      </c>
      <c r="D3500" t="s">
        <v>7</v>
      </c>
      <c r="E3500" s="2" t="s">
        <v>12</v>
      </c>
      <c r="F3500">
        <f t="shared" si="54"/>
        <v>495.75</v>
      </c>
      <c r="G3500" t="s">
        <v>16</v>
      </c>
      <c r="J3500" t="str">
        <f>"04/30/1995 23:00"</f>
        <v>04/30/1995 23:00</v>
      </c>
    </row>
    <row r="3501" spans="1:10" x14ac:dyDescent="0.3">
      <c r="A3501" t="s">
        <v>6</v>
      </c>
      <c r="B3501" t="str">
        <f>"05/01/1995 00:00"</f>
        <v>05/01/1995 00:00</v>
      </c>
      <c r="C3501">
        <v>250</v>
      </c>
      <c r="D3501" t="s">
        <v>7</v>
      </c>
      <c r="E3501" s="2" t="s">
        <v>12</v>
      </c>
      <c r="F3501">
        <f t="shared" si="54"/>
        <v>495.75</v>
      </c>
      <c r="G3501" t="s">
        <v>16</v>
      </c>
      <c r="J3501" t="str">
        <f>"05/01/1995 23:00"</f>
        <v>05/01/1995 23:00</v>
      </c>
    </row>
    <row r="3502" spans="1:10" x14ac:dyDescent="0.3">
      <c r="A3502" t="s">
        <v>6</v>
      </c>
      <c r="B3502" t="str">
        <f>"05/02/1995 00:00"</f>
        <v>05/02/1995 00:00</v>
      </c>
      <c r="C3502">
        <v>250</v>
      </c>
      <c r="D3502" t="s">
        <v>7</v>
      </c>
      <c r="E3502" s="2" t="s">
        <v>12</v>
      </c>
      <c r="F3502">
        <f t="shared" si="54"/>
        <v>495.75</v>
      </c>
      <c r="G3502" t="s">
        <v>16</v>
      </c>
      <c r="J3502" t="str">
        <f>"05/02/1995 23:00"</f>
        <v>05/02/1995 23:00</v>
      </c>
    </row>
    <row r="3503" spans="1:10" x14ac:dyDescent="0.3">
      <c r="A3503" t="s">
        <v>6</v>
      </c>
      <c r="B3503" t="str">
        <f>"05/03/1995 00:00"</f>
        <v>05/03/1995 00:00</v>
      </c>
      <c r="C3503">
        <v>245</v>
      </c>
      <c r="D3503" t="s">
        <v>7</v>
      </c>
      <c r="E3503" s="2" t="s">
        <v>12</v>
      </c>
      <c r="F3503">
        <f t="shared" si="54"/>
        <v>485.83500000000004</v>
      </c>
      <c r="G3503" t="s">
        <v>16</v>
      </c>
      <c r="J3503" t="str">
        <f>"05/03/1995 23:00"</f>
        <v>05/03/1995 23:00</v>
      </c>
    </row>
    <row r="3504" spans="1:10" x14ac:dyDescent="0.3">
      <c r="A3504" t="s">
        <v>6</v>
      </c>
      <c r="B3504" t="str">
        <f>"05/04/1995 00:00"</f>
        <v>05/04/1995 00:00</v>
      </c>
      <c r="C3504">
        <v>194</v>
      </c>
      <c r="D3504" t="s">
        <v>7</v>
      </c>
      <c r="E3504" s="2" t="s">
        <v>12</v>
      </c>
      <c r="F3504">
        <f t="shared" si="54"/>
        <v>384.702</v>
      </c>
      <c r="G3504" t="s">
        <v>16</v>
      </c>
      <c r="I3504" t="s">
        <v>8</v>
      </c>
      <c r="J3504" t="str">
        <f>"05/04/1995 23:00"</f>
        <v>05/04/1995 23:00</v>
      </c>
    </row>
    <row r="3505" spans="1:10" x14ac:dyDescent="0.3">
      <c r="A3505" t="s">
        <v>6</v>
      </c>
      <c r="B3505" t="str">
        <f>"05/05/1995 00:00"</f>
        <v>05/05/1995 00:00</v>
      </c>
      <c r="C3505">
        <v>143</v>
      </c>
      <c r="D3505" t="s">
        <v>7</v>
      </c>
      <c r="E3505" s="2" t="s">
        <v>12</v>
      </c>
      <c r="F3505">
        <f t="shared" si="54"/>
        <v>283.56900000000002</v>
      </c>
      <c r="G3505" t="s">
        <v>16</v>
      </c>
      <c r="J3505" t="str">
        <f>"05/05/1995 23:00"</f>
        <v>05/05/1995 23:00</v>
      </c>
    </row>
    <row r="3506" spans="1:10" x14ac:dyDescent="0.3">
      <c r="A3506" t="s">
        <v>6</v>
      </c>
      <c r="B3506" t="str">
        <f>"05/06/1995 00:00"</f>
        <v>05/06/1995 00:00</v>
      </c>
      <c r="C3506">
        <v>83</v>
      </c>
      <c r="D3506" t="s">
        <v>7</v>
      </c>
      <c r="E3506" s="2" t="s">
        <v>12</v>
      </c>
      <c r="F3506">
        <f t="shared" si="54"/>
        <v>164.589</v>
      </c>
      <c r="G3506" t="s">
        <v>16</v>
      </c>
      <c r="J3506" t="str">
        <f>"05/06/1995 23:00"</f>
        <v>05/06/1995 23:00</v>
      </c>
    </row>
    <row r="3507" spans="1:10" x14ac:dyDescent="0.3">
      <c r="A3507" t="s">
        <v>6</v>
      </c>
      <c r="B3507" t="str">
        <f>"05/07/1995 00:00"</f>
        <v>05/07/1995 00:00</v>
      </c>
      <c r="C3507">
        <v>79.900000000000006</v>
      </c>
      <c r="D3507" t="s">
        <v>7</v>
      </c>
      <c r="E3507" s="2" t="s">
        <v>12</v>
      </c>
      <c r="F3507">
        <f t="shared" si="54"/>
        <v>158.44170000000003</v>
      </c>
      <c r="G3507" t="s">
        <v>16</v>
      </c>
      <c r="J3507" t="str">
        <f>"05/07/1995 23:00"</f>
        <v>05/07/1995 23:00</v>
      </c>
    </row>
    <row r="3508" spans="1:10" x14ac:dyDescent="0.3">
      <c r="A3508" t="s">
        <v>6</v>
      </c>
      <c r="B3508" t="str">
        <f>"05/08/1995 00:00"</f>
        <v>05/08/1995 00:00</v>
      </c>
      <c r="C3508">
        <v>79.5</v>
      </c>
      <c r="D3508" t="s">
        <v>7</v>
      </c>
      <c r="E3508" s="2" t="s">
        <v>12</v>
      </c>
      <c r="F3508">
        <f t="shared" si="54"/>
        <v>157.64850000000001</v>
      </c>
      <c r="G3508" t="s">
        <v>16</v>
      </c>
      <c r="I3508" t="s">
        <v>8</v>
      </c>
      <c r="J3508" t="str">
        <f>"05/08/1995 23:00"</f>
        <v>05/08/1995 23:00</v>
      </c>
    </row>
    <row r="3509" spans="1:10" x14ac:dyDescent="0.3">
      <c r="A3509" t="s">
        <v>6</v>
      </c>
      <c r="B3509" t="str">
        <f>"05/09/1995 00:00"</f>
        <v>05/09/1995 00:00</v>
      </c>
      <c r="C3509">
        <v>76.7</v>
      </c>
      <c r="D3509" t="s">
        <v>7</v>
      </c>
      <c r="E3509" s="2" t="s">
        <v>12</v>
      </c>
      <c r="F3509">
        <f t="shared" si="54"/>
        <v>152.09610000000001</v>
      </c>
      <c r="G3509" t="s">
        <v>16</v>
      </c>
      <c r="I3509" t="s">
        <v>8</v>
      </c>
      <c r="J3509" t="str">
        <f>"05/09/1995 23:00"</f>
        <v>05/09/1995 23:00</v>
      </c>
    </row>
    <row r="3510" spans="1:10" x14ac:dyDescent="0.3">
      <c r="A3510" t="s">
        <v>6</v>
      </c>
      <c r="B3510" t="str">
        <f>"05/10/1995 00:00"</f>
        <v>05/10/1995 00:00</v>
      </c>
      <c r="C3510">
        <v>75.900000000000006</v>
      </c>
      <c r="D3510" t="s">
        <v>7</v>
      </c>
      <c r="E3510" s="2" t="s">
        <v>12</v>
      </c>
      <c r="F3510">
        <f t="shared" si="54"/>
        <v>150.50970000000001</v>
      </c>
      <c r="G3510" t="s">
        <v>16</v>
      </c>
      <c r="I3510" t="s">
        <v>8</v>
      </c>
      <c r="J3510" t="str">
        <f>"05/10/1995 23:00"</f>
        <v>05/10/1995 23:00</v>
      </c>
    </row>
    <row r="3511" spans="1:10" x14ac:dyDescent="0.3">
      <c r="A3511" t="s">
        <v>6</v>
      </c>
      <c r="B3511" t="str">
        <f>"05/11/1995 00:00"</f>
        <v>05/11/1995 00:00</v>
      </c>
      <c r="C3511">
        <v>76.400000000000006</v>
      </c>
      <c r="D3511" t="s">
        <v>7</v>
      </c>
      <c r="E3511" s="2" t="s">
        <v>12</v>
      </c>
      <c r="F3511">
        <f t="shared" si="54"/>
        <v>151.50120000000001</v>
      </c>
      <c r="G3511" t="s">
        <v>16</v>
      </c>
      <c r="I3511" t="s">
        <v>8</v>
      </c>
      <c r="J3511" t="str">
        <f>"05/11/1995 23:00"</f>
        <v>05/11/1995 23:00</v>
      </c>
    </row>
    <row r="3512" spans="1:10" x14ac:dyDescent="0.3">
      <c r="A3512" t="s">
        <v>6</v>
      </c>
      <c r="B3512" t="str">
        <f>"05/12/1995 00:00"</f>
        <v>05/12/1995 00:00</v>
      </c>
      <c r="C3512">
        <v>75</v>
      </c>
      <c r="D3512" t="s">
        <v>7</v>
      </c>
      <c r="E3512" s="2" t="s">
        <v>12</v>
      </c>
      <c r="F3512">
        <f t="shared" si="54"/>
        <v>148.72499999999999</v>
      </c>
      <c r="G3512" t="s">
        <v>16</v>
      </c>
      <c r="I3512" t="s">
        <v>8</v>
      </c>
      <c r="J3512" t="str">
        <f>"05/12/1995 23:00"</f>
        <v>05/12/1995 23:00</v>
      </c>
    </row>
    <row r="3513" spans="1:10" x14ac:dyDescent="0.3">
      <c r="A3513" t="s">
        <v>6</v>
      </c>
      <c r="B3513" t="str">
        <f>"05/13/1995 00:00"</f>
        <v>05/13/1995 00:00</v>
      </c>
      <c r="C3513">
        <v>75.400000000000006</v>
      </c>
      <c r="D3513" t="s">
        <v>7</v>
      </c>
      <c r="E3513" s="2" t="s">
        <v>12</v>
      </c>
      <c r="F3513">
        <f t="shared" si="54"/>
        <v>149.51820000000001</v>
      </c>
      <c r="G3513" t="s">
        <v>16</v>
      </c>
      <c r="J3513" t="str">
        <f>"05/13/1995 23:00"</f>
        <v>05/13/1995 23:00</v>
      </c>
    </row>
    <row r="3514" spans="1:10" x14ac:dyDescent="0.3">
      <c r="A3514" t="s">
        <v>6</v>
      </c>
      <c r="B3514" t="str">
        <f>"05/14/1995 00:00"</f>
        <v>05/14/1995 00:00</v>
      </c>
      <c r="C3514">
        <v>76.2</v>
      </c>
      <c r="D3514" t="s">
        <v>7</v>
      </c>
      <c r="E3514" s="2" t="s">
        <v>12</v>
      </c>
      <c r="F3514">
        <f t="shared" si="54"/>
        <v>151.1046</v>
      </c>
      <c r="G3514" t="s">
        <v>16</v>
      </c>
      <c r="I3514" t="s">
        <v>8</v>
      </c>
      <c r="J3514" t="str">
        <f>"05/14/1995 23:00"</f>
        <v>05/14/1995 23:00</v>
      </c>
    </row>
    <row r="3515" spans="1:10" x14ac:dyDescent="0.3">
      <c r="A3515" t="s">
        <v>6</v>
      </c>
      <c r="B3515" t="str">
        <f>"05/15/1995 00:00"</f>
        <v>05/15/1995 00:00</v>
      </c>
      <c r="C3515">
        <v>104</v>
      </c>
      <c r="D3515" t="s">
        <v>7</v>
      </c>
      <c r="E3515" s="2" t="s">
        <v>12</v>
      </c>
      <c r="F3515">
        <f t="shared" si="54"/>
        <v>206.232</v>
      </c>
      <c r="G3515" t="s">
        <v>16</v>
      </c>
      <c r="J3515" t="str">
        <f>"05/15/1995 23:00"</f>
        <v>05/15/1995 23:00</v>
      </c>
    </row>
    <row r="3516" spans="1:10" x14ac:dyDescent="0.3">
      <c r="A3516" t="s">
        <v>6</v>
      </c>
      <c r="B3516" t="str">
        <f>"05/16/1995 00:00"</f>
        <v>05/16/1995 00:00</v>
      </c>
      <c r="C3516">
        <v>137</v>
      </c>
      <c r="D3516" t="s">
        <v>7</v>
      </c>
      <c r="E3516" s="2" t="s">
        <v>12</v>
      </c>
      <c r="F3516">
        <f t="shared" si="54"/>
        <v>271.67099999999999</v>
      </c>
      <c r="G3516" t="s">
        <v>16</v>
      </c>
      <c r="J3516" t="str">
        <f>"05/16/1995 23:00"</f>
        <v>05/16/1995 23:00</v>
      </c>
    </row>
    <row r="3517" spans="1:10" x14ac:dyDescent="0.3">
      <c r="A3517" t="s">
        <v>6</v>
      </c>
      <c r="B3517" t="str">
        <f>"05/17/1995 00:00"</f>
        <v>05/17/1995 00:00</v>
      </c>
      <c r="C3517">
        <v>115</v>
      </c>
      <c r="D3517" t="s">
        <v>7</v>
      </c>
      <c r="E3517" s="2" t="s">
        <v>12</v>
      </c>
      <c r="F3517">
        <f t="shared" si="54"/>
        <v>228.04500000000002</v>
      </c>
      <c r="G3517" t="s">
        <v>16</v>
      </c>
      <c r="I3517" t="s">
        <v>8</v>
      </c>
      <c r="J3517" t="str">
        <f>"05/17/1995 23:00"</f>
        <v>05/17/1995 23:00</v>
      </c>
    </row>
    <row r="3518" spans="1:10" x14ac:dyDescent="0.3">
      <c r="A3518" t="s">
        <v>6</v>
      </c>
      <c r="B3518" t="str">
        <f>"05/18/1995 00:00"</f>
        <v>05/18/1995 00:00</v>
      </c>
      <c r="C3518">
        <v>3.41</v>
      </c>
      <c r="D3518" t="s">
        <v>7</v>
      </c>
      <c r="E3518" s="2" t="s">
        <v>12</v>
      </c>
      <c r="F3518">
        <f t="shared" si="54"/>
        <v>6.7620300000000002</v>
      </c>
      <c r="G3518" t="s">
        <v>16</v>
      </c>
      <c r="I3518" t="s">
        <v>8</v>
      </c>
      <c r="J3518" t="str">
        <f>"05/18/1995 18:00"</f>
        <v>05/18/1995 18:00</v>
      </c>
    </row>
    <row r="3519" spans="1:10" x14ac:dyDescent="0.3">
      <c r="A3519" t="s">
        <v>6</v>
      </c>
      <c r="B3519" t="str">
        <f>"05/19/1995 00:00"</f>
        <v>05/19/1995 00:00</v>
      </c>
      <c r="C3519">
        <v>3.66</v>
      </c>
      <c r="D3519" t="s">
        <v>7</v>
      </c>
      <c r="E3519" s="2" t="s">
        <v>12</v>
      </c>
      <c r="F3519">
        <f t="shared" si="54"/>
        <v>7.2577800000000003</v>
      </c>
      <c r="G3519" t="s">
        <v>16</v>
      </c>
      <c r="I3519" t="s">
        <v>8</v>
      </c>
      <c r="J3519" t="str">
        <f>"05/19/1995 23:00"</f>
        <v>05/19/1995 23:00</v>
      </c>
    </row>
    <row r="3520" spans="1:10" x14ac:dyDescent="0.3">
      <c r="A3520" t="s">
        <v>6</v>
      </c>
      <c r="B3520" t="str">
        <f>"05/20/1995 00:00"</f>
        <v>05/20/1995 00:00</v>
      </c>
      <c r="C3520">
        <v>3.52</v>
      </c>
      <c r="D3520" t="s">
        <v>7</v>
      </c>
      <c r="E3520" s="2" t="s">
        <v>12</v>
      </c>
      <c r="F3520">
        <f t="shared" si="54"/>
        <v>6.9801600000000006</v>
      </c>
      <c r="G3520" t="s">
        <v>16</v>
      </c>
      <c r="I3520" t="s">
        <v>8</v>
      </c>
      <c r="J3520" t="str">
        <f>"05/20/1995 23:00"</f>
        <v>05/20/1995 23:00</v>
      </c>
    </row>
    <row r="3521" spans="1:10" x14ac:dyDescent="0.3">
      <c r="A3521" t="s">
        <v>6</v>
      </c>
      <c r="B3521" t="str">
        <f>"05/21/1995 00:00"</f>
        <v>05/21/1995 00:00</v>
      </c>
      <c r="C3521">
        <v>3.51</v>
      </c>
      <c r="D3521" t="s">
        <v>7</v>
      </c>
      <c r="E3521" s="2" t="s">
        <v>12</v>
      </c>
      <c r="F3521">
        <f t="shared" si="54"/>
        <v>6.9603299999999999</v>
      </c>
      <c r="G3521" t="s">
        <v>16</v>
      </c>
      <c r="I3521" t="s">
        <v>8</v>
      </c>
      <c r="J3521" t="str">
        <f>"05/21/1995 23:00"</f>
        <v>05/21/1995 23:00</v>
      </c>
    </row>
    <row r="3522" spans="1:10" x14ac:dyDescent="0.3">
      <c r="A3522" t="s">
        <v>6</v>
      </c>
      <c r="B3522" t="str">
        <f>"05/22/1995 00:00"</f>
        <v>05/22/1995 00:00</v>
      </c>
      <c r="C3522">
        <v>3.41</v>
      </c>
      <c r="D3522" t="s">
        <v>7</v>
      </c>
      <c r="E3522" s="2" t="s">
        <v>12</v>
      </c>
      <c r="F3522">
        <f t="shared" si="54"/>
        <v>6.7620300000000002</v>
      </c>
      <c r="G3522" t="s">
        <v>16</v>
      </c>
      <c r="J3522" t="str">
        <f>"05/22/1995 23:00"</f>
        <v>05/22/1995 23:00</v>
      </c>
    </row>
    <row r="3523" spans="1:10" x14ac:dyDescent="0.3">
      <c r="A3523" t="s">
        <v>6</v>
      </c>
      <c r="B3523" t="str">
        <f>"05/23/1995 00:00"</f>
        <v>05/23/1995 00:00</v>
      </c>
      <c r="C3523">
        <v>3.58</v>
      </c>
      <c r="D3523" t="s">
        <v>7</v>
      </c>
      <c r="E3523" s="2" t="s">
        <v>12</v>
      </c>
      <c r="F3523">
        <f t="shared" ref="F3523:F3586" si="55">C3523*1.983</f>
        <v>7.0991400000000002</v>
      </c>
      <c r="G3523" t="s">
        <v>16</v>
      </c>
      <c r="J3523" t="str">
        <f>"05/23/1995 23:00"</f>
        <v>05/23/1995 23:00</v>
      </c>
    </row>
    <row r="3524" spans="1:10" x14ac:dyDescent="0.3">
      <c r="A3524" t="s">
        <v>6</v>
      </c>
      <c r="B3524" t="str">
        <f>"05/24/1995 00:00"</f>
        <v>05/24/1995 00:00</v>
      </c>
      <c r="C3524">
        <v>3.39</v>
      </c>
      <c r="D3524" t="s">
        <v>7</v>
      </c>
      <c r="E3524" s="2" t="s">
        <v>12</v>
      </c>
      <c r="F3524">
        <f t="shared" si="55"/>
        <v>6.7223700000000006</v>
      </c>
      <c r="G3524" t="s">
        <v>16</v>
      </c>
      <c r="J3524" t="str">
        <f>"05/24/1995 23:00"</f>
        <v>05/24/1995 23:00</v>
      </c>
    </row>
    <row r="3525" spans="1:10" x14ac:dyDescent="0.3">
      <c r="A3525" t="s">
        <v>6</v>
      </c>
      <c r="B3525" t="str">
        <f>"05/25/1995 00:00"</f>
        <v>05/25/1995 00:00</v>
      </c>
      <c r="C3525">
        <v>2.91</v>
      </c>
      <c r="D3525" t="s">
        <v>7</v>
      </c>
      <c r="E3525" s="2" t="s">
        <v>12</v>
      </c>
      <c r="F3525">
        <f t="shared" si="55"/>
        <v>5.7705300000000008</v>
      </c>
      <c r="G3525" t="s">
        <v>16</v>
      </c>
      <c r="J3525" t="str">
        <f>"05/25/1995 23:00"</f>
        <v>05/25/1995 23:00</v>
      </c>
    </row>
    <row r="3526" spans="1:10" x14ac:dyDescent="0.3">
      <c r="A3526" t="s">
        <v>6</v>
      </c>
      <c r="B3526" t="str">
        <f>"05/26/1995 00:00"</f>
        <v>05/26/1995 00:00</v>
      </c>
      <c r="C3526">
        <v>2.91</v>
      </c>
      <c r="D3526" t="s">
        <v>7</v>
      </c>
      <c r="E3526" s="2" t="s">
        <v>12</v>
      </c>
      <c r="F3526">
        <f t="shared" si="55"/>
        <v>5.7705300000000008</v>
      </c>
      <c r="G3526" t="s">
        <v>16</v>
      </c>
      <c r="J3526" t="str">
        <f>"05/26/1995 23:00"</f>
        <v>05/26/1995 23:00</v>
      </c>
    </row>
    <row r="3527" spans="1:10" x14ac:dyDescent="0.3">
      <c r="A3527" t="s">
        <v>6</v>
      </c>
      <c r="B3527" t="str">
        <f>"05/27/1995 00:00"</f>
        <v>05/27/1995 00:00</v>
      </c>
      <c r="C3527">
        <v>2.91</v>
      </c>
      <c r="D3527" t="s">
        <v>7</v>
      </c>
      <c r="E3527" s="2" t="s">
        <v>12</v>
      </c>
      <c r="F3527">
        <f t="shared" si="55"/>
        <v>5.7705300000000008</v>
      </c>
      <c r="G3527" t="s">
        <v>16</v>
      </c>
      <c r="J3527" t="str">
        <f>"05/27/1995 23:00"</f>
        <v>05/27/1995 23:00</v>
      </c>
    </row>
    <row r="3528" spans="1:10" x14ac:dyDescent="0.3">
      <c r="A3528" t="s">
        <v>6</v>
      </c>
      <c r="B3528" t="str">
        <f>"05/28/1995 00:00"</f>
        <v>05/28/1995 00:00</v>
      </c>
      <c r="C3528">
        <v>2.97</v>
      </c>
      <c r="D3528" t="s">
        <v>7</v>
      </c>
      <c r="E3528" s="2" t="s">
        <v>12</v>
      </c>
      <c r="F3528">
        <f t="shared" si="55"/>
        <v>5.8895100000000005</v>
      </c>
      <c r="G3528" t="s">
        <v>16</v>
      </c>
      <c r="J3528" t="str">
        <f>"05/28/1995 23:00"</f>
        <v>05/28/1995 23:00</v>
      </c>
    </row>
    <row r="3529" spans="1:10" x14ac:dyDescent="0.3">
      <c r="A3529" t="s">
        <v>6</v>
      </c>
      <c r="B3529" t="str">
        <f>"05/29/1995 00:00"</f>
        <v>05/29/1995 00:00</v>
      </c>
      <c r="C3529">
        <v>2.94</v>
      </c>
      <c r="D3529" t="s">
        <v>7</v>
      </c>
      <c r="E3529" s="2" t="s">
        <v>12</v>
      </c>
      <c r="F3529">
        <f t="shared" si="55"/>
        <v>5.8300200000000002</v>
      </c>
      <c r="G3529" t="s">
        <v>16</v>
      </c>
      <c r="I3529" t="s">
        <v>8</v>
      </c>
      <c r="J3529" t="str">
        <f>"05/29/1995 23:00"</f>
        <v>05/29/1995 23:00</v>
      </c>
    </row>
    <row r="3530" spans="1:10" x14ac:dyDescent="0.3">
      <c r="A3530" t="s">
        <v>6</v>
      </c>
      <c r="B3530" t="str">
        <f>"05/30/1995 00:00"</f>
        <v>05/30/1995 00:00</v>
      </c>
      <c r="C3530">
        <v>2.91</v>
      </c>
      <c r="D3530" t="s">
        <v>7</v>
      </c>
      <c r="E3530" s="2" t="s">
        <v>12</v>
      </c>
      <c r="F3530">
        <f t="shared" si="55"/>
        <v>5.7705300000000008</v>
      </c>
      <c r="G3530" t="s">
        <v>16</v>
      </c>
      <c r="J3530" t="str">
        <f>"05/30/1995 23:00"</f>
        <v>05/30/1995 23:00</v>
      </c>
    </row>
    <row r="3531" spans="1:10" x14ac:dyDescent="0.3">
      <c r="A3531" t="s">
        <v>6</v>
      </c>
      <c r="B3531" t="str">
        <f>"05/31/1995 00:00"</f>
        <v>05/31/1995 00:00</v>
      </c>
      <c r="C3531">
        <v>2.91</v>
      </c>
      <c r="D3531" t="s">
        <v>7</v>
      </c>
      <c r="E3531" s="2" t="s">
        <v>12</v>
      </c>
      <c r="F3531">
        <f t="shared" si="55"/>
        <v>5.7705300000000008</v>
      </c>
      <c r="G3531" t="s">
        <v>16</v>
      </c>
      <c r="I3531" t="s">
        <v>8</v>
      </c>
      <c r="J3531" t="str">
        <f>"05/31/1995 23:00"</f>
        <v>05/31/1995 23:00</v>
      </c>
    </row>
    <row r="3532" spans="1:10" x14ac:dyDescent="0.3">
      <c r="A3532" t="s">
        <v>6</v>
      </c>
      <c r="B3532" t="str">
        <f>"06/01/1995 00:00"</f>
        <v>06/01/1995 00:00</v>
      </c>
      <c r="C3532">
        <v>2.76</v>
      </c>
      <c r="D3532" t="s">
        <v>7</v>
      </c>
      <c r="E3532" s="2" t="s">
        <v>12</v>
      </c>
      <c r="F3532">
        <f t="shared" si="55"/>
        <v>5.4730799999999995</v>
      </c>
      <c r="G3532" t="s">
        <v>16</v>
      </c>
      <c r="I3532" t="s">
        <v>8</v>
      </c>
      <c r="J3532" t="str">
        <f>"06/01/1995 23:00"</f>
        <v>06/01/1995 23:00</v>
      </c>
    </row>
    <row r="3533" spans="1:10" x14ac:dyDescent="0.3">
      <c r="A3533" t="s">
        <v>6</v>
      </c>
      <c r="B3533" t="str">
        <f>"06/02/1995 00:00"</f>
        <v>06/02/1995 00:00</v>
      </c>
      <c r="C3533">
        <v>2.56</v>
      </c>
      <c r="D3533" t="s">
        <v>7</v>
      </c>
      <c r="E3533" s="2" t="s">
        <v>12</v>
      </c>
      <c r="F3533">
        <f t="shared" si="55"/>
        <v>5.0764800000000001</v>
      </c>
      <c r="G3533" t="s">
        <v>16</v>
      </c>
      <c r="I3533" t="s">
        <v>8</v>
      </c>
      <c r="J3533" t="str">
        <f>"06/02/1995 23:00"</f>
        <v>06/02/1995 23:00</v>
      </c>
    </row>
    <row r="3534" spans="1:10" x14ac:dyDescent="0.3">
      <c r="A3534" t="s">
        <v>6</v>
      </c>
      <c r="B3534" t="str">
        <f>"06/03/1995 00:00"</f>
        <v>06/03/1995 00:00</v>
      </c>
      <c r="C3534">
        <v>2.4900000000000002</v>
      </c>
      <c r="D3534" t="s">
        <v>7</v>
      </c>
      <c r="E3534" s="2" t="s">
        <v>12</v>
      </c>
      <c r="F3534">
        <f t="shared" si="55"/>
        <v>4.9376700000000007</v>
      </c>
      <c r="G3534" t="s">
        <v>16</v>
      </c>
      <c r="J3534" t="str">
        <f>"06/03/1995 23:00"</f>
        <v>06/03/1995 23:00</v>
      </c>
    </row>
    <row r="3535" spans="1:10" x14ac:dyDescent="0.3">
      <c r="A3535" t="s">
        <v>6</v>
      </c>
      <c r="B3535" t="str">
        <f>"06/04/1995 00:00"</f>
        <v>06/04/1995 00:00</v>
      </c>
      <c r="C3535">
        <v>2.56</v>
      </c>
      <c r="D3535" t="s">
        <v>7</v>
      </c>
      <c r="E3535" s="2" t="s">
        <v>12</v>
      </c>
      <c r="F3535">
        <f t="shared" si="55"/>
        <v>5.0764800000000001</v>
      </c>
      <c r="G3535" t="s">
        <v>16</v>
      </c>
      <c r="J3535" t="str">
        <f>"06/04/1995 23:00"</f>
        <v>06/04/1995 23:00</v>
      </c>
    </row>
    <row r="3536" spans="1:10" x14ac:dyDescent="0.3">
      <c r="A3536" t="s">
        <v>6</v>
      </c>
      <c r="B3536" t="str">
        <f>"06/05/1995 00:00"</f>
        <v>06/05/1995 00:00</v>
      </c>
      <c r="C3536">
        <v>2.56</v>
      </c>
      <c r="D3536" t="s">
        <v>7</v>
      </c>
      <c r="E3536" s="2" t="s">
        <v>12</v>
      </c>
      <c r="F3536">
        <f t="shared" si="55"/>
        <v>5.0764800000000001</v>
      </c>
      <c r="G3536" t="s">
        <v>16</v>
      </c>
      <c r="J3536" t="str">
        <f>"06/05/1995 23:00"</f>
        <v>06/05/1995 23:00</v>
      </c>
    </row>
    <row r="3537" spans="1:10" x14ac:dyDescent="0.3">
      <c r="A3537" t="s">
        <v>6</v>
      </c>
      <c r="B3537" t="str">
        <f>"06/06/1995 00:00"</f>
        <v>06/06/1995 00:00</v>
      </c>
      <c r="C3537">
        <v>2.42</v>
      </c>
      <c r="D3537" t="s">
        <v>7</v>
      </c>
      <c r="E3537" s="2" t="s">
        <v>12</v>
      </c>
      <c r="F3537">
        <f t="shared" si="55"/>
        <v>4.7988600000000003</v>
      </c>
      <c r="G3537" t="s">
        <v>16</v>
      </c>
      <c r="I3537" t="s">
        <v>8</v>
      </c>
      <c r="J3537" t="str">
        <f>"06/06/1995 23:00"</f>
        <v>06/06/1995 23:00</v>
      </c>
    </row>
    <row r="3538" spans="1:10" x14ac:dyDescent="0.3">
      <c r="A3538" t="s">
        <v>6</v>
      </c>
      <c r="B3538" t="str">
        <f>"06/07/1995 00:00"</f>
        <v>06/07/1995 00:00</v>
      </c>
      <c r="C3538">
        <v>2.54</v>
      </c>
      <c r="D3538" t="s">
        <v>7</v>
      </c>
      <c r="E3538" s="2" t="s">
        <v>12</v>
      </c>
      <c r="F3538">
        <f t="shared" si="55"/>
        <v>5.0368200000000005</v>
      </c>
      <c r="G3538" t="s">
        <v>16</v>
      </c>
      <c r="I3538" t="s">
        <v>8</v>
      </c>
      <c r="J3538" t="str">
        <f>"06/07/1995 23:00"</f>
        <v>06/07/1995 23:00</v>
      </c>
    </row>
    <row r="3539" spans="1:10" x14ac:dyDescent="0.3">
      <c r="A3539" t="s">
        <v>6</v>
      </c>
      <c r="B3539" t="str">
        <f>"06/08/1995 00:00"</f>
        <v>06/08/1995 00:00</v>
      </c>
      <c r="C3539">
        <v>2.23</v>
      </c>
      <c r="D3539" t="s">
        <v>7</v>
      </c>
      <c r="E3539" s="2" t="s">
        <v>12</v>
      </c>
      <c r="F3539">
        <f t="shared" si="55"/>
        <v>4.4220899999999999</v>
      </c>
      <c r="G3539" t="s">
        <v>16</v>
      </c>
      <c r="I3539" t="s">
        <v>8</v>
      </c>
      <c r="J3539" t="str">
        <f>"06/08/1995 23:00"</f>
        <v>06/08/1995 23:00</v>
      </c>
    </row>
    <row r="3540" spans="1:10" x14ac:dyDescent="0.3">
      <c r="A3540" t="s">
        <v>6</v>
      </c>
      <c r="B3540" t="str">
        <f>"06/09/1995 00:00"</f>
        <v>06/09/1995 00:00</v>
      </c>
      <c r="C3540">
        <v>2.59</v>
      </c>
      <c r="D3540" t="s">
        <v>7</v>
      </c>
      <c r="E3540" s="2" t="s">
        <v>12</v>
      </c>
      <c r="F3540">
        <f t="shared" si="55"/>
        <v>5.1359700000000004</v>
      </c>
      <c r="G3540" t="s">
        <v>16</v>
      </c>
      <c r="I3540" t="s">
        <v>8</v>
      </c>
      <c r="J3540" t="str">
        <f>"06/09/1995 23:00"</f>
        <v>06/09/1995 23:00</v>
      </c>
    </row>
    <row r="3541" spans="1:10" x14ac:dyDescent="0.3">
      <c r="A3541" t="s">
        <v>6</v>
      </c>
      <c r="B3541" t="str">
        <f>"06/10/1995 00:00"</f>
        <v>06/10/1995 00:00</v>
      </c>
      <c r="C3541">
        <v>2.91</v>
      </c>
      <c r="D3541" t="s">
        <v>7</v>
      </c>
      <c r="E3541" s="2" t="s">
        <v>12</v>
      </c>
      <c r="F3541">
        <f t="shared" si="55"/>
        <v>5.7705300000000008</v>
      </c>
      <c r="G3541" t="s">
        <v>16</v>
      </c>
      <c r="I3541" t="s">
        <v>8</v>
      </c>
      <c r="J3541" t="str">
        <f>"06/10/1995 23:00"</f>
        <v>06/10/1995 23:00</v>
      </c>
    </row>
    <row r="3542" spans="1:10" x14ac:dyDescent="0.3">
      <c r="A3542" t="s">
        <v>6</v>
      </c>
      <c r="B3542" t="str">
        <f>"06/11/1995 00:00"</f>
        <v>06/11/1995 00:00</v>
      </c>
      <c r="C3542">
        <v>2.67</v>
      </c>
      <c r="D3542" t="s">
        <v>7</v>
      </c>
      <c r="E3542" s="2" t="s">
        <v>12</v>
      </c>
      <c r="F3542">
        <f t="shared" si="55"/>
        <v>5.2946100000000005</v>
      </c>
      <c r="G3542" t="s">
        <v>16</v>
      </c>
      <c r="I3542" t="s">
        <v>8</v>
      </c>
      <c r="J3542" t="str">
        <f>"06/11/1995 23:00"</f>
        <v>06/11/1995 23:00</v>
      </c>
    </row>
    <row r="3543" spans="1:10" x14ac:dyDescent="0.3">
      <c r="A3543" t="s">
        <v>6</v>
      </c>
      <c r="B3543" t="str">
        <f>"06/12/1995 00:00"</f>
        <v>06/12/1995 00:00</v>
      </c>
      <c r="C3543">
        <v>2.23</v>
      </c>
      <c r="D3543" t="s">
        <v>7</v>
      </c>
      <c r="E3543" s="2" t="s">
        <v>12</v>
      </c>
      <c r="F3543">
        <f t="shared" si="55"/>
        <v>4.4220899999999999</v>
      </c>
      <c r="G3543" t="s">
        <v>16</v>
      </c>
      <c r="I3543" t="s">
        <v>8</v>
      </c>
      <c r="J3543" t="str">
        <f>"06/12/1995 23:00"</f>
        <v>06/12/1995 23:00</v>
      </c>
    </row>
    <row r="3544" spans="1:10" x14ac:dyDescent="0.3">
      <c r="A3544" t="s">
        <v>6</v>
      </c>
      <c r="B3544" t="str">
        <f>"06/13/1995 00:00"</f>
        <v>06/13/1995 00:00</v>
      </c>
      <c r="C3544">
        <v>2.23</v>
      </c>
      <c r="D3544" t="s">
        <v>7</v>
      </c>
      <c r="E3544" s="2" t="s">
        <v>12</v>
      </c>
      <c r="F3544">
        <f t="shared" si="55"/>
        <v>4.4220899999999999</v>
      </c>
      <c r="G3544" t="s">
        <v>16</v>
      </c>
      <c r="J3544" t="str">
        <f>"06/13/1995 23:00"</f>
        <v>06/13/1995 23:00</v>
      </c>
    </row>
    <row r="3545" spans="1:10" x14ac:dyDescent="0.3">
      <c r="A3545" t="s">
        <v>6</v>
      </c>
      <c r="B3545" t="str">
        <f>"06/14/1995 00:00"</f>
        <v>06/14/1995 00:00</v>
      </c>
      <c r="C3545">
        <v>2.23</v>
      </c>
      <c r="D3545" t="s">
        <v>7</v>
      </c>
      <c r="E3545" s="2" t="s">
        <v>12</v>
      </c>
      <c r="F3545">
        <f t="shared" si="55"/>
        <v>4.4220899999999999</v>
      </c>
      <c r="G3545" t="s">
        <v>16</v>
      </c>
      <c r="I3545" t="s">
        <v>8</v>
      </c>
      <c r="J3545" t="str">
        <f>"06/14/1995 23:00"</f>
        <v>06/14/1995 23:00</v>
      </c>
    </row>
    <row r="3546" spans="1:10" x14ac:dyDescent="0.3">
      <c r="A3546" t="s">
        <v>6</v>
      </c>
      <c r="B3546" t="str">
        <f>"06/15/1995 00:00"</f>
        <v>06/15/1995 00:00</v>
      </c>
      <c r="C3546">
        <v>2.2599999999999998</v>
      </c>
      <c r="D3546" t="s">
        <v>7</v>
      </c>
      <c r="E3546" s="2" t="s">
        <v>12</v>
      </c>
      <c r="F3546">
        <f t="shared" si="55"/>
        <v>4.4815800000000001</v>
      </c>
      <c r="G3546" t="s">
        <v>16</v>
      </c>
      <c r="J3546" t="str">
        <f>"06/15/1995 23:00"</f>
        <v>06/15/1995 23:00</v>
      </c>
    </row>
    <row r="3547" spans="1:10" x14ac:dyDescent="0.3">
      <c r="A3547" t="s">
        <v>6</v>
      </c>
      <c r="B3547" t="str">
        <f>"06/16/1995 00:00"</f>
        <v>06/16/1995 00:00</v>
      </c>
      <c r="C3547">
        <v>2.23</v>
      </c>
      <c r="D3547" t="s">
        <v>7</v>
      </c>
      <c r="E3547" s="2" t="s">
        <v>12</v>
      </c>
      <c r="F3547">
        <f t="shared" si="55"/>
        <v>4.4220899999999999</v>
      </c>
      <c r="G3547" t="s">
        <v>16</v>
      </c>
      <c r="I3547" t="s">
        <v>8</v>
      </c>
      <c r="J3547" t="str">
        <f>"06/16/1995 23:00"</f>
        <v>06/16/1995 23:00</v>
      </c>
    </row>
    <row r="3548" spans="1:10" x14ac:dyDescent="0.3">
      <c r="A3548" t="s">
        <v>6</v>
      </c>
      <c r="B3548" t="str">
        <f>"06/17/1995 00:00"</f>
        <v>06/17/1995 00:00</v>
      </c>
      <c r="C3548">
        <v>2.23</v>
      </c>
      <c r="D3548" t="s">
        <v>7</v>
      </c>
      <c r="E3548" s="2" t="s">
        <v>12</v>
      </c>
      <c r="F3548">
        <f t="shared" si="55"/>
        <v>4.4220899999999999</v>
      </c>
      <c r="G3548" t="s">
        <v>16</v>
      </c>
      <c r="I3548" t="s">
        <v>8</v>
      </c>
      <c r="J3548" t="str">
        <f>"06/17/1995 23:00"</f>
        <v>06/17/1995 23:00</v>
      </c>
    </row>
    <row r="3549" spans="1:10" x14ac:dyDescent="0.3">
      <c r="A3549" t="s">
        <v>6</v>
      </c>
      <c r="B3549" t="str">
        <f>"06/18/1995 00:00"</f>
        <v>06/18/1995 00:00</v>
      </c>
      <c r="C3549">
        <v>2.19</v>
      </c>
      <c r="D3549" t="s">
        <v>7</v>
      </c>
      <c r="E3549" s="2" t="s">
        <v>12</v>
      </c>
      <c r="F3549">
        <f t="shared" si="55"/>
        <v>4.3427699999999998</v>
      </c>
      <c r="G3549" t="s">
        <v>16</v>
      </c>
      <c r="J3549" t="str">
        <f>"06/18/1995 23:00"</f>
        <v>06/18/1995 23:00</v>
      </c>
    </row>
    <row r="3550" spans="1:10" x14ac:dyDescent="0.3">
      <c r="A3550" t="s">
        <v>6</v>
      </c>
      <c r="B3550" t="str">
        <f>"06/19/1995 00:00"</f>
        <v>06/19/1995 00:00</v>
      </c>
      <c r="C3550">
        <v>2.23</v>
      </c>
      <c r="D3550" t="s">
        <v>7</v>
      </c>
      <c r="E3550" s="2" t="s">
        <v>12</v>
      </c>
      <c r="F3550">
        <f t="shared" si="55"/>
        <v>4.4220899999999999</v>
      </c>
      <c r="G3550" t="s">
        <v>16</v>
      </c>
      <c r="I3550" t="s">
        <v>8</v>
      </c>
      <c r="J3550" t="str">
        <f>"06/19/1995 23:00"</f>
        <v>06/19/1995 23:00</v>
      </c>
    </row>
    <row r="3551" spans="1:10" x14ac:dyDescent="0.3">
      <c r="A3551" t="s">
        <v>6</v>
      </c>
      <c r="B3551" t="str">
        <f>"06/20/1995 00:00"</f>
        <v>06/20/1995 00:00</v>
      </c>
      <c r="C3551">
        <v>2.2400000000000002</v>
      </c>
      <c r="D3551" t="s">
        <v>7</v>
      </c>
      <c r="E3551" s="2" t="s">
        <v>12</v>
      </c>
      <c r="F3551">
        <f t="shared" si="55"/>
        <v>4.4419200000000005</v>
      </c>
      <c r="G3551" t="s">
        <v>16</v>
      </c>
      <c r="I3551" t="s">
        <v>8</v>
      </c>
      <c r="J3551" t="str">
        <f>"06/20/1995 23:00"</f>
        <v>06/20/1995 23:00</v>
      </c>
    </row>
    <row r="3552" spans="1:10" x14ac:dyDescent="0.3">
      <c r="A3552" t="s">
        <v>6</v>
      </c>
      <c r="B3552" t="str">
        <f>"06/21/1995 00:00"</f>
        <v>06/21/1995 00:00</v>
      </c>
      <c r="C3552">
        <v>2.23</v>
      </c>
      <c r="D3552" t="s">
        <v>7</v>
      </c>
      <c r="E3552" s="2" t="s">
        <v>12</v>
      </c>
      <c r="F3552">
        <f t="shared" si="55"/>
        <v>4.4220899999999999</v>
      </c>
      <c r="G3552" t="s">
        <v>16</v>
      </c>
      <c r="I3552" t="s">
        <v>8</v>
      </c>
      <c r="J3552" t="str">
        <f>"06/21/1995 23:00"</f>
        <v>06/21/1995 23:00</v>
      </c>
    </row>
    <row r="3553" spans="1:10" x14ac:dyDescent="0.3">
      <c r="A3553" t="s">
        <v>6</v>
      </c>
      <c r="B3553" t="str">
        <f>"06/22/1995 00:00"</f>
        <v>06/22/1995 00:00</v>
      </c>
      <c r="C3553">
        <v>2.23</v>
      </c>
      <c r="D3553" t="s">
        <v>7</v>
      </c>
      <c r="E3553" s="2" t="s">
        <v>12</v>
      </c>
      <c r="F3553">
        <f t="shared" si="55"/>
        <v>4.4220899999999999</v>
      </c>
      <c r="G3553" t="s">
        <v>16</v>
      </c>
      <c r="I3553" t="s">
        <v>35</v>
      </c>
      <c r="J3553" t="str">
        <f>"06/22/1995 23:00"</f>
        <v>06/22/1995 23:00</v>
      </c>
    </row>
    <row r="3554" spans="1:10" x14ac:dyDescent="0.3">
      <c r="A3554" t="s">
        <v>6</v>
      </c>
      <c r="B3554" t="str">
        <f>"06/23/1995 00:00"</f>
        <v>06/23/1995 00:00</v>
      </c>
      <c r="C3554">
        <v>2.19</v>
      </c>
      <c r="D3554" t="s">
        <v>7</v>
      </c>
      <c r="E3554" s="2" t="s">
        <v>12</v>
      </c>
      <c r="F3554">
        <f t="shared" si="55"/>
        <v>4.3427699999999998</v>
      </c>
      <c r="G3554" t="s">
        <v>16</v>
      </c>
      <c r="I3554" t="s">
        <v>8</v>
      </c>
      <c r="J3554" t="str">
        <f>"06/23/1995 23:00"</f>
        <v>06/23/1995 23:00</v>
      </c>
    </row>
    <row r="3555" spans="1:10" x14ac:dyDescent="0.3">
      <c r="A3555" t="s">
        <v>6</v>
      </c>
      <c r="B3555" t="str">
        <f>"06/24/1995 00:00"</f>
        <v>06/24/1995 00:00</v>
      </c>
      <c r="C3555">
        <v>2.0499999999999998</v>
      </c>
      <c r="D3555" t="s">
        <v>7</v>
      </c>
      <c r="E3555" s="2" t="s">
        <v>12</v>
      </c>
      <c r="F3555">
        <f t="shared" si="55"/>
        <v>4.06515</v>
      </c>
      <c r="G3555" t="s">
        <v>16</v>
      </c>
      <c r="J3555" t="str">
        <f>"06/24/1995 23:00"</f>
        <v>06/24/1995 23:00</v>
      </c>
    </row>
    <row r="3556" spans="1:10" x14ac:dyDescent="0.3">
      <c r="A3556" t="s">
        <v>6</v>
      </c>
      <c r="B3556" t="str">
        <f>"06/25/1995 00:00"</f>
        <v>06/25/1995 00:00</v>
      </c>
      <c r="C3556">
        <v>2.08</v>
      </c>
      <c r="D3556" t="s">
        <v>7</v>
      </c>
      <c r="E3556" s="2" t="s">
        <v>12</v>
      </c>
      <c r="F3556">
        <f t="shared" si="55"/>
        <v>4.1246400000000003</v>
      </c>
      <c r="G3556" t="s">
        <v>16</v>
      </c>
      <c r="J3556" t="str">
        <f>"06/25/1995 23:00"</f>
        <v>06/25/1995 23:00</v>
      </c>
    </row>
    <row r="3557" spans="1:10" x14ac:dyDescent="0.3">
      <c r="A3557" t="s">
        <v>6</v>
      </c>
      <c r="B3557" t="str">
        <f>"06/26/1995 00:00"</f>
        <v>06/26/1995 00:00</v>
      </c>
      <c r="C3557">
        <v>2.08</v>
      </c>
      <c r="D3557" t="s">
        <v>7</v>
      </c>
      <c r="E3557" s="2" t="s">
        <v>12</v>
      </c>
      <c r="F3557">
        <f t="shared" si="55"/>
        <v>4.1246400000000003</v>
      </c>
      <c r="G3557" t="s">
        <v>16</v>
      </c>
      <c r="J3557" t="str">
        <f>"06/26/1995 23:00"</f>
        <v>06/26/1995 23:00</v>
      </c>
    </row>
    <row r="3558" spans="1:10" x14ac:dyDescent="0.3">
      <c r="A3558" t="s">
        <v>6</v>
      </c>
      <c r="B3558" t="str">
        <f>"06/27/1995 00:00"</f>
        <v>06/27/1995 00:00</v>
      </c>
      <c r="C3558">
        <v>2.69</v>
      </c>
      <c r="D3558" t="s">
        <v>7</v>
      </c>
      <c r="E3558" s="2" t="s">
        <v>12</v>
      </c>
      <c r="F3558">
        <f t="shared" si="55"/>
        <v>5.3342700000000001</v>
      </c>
      <c r="G3558" t="s">
        <v>16</v>
      </c>
      <c r="J3558" t="str">
        <f>"06/27/1995 23:00"</f>
        <v>06/27/1995 23:00</v>
      </c>
    </row>
    <row r="3559" spans="1:10" x14ac:dyDescent="0.3">
      <c r="A3559" t="s">
        <v>6</v>
      </c>
      <c r="B3559" t="str">
        <f>"06/28/1995 00:00"</f>
        <v>06/28/1995 00:00</v>
      </c>
      <c r="C3559">
        <v>2.4500000000000002</v>
      </c>
      <c r="D3559" t="s">
        <v>7</v>
      </c>
      <c r="E3559" s="2" t="s">
        <v>12</v>
      </c>
      <c r="F3559">
        <f t="shared" si="55"/>
        <v>4.8583500000000006</v>
      </c>
      <c r="G3559" t="s">
        <v>16</v>
      </c>
      <c r="J3559" t="str">
        <f>"06/28/1995 23:00"</f>
        <v>06/28/1995 23:00</v>
      </c>
    </row>
    <row r="3560" spans="1:10" x14ac:dyDescent="0.3">
      <c r="A3560" t="s">
        <v>6</v>
      </c>
      <c r="B3560" t="str">
        <f>"06/29/1995 00:00"</f>
        <v>06/29/1995 00:00</v>
      </c>
      <c r="C3560">
        <v>2.09</v>
      </c>
      <c r="D3560" t="s">
        <v>7</v>
      </c>
      <c r="E3560" s="2" t="s">
        <v>12</v>
      </c>
      <c r="F3560">
        <f t="shared" si="55"/>
        <v>4.1444700000000001</v>
      </c>
      <c r="G3560" t="s">
        <v>16</v>
      </c>
      <c r="J3560" t="str">
        <f>"06/29/1995 23:00"</f>
        <v>06/29/1995 23:00</v>
      </c>
    </row>
    <row r="3561" spans="1:10" x14ac:dyDescent="0.3">
      <c r="A3561" t="s">
        <v>6</v>
      </c>
      <c r="B3561" t="str">
        <f>"06/30/1995 00:00"</f>
        <v>06/30/1995 00:00</v>
      </c>
      <c r="C3561">
        <v>2.52</v>
      </c>
      <c r="D3561" t="s">
        <v>7</v>
      </c>
      <c r="E3561" s="2" t="s">
        <v>12</v>
      </c>
      <c r="F3561">
        <f t="shared" si="55"/>
        <v>4.99716</v>
      </c>
      <c r="G3561" t="s">
        <v>16</v>
      </c>
      <c r="J3561" t="str">
        <f>"06/30/1995 23:00"</f>
        <v>06/30/1995 23:00</v>
      </c>
    </row>
    <row r="3562" spans="1:10" x14ac:dyDescent="0.3">
      <c r="A3562" t="s">
        <v>6</v>
      </c>
      <c r="B3562" t="str">
        <f>"07/01/1995 00:00"</f>
        <v>07/01/1995 00:00</v>
      </c>
      <c r="C3562">
        <v>2.56</v>
      </c>
      <c r="D3562" t="s">
        <v>7</v>
      </c>
      <c r="E3562" s="2" t="s">
        <v>12</v>
      </c>
      <c r="F3562">
        <f t="shared" si="55"/>
        <v>5.0764800000000001</v>
      </c>
      <c r="G3562" t="s">
        <v>16</v>
      </c>
      <c r="I3562" t="s">
        <v>8</v>
      </c>
      <c r="J3562" t="str">
        <f>"07/01/1995 23:00"</f>
        <v>07/01/1995 23:00</v>
      </c>
    </row>
    <row r="3563" spans="1:10" x14ac:dyDescent="0.3">
      <c r="A3563" t="s">
        <v>6</v>
      </c>
      <c r="B3563" t="str">
        <f>"07/02/1995 00:00"</f>
        <v>07/02/1995 00:00</v>
      </c>
      <c r="C3563">
        <v>2.56</v>
      </c>
      <c r="D3563" t="s">
        <v>7</v>
      </c>
      <c r="E3563" s="2" t="s">
        <v>12</v>
      </c>
      <c r="F3563">
        <f t="shared" si="55"/>
        <v>5.0764800000000001</v>
      </c>
      <c r="G3563" t="s">
        <v>16</v>
      </c>
      <c r="I3563" t="s">
        <v>8</v>
      </c>
      <c r="J3563" t="str">
        <f>"07/02/1995 23:00"</f>
        <v>07/02/1995 23:00</v>
      </c>
    </row>
    <row r="3564" spans="1:10" x14ac:dyDescent="0.3">
      <c r="A3564" t="s">
        <v>6</v>
      </c>
      <c r="B3564" t="str">
        <f>"07/03/1995 00:00"</f>
        <v>07/03/1995 00:00</v>
      </c>
      <c r="C3564">
        <v>2.56</v>
      </c>
      <c r="D3564" t="s">
        <v>7</v>
      </c>
      <c r="E3564" s="2" t="s">
        <v>12</v>
      </c>
      <c r="F3564">
        <f t="shared" si="55"/>
        <v>5.0764800000000001</v>
      </c>
      <c r="G3564" t="s">
        <v>16</v>
      </c>
      <c r="I3564" t="s">
        <v>8</v>
      </c>
      <c r="J3564" t="str">
        <f>"07/03/1995 23:00"</f>
        <v>07/03/1995 23:00</v>
      </c>
    </row>
    <row r="3565" spans="1:10" x14ac:dyDescent="0.3">
      <c r="A3565" t="s">
        <v>6</v>
      </c>
      <c r="B3565" t="str">
        <f>"07/04/1995 00:00"</f>
        <v>07/04/1995 00:00</v>
      </c>
      <c r="C3565">
        <v>2.56</v>
      </c>
      <c r="D3565" t="s">
        <v>7</v>
      </c>
      <c r="E3565" s="2" t="s">
        <v>12</v>
      </c>
      <c r="F3565">
        <f t="shared" si="55"/>
        <v>5.0764800000000001</v>
      </c>
      <c r="G3565" t="s">
        <v>16</v>
      </c>
      <c r="I3565" t="s">
        <v>35</v>
      </c>
      <c r="J3565" t="str">
        <f>"07/04/1995 23:00"</f>
        <v>07/04/1995 23:00</v>
      </c>
    </row>
    <row r="3566" spans="1:10" x14ac:dyDescent="0.3">
      <c r="A3566" t="s">
        <v>6</v>
      </c>
      <c r="B3566" t="str">
        <f>"07/05/1995 00:00"</f>
        <v>07/05/1995 00:00</v>
      </c>
      <c r="C3566">
        <v>2.56</v>
      </c>
      <c r="D3566" t="s">
        <v>7</v>
      </c>
      <c r="E3566" s="2" t="s">
        <v>12</v>
      </c>
      <c r="F3566">
        <f t="shared" si="55"/>
        <v>5.0764800000000001</v>
      </c>
      <c r="G3566" t="s">
        <v>16</v>
      </c>
      <c r="I3566" t="s">
        <v>8</v>
      </c>
      <c r="J3566" t="str">
        <f>"07/05/1995 23:00"</f>
        <v>07/05/1995 23:00</v>
      </c>
    </row>
    <row r="3567" spans="1:10" x14ac:dyDescent="0.3">
      <c r="A3567" t="s">
        <v>6</v>
      </c>
      <c r="B3567" t="str">
        <f>"07/06/1995 00:00"</f>
        <v>07/06/1995 00:00</v>
      </c>
      <c r="C3567">
        <v>2.56</v>
      </c>
      <c r="D3567" t="s">
        <v>7</v>
      </c>
      <c r="E3567" s="2" t="s">
        <v>12</v>
      </c>
      <c r="F3567">
        <f t="shared" si="55"/>
        <v>5.0764800000000001</v>
      </c>
      <c r="G3567" t="s">
        <v>16</v>
      </c>
      <c r="I3567" t="s">
        <v>8</v>
      </c>
      <c r="J3567" t="str">
        <f>"07/06/1995 23:00"</f>
        <v>07/06/1995 23:00</v>
      </c>
    </row>
    <row r="3568" spans="1:10" x14ac:dyDescent="0.3">
      <c r="A3568" t="s">
        <v>6</v>
      </c>
      <c r="B3568" t="str">
        <f>"07/07/1995 00:00"</f>
        <v>07/07/1995 00:00</v>
      </c>
      <c r="C3568">
        <v>2.83</v>
      </c>
      <c r="D3568" t="s">
        <v>7</v>
      </c>
      <c r="E3568" s="2" t="s">
        <v>12</v>
      </c>
      <c r="F3568">
        <f t="shared" si="55"/>
        <v>5.6118900000000007</v>
      </c>
      <c r="G3568" t="s">
        <v>16</v>
      </c>
      <c r="J3568" t="str">
        <f>"07/07/1995 23:00"</f>
        <v>07/07/1995 23:00</v>
      </c>
    </row>
    <row r="3569" spans="1:10" x14ac:dyDescent="0.3">
      <c r="A3569" t="s">
        <v>6</v>
      </c>
      <c r="B3569" t="str">
        <f>"07/08/1995 00:00"</f>
        <v>07/08/1995 00:00</v>
      </c>
      <c r="C3569">
        <v>3.28</v>
      </c>
      <c r="D3569" t="s">
        <v>7</v>
      </c>
      <c r="E3569" s="2" t="s">
        <v>12</v>
      </c>
      <c r="F3569">
        <f t="shared" si="55"/>
        <v>6.5042400000000002</v>
      </c>
      <c r="G3569" t="s">
        <v>16</v>
      </c>
      <c r="I3569" t="s">
        <v>8</v>
      </c>
      <c r="J3569" t="str">
        <f>"07/08/1995 23:00"</f>
        <v>07/08/1995 23:00</v>
      </c>
    </row>
    <row r="3570" spans="1:10" x14ac:dyDescent="0.3">
      <c r="A3570" t="s">
        <v>6</v>
      </c>
      <c r="B3570" t="str">
        <f>"07/09/1995 00:00"</f>
        <v>07/09/1995 00:00</v>
      </c>
      <c r="C3570">
        <v>2.75</v>
      </c>
      <c r="D3570" t="s">
        <v>7</v>
      </c>
      <c r="E3570" s="2" t="s">
        <v>12</v>
      </c>
      <c r="F3570">
        <f t="shared" si="55"/>
        <v>5.4532500000000006</v>
      </c>
      <c r="G3570" t="s">
        <v>16</v>
      </c>
      <c r="I3570" t="s">
        <v>8</v>
      </c>
      <c r="J3570" t="str">
        <f>"07/09/1995 23:00"</f>
        <v>07/09/1995 23:00</v>
      </c>
    </row>
    <row r="3571" spans="1:10" x14ac:dyDescent="0.3">
      <c r="A3571" t="s">
        <v>6</v>
      </c>
      <c r="B3571" t="str">
        <f>"07/10/1995 00:00"</f>
        <v>07/10/1995 00:00</v>
      </c>
      <c r="C3571">
        <v>2.0099999999999998</v>
      </c>
      <c r="D3571" t="s">
        <v>7</v>
      </c>
      <c r="E3571" s="2" t="s">
        <v>12</v>
      </c>
      <c r="F3571">
        <f t="shared" si="55"/>
        <v>3.98583</v>
      </c>
      <c r="G3571" t="s">
        <v>16</v>
      </c>
      <c r="J3571" t="str">
        <f>"07/10/1995 23:00"</f>
        <v>07/10/1995 23:00</v>
      </c>
    </row>
    <row r="3572" spans="1:10" x14ac:dyDescent="0.3">
      <c r="A3572" t="s">
        <v>6</v>
      </c>
      <c r="B3572" t="str">
        <f>"07/11/1995 00:00"</f>
        <v>07/11/1995 00:00</v>
      </c>
      <c r="C3572">
        <v>1.92</v>
      </c>
      <c r="D3572" t="s">
        <v>7</v>
      </c>
      <c r="E3572" s="2" t="s">
        <v>12</v>
      </c>
      <c r="F3572">
        <f t="shared" si="55"/>
        <v>3.8073600000000001</v>
      </c>
      <c r="G3572" t="s">
        <v>16</v>
      </c>
      <c r="I3572" t="s">
        <v>8</v>
      </c>
      <c r="J3572" t="str">
        <f>"07/11/1995 23:00"</f>
        <v>07/11/1995 23:00</v>
      </c>
    </row>
    <row r="3573" spans="1:10" x14ac:dyDescent="0.3">
      <c r="A3573" t="s">
        <v>6</v>
      </c>
      <c r="B3573" t="str">
        <f>"07/12/1995 00:00"</f>
        <v>07/12/1995 00:00</v>
      </c>
      <c r="C3573">
        <v>1.92</v>
      </c>
      <c r="D3573" t="s">
        <v>7</v>
      </c>
      <c r="E3573" s="2" t="s">
        <v>12</v>
      </c>
      <c r="F3573">
        <f t="shared" si="55"/>
        <v>3.8073600000000001</v>
      </c>
      <c r="G3573" t="s">
        <v>16</v>
      </c>
      <c r="I3573" t="s">
        <v>35</v>
      </c>
      <c r="J3573" t="str">
        <f>"07/12/1995 23:00"</f>
        <v>07/12/1995 23:00</v>
      </c>
    </row>
    <row r="3574" spans="1:10" x14ac:dyDescent="0.3">
      <c r="A3574" t="s">
        <v>6</v>
      </c>
      <c r="B3574" t="str">
        <f>"07/13/1995 00:00"</f>
        <v>07/13/1995 00:00</v>
      </c>
      <c r="C3574">
        <v>1.92</v>
      </c>
      <c r="D3574" t="s">
        <v>7</v>
      </c>
      <c r="E3574" s="2" t="s">
        <v>12</v>
      </c>
      <c r="F3574">
        <f t="shared" si="55"/>
        <v>3.8073600000000001</v>
      </c>
      <c r="G3574" t="s">
        <v>16</v>
      </c>
      <c r="I3574" t="s">
        <v>8</v>
      </c>
      <c r="J3574" t="str">
        <f>"07/13/1995 23:00"</f>
        <v>07/13/1995 23:00</v>
      </c>
    </row>
    <row r="3575" spans="1:10" x14ac:dyDescent="0.3">
      <c r="A3575" t="s">
        <v>6</v>
      </c>
      <c r="B3575" t="str">
        <f>"07/14/1995 00:00"</f>
        <v>07/14/1995 00:00</v>
      </c>
      <c r="C3575">
        <v>1.92</v>
      </c>
      <c r="D3575" t="s">
        <v>7</v>
      </c>
      <c r="E3575" s="2" t="s">
        <v>12</v>
      </c>
      <c r="F3575">
        <f t="shared" si="55"/>
        <v>3.8073600000000001</v>
      </c>
      <c r="G3575" t="s">
        <v>16</v>
      </c>
      <c r="I3575" t="s">
        <v>8</v>
      </c>
      <c r="J3575" t="str">
        <f>"07/14/1995 23:00"</f>
        <v>07/14/1995 23:00</v>
      </c>
    </row>
    <row r="3576" spans="1:10" x14ac:dyDescent="0.3">
      <c r="A3576" t="s">
        <v>6</v>
      </c>
      <c r="B3576" t="str">
        <f>"07/15/1995 00:00"</f>
        <v>07/15/1995 00:00</v>
      </c>
      <c r="C3576">
        <v>2.1</v>
      </c>
      <c r="D3576" t="s">
        <v>7</v>
      </c>
      <c r="E3576" s="2" t="s">
        <v>12</v>
      </c>
      <c r="F3576">
        <f t="shared" si="55"/>
        <v>4.1643000000000008</v>
      </c>
      <c r="G3576" t="s">
        <v>16</v>
      </c>
      <c r="J3576" t="str">
        <f>"07/15/1995 23:00"</f>
        <v>07/15/1995 23:00</v>
      </c>
    </row>
    <row r="3577" spans="1:10" x14ac:dyDescent="0.3">
      <c r="A3577" t="s">
        <v>6</v>
      </c>
      <c r="B3577" t="str">
        <f>"07/16/1995 00:00"</f>
        <v>07/16/1995 00:00</v>
      </c>
      <c r="C3577">
        <v>2.11</v>
      </c>
      <c r="D3577" t="s">
        <v>7</v>
      </c>
      <c r="E3577" s="2" t="s">
        <v>12</v>
      </c>
      <c r="F3577">
        <f t="shared" si="55"/>
        <v>4.1841299999999997</v>
      </c>
      <c r="G3577" t="s">
        <v>16</v>
      </c>
      <c r="J3577" t="str">
        <f>"07/16/1995 23:00"</f>
        <v>07/16/1995 23:00</v>
      </c>
    </row>
    <row r="3578" spans="1:10" x14ac:dyDescent="0.3">
      <c r="A3578" t="s">
        <v>6</v>
      </c>
      <c r="B3578" t="str">
        <f>"07/17/1995 00:00"</f>
        <v>07/17/1995 00:00</v>
      </c>
      <c r="C3578">
        <v>2.1</v>
      </c>
      <c r="D3578" t="s">
        <v>7</v>
      </c>
      <c r="E3578" s="2" t="s">
        <v>12</v>
      </c>
      <c r="F3578">
        <f t="shared" si="55"/>
        <v>4.1643000000000008</v>
      </c>
      <c r="G3578" t="s">
        <v>16</v>
      </c>
      <c r="J3578" t="str">
        <f>"07/17/1995 23:00"</f>
        <v>07/17/1995 23:00</v>
      </c>
    </row>
    <row r="3579" spans="1:10" x14ac:dyDescent="0.3">
      <c r="A3579" t="s">
        <v>6</v>
      </c>
      <c r="B3579" t="str">
        <f>"07/18/1995 00:00"</f>
        <v>07/18/1995 00:00</v>
      </c>
      <c r="C3579">
        <v>1.98</v>
      </c>
      <c r="D3579" t="s">
        <v>7</v>
      </c>
      <c r="E3579" s="2" t="s">
        <v>12</v>
      </c>
      <c r="F3579">
        <f t="shared" si="55"/>
        <v>3.9263400000000002</v>
      </c>
      <c r="G3579" t="s">
        <v>16</v>
      </c>
      <c r="J3579" t="str">
        <f>"07/18/1995 23:00"</f>
        <v>07/18/1995 23:00</v>
      </c>
    </row>
    <row r="3580" spans="1:10" x14ac:dyDescent="0.3">
      <c r="A3580" t="s">
        <v>6</v>
      </c>
      <c r="B3580" t="str">
        <f>"07/19/1995 00:00"</f>
        <v>07/19/1995 00:00</v>
      </c>
      <c r="C3580">
        <v>2.1800000000000002</v>
      </c>
      <c r="D3580" t="s">
        <v>7</v>
      </c>
      <c r="E3580" s="2" t="s">
        <v>12</v>
      </c>
      <c r="F3580">
        <f t="shared" si="55"/>
        <v>4.3229400000000009</v>
      </c>
      <c r="G3580" t="s">
        <v>16</v>
      </c>
      <c r="J3580" t="str">
        <f>"07/19/1995 23:00"</f>
        <v>07/19/1995 23:00</v>
      </c>
    </row>
    <row r="3581" spans="1:10" x14ac:dyDescent="0.3">
      <c r="A3581" t="s">
        <v>6</v>
      </c>
      <c r="B3581" t="str">
        <f>"07/20/1995 00:00"</f>
        <v>07/20/1995 00:00</v>
      </c>
      <c r="C3581">
        <v>2.4500000000000002</v>
      </c>
      <c r="D3581" t="s">
        <v>7</v>
      </c>
      <c r="E3581" s="2" t="s">
        <v>12</v>
      </c>
      <c r="F3581">
        <f t="shared" si="55"/>
        <v>4.8583500000000006</v>
      </c>
      <c r="G3581" t="s">
        <v>16</v>
      </c>
      <c r="J3581" t="str">
        <f>"07/20/1995 23:00"</f>
        <v>07/20/1995 23:00</v>
      </c>
    </row>
    <row r="3582" spans="1:10" x14ac:dyDescent="0.3">
      <c r="A3582" t="s">
        <v>6</v>
      </c>
      <c r="B3582" t="str">
        <f>"07/21/1995 00:00"</f>
        <v>07/21/1995 00:00</v>
      </c>
      <c r="C3582">
        <v>2.56</v>
      </c>
      <c r="D3582" t="s">
        <v>7</v>
      </c>
      <c r="E3582" s="2" t="s">
        <v>12</v>
      </c>
      <c r="F3582">
        <f t="shared" si="55"/>
        <v>5.0764800000000001</v>
      </c>
      <c r="G3582" t="s">
        <v>16</v>
      </c>
      <c r="I3582" t="s">
        <v>8</v>
      </c>
      <c r="J3582" t="str">
        <f>"07/21/1995 23:00"</f>
        <v>07/21/1995 23:00</v>
      </c>
    </row>
    <row r="3583" spans="1:10" x14ac:dyDescent="0.3">
      <c r="A3583" t="s">
        <v>6</v>
      </c>
      <c r="B3583" t="str">
        <f>"07/22/1995 00:00"</f>
        <v>07/22/1995 00:00</v>
      </c>
      <c r="C3583">
        <v>2.56</v>
      </c>
      <c r="D3583" t="s">
        <v>7</v>
      </c>
      <c r="E3583" s="2" t="s">
        <v>12</v>
      </c>
      <c r="F3583">
        <f t="shared" si="55"/>
        <v>5.0764800000000001</v>
      </c>
      <c r="G3583" t="s">
        <v>16</v>
      </c>
      <c r="I3583" t="s">
        <v>35</v>
      </c>
      <c r="J3583" t="str">
        <f>"07/22/1995 23:00"</f>
        <v>07/22/1995 23:00</v>
      </c>
    </row>
    <row r="3584" spans="1:10" x14ac:dyDescent="0.3">
      <c r="A3584" t="s">
        <v>6</v>
      </c>
      <c r="B3584" t="str">
        <f>"07/23/1995 00:00"</f>
        <v>07/23/1995 00:00</v>
      </c>
      <c r="C3584">
        <v>2.56</v>
      </c>
      <c r="D3584" t="s">
        <v>7</v>
      </c>
      <c r="E3584" s="2" t="s">
        <v>12</v>
      </c>
      <c r="F3584">
        <f t="shared" si="55"/>
        <v>5.0764800000000001</v>
      </c>
      <c r="G3584" t="s">
        <v>16</v>
      </c>
      <c r="I3584" t="s">
        <v>8</v>
      </c>
      <c r="J3584" t="str">
        <f>"07/23/1995 23:00"</f>
        <v>07/23/1995 23:00</v>
      </c>
    </row>
    <row r="3585" spans="1:10" x14ac:dyDescent="0.3">
      <c r="A3585" t="s">
        <v>6</v>
      </c>
      <c r="B3585" t="str">
        <f>"07/24/1995 00:00"</f>
        <v>07/24/1995 00:00</v>
      </c>
      <c r="C3585">
        <v>2.56</v>
      </c>
      <c r="D3585" t="s">
        <v>7</v>
      </c>
      <c r="E3585" s="2" t="s">
        <v>12</v>
      </c>
      <c r="F3585">
        <f t="shared" si="55"/>
        <v>5.0764800000000001</v>
      </c>
      <c r="G3585" t="s">
        <v>16</v>
      </c>
      <c r="J3585" t="str">
        <f>"07/24/1995 23:00"</f>
        <v>07/24/1995 23:00</v>
      </c>
    </row>
    <row r="3586" spans="1:10" x14ac:dyDescent="0.3">
      <c r="A3586" t="s">
        <v>6</v>
      </c>
      <c r="B3586" t="str">
        <f>"07/25/1995 00:00"</f>
        <v>07/25/1995 00:00</v>
      </c>
      <c r="C3586">
        <v>2.56</v>
      </c>
      <c r="D3586" t="s">
        <v>7</v>
      </c>
      <c r="E3586" s="2" t="s">
        <v>12</v>
      </c>
      <c r="F3586">
        <f t="shared" si="55"/>
        <v>5.0764800000000001</v>
      </c>
      <c r="G3586" t="s">
        <v>16</v>
      </c>
      <c r="J3586" t="str">
        <f>"07/25/1995 23:00"</f>
        <v>07/25/1995 23:00</v>
      </c>
    </row>
    <row r="3587" spans="1:10" x14ac:dyDescent="0.3">
      <c r="A3587" t="s">
        <v>6</v>
      </c>
      <c r="B3587" t="str">
        <f>"07/26/1995 00:00"</f>
        <v>07/26/1995 00:00</v>
      </c>
      <c r="C3587">
        <v>2.56</v>
      </c>
      <c r="D3587" t="s">
        <v>7</v>
      </c>
      <c r="E3587" s="2" t="s">
        <v>12</v>
      </c>
      <c r="F3587">
        <f t="shared" ref="F3587:F3650" si="56">C3587*1.983</f>
        <v>5.0764800000000001</v>
      </c>
      <c r="G3587" t="s">
        <v>16</v>
      </c>
      <c r="J3587" t="str">
        <f>"07/26/1995 23:00"</f>
        <v>07/26/1995 23:00</v>
      </c>
    </row>
    <row r="3588" spans="1:10" x14ac:dyDescent="0.3">
      <c r="A3588" t="s">
        <v>6</v>
      </c>
      <c r="B3588" t="str">
        <f>"07/27/1995 00:00"</f>
        <v>07/27/1995 00:00</v>
      </c>
      <c r="C3588">
        <v>2.56</v>
      </c>
      <c r="D3588" t="s">
        <v>7</v>
      </c>
      <c r="E3588" s="2" t="s">
        <v>12</v>
      </c>
      <c r="F3588">
        <f t="shared" si="56"/>
        <v>5.0764800000000001</v>
      </c>
      <c r="G3588" t="s">
        <v>16</v>
      </c>
      <c r="I3588" t="s">
        <v>8</v>
      </c>
      <c r="J3588" t="str">
        <f>"07/27/1995 23:00"</f>
        <v>07/27/1995 23:00</v>
      </c>
    </row>
    <row r="3589" spans="1:10" x14ac:dyDescent="0.3">
      <c r="A3589" t="s">
        <v>6</v>
      </c>
      <c r="B3589" t="str">
        <f>"07/28/1995 00:00"</f>
        <v>07/28/1995 00:00</v>
      </c>
      <c r="C3589">
        <v>2.56</v>
      </c>
      <c r="D3589" t="s">
        <v>7</v>
      </c>
      <c r="E3589" s="2" t="s">
        <v>12</v>
      </c>
      <c r="F3589">
        <f t="shared" si="56"/>
        <v>5.0764800000000001</v>
      </c>
      <c r="G3589" t="s">
        <v>16</v>
      </c>
      <c r="I3589" t="s">
        <v>8</v>
      </c>
      <c r="J3589" t="str">
        <f>"07/28/1995 23:00"</f>
        <v>07/28/1995 23:00</v>
      </c>
    </row>
    <row r="3590" spans="1:10" x14ac:dyDescent="0.3">
      <c r="A3590" t="s">
        <v>6</v>
      </c>
      <c r="B3590" t="str">
        <f>"07/29/1995 00:00"</f>
        <v>07/29/1995 00:00</v>
      </c>
      <c r="C3590">
        <v>2.56</v>
      </c>
      <c r="D3590" t="s">
        <v>7</v>
      </c>
      <c r="E3590" s="2" t="s">
        <v>12</v>
      </c>
      <c r="F3590">
        <f t="shared" si="56"/>
        <v>5.0764800000000001</v>
      </c>
      <c r="G3590" t="s">
        <v>16</v>
      </c>
      <c r="I3590" t="s">
        <v>8</v>
      </c>
      <c r="J3590" t="str">
        <f>"07/29/1995 23:00"</f>
        <v>07/29/1995 23:00</v>
      </c>
    </row>
    <row r="3591" spans="1:10" x14ac:dyDescent="0.3">
      <c r="A3591" t="s">
        <v>6</v>
      </c>
      <c r="B3591" t="str">
        <f>"07/30/1995 00:00"</f>
        <v>07/30/1995 00:00</v>
      </c>
      <c r="C3591">
        <v>2.52</v>
      </c>
      <c r="D3591" t="s">
        <v>7</v>
      </c>
      <c r="E3591" s="2" t="s">
        <v>12</v>
      </c>
      <c r="F3591">
        <f t="shared" si="56"/>
        <v>4.99716</v>
      </c>
      <c r="G3591" t="s">
        <v>16</v>
      </c>
      <c r="I3591" t="s">
        <v>8</v>
      </c>
      <c r="J3591" t="str">
        <f>"07/30/1995 23:00"</f>
        <v>07/30/1995 23:00</v>
      </c>
    </row>
    <row r="3592" spans="1:10" x14ac:dyDescent="0.3">
      <c r="A3592" t="s">
        <v>6</v>
      </c>
      <c r="B3592" t="str">
        <f>"07/31/1995 00:00"</f>
        <v>07/31/1995 00:00</v>
      </c>
      <c r="C3592">
        <v>2.5299999999999998</v>
      </c>
      <c r="D3592" t="s">
        <v>7</v>
      </c>
      <c r="E3592" s="2" t="s">
        <v>12</v>
      </c>
      <c r="F3592">
        <f t="shared" si="56"/>
        <v>5.0169899999999998</v>
      </c>
      <c r="G3592" t="s">
        <v>16</v>
      </c>
      <c r="J3592" t="str">
        <f>"07/31/1995 23:00"</f>
        <v>07/31/1995 23:00</v>
      </c>
    </row>
    <row r="3593" spans="1:10" x14ac:dyDescent="0.3">
      <c r="A3593" t="s">
        <v>6</v>
      </c>
      <c r="B3593" t="str">
        <f>"08/01/1995 00:00"</f>
        <v>08/01/1995 00:00</v>
      </c>
      <c r="C3593">
        <v>2.56</v>
      </c>
      <c r="D3593" t="s">
        <v>7</v>
      </c>
      <c r="E3593" s="2" t="s">
        <v>12</v>
      </c>
      <c r="F3593">
        <f t="shared" si="56"/>
        <v>5.0764800000000001</v>
      </c>
      <c r="G3593" t="s">
        <v>16</v>
      </c>
      <c r="I3593" t="s">
        <v>35</v>
      </c>
      <c r="J3593" t="str">
        <f>"08/01/1995 23:00"</f>
        <v>08/01/1995 23:00</v>
      </c>
    </row>
    <row r="3594" spans="1:10" x14ac:dyDescent="0.3">
      <c r="A3594" t="s">
        <v>6</v>
      </c>
      <c r="B3594" t="str">
        <f>"08/02/1995 00:00"</f>
        <v>08/02/1995 00:00</v>
      </c>
      <c r="C3594">
        <v>2.56</v>
      </c>
      <c r="D3594" t="s">
        <v>7</v>
      </c>
      <c r="E3594" s="2" t="s">
        <v>12</v>
      </c>
      <c r="F3594">
        <f t="shared" si="56"/>
        <v>5.0764800000000001</v>
      </c>
      <c r="G3594" t="s">
        <v>16</v>
      </c>
      <c r="I3594" t="s">
        <v>35</v>
      </c>
      <c r="J3594" t="str">
        <f>"08/02/1995 23:00"</f>
        <v>08/02/1995 23:00</v>
      </c>
    </row>
    <row r="3595" spans="1:10" x14ac:dyDescent="0.3">
      <c r="A3595" t="s">
        <v>6</v>
      </c>
      <c r="B3595" t="str">
        <f>"08/03/1995 00:00"</f>
        <v>08/03/1995 00:00</v>
      </c>
      <c r="C3595">
        <v>2.56</v>
      </c>
      <c r="D3595" t="s">
        <v>7</v>
      </c>
      <c r="E3595" s="2" t="s">
        <v>12</v>
      </c>
      <c r="F3595">
        <f t="shared" si="56"/>
        <v>5.0764800000000001</v>
      </c>
      <c r="G3595" t="s">
        <v>16</v>
      </c>
      <c r="I3595" t="s">
        <v>35</v>
      </c>
      <c r="J3595" t="str">
        <f>"08/03/1995 23:00"</f>
        <v>08/03/1995 23:00</v>
      </c>
    </row>
    <row r="3596" spans="1:10" x14ac:dyDescent="0.3">
      <c r="A3596" t="s">
        <v>6</v>
      </c>
      <c r="B3596" t="str">
        <f>"08/04/1995 00:00"</f>
        <v>08/04/1995 00:00</v>
      </c>
      <c r="C3596">
        <v>2.56</v>
      </c>
      <c r="D3596" t="s">
        <v>7</v>
      </c>
      <c r="E3596" s="2" t="s">
        <v>12</v>
      </c>
      <c r="F3596">
        <f t="shared" si="56"/>
        <v>5.0764800000000001</v>
      </c>
      <c r="G3596" t="s">
        <v>16</v>
      </c>
      <c r="I3596" t="s">
        <v>8</v>
      </c>
      <c r="J3596" t="str">
        <f>"08/04/1995 23:00"</f>
        <v>08/04/1995 23:00</v>
      </c>
    </row>
    <row r="3597" spans="1:10" x14ac:dyDescent="0.3">
      <c r="A3597" t="s">
        <v>6</v>
      </c>
      <c r="B3597" t="str">
        <f>"08/05/1995 00:00"</f>
        <v>08/05/1995 00:00</v>
      </c>
      <c r="C3597">
        <v>2.56</v>
      </c>
      <c r="D3597" t="s">
        <v>7</v>
      </c>
      <c r="E3597" s="2" t="s">
        <v>12</v>
      </c>
      <c r="F3597">
        <f t="shared" si="56"/>
        <v>5.0764800000000001</v>
      </c>
      <c r="G3597" t="s">
        <v>16</v>
      </c>
      <c r="J3597" t="str">
        <f>"08/05/1995 23:00"</f>
        <v>08/05/1995 23:00</v>
      </c>
    </row>
    <row r="3598" spans="1:10" x14ac:dyDescent="0.3">
      <c r="A3598" t="s">
        <v>6</v>
      </c>
      <c r="B3598" t="str">
        <f>"08/06/1995 00:00"</f>
        <v>08/06/1995 00:00</v>
      </c>
      <c r="C3598">
        <v>2.56</v>
      </c>
      <c r="D3598" t="s">
        <v>7</v>
      </c>
      <c r="E3598" s="2" t="s">
        <v>12</v>
      </c>
      <c r="F3598">
        <f t="shared" si="56"/>
        <v>5.0764800000000001</v>
      </c>
      <c r="G3598" t="s">
        <v>16</v>
      </c>
      <c r="I3598" t="s">
        <v>35</v>
      </c>
      <c r="J3598" t="str">
        <f>"08/06/1995 23:00"</f>
        <v>08/06/1995 23:00</v>
      </c>
    </row>
    <row r="3599" spans="1:10" x14ac:dyDescent="0.3">
      <c r="A3599" t="s">
        <v>6</v>
      </c>
      <c r="B3599" t="str">
        <f>"08/07/1995 00:00"</f>
        <v>08/07/1995 00:00</v>
      </c>
      <c r="C3599">
        <v>2.56</v>
      </c>
      <c r="D3599" t="s">
        <v>7</v>
      </c>
      <c r="E3599" s="2" t="s">
        <v>12</v>
      </c>
      <c r="F3599">
        <f t="shared" si="56"/>
        <v>5.0764800000000001</v>
      </c>
      <c r="G3599" t="s">
        <v>16</v>
      </c>
      <c r="I3599" t="s">
        <v>35</v>
      </c>
      <c r="J3599" t="str">
        <f>"08/07/1995 23:00"</f>
        <v>08/07/1995 23:00</v>
      </c>
    </row>
    <row r="3600" spans="1:10" x14ac:dyDescent="0.3">
      <c r="A3600" t="s">
        <v>6</v>
      </c>
      <c r="B3600" t="str">
        <f>"08/08/1995 00:00"</f>
        <v>08/08/1995 00:00</v>
      </c>
      <c r="C3600">
        <v>2.56</v>
      </c>
      <c r="D3600" t="s">
        <v>7</v>
      </c>
      <c r="E3600" s="2" t="s">
        <v>12</v>
      </c>
      <c r="F3600">
        <f t="shared" si="56"/>
        <v>5.0764800000000001</v>
      </c>
      <c r="G3600" t="s">
        <v>16</v>
      </c>
      <c r="I3600" t="s">
        <v>35</v>
      </c>
      <c r="J3600" t="str">
        <f>"08/08/1995 23:00"</f>
        <v>08/08/1995 23:00</v>
      </c>
    </row>
    <row r="3601" spans="1:10" x14ac:dyDescent="0.3">
      <c r="A3601" t="s">
        <v>6</v>
      </c>
      <c r="B3601" t="str">
        <f>"08/09/1995 00:00"</f>
        <v>08/09/1995 00:00</v>
      </c>
      <c r="C3601">
        <v>2.57</v>
      </c>
      <c r="D3601" t="s">
        <v>7</v>
      </c>
      <c r="E3601" s="2" t="s">
        <v>12</v>
      </c>
      <c r="F3601">
        <f t="shared" si="56"/>
        <v>5.0963099999999999</v>
      </c>
      <c r="G3601" t="s">
        <v>16</v>
      </c>
      <c r="I3601" t="s">
        <v>8</v>
      </c>
      <c r="J3601" t="str">
        <f>"08/09/1995 23:00"</f>
        <v>08/09/1995 23:00</v>
      </c>
    </row>
    <row r="3602" spans="1:10" x14ac:dyDescent="0.3">
      <c r="A3602" t="s">
        <v>6</v>
      </c>
      <c r="B3602" t="str">
        <f>"08/10/1995 00:00"</f>
        <v>08/10/1995 00:00</v>
      </c>
      <c r="C3602">
        <v>2.56</v>
      </c>
      <c r="D3602" t="s">
        <v>7</v>
      </c>
      <c r="E3602" s="2" t="s">
        <v>12</v>
      </c>
      <c r="F3602">
        <f t="shared" si="56"/>
        <v>5.0764800000000001</v>
      </c>
      <c r="G3602" t="s">
        <v>16</v>
      </c>
      <c r="J3602" t="str">
        <f>"08/10/1995 23:00"</f>
        <v>08/10/1995 23:00</v>
      </c>
    </row>
    <row r="3603" spans="1:10" x14ac:dyDescent="0.3">
      <c r="A3603" t="s">
        <v>6</v>
      </c>
      <c r="B3603" t="str">
        <f>"08/11/1995 00:00"</f>
        <v>08/11/1995 00:00</v>
      </c>
      <c r="C3603">
        <v>2.5099999999999998</v>
      </c>
      <c r="D3603" t="s">
        <v>7</v>
      </c>
      <c r="E3603" s="2" t="s">
        <v>12</v>
      </c>
      <c r="F3603">
        <f t="shared" si="56"/>
        <v>4.9773300000000003</v>
      </c>
      <c r="G3603" t="s">
        <v>16</v>
      </c>
      <c r="J3603" t="str">
        <f>"08/11/1995 23:00"</f>
        <v>08/11/1995 23:00</v>
      </c>
    </row>
    <row r="3604" spans="1:10" x14ac:dyDescent="0.3">
      <c r="A3604" t="s">
        <v>6</v>
      </c>
      <c r="B3604" t="str">
        <f>"08/12/1995 00:00"</f>
        <v>08/12/1995 00:00</v>
      </c>
      <c r="C3604">
        <v>2.4900000000000002</v>
      </c>
      <c r="D3604" t="s">
        <v>7</v>
      </c>
      <c r="E3604" s="2" t="s">
        <v>12</v>
      </c>
      <c r="F3604">
        <f t="shared" si="56"/>
        <v>4.9376700000000007</v>
      </c>
      <c r="G3604" t="s">
        <v>16</v>
      </c>
      <c r="J3604" t="str">
        <f>"08/12/1995 23:00"</f>
        <v>08/12/1995 23:00</v>
      </c>
    </row>
    <row r="3605" spans="1:10" x14ac:dyDescent="0.3">
      <c r="A3605" t="s">
        <v>6</v>
      </c>
      <c r="B3605" t="str">
        <f>"08/13/1995 00:00"</f>
        <v>08/13/1995 00:00</v>
      </c>
      <c r="C3605">
        <v>2.56</v>
      </c>
      <c r="D3605" t="s">
        <v>7</v>
      </c>
      <c r="E3605" s="2" t="s">
        <v>12</v>
      </c>
      <c r="F3605">
        <f t="shared" si="56"/>
        <v>5.0764800000000001</v>
      </c>
      <c r="G3605" t="s">
        <v>16</v>
      </c>
      <c r="I3605" t="s">
        <v>8</v>
      </c>
      <c r="J3605" t="str">
        <f>"08/13/1995 23:00"</f>
        <v>08/13/1995 23:00</v>
      </c>
    </row>
    <row r="3606" spans="1:10" x14ac:dyDescent="0.3">
      <c r="A3606" t="s">
        <v>6</v>
      </c>
      <c r="B3606" t="str">
        <f>"08/14/1995 00:00"</f>
        <v>08/14/1995 00:00</v>
      </c>
      <c r="C3606">
        <v>2.88</v>
      </c>
      <c r="D3606" t="s">
        <v>7</v>
      </c>
      <c r="E3606" s="2" t="s">
        <v>12</v>
      </c>
      <c r="F3606">
        <f t="shared" si="56"/>
        <v>5.7110399999999997</v>
      </c>
      <c r="G3606" t="s">
        <v>16</v>
      </c>
      <c r="I3606" t="s">
        <v>8</v>
      </c>
      <c r="J3606" t="str">
        <f>"08/14/1995 23:00"</f>
        <v>08/14/1995 23:00</v>
      </c>
    </row>
    <row r="3607" spans="1:10" x14ac:dyDescent="0.3">
      <c r="A3607" t="s">
        <v>6</v>
      </c>
      <c r="B3607" t="str">
        <f>"08/15/1995 00:00"</f>
        <v>08/15/1995 00:00</v>
      </c>
      <c r="C3607">
        <v>2.91</v>
      </c>
      <c r="D3607" t="s">
        <v>7</v>
      </c>
      <c r="E3607" s="2" t="s">
        <v>12</v>
      </c>
      <c r="F3607">
        <f t="shared" si="56"/>
        <v>5.7705300000000008</v>
      </c>
      <c r="G3607" t="s">
        <v>16</v>
      </c>
      <c r="I3607" t="s">
        <v>35</v>
      </c>
      <c r="J3607" t="str">
        <f>"08/15/1995 23:00"</f>
        <v>08/15/1995 23:00</v>
      </c>
    </row>
    <row r="3608" spans="1:10" x14ac:dyDescent="0.3">
      <c r="A3608" t="s">
        <v>6</v>
      </c>
      <c r="B3608" t="str">
        <f>"08/16/1995 00:00"</f>
        <v>08/16/1995 00:00</v>
      </c>
      <c r="C3608">
        <v>2.91</v>
      </c>
      <c r="D3608" t="s">
        <v>7</v>
      </c>
      <c r="E3608" s="2" t="s">
        <v>12</v>
      </c>
      <c r="F3608">
        <f t="shared" si="56"/>
        <v>5.7705300000000008</v>
      </c>
      <c r="G3608" t="s">
        <v>16</v>
      </c>
      <c r="I3608" t="s">
        <v>35</v>
      </c>
      <c r="J3608" t="str">
        <f>"08/16/1995 23:00"</f>
        <v>08/16/1995 23:00</v>
      </c>
    </row>
    <row r="3609" spans="1:10" x14ac:dyDescent="0.3">
      <c r="A3609" t="s">
        <v>6</v>
      </c>
      <c r="B3609" t="str">
        <f>"08/17/1995 00:00"</f>
        <v>08/17/1995 00:00</v>
      </c>
      <c r="C3609">
        <v>2.91</v>
      </c>
      <c r="D3609" t="s">
        <v>7</v>
      </c>
      <c r="E3609" s="2" t="s">
        <v>12</v>
      </c>
      <c r="F3609">
        <f t="shared" si="56"/>
        <v>5.7705300000000008</v>
      </c>
      <c r="G3609" t="s">
        <v>16</v>
      </c>
      <c r="I3609" t="s">
        <v>35</v>
      </c>
      <c r="J3609" t="str">
        <f>"08/17/1995 23:00"</f>
        <v>08/17/1995 23:00</v>
      </c>
    </row>
    <row r="3610" spans="1:10" x14ac:dyDescent="0.3">
      <c r="A3610" t="s">
        <v>6</v>
      </c>
      <c r="B3610" t="str">
        <f>"08/18/1995 00:00"</f>
        <v>08/18/1995 00:00</v>
      </c>
      <c r="C3610">
        <v>2.91</v>
      </c>
      <c r="D3610" t="s">
        <v>7</v>
      </c>
      <c r="E3610" s="2" t="s">
        <v>12</v>
      </c>
      <c r="F3610">
        <f t="shared" si="56"/>
        <v>5.7705300000000008</v>
      </c>
      <c r="G3610" t="s">
        <v>16</v>
      </c>
      <c r="I3610" t="s">
        <v>35</v>
      </c>
      <c r="J3610" t="str">
        <f>"08/18/1995 23:00"</f>
        <v>08/18/1995 23:00</v>
      </c>
    </row>
    <row r="3611" spans="1:10" x14ac:dyDescent="0.3">
      <c r="A3611" t="s">
        <v>6</v>
      </c>
      <c r="B3611" t="str">
        <f>"08/19/1995 00:00"</f>
        <v>08/19/1995 00:00</v>
      </c>
      <c r="C3611">
        <v>2.91</v>
      </c>
      <c r="D3611" t="s">
        <v>7</v>
      </c>
      <c r="E3611" s="2" t="s">
        <v>12</v>
      </c>
      <c r="F3611">
        <f t="shared" si="56"/>
        <v>5.7705300000000008</v>
      </c>
      <c r="G3611" t="s">
        <v>16</v>
      </c>
      <c r="I3611" t="s">
        <v>8</v>
      </c>
      <c r="J3611" t="str">
        <f>"08/19/1995 23:00"</f>
        <v>08/19/1995 23:00</v>
      </c>
    </row>
    <row r="3612" spans="1:10" x14ac:dyDescent="0.3">
      <c r="A3612" t="s">
        <v>6</v>
      </c>
      <c r="B3612" t="str">
        <f>"08/20/1995 00:00"</f>
        <v>08/20/1995 00:00</v>
      </c>
      <c r="C3612">
        <v>2.91</v>
      </c>
      <c r="D3612" t="s">
        <v>7</v>
      </c>
      <c r="E3612" s="2" t="s">
        <v>12</v>
      </c>
      <c r="F3612">
        <f t="shared" si="56"/>
        <v>5.7705300000000008</v>
      </c>
      <c r="G3612" t="s">
        <v>16</v>
      </c>
      <c r="I3612" t="s">
        <v>8</v>
      </c>
      <c r="J3612" t="str">
        <f>"08/20/1995 23:00"</f>
        <v>08/20/1995 23:00</v>
      </c>
    </row>
    <row r="3613" spans="1:10" x14ac:dyDescent="0.3">
      <c r="A3613" t="s">
        <v>6</v>
      </c>
      <c r="B3613" t="str">
        <f>"08/21/1995 00:00"</f>
        <v>08/21/1995 00:00</v>
      </c>
      <c r="C3613">
        <v>30</v>
      </c>
      <c r="D3613" t="s">
        <v>7</v>
      </c>
      <c r="E3613" s="2" t="s">
        <v>12</v>
      </c>
      <c r="F3613">
        <f t="shared" si="56"/>
        <v>59.49</v>
      </c>
      <c r="G3613" t="s">
        <v>16</v>
      </c>
      <c r="J3613" t="str">
        <f>"08/21/1995 23:00"</f>
        <v>08/21/1995 23:00</v>
      </c>
    </row>
    <row r="3614" spans="1:10" x14ac:dyDescent="0.3">
      <c r="A3614" t="s">
        <v>6</v>
      </c>
      <c r="B3614" t="str">
        <f>"08/22/1995 00:00"</f>
        <v>08/22/1995 00:00</v>
      </c>
      <c r="C3614">
        <v>54.4</v>
      </c>
      <c r="D3614" t="s">
        <v>7</v>
      </c>
      <c r="E3614" s="2" t="s">
        <v>12</v>
      </c>
      <c r="F3614">
        <f t="shared" si="56"/>
        <v>107.87520000000001</v>
      </c>
      <c r="G3614" t="s">
        <v>16</v>
      </c>
      <c r="J3614" t="str">
        <f>"08/22/1995 23:00"</f>
        <v>08/22/1995 23:00</v>
      </c>
    </row>
    <row r="3615" spans="1:10" x14ac:dyDescent="0.3">
      <c r="A3615" t="s">
        <v>6</v>
      </c>
      <c r="B3615" t="str">
        <f>"08/23/1995 00:00"</f>
        <v>08/23/1995 00:00</v>
      </c>
      <c r="C3615">
        <v>59</v>
      </c>
      <c r="D3615" t="s">
        <v>7</v>
      </c>
      <c r="E3615" s="2" t="s">
        <v>12</v>
      </c>
      <c r="F3615">
        <f t="shared" si="56"/>
        <v>116.997</v>
      </c>
      <c r="G3615" t="s">
        <v>16</v>
      </c>
      <c r="J3615" t="str">
        <f>"08/23/1995 23:00"</f>
        <v>08/23/1995 23:00</v>
      </c>
    </row>
    <row r="3616" spans="1:10" x14ac:dyDescent="0.3">
      <c r="A3616" t="s">
        <v>6</v>
      </c>
      <c r="B3616" t="str">
        <f>"08/24/1995 00:00"</f>
        <v>08/24/1995 00:00</v>
      </c>
      <c r="C3616">
        <v>67</v>
      </c>
      <c r="D3616" t="s">
        <v>7</v>
      </c>
      <c r="E3616" s="2" t="s">
        <v>12</v>
      </c>
      <c r="F3616">
        <f t="shared" si="56"/>
        <v>132.86100000000002</v>
      </c>
      <c r="G3616" t="s">
        <v>16</v>
      </c>
      <c r="J3616" t="str">
        <f>"08/24/1995 23:00"</f>
        <v>08/24/1995 23:00</v>
      </c>
    </row>
    <row r="3617" spans="1:10" x14ac:dyDescent="0.3">
      <c r="A3617" t="s">
        <v>6</v>
      </c>
      <c r="B3617" t="str">
        <f>"08/25/1995 00:00"</f>
        <v>08/25/1995 00:00</v>
      </c>
      <c r="C3617">
        <v>65.400000000000006</v>
      </c>
      <c r="D3617" t="s">
        <v>7</v>
      </c>
      <c r="E3617" s="2" t="s">
        <v>12</v>
      </c>
      <c r="F3617">
        <f t="shared" si="56"/>
        <v>129.68820000000002</v>
      </c>
      <c r="G3617" t="s">
        <v>16</v>
      </c>
      <c r="J3617" t="str">
        <f>"08/25/1995 23:00"</f>
        <v>08/25/1995 23:00</v>
      </c>
    </row>
    <row r="3618" spans="1:10" x14ac:dyDescent="0.3">
      <c r="A3618" t="s">
        <v>6</v>
      </c>
      <c r="B3618" t="str">
        <f>"08/26/1995 00:00"</f>
        <v>08/26/1995 00:00</v>
      </c>
      <c r="C3618">
        <v>63.5</v>
      </c>
      <c r="D3618" t="s">
        <v>7</v>
      </c>
      <c r="E3618" s="2" t="s">
        <v>12</v>
      </c>
      <c r="F3618">
        <f t="shared" si="56"/>
        <v>125.9205</v>
      </c>
      <c r="G3618" t="s">
        <v>16</v>
      </c>
      <c r="J3618" t="str">
        <f>"08/26/1995 23:00"</f>
        <v>08/26/1995 23:00</v>
      </c>
    </row>
    <row r="3619" spans="1:10" x14ac:dyDescent="0.3">
      <c r="A3619" t="s">
        <v>6</v>
      </c>
      <c r="B3619" t="str">
        <f>"08/27/1995 00:00"</f>
        <v>08/27/1995 00:00</v>
      </c>
      <c r="C3619">
        <v>63.3</v>
      </c>
      <c r="D3619" t="s">
        <v>7</v>
      </c>
      <c r="E3619" s="2" t="s">
        <v>12</v>
      </c>
      <c r="F3619">
        <f t="shared" si="56"/>
        <v>125.5239</v>
      </c>
      <c r="G3619" t="s">
        <v>16</v>
      </c>
      <c r="I3619" t="s">
        <v>8</v>
      </c>
      <c r="J3619" t="str">
        <f>"08/27/1995 23:00"</f>
        <v>08/27/1995 23:00</v>
      </c>
    </row>
    <row r="3620" spans="1:10" x14ac:dyDescent="0.3">
      <c r="A3620" t="s">
        <v>6</v>
      </c>
      <c r="B3620" t="str">
        <f>"08/28/1995 00:00"</f>
        <v>08/28/1995 00:00</v>
      </c>
      <c r="C3620">
        <v>100</v>
      </c>
      <c r="D3620" t="s">
        <v>7</v>
      </c>
      <c r="E3620" s="2" t="s">
        <v>12</v>
      </c>
      <c r="F3620">
        <f t="shared" si="56"/>
        <v>198.3</v>
      </c>
      <c r="G3620" t="s">
        <v>16</v>
      </c>
      <c r="I3620" t="s">
        <v>8</v>
      </c>
      <c r="J3620" t="str">
        <f>"08/28/1995 23:00"</f>
        <v>08/28/1995 23:00</v>
      </c>
    </row>
    <row r="3621" spans="1:10" x14ac:dyDescent="0.3">
      <c r="A3621" t="s">
        <v>6</v>
      </c>
      <c r="B3621" t="str">
        <f>"08/29/1995 00:00"</f>
        <v>08/29/1995 00:00</v>
      </c>
      <c r="C3621">
        <v>174</v>
      </c>
      <c r="D3621" t="s">
        <v>7</v>
      </c>
      <c r="E3621" s="2" t="s">
        <v>12</v>
      </c>
      <c r="F3621">
        <f t="shared" si="56"/>
        <v>345.04200000000003</v>
      </c>
      <c r="G3621" t="s">
        <v>16</v>
      </c>
      <c r="J3621" t="str">
        <f>"08/29/1995 23:00"</f>
        <v>08/29/1995 23:00</v>
      </c>
    </row>
    <row r="3622" spans="1:10" x14ac:dyDescent="0.3">
      <c r="A3622" t="s">
        <v>6</v>
      </c>
      <c r="B3622" t="str">
        <f>"08/30/1995 00:00"</f>
        <v>08/30/1995 00:00</v>
      </c>
      <c r="C3622">
        <v>235</v>
      </c>
      <c r="D3622" t="s">
        <v>7</v>
      </c>
      <c r="E3622" s="2" t="s">
        <v>12</v>
      </c>
      <c r="F3622">
        <f t="shared" si="56"/>
        <v>466.005</v>
      </c>
      <c r="G3622" t="s">
        <v>16</v>
      </c>
      <c r="I3622" t="s">
        <v>8</v>
      </c>
      <c r="J3622" t="str">
        <f>"08/30/1995 23:00"</f>
        <v>08/30/1995 23:00</v>
      </c>
    </row>
    <row r="3623" spans="1:10" x14ac:dyDescent="0.3">
      <c r="A3623" t="s">
        <v>6</v>
      </c>
      <c r="B3623" t="str">
        <f>"08/31/1995 00:00"</f>
        <v>08/31/1995 00:00</v>
      </c>
      <c r="C3623">
        <v>224</v>
      </c>
      <c r="D3623" t="s">
        <v>7</v>
      </c>
      <c r="E3623" s="2" t="s">
        <v>12</v>
      </c>
      <c r="F3623">
        <f t="shared" si="56"/>
        <v>444.19200000000001</v>
      </c>
      <c r="G3623" t="s">
        <v>16</v>
      </c>
      <c r="J3623" t="str">
        <f>"08/31/1995 23:00"</f>
        <v>08/31/1995 23:00</v>
      </c>
    </row>
    <row r="3624" spans="1:10" x14ac:dyDescent="0.3">
      <c r="A3624" t="s">
        <v>6</v>
      </c>
      <c r="B3624" t="str">
        <f>"09/01/1995 00:00"</f>
        <v>09/01/1995 00:00</v>
      </c>
      <c r="C3624">
        <v>185</v>
      </c>
      <c r="D3624" t="s">
        <v>7</v>
      </c>
      <c r="E3624" s="2" t="s">
        <v>12</v>
      </c>
      <c r="F3624">
        <f t="shared" si="56"/>
        <v>366.85500000000002</v>
      </c>
      <c r="G3624" t="s">
        <v>16</v>
      </c>
      <c r="J3624" t="str">
        <f>"09/01/1995 23:00"</f>
        <v>09/01/1995 23:00</v>
      </c>
    </row>
    <row r="3625" spans="1:10" x14ac:dyDescent="0.3">
      <c r="A3625" t="s">
        <v>6</v>
      </c>
      <c r="B3625" t="str">
        <f>"09/02/1995 00:00"</f>
        <v>09/02/1995 00:00</v>
      </c>
      <c r="C3625">
        <v>98.6</v>
      </c>
      <c r="D3625" t="s">
        <v>7</v>
      </c>
      <c r="E3625" s="2" t="s">
        <v>12</v>
      </c>
      <c r="F3625">
        <f t="shared" si="56"/>
        <v>195.52379999999999</v>
      </c>
      <c r="G3625" t="s">
        <v>16</v>
      </c>
      <c r="J3625" t="str">
        <f>"09/02/1995 23:00"</f>
        <v>09/02/1995 23:00</v>
      </c>
    </row>
    <row r="3626" spans="1:10" x14ac:dyDescent="0.3">
      <c r="A3626" t="s">
        <v>6</v>
      </c>
      <c r="B3626" t="str">
        <f>"09/03/1995 00:00"</f>
        <v>09/03/1995 00:00</v>
      </c>
      <c r="C3626">
        <v>104</v>
      </c>
      <c r="D3626" t="s">
        <v>7</v>
      </c>
      <c r="E3626" s="2" t="s">
        <v>12</v>
      </c>
      <c r="F3626">
        <f t="shared" si="56"/>
        <v>206.232</v>
      </c>
      <c r="G3626" t="s">
        <v>16</v>
      </c>
      <c r="J3626" t="str">
        <f>"09/03/1995 23:00"</f>
        <v>09/03/1995 23:00</v>
      </c>
    </row>
    <row r="3627" spans="1:10" x14ac:dyDescent="0.3">
      <c r="A3627" t="s">
        <v>6</v>
      </c>
      <c r="B3627" t="str">
        <f>"09/04/1995 00:00"</f>
        <v>09/04/1995 00:00</v>
      </c>
      <c r="C3627">
        <v>103</v>
      </c>
      <c r="D3627" t="s">
        <v>7</v>
      </c>
      <c r="E3627" s="2" t="s">
        <v>12</v>
      </c>
      <c r="F3627">
        <f t="shared" si="56"/>
        <v>204.24900000000002</v>
      </c>
      <c r="G3627" t="s">
        <v>16</v>
      </c>
      <c r="J3627" t="str">
        <f>"09/04/1995 23:00"</f>
        <v>09/04/1995 23:00</v>
      </c>
    </row>
    <row r="3628" spans="1:10" x14ac:dyDescent="0.3">
      <c r="A3628" t="s">
        <v>6</v>
      </c>
      <c r="B3628" t="str">
        <f>"09/05/1995 00:00"</f>
        <v>09/05/1995 00:00</v>
      </c>
      <c r="C3628">
        <v>103</v>
      </c>
      <c r="D3628" t="s">
        <v>7</v>
      </c>
      <c r="E3628" s="2" t="s">
        <v>12</v>
      </c>
      <c r="F3628">
        <f t="shared" si="56"/>
        <v>204.24900000000002</v>
      </c>
      <c r="G3628" t="s">
        <v>16</v>
      </c>
      <c r="J3628" t="str">
        <f>"09/05/1995 23:00"</f>
        <v>09/05/1995 23:00</v>
      </c>
    </row>
    <row r="3629" spans="1:10" x14ac:dyDescent="0.3">
      <c r="A3629" t="s">
        <v>6</v>
      </c>
      <c r="B3629" t="str">
        <f>"09/06/1995 00:00"</f>
        <v>09/06/1995 00:00</v>
      </c>
      <c r="C3629">
        <v>104</v>
      </c>
      <c r="D3629" t="s">
        <v>7</v>
      </c>
      <c r="E3629" s="2" t="s">
        <v>12</v>
      </c>
      <c r="F3629">
        <f t="shared" si="56"/>
        <v>206.232</v>
      </c>
      <c r="G3629" t="s">
        <v>16</v>
      </c>
      <c r="J3629" t="str">
        <f>"09/06/1995 23:00"</f>
        <v>09/06/1995 23:00</v>
      </c>
    </row>
    <row r="3630" spans="1:10" x14ac:dyDescent="0.3">
      <c r="A3630" t="s">
        <v>6</v>
      </c>
      <c r="B3630" t="str">
        <f>"09/07/1995 00:00"</f>
        <v>09/07/1995 00:00</v>
      </c>
      <c r="C3630">
        <v>50.7</v>
      </c>
      <c r="D3630" t="s">
        <v>7</v>
      </c>
      <c r="E3630" s="2" t="s">
        <v>12</v>
      </c>
      <c r="F3630">
        <f t="shared" si="56"/>
        <v>100.53810000000001</v>
      </c>
      <c r="G3630" t="s">
        <v>16</v>
      </c>
      <c r="J3630" t="str">
        <f>"09/07/1995 23:00"</f>
        <v>09/07/1995 23:00</v>
      </c>
    </row>
    <row r="3631" spans="1:10" x14ac:dyDescent="0.3">
      <c r="A3631" t="s">
        <v>6</v>
      </c>
      <c r="B3631" t="str">
        <f>"09/08/1995 00:00"</f>
        <v>09/08/1995 00:00</v>
      </c>
      <c r="C3631">
        <v>2.91</v>
      </c>
      <c r="D3631" t="s">
        <v>7</v>
      </c>
      <c r="E3631" s="2" t="s">
        <v>12</v>
      </c>
      <c r="F3631">
        <f t="shared" si="56"/>
        <v>5.7705300000000008</v>
      </c>
      <c r="G3631" t="s">
        <v>16</v>
      </c>
      <c r="I3631" t="s">
        <v>8</v>
      </c>
      <c r="J3631" t="str">
        <f>"09/08/1995 23:00"</f>
        <v>09/08/1995 23:00</v>
      </c>
    </row>
    <row r="3632" spans="1:10" x14ac:dyDescent="0.3">
      <c r="A3632" t="s">
        <v>6</v>
      </c>
      <c r="B3632" t="str">
        <f>"09/09/1995 00:00"</f>
        <v>09/09/1995 00:00</v>
      </c>
      <c r="C3632">
        <v>2.91</v>
      </c>
      <c r="D3632" t="s">
        <v>7</v>
      </c>
      <c r="E3632" s="2" t="s">
        <v>12</v>
      </c>
      <c r="F3632">
        <f t="shared" si="56"/>
        <v>5.7705300000000008</v>
      </c>
      <c r="G3632" t="s">
        <v>16</v>
      </c>
      <c r="I3632" t="s">
        <v>35</v>
      </c>
      <c r="J3632" t="str">
        <f>"09/09/1995 23:00"</f>
        <v>09/09/1995 23:00</v>
      </c>
    </row>
    <row r="3633" spans="1:10" x14ac:dyDescent="0.3">
      <c r="A3633" t="s">
        <v>6</v>
      </c>
      <c r="B3633" t="str">
        <f>"09/10/1995 00:00"</f>
        <v>09/10/1995 00:00</v>
      </c>
      <c r="C3633">
        <v>2.91</v>
      </c>
      <c r="D3633" t="s">
        <v>7</v>
      </c>
      <c r="E3633" s="2" t="s">
        <v>12</v>
      </c>
      <c r="F3633">
        <f t="shared" si="56"/>
        <v>5.7705300000000008</v>
      </c>
      <c r="G3633" t="s">
        <v>16</v>
      </c>
      <c r="I3633" t="s">
        <v>35</v>
      </c>
      <c r="J3633" t="str">
        <f>"09/10/1995 23:00"</f>
        <v>09/10/1995 23:00</v>
      </c>
    </row>
    <row r="3634" spans="1:10" x14ac:dyDescent="0.3">
      <c r="A3634" t="s">
        <v>6</v>
      </c>
      <c r="B3634" t="str">
        <f>"09/11/1995 00:00"</f>
        <v>09/11/1995 00:00</v>
      </c>
      <c r="C3634">
        <v>2.91</v>
      </c>
      <c r="D3634" t="s">
        <v>7</v>
      </c>
      <c r="E3634" s="2" t="s">
        <v>12</v>
      </c>
      <c r="F3634">
        <f t="shared" si="56"/>
        <v>5.7705300000000008</v>
      </c>
      <c r="G3634" t="s">
        <v>16</v>
      </c>
      <c r="I3634" t="s">
        <v>35</v>
      </c>
      <c r="J3634" t="str">
        <f>"09/11/1995 23:00"</f>
        <v>09/11/1995 23:00</v>
      </c>
    </row>
    <row r="3635" spans="1:10" x14ac:dyDescent="0.3">
      <c r="A3635" t="s">
        <v>6</v>
      </c>
      <c r="B3635" t="str">
        <f>"09/12/1995 00:00"</f>
        <v>09/12/1995 00:00</v>
      </c>
      <c r="C3635">
        <v>2.91</v>
      </c>
      <c r="D3635" t="s">
        <v>7</v>
      </c>
      <c r="E3635" s="2" t="s">
        <v>12</v>
      </c>
      <c r="F3635">
        <f t="shared" si="56"/>
        <v>5.7705300000000008</v>
      </c>
      <c r="G3635" t="s">
        <v>16</v>
      </c>
      <c r="I3635" t="s">
        <v>35</v>
      </c>
      <c r="J3635" t="str">
        <f>"09/12/1995 23:00"</f>
        <v>09/12/1995 23:00</v>
      </c>
    </row>
    <row r="3636" spans="1:10" x14ac:dyDescent="0.3">
      <c r="A3636" t="s">
        <v>6</v>
      </c>
      <c r="B3636" t="str">
        <f>"09/13/1995 00:00"</f>
        <v>09/13/1995 00:00</v>
      </c>
      <c r="C3636">
        <v>2.91</v>
      </c>
      <c r="D3636" t="s">
        <v>7</v>
      </c>
      <c r="E3636" s="2" t="s">
        <v>12</v>
      </c>
      <c r="F3636">
        <f t="shared" si="56"/>
        <v>5.7705300000000008</v>
      </c>
      <c r="G3636" t="s">
        <v>16</v>
      </c>
      <c r="I3636" t="s">
        <v>35</v>
      </c>
      <c r="J3636" t="str">
        <f>"09/13/1995 23:00"</f>
        <v>09/13/1995 23:00</v>
      </c>
    </row>
    <row r="3637" spans="1:10" x14ac:dyDescent="0.3">
      <c r="A3637" t="s">
        <v>6</v>
      </c>
      <c r="B3637" t="str">
        <f>"09/14/1995 00:00"</f>
        <v>09/14/1995 00:00</v>
      </c>
      <c r="C3637">
        <v>0.97</v>
      </c>
      <c r="D3637" t="s">
        <v>7</v>
      </c>
      <c r="E3637" s="2" t="s">
        <v>12</v>
      </c>
      <c r="F3637">
        <f t="shared" si="56"/>
        <v>1.9235100000000001</v>
      </c>
      <c r="G3637" t="s">
        <v>16</v>
      </c>
      <c r="I3637" t="s">
        <v>8</v>
      </c>
      <c r="J3637" t="str">
        <f>"09/14/1995 23:00"</f>
        <v>09/14/1995 23:00</v>
      </c>
    </row>
    <row r="3638" spans="1:10" x14ac:dyDescent="0.3">
      <c r="A3638" t="s">
        <v>6</v>
      </c>
      <c r="B3638" t="str">
        <f>"09/15/1995 00:00"</f>
        <v>09/15/1995 00:00</v>
      </c>
      <c r="C3638">
        <v>1.91</v>
      </c>
      <c r="D3638" t="s">
        <v>7</v>
      </c>
      <c r="E3638" s="2" t="s">
        <v>12</v>
      </c>
      <c r="F3638">
        <f t="shared" si="56"/>
        <v>3.7875299999999998</v>
      </c>
      <c r="G3638" t="s">
        <v>16</v>
      </c>
      <c r="J3638" t="str">
        <f>"09/15/1995 23:00"</f>
        <v>09/15/1995 23:00</v>
      </c>
    </row>
    <row r="3639" spans="1:10" x14ac:dyDescent="0.3">
      <c r="A3639" t="s">
        <v>6</v>
      </c>
      <c r="B3639" t="str">
        <f>"09/16/1995 00:00"</f>
        <v>09/16/1995 00:00</v>
      </c>
      <c r="C3639">
        <v>3.28</v>
      </c>
      <c r="D3639" t="s">
        <v>7</v>
      </c>
      <c r="E3639" s="2" t="s">
        <v>12</v>
      </c>
      <c r="F3639">
        <f t="shared" si="56"/>
        <v>6.5042400000000002</v>
      </c>
      <c r="G3639" t="s">
        <v>16</v>
      </c>
      <c r="I3639" t="s">
        <v>8</v>
      </c>
      <c r="J3639" t="str">
        <f>"09/16/1995 23:00"</f>
        <v>09/16/1995 23:00</v>
      </c>
    </row>
    <row r="3640" spans="1:10" x14ac:dyDescent="0.3">
      <c r="A3640" t="s">
        <v>6</v>
      </c>
      <c r="B3640" t="str">
        <f>"09/17/1995 00:00"</f>
        <v>09/17/1995 00:00</v>
      </c>
      <c r="C3640">
        <v>3.28</v>
      </c>
      <c r="D3640" t="s">
        <v>7</v>
      </c>
      <c r="E3640" s="2" t="s">
        <v>12</v>
      </c>
      <c r="F3640">
        <f t="shared" si="56"/>
        <v>6.5042400000000002</v>
      </c>
      <c r="G3640" t="s">
        <v>16</v>
      </c>
      <c r="I3640" t="s">
        <v>35</v>
      </c>
      <c r="J3640" t="str">
        <f>"09/17/1995 23:00"</f>
        <v>09/17/1995 23:00</v>
      </c>
    </row>
    <row r="3641" spans="1:10" x14ac:dyDescent="0.3">
      <c r="A3641" t="s">
        <v>6</v>
      </c>
      <c r="B3641" t="str">
        <f>"09/18/1995 00:00"</f>
        <v>09/18/1995 00:00</v>
      </c>
      <c r="C3641">
        <v>3.28</v>
      </c>
      <c r="D3641" t="s">
        <v>7</v>
      </c>
      <c r="E3641" s="2" t="s">
        <v>12</v>
      </c>
      <c r="F3641">
        <f t="shared" si="56"/>
        <v>6.5042400000000002</v>
      </c>
      <c r="G3641" t="s">
        <v>16</v>
      </c>
      <c r="I3641" t="s">
        <v>35</v>
      </c>
      <c r="J3641" t="str">
        <f>"09/18/1995 23:00"</f>
        <v>09/18/1995 23:00</v>
      </c>
    </row>
    <row r="3642" spans="1:10" x14ac:dyDescent="0.3">
      <c r="A3642" t="s">
        <v>6</v>
      </c>
      <c r="B3642" t="str">
        <f>"09/19/1995 00:00"</f>
        <v>09/19/1995 00:00</v>
      </c>
      <c r="C3642">
        <v>3.28</v>
      </c>
      <c r="D3642" t="s">
        <v>7</v>
      </c>
      <c r="E3642" s="2" t="s">
        <v>12</v>
      </c>
      <c r="F3642">
        <f t="shared" si="56"/>
        <v>6.5042400000000002</v>
      </c>
      <c r="G3642" t="s">
        <v>16</v>
      </c>
      <c r="I3642" t="s">
        <v>35</v>
      </c>
      <c r="J3642" t="str">
        <f>"09/19/1995 23:00"</f>
        <v>09/19/1995 23:00</v>
      </c>
    </row>
    <row r="3643" spans="1:10" x14ac:dyDescent="0.3">
      <c r="A3643" t="s">
        <v>6</v>
      </c>
      <c r="B3643" t="str">
        <f>"09/20/1995 00:00"</f>
        <v>09/20/1995 00:00</v>
      </c>
      <c r="C3643">
        <v>2.73</v>
      </c>
      <c r="D3643" t="s">
        <v>7</v>
      </c>
      <c r="E3643" s="2" t="s">
        <v>12</v>
      </c>
      <c r="F3643">
        <f t="shared" si="56"/>
        <v>5.4135900000000001</v>
      </c>
      <c r="G3643" t="s">
        <v>16</v>
      </c>
      <c r="I3643" t="s">
        <v>8</v>
      </c>
      <c r="J3643" t="str">
        <f>"09/20/1995 23:00"</f>
        <v>09/20/1995 23:00</v>
      </c>
    </row>
    <row r="3644" spans="1:10" x14ac:dyDescent="0.3">
      <c r="A3644" t="s">
        <v>6</v>
      </c>
      <c r="B3644" t="str">
        <f>"09/21/1995 00:00"</f>
        <v>09/21/1995 00:00</v>
      </c>
      <c r="C3644">
        <v>2.73</v>
      </c>
      <c r="D3644" t="s">
        <v>7</v>
      </c>
      <c r="E3644" s="2" t="s">
        <v>12</v>
      </c>
      <c r="F3644">
        <f t="shared" si="56"/>
        <v>5.4135900000000001</v>
      </c>
      <c r="G3644" t="s">
        <v>16</v>
      </c>
      <c r="J3644" t="str">
        <f>"09/21/1995 23:00"</f>
        <v>09/21/1995 23:00</v>
      </c>
    </row>
    <row r="3645" spans="1:10" x14ac:dyDescent="0.3">
      <c r="A3645" t="s">
        <v>6</v>
      </c>
      <c r="B3645" t="str">
        <f>"09/22/1995 00:00"</f>
        <v>09/22/1995 00:00</v>
      </c>
      <c r="C3645">
        <v>2.73</v>
      </c>
      <c r="D3645" t="s">
        <v>7</v>
      </c>
      <c r="E3645" s="2" t="s">
        <v>12</v>
      </c>
      <c r="F3645">
        <f t="shared" si="56"/>
        <v>5.4135900000000001</v>
      </c>
      <c r="G3645" t="s">
        <v>16</v>
      </c>
      <c r="J3645" t="str">
        <f>"09/22/1995 23:00"</f>
        <v>09/22/1995 23:00</v>
      </c>
    </row>
    <row r="3646" spans="1:10" x14ac:dyDescent="0.3">
      <c r="A3646" t="s">
        <v>6</v>
      </c>
      <c r="B3646" t="str">
        <f>"09/23/1995 00:00"</f>
        <v>09/23/1995 00:00</v>
      </c>
      <c r="C3646">
        <v>2.19</v>
      </c>
      <c r="D3646" t="s">
        <v>7</v>
      </c>
      <c r="E3646" s="2" t="s">
        <v>12</v>
      </c>
      <c r="F3646">
        <f t="shared" si="56"/>
        <v>4.3427699999999998</v>
      </c>
      <c r="G3646" t="s">
        <v>16</v>
      </c>
      <c r="J3646" t="str">
        <f>"09/23/1995 23:00"</f>
        <v>09/23/1995 23:00</v>
      </c>
    </row>
    <row r="3647" spans="1:10" x14ac:dyDescent="0.3">
      <c r="A3647" t="s">
        <v>6</v>
      </c>
      <c r="B3647" t="str">
        <f>"09/24/1995 00:00"</f>
        <v>09/24/1995 00:00</v>
      </c>
      <c r="C3647">
        <v>0.95699999999999996</v>
      </c>
      <c r="D3647" t="s">
        <v>7</v>
      </c>
      <c r="E3647" s="2" t="s">
        <v>12</v>
      </c>
      <c r="F3647">
        <f t="shared" si="56"/>
        <v>1.8977310000000001</v>
      </c>
      <c r="G3647" t="s">
        <v>16</v>
      </c>
      <c r="I3647" t="s">
        <v>8</v>
      </c>
      <c r="J3647" t="str">
        <f>"09/24/1995 23:00"</f>
        <v>09/24/1995 23:00</v>
      </c>
    </row>
    <row r="3648" spans="1:10" x14ac:dyDescent="0.3">
      <c r="A3648" t="s">
        <v>6</v>
      </c>
      <c r="B3648" t="str">
        <f>"09/25/1995 00:00"</f>
        <v>09/25/1995 00:00</v>
      </c>
      <c r="C3648">
        <v>1.23</v>
      </c>
      <c r="D3648" t="s">
        <v>7</v>
      </c>
      <c r="E3648" s="2" t="s">
        <v>12</v>
      </c>
      <c r="F3648">
        <f t="shared" si="56"/>
        <v>2.4390900000000002</v>
      </c>
      <c r="G3648" t="s">
        <v>16</v>
      </c>
      <c r="J3648" t="str">
        <f>"09/25/1995 23:00"</f>
        <v>09/25/1995 23:00</v>
      </c>
    </row>
    <row r="3649" spans="1:10" x14ac:dyDescent="0.3">
      <c r="A3649" t="s">
        <v>6</v>
      </c>
      <c r="B3649" t="str">
        <f>"09/26/1995 00:00"</f>
        <v>09/26/1995 00:00</v>
      </c>
      <c r="C3649">
        <v>0</v>
      </c>
      <c r="D3649" t="s">
        <v>7</v>
      </c>
      <c r="E3649" s="2" t="s">
        <v>12</v>
      </c>
      <c r="F3649">
        <f t="shared" si="56"/>
        <v>0</v>
      </c>
      <c r="G3649" t="s">
        <v>16</v>
      </c>
      <c r="I3649" t="s">
        <v>8</v>
      </c>
      <c r="J3649" t="str">
        <f>"09/26/1995 23:00"</f>
        <v>09/26/1995 23:00</v>
      </c>
    </row>
    <row r="3650" spans="1:10" x14ac:dyDescent="0.3">
      <c r="A3650" t="s">
        <v>6</v>
      </c>
      <c r="B3650" t="str">
        <f>"09/27/1995 00:00"</f>
        <v>09/27/1995 00:00</v>
      </c>
      <c r="C3650">
        <v>0</v>
      </c>
      <c r="D3650" t="s">
        <v>7</v>
      </c>
      <c r="E3650" s="2" t="s">
        <v>12</v>
      </c>
      <c r="F3650">
        <f t="shared" si="56"/>
        <v>0</v>
      </c>
      <c r="G3650" t="s">
        <v>16</v>
      </c>
      <c r="I3650" t="s">
        <v>35</v>
      </c>
      <c r="J3650" t="str">
        <f>"09/27/1995 23:00"</f>
        <v>09/27/1995 23:00</v>
      </c>
    </row>
    <row r="3651" spans="1:10" x14ac:dyDescent="0.3">
      <c r="A3651" t="s">
        <v>6</v>
      </c>
      <c r="B3651" t="str">
        <f>"09/28/1995 00:00"</f>
        <v>09/28/1995 00:00</v>
      </c>
      <c r="C3651">
        <v>0</v>
      </c>
      <c r="D3651" t="s">
        <v>7</v>
      </c>
      <c r="E3651" s="2" t="s">
        <v>12</v>
      </c>
      <c r="F3651">
        <f t="shared" ref="F3651:F3714" si="57">C3651*1.983</f>
        <v>0</v>
      </c>
      <c r="G3651" t="s">
        <v>16</v>
      </c>
      <c r="I3651" t="s">
        <v>35</v>
      </c>
      <c r="J3651" t="str">
        <f>"09/28/1995 23:00"</f>
        <v>09/28/1995 23:00</v>
      </c>
    </row>
    <row r="3652" spans="1:10" x14ac:dyDescent="0.3">
      <c r="A3652" t="s">
        <v>6</v>
      </c>
      <c r="B3652" t="str">
        <f>"09/29/1995 00:00"</f>
        <v>09/29/1995 00:00</v>
      </c>
      <c r="C3652">
        <v>0</v>
      </c>
      <c r="D3652" t="s">
        <v>7</v>
      </c>
      <c r="E3652" s="2" t="s">
        <v>12</v>
      </c>
      <c r="F3652">
        <f t="shared" si="57"/>
        <v>0</v>
      </c>
      <c r="G3652" t="s">
        <v>16</v>
      </c>
      <c r="I3652" t="s">
        <v>35</v>
      </c>
      <c r="J3652" t="str">
        <f>"09/29/1995 23:00"</f>
        <v>09/29/1995 23:00</v>
      </c>
    </row>
    <row r="3653" spans="1:10" x14ac:dyDescent="0.3">
      <c r="A3653" t="s">
        <v>6</v>
      </c>
      <c r="B3653" t="str">
        <f>"09/30/1995 00:00"</f>
        <v>09/30/1995 00:00</v>
      </c>
      <c r="C3653">
        <v>0</v>
      </c>
      <c r="D3653" t="s">
        <v>7</v>
      </c>
      <c r="E3653" s="2" t="s">
        <v>12</v>
      </c>
      <c r="F3653">
        <f t="shared" si="57"/>
        <v>0</v>
      </c>
      <c r="G3653" t="s">
        <v>16</v>
      </c>
      <c r="I3653" t="s">
        <v>35</v>
      </c>
      <c r="J3653" t="str">
        <f>"09/30/1995 23:00"</f>
        <v>09/30/1995 23:00</v>
      </c>
    </row>
    <row r="3654" spans="1:10" x14ac:dyDescent="0.3">
      <c r="A3654" t="s">
        <v>6</v>
      </c>
      <c r="B3654" t="str">
        <f>"10/01/1995 00:00"</f>
        <v>10/01/1995 00:00</v>
      </c>
      <c r="C3654">
        <v>0</v>
      </c>
      <c r="D3654" t="s">
        <v>7</v>
      </c>
      <c r="E3654" s="2" t="s">
        <v>12</v>
      </c>
      <c r="F3654">
        <f t="shared" si="57"/>
        <v>0</v>
      </c>
      <c r="G3654" t="s">
        <v>16</v>
      </c>
      <c r="I3654" t="s">
        <v>8</v>
      </c>
      <c r="J3654" t="str">
        <f>"10/01/1995 23:00"</f>
        <v>10/01/1995 23:00</v>
      </c>
    </row>
    <row r="3655" spans="1:10" x14ac:dyDescent="0.3">
      <c r="A3655" t="s">
        <v>6</v>
      </c>
      <c r="B3655" t="str">
        <f>"10/02/1995 00:00"</f>
        <v>10/02/1995 00:00</v>
      </c>
      <c r="C3655">
        <v>0</v>
      </c>
      <c r="D3655" t="s">
        <v>7</v>
      </c>
      <c r="E3655" s="2" t="s">
        <v>12</v>
      </c>
      <c r="F3655">
        <f t="shared" si="57"/>
        <v>0</v>
      </c>
      <c r="G3655" t="s">
        <v>16</v>
      </c>
      <c r="I3655" t="s">
        <v>35</v>
      </c>
      <c r="J3655" t="str">
        <f>"10/02/1995 23:00"</f>
        <v>10/02/1995 23:00</v>
      </c>
    </row>
    <row r="3656" spans="1:10" x14ac:dyDescent="0.3">
      <c r="A3656" t="s">
        <v>6</v>
      </c>
      <c r="B3656" t="str">
        <f>"10/03/1995 00:00"</f>
        <v>10/03/1995 00:00</v>
      </c>
      <c r="C3656">
        <v>0</v>
      </c>
      <c r="D3656" t="s">
        <v>7</v>
      </c>
      <c r="E3656" s="2" t="s">
        <v>12</v>
      </c>
      <c r="F3656">
        <f t="shared" si="57"/>
        <v>0</v>
      </c>
      <c r="G3656" t="s">
        <v>16</v>
      </c>
      <c r="I3656" t="s">
        <v>35</v>
      </c>
      <c r="J3656" t="str">
        <f>"10/03/1995 23:00"</f>
        <v>10/03/1995 23:00</v>
      </c>
    </row>
    <row r="3657" spans="1:10" x14ac:dyDescent="0.3">
      <c r="A3657" t="s">
        <v>6</v>
      </c>
      <c r="B3657" t="str">
        <f>"10/04/1995 00:00"</f>
        <v>10/04/1995 00:00</v>
      </c>
      <c r="C3657">
        <v>0</v>
      </c>
      <c r="D3657" t="s">
        <v>7</v>
      </c>
      <c r="E3657" s="2" t="s">
        <v>12</v>
      </c>
      <c r="F3657">
        <f t="shared" si="57"/>
        <v>0</v>
      </c>
      <c r="G3657" t="s">
        <v>16</v>
      </c>
      <c r="I3657" t="s">
        <v>35</v>
      </c>
      <c r="J3657" t="str">
        <f>"10/04/1995 23:00"</f>
        <v>10/04/1995 23:00</v>
      </c>
    </row>
    <row r="3658" spans="1:10" x14ac:dyDescent="0.3">
      <c r="A3658" t="s">
        <v>6</v>
      </c>
      <c r="B3658" t="str">
        <f>"10/05/1995 00:00"</f>
        <v>10/05/1995 00:00</v>
      </c>
      <c r="C3658">
        <v>0</v>
      </c>
      <c r="D3658" t="s">
        <v>7</v>
      </c>
      <c r="E3658" s="2" t="s">
        <v>12</v>
      </c>
      <c r="F3658">
        <f t="shared" si="57"/>
        <v>0</v>
      </c>
      <c r="G3658" t="s">
        <v>16</v>
      </c>
      <c r="I3658" t="s">
        <v>35</v>
      </c>
      <c r="J3658" t="str">
        <f>"10/05/1995 23:00"</f>
        <v>10/05/1995 23:00</v>
      </c>
    </row>
    <row r="3659" spans="1:10" x14ac:dyDescent="0.3">
      <c r="A3659" t="s">
        <v>6</v>
      </c>
      <c r="B3659" t="str">
        <f>"10/06/1995 00:00"</f>
        <v>10/06/1995 00:00</v>
      </c>
      <c r="C3659">
        <v>0</v>
      </c>
      <c r="D3659" t="s">
        <v>7</v>
      </c>
      <c r="E3659" s="2" t="s">
        <v>12</v>
      </c>
      <c r="F3659">
        <f t="shared" si="57"/>
        <v>0</v>
      </c>
      <c r="G3659" t="s">
        <v>16</v>
      </c>
      <c r="I3659" t="s">
        <v>35</v>
      </c>
      <c r="J3659" t="str">
        <f>"10/06/1995 23:00"</f>
        <v>10/06/1995 23:00</v>
      </c>
    </row>
    <row r="3660" spans="1:10" x14ac:dyDescent="0.3">
      <c r="A3660" t="s">
        <v>6</v>
      </c>
      <c r="B3660" t="str">
        <f>"10/07/1995 00:00"</f>
        <v>10/07/1995 00:00</v>
      </c>
      <c r="C3660">
        <v>0</v>
      </c>
      <c r="D3660" t="s">
        <v>7</v>
      </c>
      <c r="E3660" s="2" t="s">
        <v>12</v>
      </c>
      <c r="F3660">
        <f t="shared" si="57"/>
        <v>0</v>
      </c>
      <c r="G3660" t="s">
        <v>16</v>
      </c>
      <c r="I3660" t="s">
        <v>35</v>
      </c>
      <c r="J3660" t="str">
        <f>"10/07/1995 23:00"</f>
        <v>10/07/1995 23:00</v>
      </c>
    </row>
    <row r="3661" spans="1:10" x14ac:dyDescent="0.3">
      <c r="A3661" t="s">
        <v>6</v>
      </c>
      <c r="B3661" t="str">
        <f>"10/08/1995 00:00"</f>
        <v>10/08/1995 00:00</v>
      </c>
      <c r="C3661">
        <v>0</v>
      </c>
      <c r="D3661" t="s">
        <v>7</v>
      </c>
      <c r="E3661" s="2" t="s">
        <v>12</v>
      </c>
      <c r="F3661">
        <f t="shared" si="57"/>
        <v>0</v>
      </c>
      <c r="G3661" t="s">
        <v>16</v>
      </c>
      <c r="I3661" t="s">
        <v>35</v>
      </c>
      <c r="J3661" t="str">
        <f>"10/08/1995 23:00"</f>
        <v>10/08/1995 23:00</v>
      </c>
    </row>
    <row r="3662" spans="1:10" x14ac:dyDescent="0.3">
      <c r="A3662" t="s">
        <v>6</v>
      </c>
      <c r="B3662" t="str">
        <f>"10/09/1995 00:00"</f>
        <v>10/09/1995 00:00</v>
      </c>
      <c r="C3662">
        <v>0</v>
      </c>
      <c r="D3662" t="s">
        <v>7</v>
      </c>
      <c r="E3662" s="2" t="s">
        <v>12</v>
      </c>
      <c r="F3662">
        <f t="shared" si="57"/>
        <v>0</v>
      </c>
      <c r="G3662" t="s">
        <v>16</v>
      </c>
      <c r="I3662" t="s">
        <v>35</v>
      </c>
      <c r="J3662" t="str">
        <f>"10/09/1995 23:00"</f>
        <v>10/09/1995 23:00</v>
      </c>
    </row>
    <row r="3663" spans="1:10" x14ac:dyDescent="0.3">
      <c r="A3663" t="s">
        <v>6</v>
      </c>
      <c r="B3663" t="str">
        <f>"10/10/1995 00:00"</f>
        <v>10/10/1995 00:00</v>
      </c>
      <c r="C3663">
        <v>0</v>
      </c>
      <c r="D3663" t="s">
        <v>7</v>
      </c>
      <c r="E3663" s="2" t="s">
        <v>12</v>
      </c>
      <c r="F3663">
        <f t="shared" si="57"/>
        <v>0</v>
      </c>
      <c r="G3663" t="s">
        <v>16</v>
      </c>
      <c r="I3663" t="s">
        <v>8</v>
      </c>
      <c r="J3663" t="str">
        <f>"10/10/1995 23:00"</f>
        <v>10/10/1995 23:00</v>
      </c>
    </row>
    <row r="3664" spans="1:10" x14ac:dyDescent="0.3">
      <c r="A3664" t="s">
        <v>6</v>
      </c>
      <c r="B3664" t="str">
        <f>"10/11/1995 00:00"</f>
        <v>10/11/1995 00:00</v>
      </c>
      <c r="C3664">
        <v>14.7</v>
      </c>
      <c r="D3664" t="s">
        <v>7</v>
      </c>
      <c r="E3664" s="2" t="s">
        <v>12</v>
      </c>
      <c r="F3664">
        <f t="shared" si="57"/>
        <v>29.150099999999998</v>
      </c>
      <c r="G3664" t="s">
        <v>16</v>
      </c>
      <c r="J3664" t="str">
        <f>"10/11/1995 23:00"</f>
        <v>10/11/1995 23:00</v>
      </c>
    </row>
    <row r="3665" spans="1:10" x14ac:dyDescent="0.3">
      <c r="A3665" t="s">
        <v>6</v>
      </c>
      <c r="B3665" t="str">
        <f>"10/12/1995 00:00"</f>
        <v>10/12/1995 00:00</v>
      </c>
      <c r="C3665">
        <v>4.29</v>
      </c>
      <c r="D3665" t="s">
        <v>7</v>
      </c>
      <c r="E3665" s="2" t="s">
        <v>12</v>
      </c>
      <c r="F3665">
        <f t="shared" si="57"/>
        <v>8.5070700000000006</v>
      </c>
      <c r="G3665" t="s">
        <v>16</v>
      </c>
      <c r="J3665" t="str">
        <f>"10/12/1995 23:00"</f>
        <v>10/12/1995 23:00</v>
      </c>
    </row>
    <row r="3666" spans="1:10" x14ac:dyDescent="0.3">
      <c r="A3666" t="s">
        <v>6</v>
      </c>
      <c r="B3666" t="str">
        <f>"10/13/1995 00:00"</f>
        <v>10/13/1995 00:00</v>
      </c>
      <c r="C3666">
        <v>1.33</v>
      </c>
      <c r="D3666" t="s">
        <v>7</v>
      </c>
      <c r="E3666" s="2" t="s">
        <v>12</v>
      </c>
      <c r="F3666">
        <f t="shared" si="57"/>
        <v>2.6373900000000003</v>
      </c>
      <c r="G3666" t="s">
        <v>16</v>
      </c>
      <c r="J3666" t="str">
        <f>"10/13/1995 23:00"</f>
        <v>10/13/1995 23:00</v>
      </c>
    </row>
    <row r="3667" spans="1:10" x14ac:dyDescent="0.3">
      <c r="A3667" t="s">
        <v>6</v>
      </c>
      <c r="B3667" t="str">
        <f>"10/14/1995 00:00"</f>
        <v>10/14/1995 00:00</v>
      </c>
      <c r="C3667">
        <v>2.48</v>
      </c>
      <c r="D3667" t="s">
        <v>7</v>
      </c>
      <c r="E3667" s="2" t="s">
        <v>12</v>
      </c>
      <c r="F3667">
        <f t="shared" si="57"/>
        <v>4.91784</v>
      </c>
      <c r="G3667" t="s">
        <v>16</v>
      </c>
      <c r="J3667" t="str">
        <f>"10/14/1995 23:00"</f>
        <v>10/14/1995 23:00</v>
      </c>
    </row>
    <row r="3668" spans="1:10" x14ac:dyDescent="0.3">
      <c r="A3668" t="s">
        <v>6</v>
      </c>
      <c r="B3668" t="str">
        <f>"10/15/1995 00:00"</f>
        <v>10/15/1995 00:00</v>
      </c>
      <c r="C3668">
        <v>11.6</v>
      </c>
      <c r="D3668" t="s">
        <v>7</v>
      </c>
      <c r="E3668" s="2" t="s">
        <v>12</v>
      </c>
      <c r="F3668">
        <f t="shared" si="57"/>
        <v>23.002800000000001</v>
      </c>
      <c r="G3668" t="s">
        <v>16</v>
      </c>
      <c r="J3668" t="str">
        <f>"10/15/1995 23:00"</f>
        <v>10/15/1995 23:00</v>
      </c>
    </row>
    <row r="3669" spans="1:10" x14ac:dyDescent="0.3">
      <c r="A3669" t="s">
        <v>6</v>
      </c>
      <c r="B3669" t="str">
        <f>"10/16/1995 00:00"</f>
        <v>10/16/1995 00:00</v>
      </c>
      <c r="C3669">
        <v>3.25</v>
      </c>
      <c r="D3669" t="s">
        <v>7</v>
      </c>
      <c r="E3669" s="2" t="s">
        <v>12</v>
      </c>
      <c r="F3669">
        <f t="shared" si="57"/>
        <v>6.44475</v>
      </c>
      <c r="G3669" t="s">
        <v>16</v>
      </c>
      <c r="J3669" t="str">
        <f>"10/16/1995 23:00"</f>
        <v>10/16/1995 23:00</v>
      </c>
    </row>
    <row r="3670" spans="1:10" x14ac:dyDescent="0.3">
      <c r="A3670" t="s">
        <v>6</v>
      </c>
      <c r="B3670" t="str">
        <f>"10/17/1995 00:00"</f>
        <v>10/17/1995 00:00</v>
      </c>
      <c r="C3670">
        <v>9.1199999999999992</v>
      </c>
      <c r="D3670" t="s">
        <v>7</v>
      </c>
      <c r="E3670" s="2" t="s">
        <v>12</v>
      </c>
      <c r="F3670">
        <f t="shared" si="57"/>
        <v>18.084959999999999</v>
      </c>
      <c r="G3670" t="s">
        <v>16</v>
      </c>
      <c r="J3670" t="str">
        <f>"10/17/1995 23:00"</f>
        <v>10/17/1995 23:00</v>
      </c>
    </row>
    <row r="3671" spans="1:10" x14ac:dyDescent="0.3">
      <c r="A3671" t="s">
        <v>6</v>
      </c>
      <c r="B3671" t="str">
        <f>"10/18/1995 00:00"</f>
        <v>10/18/1995 00:00</v>
      </c>
      <c r="C3671">
        <v>22.8</v>
      </c>
      <c r="D3671" t="s">
        <v>7</v>
      </c>
      <c r="E3671" s="2" t="s">
        <v>12</v>
      </c>
      <c r="F3671">
        <f t="shared" si="57"/>
        <v>45.212400000000002</v>
      </c>
      <c r="G3671" t="s">
        <v>16</v>
      </c>
      <c r="J3671" t="str">
        <f>"10/18/1995 23:00"</f>
        <v>10/18/1995 23:00</v>
      </c>
    </row>
    <row r="3672" spans="1:10" x14ac:dyDescent="0.3">
      <c r="A3672" t="s">
        <v>6</v>
      </c>
      <c r="B3672" t="str">
        <f>"10/19/1995 00:00"</f>
        <v>10/19/1995 00:00</v>
      </c>
      <c r="C3672">
        <v>21.5</v>
      </c>
      <c r="D3672" t="s">
        <v>7</v>
      </c>
      <c r="E3672" s="2" t="s">
        <v>12</v>
      </c>
      <c r="F3672">
        <f t="shared" si="57"/>
        <v>42.634500000000003</v>
      </c>
      <c r="G3672" t="s">
        <v>16</v>
      </c>
      <c r="J3672" t="str">
        <f>"10/19/1995 23:00"</f>
        <v>10/19/1995 23:00</v>
      </c>
    </row>
    <row r="3673" spans="1:10" x14ac:dyDescent="0.3">
      <c r="A3673" t="s">
        <v>6</v>
      </c>
      <c r="B3673" t="str">
        <f>"10/20/1995 00:00"</f>
        <v>10/20/1995 00:00</v>
      </c>
      <c r="C3673">
        <v>20.2</v>
      </c>
      <c r="D3673" t="s">
        <v>7</v>
      </c>
      <c r="E3673" s="2" t="s">
        <v>12</v>
      </c>
      <c r="F3673">
        <f t="shared" si="57"/>
        <v>40.056600000000003</v>
      </c>
      <c r="G3673" t="s">
        <v>16</v>
      </c>
      <c r="J3673" t="str">
        <f>"10/20/1995 23:00"</f>
        <v>10/20/1995 23:00</v>
      </c>
    </row>
    <row r="3674" spans="1:10" x14ac:dyDescent="0.3">
      <c r="A3674" t="s">
        <v>6</v>
      </c>
      <c r="B3674" t="str">
        <f>"10/21/1995 00:00"</f>
        <v>10/21/1995 00:00</v>
      </c>
      <c r="C3674">
        <v>19</v>
      </c>
      <c r="D3674" t="s">
        <v>7</v>
      </c>
      <c r="E3674" s="2" t="s">
        <v>12</v>
      </c>
      <c r="F3674">
        <f t="shared" si="57"/>
        <v>37.677</v>
      </c>
      <c r="G3674" t="s">
        <v>16</v>
      </c>
      <c r="J3674" t="str">
        <f>"10/21/1995 23:00"</f>
        <v>10/21/1995 23:00</v>
      </c>
    </row>
    <row r="3675" spans="1:10" x14ac:dyDescent="0.3">
      <c r="A3675" t="s">
        <v>6</v>
      </c>
      <c r="B3675" t="str">
        <f>"10/22/1995 00:00"</f>
        <v>10/22/1995 00:00</v>
      </c>
      <c r="C3675">
        <v>18.100000000000001</v>
      </c>
      <c r="D3675" t="s">
        <v>7</v>
      </c>
      <c r="E3675" s="2" t="s">
        <v>12</v>
      </c>
      <c r="F3675">
        <f t="shared" si="57"/>
        <v>35.892300000000006</v>
      </c>
      <c r="G3675" t="s">
        <v>16</v>
      </c>
      <c r="J3675" t="str">
        <f>"10/22/1995 23:00"</f>
        <v>10/22/1995 23:00</v>
      </c>
    </row>
    <row r="3676" spans="1:10" x14ac:dyDescent="0.3">
      <c r="A3676" t="s">
        <v>6</v>
      </c>
      <c r="B3676" t="str">
        <f>"10/23/1995 00:00"</f>
        <v>10/23/1995 00:00</v>
      </c>
      <c r="C3676">
        <v>5.72</v>
      </c>
      <c r="D3676" t="s">
        <v>7</v>
      </c>
      <c r="E3676" s="2" t="s">
        <v>12</v>
      </c>
      <c r="F3676">
        <f t="shared" si="57"/>
        <v>11.34276</v>
      </c>
      <c r="G3676" t="s">
        <v>16</v>
      </c>
      <c r="J3676" t="str">
        <f>"10/23/1995 23:00"</f>
        <v>10/23/1995 23:00</v>
      </c>
    </row>
    <row r="3677" spans="1:10" x14ac:dyDescent="0.3">
      <c r="A3677" t="s">
        <v>6</v>
      </c>
      <c r="B3677" t="str">
        <f>"10/24/1995 00:00"</f>
        <v>10/24/1995 00:00</v>
      </c>
      <c r="C3677">
        <v>15</v>
      </c>
      <c r="D3677" t="s">
        <v>7</v>
      </c>
      <c r="E3677" s="2" t="s">
        <v>12</v>
      </c>
      <c r="F3677">
        <f t="shared" si="57"/>
        <v>29.745000000000001</v>
      </c>
      <c r="G3677" t="s">
        <v>16</v>
      </c>
      <c r="J3677" t="str">
        <f>"10/24/1995 23:00"</f>
        <v>10/24/1995 23:00</v>
      </c>
    </row>
    <row r="3678" spans="1:10" x14ac:dyDescent="0.3">
      <c r="A3678" t="s">
        <v>6</v>
      </c>
      <c r="B3678" t="str">
        <f>"10/25/1995 00:00"</f>
        <v>10/25/1995 00:00</v>
      </c>
      <c r="C3678">
        <v>5.31</v>
      </c>
      <c r="D3678" t="s">
        <v>7</v>
      </c>
      <c r="E3678" s="2" t="s">
        <v>12</v>
      </c>
      <c r="F3678">
        <f t="shared" si="57"/>
        <v>10.529729999999999</v>
      </c>
      <c r="G3678" t="s">
        <v>16</v>
      </c>
      <c r="J3678" t="str">
        <f>"10/25/1995 23:00"</f>
        <v>10/25/1995 23:00</v>
      </c>
    </row>
    <row r="3679" spans="1:10" x14ac:dyDescent="0.3">
      <c r="A3679" t="s">
        <v>6</v>
      </c>
      <c r="B3679" t="str">
        <f>"10/26/1995 00:00"</f>
        <v>10/26/1995 00:00</v>
      </c>
      <c r="C3679">
        <v>12.2</v>
      </c>
      <c r="D3679" t="s">
        <v>7</v>
      </c>
      <c r="E3679" s="2" t="s">
        <v>12</v>
      </c>
      <c r="F3679">
        <f t="shared" si="57"/>
        <v>24.192599999999999</v>
      </c>
      <c r="G3679" t="s">
        <v>16</v>
      </c>
      <c r="J3679" t="str">
        <f>"10/26/1995 23:00"</f>
        <v>10/26/1995 23:00</v>
      </c>
    </row>
    <row r="3680" spans="1:10" x14ac:dyDescent="0.3">
      <c r="A3680" t="s">
        <v>6</v>
      </c>
      <c r="B3680" t="str">
        <f>"10/27/1995 00:00"</f>
        <v>10/27/1995 00:00</v>
      </c>
      <c r="C3680">
        <v>15.7</v>
      </c>
      <c r="D3680" t="s">
        <v>7</v>
      </c>
      <c r="E3680" s="2" t="s">
        <v>12</v>
      </c>
      <c r="F3680">
        <f t="shared" si="57"/>
        <v>31.133099999999999</v>
      </c>
      <c r="G3680" t="s">
        <v>16</v>
      </c>
      <c r="I3680" t="s">
        <v>8</v>
      </c>
      <c r="J3680" t="str">
        <f>"10/27/1995 23:00"</f>
        <v>10/27/1995 23:00</v>
      </c>
    </row>
    <row r="3681" spans="1:10" x14ac:dyDescent="0.3">
      <c r="A3681" t="s">
        <v>6</v>
      </c>
      <c r="B3681" t="str">
        <f>"10/28/1995 00:00"</f>
        <v>10/28/1995 00:00</v>
      </c>
      <c r="C3681">
        <v>15.5</v>
      </c>
      <c r="D3681" t="s">
        <v>7</v>
      </c>
      <c r="E3681" s="2" t="s">
        <v>12</v>
      </c>
      <c r="F3681">
        <f t="shared" si="57"/>
        <v>30.736500000000003</v>
      </c>
      <c r="G3681" t="s">
        <v>16</v>
      </c>
      <c r="I3681" t="s">
        <v>8</v>
      </c>
      <c r="J3681" t="str">
        <f>"10/28/1995 23:00"</f>
        <v>10/28/1995 23:00</v>
      </c>
    </row>
    <row r="3682" spans="1:10" x14ac:dyDescent="0.3">
      <c r="A3682" t="s">
        <v>6</v>
      </c>
      <c r="B3682" t="str">
        <f>"10/29/1995 00:00"</f>
        <v>10/29/1995 00:00</v>
      </c>
      <c r="C3682">
        <v>15.3</v>
      </c>
      <c r="D3682" t="s">
        <v>7</v>
      </c>
      <c r="E3682" s="2" t="s">
        <v>12</v>
      </c>
      <c r="F3682">
        <f t="shared" si="57"/>
        <v>30.339900000000004</v>
      </c>
      <c r="G3682" t="s">
        <v>16</v>
      </c>
      <c r="I3682" t="s">
        <v>8</v>
      </c>
      <c r="J3682" t="str">
        <f>"10/29/1995 23:00"</f>
        <v>10/29/1995 23:00</v>
      </c>
    </row>
    <row r="3683" spans="1:10" x14ac:dyDescent="0.3">
      <c r="A3683" t="s">
        <v>6</v>
      </c>
      <c r="B3683" t="str">
        <f>"10/30/1995 00:00"</f>
        <v>10/30/1995 00:00</v>
      </c>
      <c r="C3683">
        <v>14.9</v>
      </c>
      <c r="D3683" t="s">
        <v>7</v>
      </c>
      <c r="E3683" s="2" t="s">
        <v>12</v>
      </c>
      <c r="F3683">
        <f t="shared" si="57"/>
        <v>29.546700000000001</v>
      </c>
      <c r="G3683" t="s">
        <v>16</v>
      </c>
      <c r="I3683" t="s">
        <v>8</v>
      </c>
      <c r="J3683" t="str">
        <f>"10/30/1995 23:00"</f>
        <v>10/30/1995 23:00</v>
      </c>
    </row>
    <row r="3684" spans="1:10" x14ac:dyDescent="0.3">
      <c r="A3684" t="s">
        <v>6</v>
      </c>
      <c r="B3684" t="str">
        <f>"10/31/1995 00:00"</f>
        <v>10/31/1995 00:00</v>
      </c>
      <c r="C3684">
        <v>12.4</v>
      </c>
      <c r="D3684" t="s">
        <v>7</v>
      </c>
      <c r="E3684" s="2" t="s">
        <v>12</v>
      </c>
      <c r="F3684">
        <f t="shared" si="57"/>
        <v>24.589200000000002</v>
      </c>
      <c r="G3684" t="s">
        <v>16</v>
      </c>
      <c r="I3684" t="s">
        <v>8</v>
      </c>
      <c r="J3684" t="str">
        <f>"10/31/1995 23:00"</f>
        <v>10/31/1995 23:00</v>
      </c>
    </row>
    <row r="3685" spans="1:10" x14ac:dyDescent="0.3">
      <c r="A3685" t="s">
        <v>6</v>
      </c>
      <c r="B3685" t="str">
        <f>"11/01/1995 00:00"</f>
        <v>11/01/1995 00:00</v>
      </c>
      <c r="C3685">
        <v>14.4</v>
      </c>
      <c r="D3685" t="s">
        <v>7</v>
      </c>
      <c r="E3685" s="2" t="s">
        <v>12</v>
      </c>
      <c r="F3685">
        <f t="shared" si="57"/>
        <v>28.555200000000003</v>
      </c>
      <c r="G3685" t="s">
        <v>16</v>
      </c>
      <c r="J3685" t="str">
        <f>"11/01/1995 23:00"</f>
        <v>11/01/1995 23:00</v>
      </c>
    </row>
    <row r="3686" spans="1:10" x14ac:dyDescent="0.3">
      <c r="A3686" t="s">
        <v>6</v>
      </c>
      <c r="B3686" t="str">
        <f>"11/02/1995 00:00"</f>
        <v>11/02/1995 00:00</v>
      </c>
      <c r="C3686">
        <v>12.5</v>
      </c>
      <c r="D3686" t="s">
        <v>7</v>
      </c>
      <c r="E3686" s="2" t="s">
        <v>12</v>
      </c>
      <c r="F3686">
        <f t="shared" si="57"/>
        <v>24.787500000000001</v>
      </c>
      <c r="G3686" t="s">
        <v>16</v>
      </c>
      <c r="I3686" t="s">
        <v>8</v>
      </c>
      <c r="J3686" t="str">
        <f>"11/02/1995 23:00"</f>
        <v>11/02/1995 23:00</v>
      </c>
    </row>
    <row r="3687" spans="1:10" x14ac:dyDescent="0.3">
      <c r="A3687" t="s">
        <v>6</v>
      </c>
      <c r="B3687" t="str">
        <f>"11/03/1995 00:00"</f>
        <v>11/03/1995 00:00</v>
      </c>
      <c r="C3687">
        <v>12.3</v>
      </c>
      <c r="D3687" t="s">
        <v>7</v>
      </c>
      <c r="E3687" s="2" t="s">
        <v>12</v>
      </c>
      <c r="F3687">
        <f t="shared" si="57"/>
        <v>24.390900000000002</v>
      </c>
      <c r="G3687" t="s">
        <v>16</v>
      </c>
      <c r="J3687" t="str">
        <f>"11/03/1995 23:00"</f>
        <v>11/03/1995 23:00</v>
      </c>
    </row>
    <row r="3688" spans="1:10" x14ac:dyDescent="0.3">
      <c r="A3688" t="s">
        <v>6</v>
      </c>
      <c r="B3688" t="str">
        <f>"11/04/1995 00:00"</f>
        <v>11/04/1995 00:00</v>
      </c>
      <c r="C3688">
        <v>13</v>
      </c>
      <c r="D3688" t="s">
        <v>7</v>
      </c>
      <c r="E3688" s="2" t="s">
        <v>12</v>
      </c>
      <c r="F3688">
        <f t="shared" si="57"/>
        <v>25.779</v>
      </c>
      <c r="G3688" t="s">
        <v>16</v>
      </c>
      <c r="J3688" t="str">
        <f>"11/04/1995 23:00"</f>
        <v>11/04/1995 23:00</v>
      </c>
    </row>
    <row r="3689" spans="1:10" x14ac:dyDescent="0.3">
      <c r="A3689" t="s">
        <v>6</v>
      </c>
      <c r="B3689" t="str">
        <f>"11/05/1995 00:00"</f>
        <v>11/05/1995 00:00</v>
      </c>
      <c r="C3689">
        <v>12.9</v>
      </c>
      <c r="D3689" t="s">
        <v>7</v>
      </c>
      <c r="E3689" s="2" t="s">
        <v>12</v>
      </c>
      <c r="F3689">
        <f t="shared" si="57"/>
        <v>25.5807</v>
      </c>
      <c r="G3689" t="s">
        <v>16</v>
      </c>
      <c r="I3689" t="s">
        <v>8</v>
      </c>
      <c r="J3689" t="str">
        <f>"11/05/1995 23:00"</f>
        <v>11/05/1995 23:00</v>
      </c>
    </row>
    <row r="3690" spans="1:10" x14ac:dyDescent="0.3">
      <c r="A3690" t="s">
        <v>6</v>
      </c>
      <c r="B3690" t="str">
        <f>"11/06/1995 00:00"</f>
        <v>11/06/1995 00:00</v>
      </c>
      <c r="C3690">
        <v>8.6199999999999992</v>
      </c>
      <c r="D3690" t="s">
        <v>7</v>
      </c>
      <c r="E3690" s="2" t="s">
        <v>12</v>
      </c>
      <c r="F3690">
        <f t="shared" si="57"/>
        <v>17.09346</v>
      </c>
      <c r="G3690" t="s">
        <v>16</v>
      </c>
      <c r="I3690" t="s">
        <v>8</v>
      </c>
      <c r="J3690" t="str">
        <f>"11/06/1995 23:00"</f>
        <v>11/06/1995 23:00</v>
      </c>
    </row>
    <row r="3691" spans="1:10" x14ac:dyDescent="0.3">
      <c r="A3691" t="s">
        <v>6</v>
      </c>
      <c r="B3691" t="str">
        <f>"11/07/1995 00:00"</f>
        <v>11/07/1995 00:00</v>
      </c>
      <c r="C3691">
        <v>12.9</v>
      </c>
      <c r="D3691" t="s">
        <v>7</v>
      </c>
      <c r="E3691" s="2" t="s">
        <v>12</v>
      </c>
      <c r="F3691">
        <f t="shared" si="57"/>
        <v>25.5807</v>
      </c>
      <c r="G3691" t="s">
        <v>16</v>
      </c>
      <c r="I3691" t="s">
        <v>8</v>
      </c>
      <c r="J3691" t="str">
        <f>"11/07/1995 23:00"</f>
        <v>11/07/1995 23:00</v>
      </c>
    </row>
    <row r="3692" spans="1:10" x14ac:dyDescent="0.3">
      <c r="A3692" t="s">
        <v>6</v>
      </c>
      <c r="B3692" t="str">
        <f>"11/08/1995 00:00"</f>
        <v>11/08/1995 00:00</v>
      </c>
      <c r="C3692">
        <v>12.9</v>
      </c>
      <c r="D3692" t="s">
        <v>7</v>
      </c>
      <c r="E3692" s="2" t="s">
        <v>12</v>
      </c>
      <c r="F3692">
        <f t="shared" si="57"/>
        <v>25.5807</v>
      </c>
      <c r="G3692" t="s">
        <v>16</v>
      </c>
      <c r="I3692" t="s">
        <v>35</v>
      </c>
      <c r="J3692" t="str">
        <f>"11/08/1995 23:00"</f>
        <v>11/08/1995 23:00</v>
      </c>
    </row>
    <row r="3693" spans="1:10" x14ac:dyDescent="0.3">
      <c r="A3693" t="s">
        <v>6</v>
      </c>
      <c r="B3693" t="str">
        <f>"11/09/1995 00:00"</f>
        <v>11/09/1995 00:00</v>
      </c>
      <c r="C3693">
        <v>12.9</v>
      </c>
      <c r="D3693" t="s">
        <v>7</v>
      </c>
      <c r="E3693" s="2" t="s">
        <v>12</v>
      </c>
      <c r="F3693">
        <f t="shared" si="57"/>
        <v>25.5807</v>
      </c>
      <c r="G3693" t="s">
        <v>16</v>
      </c>
      <c r="I3693" t="s">
        <v>35</v>
      </c>
      <c r="J3693" t="str">
        <f>"11/09/1995 23:00"</f>
        <v>11/09/1995 23:00</v>
      </c>
    </row>
    <row r="3694" spans="1:10" x14ac:dyDescent="0.3">
      <c r="A3694" t="s">
        <v>6</v>
      </c>
      <c r="B3694" t="str">
        <f>"11/10/1995 00:00"</f>
        <v>11/10/1995 00:00</v>
      </c>
      <c r="C3694">
        <v>12.9</v>
      </c>
      <c r="D3694" t="s">
        <v>7</v>
      </c>
      <c r="E3694" s="2" t="s">
        <v>12</v>
      </c>
      <c r="F3694">
        <f t="shared" si="57"/>
        <v>25.5807</v>
      </c>
      <c r="G3694" t="s">
        <v>16</v>
      </c>
      <c r="I3694" t="s">
        <v>35</v>
      </c>
      <c r="J3694" t="str">
        <f>"11/10/1995 23:00"</f>
        <v>11/10/1995 23:00</v>
      </c>
    </row>
    <row r="3695" spans="1:10" x14ac:dyDescent="0.3">
      <c r="A3695" t="s">
        <v>6</v>
      </c>
      <c r="B3695" t="str">
        <f>"11/11/1995 00:00"</f>
        <v>11/11/1995 00:00</v>
      </c>
      <c r="C3695">
        <v>12.9</v>
      </c>
      <c r="D3695" t="s">
        <v>7</v>
      </c>
      <c r="E3695" s="2" t="s">
        <v>12</v>
      </c>
      <c r="F3695">
        <f t="shared" si="57"/>
        <v>25.5807</v>
      </c>
      <c r="G3695" t="s">
        <v>16</v>
      </c>
      <c r="I3695" t="s">
        <v>8</v>
      </c>
      <c r="J3695" t="str">
        <f>"11/11/1995 23:00"</f>
        <v>11/11/1995 23:00</v>
      </c>
    </row>
    <row r="3696" spans="1:10" x14ac:dyDescent="0.3">
      <c r="A3696" t="s">
        <v>6</v>
      </c>
      <c r="B3696" t="str">
        <f>"11/12/1995 00:00"</f>
        <v>11/12/1995 00:00</v>
      </c>
      <c r="C3696">
        <v>12.9</v>
      </c>
      <c r="D3696" t="s">
        <v>7</v>
      </c>
      <c r="E3696" s="2" t="s">
        <v>12</v>
      </c>
      <c r="F3696">
        <f t="shared" si="57"/>
        <v>25.5807</v>
      </c>
      <c r="G3696" t="s">
        <v>16</v>
      </c>
      <c r="I3696" t="s">
        <v>8</v>
      </c>
      <c r="J3696" t="str">
        <f>"11/12/1995 23:00"</f>
        <v>11/12/1995 23:00</v>
      </c>
    </row>
    <row r="3697" spans="1:10" x14ac:dyDescent="0.3">
      <c r="A3697" t="s">
        <v>6</v>
      </c>
      <c r="B3697" t="str">
        <f>"11/13/1995 00:00"</f>
        <v>11/13/1995 00:00</v>
      </c>
      <c r="C3697">
        <v>12.9</v>
      </c>
      <c r="D3697" t="s">
        <v>7</v>
      </c>
      <c r="E3697" s="2" t="s">
        <v>12</v>
      </c>
      <c r="F3697">
        <f t="shared" si="57"/>
        <v>25.5807</v>
      </c>
      <c r="G3697" t="s">
        <v>16</v>
      </c>
      <c r="I3697" t="s">
        <v>35</v>
      </c>
      <c r="J3697" t="str">
        <f>"11/13/1995 23:00"</f>
        <v>11/13/1995 23:00</v>
      </c>
    </row>
    <row r="3698" spans="1:10" x14ac:dyDescent="0.3">
      <c r="A3698" t="s">
        <v>6</v>
      </c>
      <c r="B3698" t="str">
        <f>"11/14/1995 00:00"</f>
        <v>11/14/1995 00:00</v>
      </c>
      <c r="C3698">
        <v>12.9</v>
      </c>
      <c r="D3698" t="s">
        <v>7</v>
      </c>
      <c r="E3698" s="2" t="s">
        <v>12</v>
      </c>
      <c r="F3698">
        <f t="shared" si="57"/>
        <v>25.5807</v>
      </c>
      <c r="G3698" t="s">
        <v>16</v>
      </c>
      <c r="I3698" t="s">
        <v>35</v>
      </c>
      <c r="J3698" t="str">
        <f>"11/14/1995 23:00"</f>
        <v>11/14/1995 23:00</v>
      </c>
    </row>
    <row r="3699" spans="1:10" x14ac:dyDescent="0.3">
      <c r="A3699" t="s">
        <v>6</v>
      </c>
      <c r="B3699" t="str">
        <f>"11/15/1995 00:00"</f>
        <v>11/15/1995 00:00</v>
      </c>
      <c r="C3699">
        <v>12.8</v>
      </c>
      <c r="D3699" t="s">
        <v>7</v>
      </c>
      <c r="E3699" s="2" t="s">
        <v>12</v>
      </c>
      <c r="F3699">
        <f t="shared" si="57"/>
        <v>25.382400000000004</v>
      </c>
      <c r="G3699" t="s">
        <v>16</v>
      </c>
      <c r="I3699" t="s">
        <v>8</v>
      </c>
      <c r="J3699" t="str">
        <f>"11/15/1995 23:00"</f>
        <v>11/15/1995 23:00</v>
      </c>
    </row>
    <row r="3700" spans="1:10" x14ac:dyDescent="0.3">
      <c r="A3700" t="s">
        <v>6</v>
      </c>
      <c r="B3700" t="str">
        <f>"11/16/1995 00:00"</f>
        <v>11/16/1995 00:00</v>
      </c>
      <c r="C3700">
        <v>10.3</v>
      </c>
      <c r="D3700" t="s">
        <v>7</v>
      </c>
      <c r="E3700" s="2" t="s">
        <v>12</v>
      </c>
      <c r="F3700">
        <f t="shared" si="57"/>
        <v>20.424900000000001</v>
      </c>
      <c r="G3700" t="s">
        <v>16</v>
      </c>
      <c r="J3700" t="str">
        <f>"11/16/1995 23:00"</f>
        <v>11/16/1995 23:00</v>
      </c>
    </row>
    <row r="3701" spans="1:10" x14ac:dyDescent="0.3">
      <c r="A3701" t="s">
        <v>6</v>
      </c>
      <c r="B3701" t="str">
        <f>"11/17/1995 00:00"</f>
        <v>11/17/1995 00:00</v>
      </c>
      <c r="C3701">
        <v>12.3</v>
      </c>
      <c r="D3701" t="s">
        <v>7</v>
      </c>
      <c r="E3701" s="2" t="s">
        <v>12</v>
      </c>
      <c r="F3701">
        <f t="shared" si="57"/>
        <v>24.390900000000002</v>
      </c>
      <c r="G3701" t="s">
        <v>16</v>
      </c>
      <c r="I3701" t="s">
        <v>8</v>
      </c>
      <c r="J3701" t="str">
        <f>"11/17/1995 23:00"</f>
        <v>11/17/1995 23:00</v>
      </c>
    </row>
    <row r="3702" spans="1:10" x14ac:dyDescent="0.3">
      <c r="A3702" t="s">
        <v>6</v>
      </c>
      <c r="B3702" t="str">
        <f>"11/18/1995 00:00"</f>
        <v>11/18/1995 00:00</v>
      </c>
      <c r="C3702">
        <v>12.3</v>
      </c>
      <c r="D3702" t="s">
        <v>7</v>
      </c>
      <c r="E3702" s="2" t="s">
        <v>12</v>
      </c>
      <c r="F3702">
        <f t="shared" si="57"/>
        <v>24.390900000000002</v>
      </c>
      <c r="G3702" t="s">
        <v>16</v>
      </c>
      <c r="I3702" t="s">
        <v>35</v>
      </c>
      <c r="J3702" t="str">
        <f>"11/18/1995 23:00"</f>
        <v>11/18/1995 23:00</v>
      </c>
    </row>
    <row r="3703" spans="1:10" x14ac:dyDescent="0.3">
      <c r="A3703" t="s">
        <v>6</v>
      </c>
      <c r="B3703" t="str">
        <f>"11/19/1995 00:00"</f>
        <v>11/19/1995 00:00</v>
      </c>
      <c r="C3703">
        <v>12.3</v>
      </c>
      <c r="D3703" t="s">
        <v>7</v>
      </c>
      <c r="E3703" s="2" t="s">
        <v>12</v>
      </c>
      <c r="F3703">
        <f t="shared" si="57"/>
        <v>24.390900000000002</v>
      </c>
      <c r="G3703" t="s">
        <v>16</v>
      </c>
      <c r="I3703" t="s">
        <v>35</v>
      </c>
      <c r="J3703" t="str">
        <f>"11/19/1995 23:00"</f>
        <v>11/19/1995 23:00</v>
      </c>
    </row>
    <row r="3704" spans="1:10" x14ac:dyDescent="0.3">
      <c r="A3704" t="s">
        <v>6</v>
      </c>
      <c r="B3704" t="str">
        <f>"11/20/1995 00:00"</f>
        <v>11/20/1995 00:00</v>
      </c>
      <c r="C3704">
        <v>11.8</v>
      </c>
      <c r="D3704" t="s">
        <v>7</v>
      </c>
      <c r="E3704" s="2" t="s">
        <v>12</v>
      </c>
      <c r="F3704">
        <f t="shared" si="57"/>
        <v>23.399400000000004</v>
      </c>
      <c r="G3704" t="s">
        <v>16</v>
      </c>
      <c r="I3704" t="s">
        <v>8</v>
      </c>
      <c r="J3704" t="str">
        <f>"11/20/1995 23:00"</f>
        <v>11/20/1995 23:00</v>
      </c>
    </row>
    <row r="3705" spans="1:10" x14ac:dyDescent="0.3">
      <c r="A3705" t="s">
        <v>6</v>
      </c>
      <c r="B3705" t="str">
        <f>"11/21/1995 00:00"</f>
        <v>11/21/1995 00:00</v>
      </c>
      <c r="C3705">
        <v>12</v>
      </c>
      <c r="D3705" t="s">
        <v>7</v>
      </c>
      <c r="E3705" s="2" t="s">
        <v>12</v>
      </c>
      <c r="F3705">
        <f t="shared" si="57"/>
        <v>23.795999999999999</v>
      </c>
      <c r="G3705" t="s">
        <v>16</v>
      </c>
      <c r="J3705" t="str">
        <f>"11/21/1995 23:00"</f>
        <v>11/21/1995 23:00</v>
      </c>
    </row>
    <row r="3706" spans="1:10" x14ac:dyDescent="0.3">
      <c r="A3706" t="s">
        <v>6</v>
      </c>
      <c r="B3706" t="str">
        <f>"11/22/1995 00:00"</f>
        <v>11/22/1995 00:00</v>
      </c>
      <c r="C3706">
        <v>9.83</v>
      </c>
      <c r="D3706" t="s">
        <v>7</v>
      </c>
      <c r="E3706" s="2" t="s">
        <v>12</v>
      </c>
      <c r="F3706">
        <f t="shared" si="57"/>
        <v>19.492890000000003</v>
      </c>
      <c r="G3706" t="s">
        <v>16</v>
      </c>
      <c r="J3706" t="str">
        <f>"11/22/1995 23:00"</f>
        <v>11/22/1995 23:00</v>
      </c>
    </row>
    <row r="3707" spans="1:10" x14ac:dyDescent="0.3">
      <c r="A3707" t="s">
        <v>6</v>
      </c>
      <c r="B3707" t="str">
        <f>"11/23/1995 00:00"</f>
        <v>11/23/1995 00:00</v>
      </c>
      <c r="C3707">
        <v>11.7</v>
      </c>
      <c r="D3707" t="s">
        <v>7</v>
      </c>
      <c r="E3707" s="2" t="s">
        <v>12</v>
      </c>
      <c r="F3707">
        <f t="shared" si="57"/>
        <v>23.2011</v>
      </c>
      <c r="G3707" t="s">
        <v>16</v>
      </c>
      <c r="I3707" t="s">
        <v>8</v>
      </c>
      <c r="J3707" t="str">
        <f>"11/23/1995 23:00"</f>
        <v>11/23/1995 23:00</v>
      </c>
    </row>
    <row r="3708" spans="1:10" x14ac:dyDescent="0.3">
      <c r="A3708" t="s">
        <v>6</v>
      </c>
      <c r="B3708" t="str">
        <f>"11/24/1995 00:00"</f>
        <v>11/24/1995 00:00</v>
      </c>
      <c r="C3708">
        <v>10.199999999999999</v>
      </c>
      <c r="D3708" t="s">
        <v>7</v>
      </c>
      <c r="E3708" s="2" t="s">
        <v>12</v>
      </c>
      <c r="F3708">
        <f t="shared" si="57"/>
        <v>20.226600000000001</v>
      </c>
      <c r="G3708" t="s">
        <v>16</v>
      </c>
      <c r="I3708" t="s">
        <v>8</v>
      </c>
      <c r="J3708" t="str">
        <f>"11/24/1995 23:00"</f>
        <v>11/24/1995 23:00</v>
      </c>
    </row>
    <row r="3709" spans="1:10" x14ac:dyDescent="0.3">
      <c r="A3709" t="s">
        <v>6</v>
      </c>
      <c r="B3709" t="str">
        <f>"11/25/1995 00:00"</f>
        <v>11/25/1995 00:00</v>
      </c>
      <c r="C3709">
        <v>11.2</v>
      </c>
      <c r="D3709" t="s">
        <v>7</v>
      </c>
      <c r="E3709" s="2" t="s">
        <v>12</v>
      </c>
      <c r="F3709">
        <f t="shared" si="57"/>
        <v>22.209599999999998</v>
      </c>
      <c r="G3709" t="s">
        <v>16</v>
      </c>
      <c r="J3709" t="str">
        <f>"11/25/1995 23:00"</f>
        <v>11/25/1995 23:00</v>
      </c>
    </row>
    <row r="3710" spans="1:10" x14ac:dyDescent="0.3">
      <c r="A3710" t="s">
        <v>6</v>
      </c>
      <c r="B3710" t="str">
        <f>"11/26/1995 00:00"</f>
        <v>11/26/1995 00:00</v>
      </c>
      <c r="C3710">
        <v>11.7</v>
      </c>
      <c r="D3710" t="s">
        <v>7</v>
      </c>
      <c r="E3710" s="2" t="s">
        <v>12</v>
      </c>
      <c r="F3710">
        <f t="shared" si="57"/>
        <v>23.2011</v>
      </c>
      <c r="G3710" t="s">
        <v>16</v>
      </c>
      <c r="I3710" t="s">
        <v>8</v>
      </c>
      <c r="J3710" t="str">
        <f>"11/26/1995 23:00"</f>
        <v>11/26/1995 23:00</v>
      </c>
    </row>
    <row r="3711" spans="1:10" x14ac:dyDescent="0.3">
      <c r="A3711" t="s">
        <v>6</v>
      </c>
      <c r="B3711" t="str">
        <f>"11/27/1995 00:00"</f>
        <v>11/27/1995 00:00</v>
      </c>
      <c r="C3711">
        <v>8.7799999999999994</v>
      </c>
      <c r="D3711" t="s">
        <v>7</v>
      </c>
      <c r="E3711" s="2" t="s">
        <v>12</v>
      </c>
      <c r="F3711">
        <f t="shared" si="57"/>
        <v>17.410740000000001</v>
      </c>
      <c r="G3711" t="s">
        <v>16</v>
      </c>
      <c r="J3711" t="str">
        <f>"11/27/1995 23:00"</f>
        <v>11/27/1995 23:00</v>
      </c>
    </row>
    <row r="3712" spans="1:10" x14ac:dyDescent="0.3">
      <c r="A3712" t="s">
        <v>6</v>
      </c>
      <c r="B3712" t="str">
        <f>"11/28/1995 00:00"</f>
        <v>11/28/1995 00:00</v>
      </c>
      <c r="C3712">
        <v>7.8</v>
      </c>
      <c r="D3712" t="s">
        <v>7</v>
      </c>
      <c r="E3712" s="2" t="s">
        <v>12</v>
      </c>
      <c r="F3712">
        <f t="shared" si="57"/>
        <v>15.4674</v>
      </c>
      <c r="G3712" t="s">
        <v>16</v>
      </c>
      <c r="J3712" t="str">
        <f>"11/28/1995 23:00"</f>
        <v>11/28/1995 23:00</v>
      </c>
    </row>
    <row r="3713" spans="1:10" x14ac:dyDescent="0.3">
      <c r="A3713" t="s">
        <v>6</v>
      </c>
      <c r="B3713" t="str">
        <f>"11/29/1995 00:00"</f>
        <v>11/29/1995 00:00</v>
      </c>
      <c r="C3713">
        <v>6.83</v>
      </c>
      <c r="D3713" t="s">
        <v>7</v>
      </c>
      <c r="E3713" s="2" t="s">
        <v>12</v>
      </c>
      <c r="F3713">
        <f t="shared" si="57"/>
        <v>13.543890000000001</v>
      </c>
      <c r="G3713" t="s">
        <v>16</v>
      </c>
      <c r="J3713" t="str">
        <f>"11/29/1995 23:00"</f>
        <v>11/29/1995 23:00</v>
      </c>
    </row>
    <row r="3714" spans="1:10" x14ac:dyDescent="0.3">
      <c r="A3714" t="s">
        <v>6</v>
      </c>
      <c r="B3714" t="str">
        <f>"11/30/1995 00:00"</f>
        <v>11/30/1995 00:00</v>
      </c>
      <c r="C3714">
        <v>0</v>
      </c>
      <c r="D3714" t="s">
        <v>7</v>
      </c>
      <c r="E3714" s="2" t="s">
        <v>12</v>
      </c>
      <c r="F3714">
        <f t="shared" si="57"/>
        <v>0</v>
      </c>
      <c r="G3714" t="s">
        <v>16</v>
      </c>
      <c r="I3714" t="s">
        <v>8</v>
      </c>
      <c r="J3714" t="str">
        <f>"11/30/1995 23:00"</f>
        <v>11/30/1995 23:00</v>
      </c>
    </row>
    <row r="3715" spans="1:10" x14ac:dyDescent="0.3">
      <c r="A3715" t="s">
        <v>6</v>
      </c>
      <c r="B3715" t="str">
        <f>"12/01/1995 00:00"</f>
        <v>12/01/1995 00:00</v>
      </c>
      <c r="C3715">
        <v>0</v>
      </c>
      <c r="D3715" t="s">
        <v>7</v>
      </c>
      <c r="E3715" s="2" t="s">
        <v>12</v>
      </c>
      <c r="F3715">
        <f t="shared" ref="F3715:F3778" si="58">C3715*1.983</f>
        <v>0</v>
      </c>
      <c r="G3715" t="s">
        <v>16</v>
      </c>
      <c r="I3715" t="s">
        <v>35</v>
      </c>
      <c r="J3715" t="str">
        <f>"12/01/1995 23:00"</f>
        <v>12/01/1995 23:00</v>
      </c>
    </row>
    <row r="3716" spans="1:10" x14ac:dyDescent="0.3">
      <c r="A3716" t="s">
        <v>6</v>
      </c>
      <c r="B3716" t="str">
        <f>"12/02/1995 00:00"</f>
        <v>12/02/1995 00:00</v>
      </c>
      <c r="C3716">
        <v>0</v>
      </c>
      <c r="D3716" t="s">
        <v>7</v>
      </c>
      <c r="E3716" s="2" t="s">
        <v>12</v>
      </c>
      <c r="F3716">
        <f t="shared" si="58"/>
        <v>0</v>
      </c>
      <c r="G3716" t="s">
        <v>16</v>
      </c>
      <c r="I3716" t="s">
        <v>35</v>
      </c>
      <c r="J3716" t="str">
        <f>"12/02/1995 23:00"</f>
        <v>12/02/1995 23:00</v>
      </c>
    </row>
    <row r="3717" spans="1:10" x14ac:dyDescent="0.3">
      <c r="A3717" t="s">
        <v>6</v>
      </c>
      <c r="B3717" t="str">
        <f>"12/03/1995 00:00"</f>
        <v>12/03/1995 00:00</v>
      </c>
      <c r="C3717">
        <v>0</v>
      </c>
      <c r="D3717" t="s">
        <v>7</v>
      </c>
      <c r="E3717" s="2" t="s">
        <v>12</v>
      </c>
      <c r="F3717">
        <f t="shared" si="58"/>
        <v>0</v>
      </c>
      <c r="G3717" t="s">
        <v>16</v>
      </c>
      <c r="I3717" t="s">
        <v>35</v>
      </c>
      <c r="J3717" t="str">
        <f>"12/03/1995 23:00"</f>
        <v>12/03/1995 23:00</v>
      </c>
    </row>
    <row r="3718" spans="1:10" x14ac:dyDescent="0.3">
      <c r="A3718" t="s">
        <v>6</v>
      </c>
      <c r="B3718" t="str">
        <f>"12/04/1995 00:00"</f>
        <v>12/04/1995 00:00</v>
      </c>
      <c r="C3718">
        <v>0</v>
      </c>
      <c r="D3718" t="s">
        <v>7</v>
      </c>
      <c r="E3718" s="2" t="s">
        <v>12</v>
      </c>
      <c r="F3718">
        <f t="shared" si="58"/>
        <v>0</v>
      </c>
      <c r="G3718" t="s">
        <v>16</v>
      </c>
      <c r="I3718" t="s">
        <v>8</v>
      </c>
      <c r="J3718" t="str">
        <f>"12/04/1995 23:00"</f>
        <v>12/04/1995 23:00</v>
      </c>
    </row>
    <row r="3719" spans="1:10" x14ac:dyDescent="0.3">
      <c r="A3719" t="s">
        <v>6</v>
      </c>
      <c r="B3719" t="str">
        <f>"12/05/1995 00:00"</f>
        <v>12/05/1995 00:00</v>
      </c>
      <c r="C3719">
        <v>0</v>
      </c>
      <c r="D3719" t="s">
        <v>7</v>
      </c>
      <c r="E3719" s="2" t="s">
        <v>12</v>
      </c>
      <c r="F3719">
        <f t="shared" si="58"/>
        <v>0</v>
      </c>
      <c r="G3719" t="s">
        <v>16</v>
      </c>
      <c r="J3719" t="str">
        <f>"12/05/1995 23:00"</f>
        <v>12/05/1995 23:00</v>
      </c>
    </row>
    <row r="3720" spans="1:10" x14ac:dyDescent="0.3">
      <c r="A3720" t="s">
        <v>6</v>
      </c>
      <c r="B3720" t="str">
        <f>"12/06/1995 00:00"</f>
        <v>12/06/1995 00:00</v>
      </c>
      <c r="C3720">
        <v>0</v>
      </c>
      <c r="D3720" t="s">
        <v>7</v>
      </c>
      <c r="E3720" s="2" t="s">
        <v>12</v>
      </c>
      <c r="F3720">
        <f t="shared" si="58"/>
        <v>0</v>
      </c>
      <c r="G3720" t="s">
        <v>16</v>
      </c>
      <c r="I3720" t="s">
        <v>8</v>
      </c>
      <c r="J3720" t="str">
        <f>"12/06/1995 23:00"</f>
        <v>12/06/1995 23:00</v>
      </c>
    </row>
    <row r="3721" spans="1:10" x14ac:dyDescent="0.3">
      <c r="A3721" t="s">
        <v>6</v>
      </c>
      <c r="B3721" t="str">
        <f>"12/07/1995 00:00"</f>
        <v>12/07/1995 00:00</v>
      </c>
      <c r="C3721">
        <v>0</v>
      </c>
      <c r="D3721" t="s">
        <v>7</v>
      </c>
      <c r="E3721" s="2" t="s">
        <v>12</v>
      </c>
      <c r="F3721">
        <f t="shared" si="58"/>
        <v>0</v>
      </c>
      <c r="G3721" t="s">
        <v>16</v>
      </c>
      <c r="J3721" t="str">
        <f>"12/07/1995 23:00"</f>
        <v>12/07/1995 23:00</v>
      </c>
    </row>
    <row r="3722" spans="1:10" x14ac:dyDescent="0.3">
      <c r="A3722" t="s">
        <v>6</v>
      </c>
      <c r="B3722" t="str">
        <f>"12/08/1995 00:00"</f>
        <v>12/08/1995 00:00</v>
      </c>
      <c r="C3722">
        <v>0</v>
      </c>
      <c r="D3722" t="s">
        <v>7</v>
      </c>
      <c r="E3722" s="2" t="s">
        <v>12</v>
      </c>
      <c r="F3722">
        <f t="shared" si="58"/>
        <v>0</v>
      </c>
      <c r="G3722" t="s">
        <v>16</v>
      </c>
      <c r="I3722" t="s">
        <v>8</v>
      </c>
      <c r="J3722" t="str">
        <f>"12/08/1995 23:00"</f>
        <v>12/08/1995 23:00</v>
      </c>
    </row>
    <row r="3723" spans="1:10" x14ac:dyDescent="0.3">
      <c r="A3723" t="s">
        <v>6</v>
      </c>
      <c r="B3723" t="str">
        <f>"12/09/1995 00:00"</f>
        <v>12/09/1995 00:00</v>
      </c>
      <c r="C3723">
        <v>0</v>
      </c>
      <c r="D3723" t="s">
        <v>7</v>
      </c>
      <c r="E3723" s="2" t="s">
        <v>12</v>
      </c>
      <c r="F3723">
        <f t="shared" si="58"/>
        <v>0</v>
      </c>
      <c r="G3723" t="s">
        <v>16</v>
      </c>
      <c r="I3723" t="s">
        <v>35</v>
      </c>
      <c r="J3723" t="str">
        <f>"12/09/1995 23:00"</f>
        <v>12/09/1995 23:00</v>
      </c>
    </row>
    <row r="3724" spans="1:10" x14ac:dyDescent="0.3">
      <c r="A3724" t="s">
        <v>6</v>
      </c>
      <c r="B3724" t="str">
        <f>"12/10/1995 00:00"</f>
        <v>12/10/1995 00:00</v>
      </c>
      <c r="C3724">
        <v>0</v>
      </c>
      <c r="D3724" t="s">
        <v>7</v>
      </c>
      <c r="E3724" s="2" t="s">
        <v>12</v>
      </c>
      <c r="F3724">
        <f t="shared" si="58"/>
        <v>0</v>
      </c>
      <c r="G3724" t="s">
        <v>16</v>
      </c>
      <c r="I3724" t="s">
        <v>35</v>
      </c>
      <c r="J3724" t="str">
        <f>"12/10/1995 23:00"</f>
        <v>12/10/1995 23:00</v>
      </c>
    </row>
    <row r="3725" spans="1:10" x14ac:dyDescent="0.3">
      <c r="A3725" t="s">
        <v>6</v>
      </c>
      <c r="B3725" t="str">
        <f>"12/11/1995 00:00"</f>
        <v>12/11/1995 00:00</v>
      </c>
      <c r="C3725">
        <v>0</v>
      </c>
      <c r="D3725" t="s">
        <v>7</v>
      </c>
      <c r="E3725" s="2" t="s">
        <v>12</v>
      </c>
      <c r="F3725">
        <f t="shared" si="58"/>
        <v>0</v>
      </c>
      <c r="G3725" t="s">
        <v>16</v>
      </c>
      <c r="I3725" t="s">
        <v>35</v>
      </c>
      <c r="J3725" t="str">
        <f>"12/11/1995 23:00"</f>
        <v>12/11/1995 23:00</v>
      </c>
    </row>
    <row r="3726" spans="1:10" x14ac:dyDescent="0.3">
      <c r="A3726" t="s">
        <v>6</v>
      </c>
      <c r="B3726" t="str">
        <f>"12/12/1995 00:00"</f>
        <v>12/12/1995 00:00</v>
      </c>
      <c r="C3726">
        <v>0</v>
      </c>
      <c r="D3726" t="s">
        <v>7</v>
      </c>
      <c r="E3726" s="2" t="s">
        <v>12</v>
      </c>
      <c r="F3726">
        <f t="shared" si="58"/>
        <v>0</v>
      </c>
      <c r="G3726" t="s">
        <v>16</v>
      </c>
      <c r="I3726" t="s">
        <v>35</v>
      </c>
      <c r="J3726" t="str">
        <f>"12/12/1995 23:00"</f>
        <v>12/12/1995 23:00</v>
      </c>
    </row>
    <row r="3727" spans="1:10" x14ac:dyDescent="0.3">
      <c r="A3727" t="s">
        <v>6</v>
      </c>
      <c r="B3727" t="str">
        <f>"12/13/1995 00:00"</f>
        <v>12/13/1995 00:00</v>
      </c>
      <c r="C3727">
        <v>0</v>
      </c>
      <c r="D3727" t="s">
        <v>7</v>
      </c>
      <c r="E3727" s="2" t="s">
        <v>12</v>
      </c>
      <c r="F3727">
        <f t="shared" si="58"/>
        <v>0</v>
      </c>
      <c r="G3727" t="s">
        <v>16</v>
      </c>
      <c r="I3727" t="s">
        <v>35</v>
      </c>
      <c r="J3727" t="str">
        <f>"12/13/1995 23:00"</f>
        <v>12/13/1995 23:00</v>
      </c>
    </row>
    <row r="3728" spans="1:10" x14ac:dyDescent="0.3">
      <c r="A3728" t="s">
        <v>6</v>
      </c>
      <c r="B3728" t="str">
        <f>"12/14/1995 00:00"</f>
        <v>12/14/1995 00:00</v>
      </c>
      <c r="C3728">
        <v>0</v>
      </c>
      <c r="D3728" t="s">
        <v>7</v>
      </c>
      <c r="E3728" s="2" t="s">
        <v>12</v>
      </c>
      <c r="F3728">
        <f t="shared" si="58"/>
        <v>0</v>
      </c>
      <c r="G3728" t="s">
        <v>16</v>
      </c>
      <c r="I3728" t="s">
        <v>35</v>
      </c>
      <c r="J3728" t="str">
        <f>"12/14/1995 23:00"</f>
        <v>12/14/1995 23:00</v>
      </c>
    </row>
    <row r="3729" spans="1:10" x14ac:dyDescent="0.3">
      <c r="A3729" t="s">
        <v>6</v>
      </c>
      <c r="B3729" t="str">
        <f>"12/15/1995 00:00"</f>
        <v>12/15/1995 00:00</v>
      </c>
      <c r="C3729">
        <v>0</v>
      </c>
      <c r="D3729" t="s">
        <v>7</v>
      </c>
      <c r="E3729" s="2" t="s">
        <v>12</v>
      </c>
      <c r="F3729">
        <f t="shared" si="58"/>
        <v>0</v>
      </c>
      <c r="G3729" t="s">
        <v>16</v>
      </c>
      <c r="I3729" t="s">
        <v>35</v>
      </c>
      <c r="J3729" t="str">
        <f>"12/15/1995 23:00"</f>
        <v>12/15/1995 23:00</v>
      </c>
    </row>
    <row r="3730" spans="1:10" x14ac:dyDescent="0.3">
      <c r="A3730" t="s">
        <v>6</v>
      </c>
      <c r="B3730" t="str">
        <f>"12/16/1995 00:00"</f>
        <v>12/16/1995 00:00</v>
      </c>
      <c r="C3730">
        <v>0</v>
      </c>
      <c r="D3730" t="s">
        <v>7</v>
      </c>
      <c r="E3730" s="2" t="s">
        <v>12</v>
      </c>
      <c r="F3730">
        <f t="shared" si="58"/>
        <v>0</v>
      </c>
      <c r="G3730" t="s">
        <v>16</v>
      </c>
      <c r="I3730" t="s">
        <v>8</v>
      </c>
      <c r="J3730" t="str">
        <f>"12/16/1995 23:00"</f>
        <v>12/16/1995 23:00</v>
      </c>
    </row>
    <row r="3731" spans="1:10" x14ac:dyDescent="0.3">
      <c r="A3731" t="s">
        <v>6</v>
      </c>
      <c r="B3731" t="str">
        <f>"12/17/1995 00:00"</f>
        <v>12/17/1995 00:00</v>
      </c>
      <c r="C3731">
        <v>0</v>
      </c>
      <c r="D3731" t="s">
        <v>7</v>
      </c>
      <c r="E3731" s="2" t="s">
        <v>12</v>
      </c>
      <c r="F3731">
        <f t="shared" si="58"/>
        <v>0</v>
      </c>
      <c r="G3731" t="s">
        <v>16</v>
      </c>
      <c r="I3731" t="s">
        <v>8</v>
      </c>
      <c r="J3731" t="str">
        <f>"12/17/1995 23:00"</f>
        <v>12/17/1995 23:00</v>
      </c>
    </row>
    <row r="3732" spans="1:10" x14ac:dyDescent="0.3">
      <c r="A3732" t="s">
        <v>6</v>
      </c>
      <c r="B3732" t="str">
        <f>"12/18/1995 00:00"</f>
        <v>12/18/1995 00:00</v>
      </c>
      <c r="C3732">
        <v>8.11</v>
      </c>
      <c r="D3732" t="s">
        <v>7</v>
      </c>
      <c r="E3732" s="2" t="s">
        <v>12</v>
      </c>
      <c r="F3732">
        <f t="shared" si="58"/>
        <v>16.082129999999999</v>
      </c>
      <c r="G3732" t="s">
        <v>16</v>
      </c>
      <c r="I3732" t="s">
        <v>8</v>
      </c>
      <c r="J3732" t="str">
        <f>"12/18/1995 23:00"</f>
        <v>12/18/1995 23:00</v>
      </c>
    </row>
    <row r="3733" spans="1:10" x14ac:dyDescent="0.3">
      <c r="A3733" t="s">
        <v>6</v>
      </c>
      <c r="B3733" t="str">
        <f>"12/19/1995 00:00"</f>
        <v>12/19/1995 00:00</v>
      </c>
      <c r="C3733">
        <v>20</v>
      </c>
      <c r="D3733" t="s">
        <v>7</v>
      </c>
      <c r="E3733" s="2" t="s">
        <v>12</v>
      </c>
      <c r="F3733">
        <f t="shared" si="58"/>
        <v>39.660000000000004</v>
      </c>
      <c r="G3733" t="s">
        <v>16</v>
      </c>
      <c r="J3733" t="str">
        <f>"12/19/1995 23:00"</f>
        <v>12/19/1995 23:00</v>
      </c>
    </row>
    <row r="3734" spans="1:10" x14ac:dyDescent="0.3">
      <c r="A3734" t="s">
        <v>6</v>
      </c>
      <c r="B3734" t="str">
        <f>"12/20/1995 00:00"</f>
        <v>12/20/1995 00:00</v>
      </c>
      <c r="C3734">
        <v>25.2</v>
      </c>
      <c r="D3734" t="s">
        <v>7</v>
      </c>
      <c r="E3734" s="2" t="s">
        <v>12</v>
      </c>
      <c r="F3734">
        <f t="shared" si="58"/>
        <v>49.971600000000002</v>
      </c>
      <c r="G3734" t="s">
        <v>16</v>
      </c>
      <c r="J3734" t="str">
        <f>"12/20/1995 23:00"</f>
        <v>12/20/1995 23:00</v>
      </c>
    </row>
    <row r="3735" spans="1:10" x14ac:dyDescent="0.3">
      <c r="A3735" t="s">
        <v>6</v>
      </c>
      <c r="B3735" t="str">
        <f>"12/21/1995 00:00"</f>
        <v>12/21/1995 00:00</v>
      </c>
      <c r="C3735">
        <v>25.5</v>
      </c>
      <c r="D3735" t="s">
        <v>7</v>
      </c>
      <c r="E3735" s="2" t="s">
        <v>12</v>
      </c>
      <c r="F3735">
        <f t="shared" si="58"/>
        <v>50.566500000000005</v>
      </c>
      <c r="G3735" t="s">
        <v>16</v>
      </c>
      <c r="J3735" t="str">
        <f>"12/21/1995 23:00"</f>
        <v>12/21/1995 23:00</v>
      </c>
    </row>
    <row r="3736" spans="1:10" x14ac:dyDescent="0.3">
      <c r="A3736" t="s">
        <v>6</v>
      </c>
      <c r="B3736" t="str">
        <f>"12/22/1995 00:00"</f>
        <v>12/22/1995 00:00</v>
      </c>
      <c r="C3736">
        <v>22</v>
      </c>
      <c r="D3736" t="s">
        <v>7</v>
      </c>
      <c r="E3736" s="2" t="s">
        <v>12</v>
      </c>
      <c r="F3736">
        <f t="shared" si="58"/>
        <v>43.626000000000005</v>
      </c>
      <c r="G3736" t="s">
        <v>16</v>
      </c>
      <c r="J3736" t="str">
        <f>"12/22/1995 23:00"</f>
        <v>12/22/1995 23:00</v>
      </c>
    </row>
    <row r="3737" spans="1:10" x14ac:dyDescent="0.3">
      <c r="A3737" t="s">
        <v>6</v>
      </c>
      <c r="B3737" t="str">
        <f>"12/23/1995 00:00"</f>
        <v>12/23/1995 00:00</v>
      </c>
      <c r="C3737">
        <v>25</v>
      </c>
      <c r="D3737" t="s">
        <v>7</v>
      </c>
      <c r="E3737" s="2" t="s">
        <v>12</v>
      </c>
      <c r="F3737">
        <f t="shared" si="58"/>
        <v>49.575000000000003</v>
      </c>
      <c r="G3737" t="s">
        <v>16</v>
      </c>
      <c r="J3737" t="str">
        <f>"12/23/1995 23:00"</f>
        <v>12/23/1995 23:00</v>
      </c>
    </row>
    <row r="3738" spans="1:10" x14ac:dyDescent="0.3">
      <c r="A3738" t="s">
        <v>6</v>
      </c>
      <c r="B3738" t="str">
        <f>"12/24/1995 00:00"</f>
        <v>12/24/1995 00:00</v>
      </c>
      <c r="C3738">
        <v>22.9</v>
      </c>
      <c r="D3738" t="s">
        <v>7</v>
      </c>
      <c r="E3738" s="2" t="s">
        <v>12</v>
      </c>
      <c r="F3738">
        <f t="shared" si="58"/>
        <v>45.410699999999999</v>
      </c>
      <c r="G3738" t="s">
        <v>16</v>
      </c>
      <c r="J3738" t="str">
        <f>"12/24/1995 23:00"</f>
        <v>12/24/1995 23:00</v>
      </c>
    </row>
    <row r="3739" spans="1:10" x14ac:dyDescent="0.3">
      <c r="A3739" t="s">
        <v>6</v>
      </c>
      <c r="B3739" t="str">
        <f>"12/25/1995 00:00"</f>
        <v>12/25/1995 00:00</v>
      </c>
      <c r="C3739">
        <v>20.5</v>
      </c>
      <c r="D3739" t="s">
        <v>7</v>
      </c>
      <c r="E3739" s="2" t="s">
        <v>12</v>
      </c>
      <c r="F3739">
        <f t="shared" si="58"/>
        <v>40.651499999999999</v>
      </c>
      <c r="G3739" t="s">
        <v>16</v>
      </c>
      <c r="J3739" t="str">
        <f>"12/25/1995 23:00"</f>
        <v>12/25/1995 23:00</v>
      </c>
    </row>
    <row r="3740" spans="1:10" x14ac:dyDescent="0.3">
      <c r="A3740" t="s">
        <v>6</v>
      </c>
      <c r="B3740" t="str">
        <f>"12/26/1995 00:00"</f>
        <v>12/26/1995 00:00</v>
      </c>
      <c r="C3740">
        <v>24.5</v>
      </c>
      <c r="D3740" t="s">
        <v>7</v>
      </c>
      <c r="E3740" s="2" t="s">
        <v>12</v>
      </c>
      <c r="F3740">
        <f t="shared" si="58"/>
        <v>48.583500000000001</v>
      </c>
      <c r="G3740" t="s">
        <v>16</v>
      </c>
      <c r="J3740" t="str">
        <f>"12/26/1995 23:00"</f>
        <v>12/26/1995 23:00</v>
      </c>
    </row>
    <row r="3741" spans="1:10" x14ac:dyDescent="0.3">
      <c r="A3741" t="s">
        <v>6</v>
      </c>
      <c r="B3741" t="str">
        <f>"12/27/1995 00:00"</f>
        <v>12/27/1995 00:00</v>
      </c>
      <c r="C3741">
        <v>24.4</v>
      </c>
      <c r="D3741" t="s">
        <v>7</v>
      </c>
      <c r="E3741" s="2" t="s">
        <v>12</v>
      </c>
      <c r="F3741">
        <f t="shared" si="58"/>
        <v>48.385199999999998</v>
      </c>
      <c r="G3741" t="s">
        <v>16</v>
      </c>
      <c r="I3741" t="s">
        <v>8</v>
      </c>
      <c r="J3741" t="str">
        <f>"12/27/1995 23:00"</f>
        <v>12/27/1995 23:00</v>
      </c>
    </row>
    <row r="3742" spans="1:10" x14ac:dyDescent="0.3">
      <c r="A3742" t="s">
        <v>6</v>
      </c>
      <c r="B3742" t="str">
        <f>"12/28/1995 00:00"</f>
        <v>12/28/1995 00:00</v>
      </c>
      <c r="C3742">
        <v>24.4</v>
      </c>
      <c r="D3742" t="s">
        <v>7</v>
      </c>
      <c r="E3742" s="2" t="s">
        <v>12</v>
      </c>
      <c r="F3742">
        <f t="shared" si="58"/>
        <v>48.385199999999998</v>
      </c>
      <c r="G3742" t="s">
        <v>16</v>
      </c>
      <c r="I3742" t="s">
        <v>8</v>
      </c>
      <c r="J3742" t="str">
        <f>"12/28/1995 23:00"</f>
        <v>12/28/1995 23:00</v>
      </c>
    </row>
    <row r="3743" spans="1:10" x14ac:dyDescent="0.3">
      <c r="A3743" t="s">
        <v>6</v>
      </c>
      <c r="B3743" t="str">
        <f>"12/29/1995 00:00"</f>
        <v>12/29/1995 00:00</v>
      </c>
      <c r="C3743">
        <v>24.4</v>
      </c>
      <c r="D3743" t="s">
        <v>7</v>
      </c>
      <c r="E3743" s="2" t="s">
        <v>12</v>
      </c>
      <c r="F3743">
        <f t="shared" si="58"/>
        <v>48.385199999999998</v>
      </c>
      <c r="G3743" t="s">
        <v>16</v>
      </c>
      <c r="J3743" t="str">
        <f>"12/29/1995 23:00"</f>
        <v>12/29/1995 23:00</v>
      </c>
    </row>
    <row r="3744" spans="1:10" x14ac:dyDescent="0.3">
      <c r="A3744" t="s">
        <v>6</v>
      </c>
      <c r="B3744" t="str">
        <f>"12/30/1995 00:00"</f>
        <v>12/30/1995 00:00</v>
      </c>
      <c r="C3744">
        <v>24.4</v>
      </c>
      <c r="D3744" t="s">
        <v>7</v>
      </c>
      <c r="E3744" s="2" t="s">
        <v>12</v>
      </c>
      <c r="F3744">
        <f t="shared" si="58"/>
        <v>48.385199999999998</v>
      </c>
      <c r="G3744" t="s">
        <v>16</v>
      </c>
      <c r="I3744" t="s">
        <v>8</v>
      </c>
      <c r="J3744" t="str">
        <f>"12/30/1995 23:00"</f>
        <v>12/30/1995 23:00</v>
      </c>
    </row>
    <row r="3745" spans="1:10" x14ac:dyDescent="0.3">
      <c r="A3745" t="s">
        <v>6</v>
      </c>
      <c r="B3745" t="str">
        <f>"12/31/1995 00:00"</f>
        <v>12/31/1995 00:00</v>
      </c>
      <c r="C3745">
        <v>24.4</v>
      </c>
      <c r="D3745" t="s">
        <v>7</v>
      </c>
      <c r="E3745" s="2" t="s">
        <v>12</v>
      </c>
      <c r="F3745">
        <f t="shared" si="58"/>
        <v>48.385199999999998</v>
      </c>
      <c r="G3745" t="s">
        <v>16</v>
      </c>
      <c r="J3745" t="str">
        <f>"12/31/1995 23:00"</f>
        <v>12/31/1995 23:00</v>
      </c>
    </row>
    <row r="3746" spans="1:10" x14ac:dyDescent="0.3">
      <c r="A3746" t="s">
        <v>6</v>
      </c>
      <c r="B3746" t="str">
        <f>"01/01/1996 00:00"</f>
        <v>01/01/1996 00:00</v>
      </c>
      <c r="C3746">
        <v>24.7</v>
      </c>
      <c r="D3746" t="s">
        <v>7</v>
      </c>
      <c r="E3746" s="2" t="s">
        <v>12</v>
      </c>
      <c r="F3746">
        <f t="shared" si="58"/>
        <v>48.9801</v>
      </c>
      <c r="G3746" t="s">
        <v>16</v>
      </c>
      <c r="J3746" t="str">
        <f>"01/01/1996 23:00"</f>
        <v>01/01/1996 23:00</v>
      </c>
    </row>
    <row r="3747" spans="1:10" x14ac:dyDescent="0.3">
      <c r="A3747" t="s">
        <v>6</v>
      </c>
      <c r="B3747" t="str">
        <f>"01/02/1996 00:00"</f>
        <v>01/02/1996 00:00</v>
      </c>
      <c r="C3747">
        <v>24.6</v>
      </c>
      <c r="D3747" t="s">
        <v>7</v>
      </c>
      <c r="E3747" s="2" t="s">
        <v>12</v>
      </c>
      <c r="F3747">
        <f t="shared" si="58"/>
        <v>48.781800000000004</v>
      </c>
      <c r="G3747" t="s">
        <v>16</v>
      </c>
      <c r="J3747" t="str">
        <f>"01/02/1996 23:00"</f>
        <v>01/02/1996 23:00</v>
      </c>
    </row>
    <row r="3748" spans="1:10" x14ac:dyDescent="0.3">
      <c r="A3748" t="s">
        <v>6</v>
      </c>
      <c r="B3748" t="str">
        <f>"01/03/1996 00:00"</f>
        <v>01/03/1996 00:00</v>
      </c>
      <c r="C3748">
        <v>24.5</v>
      </c>
      <c r="D3748" t="s">
        <v>7</v>
      </c>
      <c r="E3748" s="2" t="s">
        <v>12</v>
      </c>
      <c r="F3748">
        <f t="shared" si="58"/>
        <v>48.583500000000001</v>
      </c>
      <c r="G3748" t="s">
        <v>16</v>
      </c>
      <c r="J3748" t="str">
        <f>"01/03/1996 23:00"</f>
        <v>01/03/1996 23:00</v>
      </c>
    </row>
    <row r="3749" spans="1:10" x14ac:dyDescent="0.3">
      <c r="A3749" t="s">
        <v>6</v>
      </c>
      <c r="B3749" t="str">
        <f>"01/04/1996 00:00"</f>
        <v>01/04/1996 00:00</v>
      </c>
      <c r="C3749">
        <v>23.9</v>
      </c>
      <c r="D3749" t="s">
        <v>7</v>
      </c>
      <c r="E3749" s="2" t="s">
        <v>12</v>
      </c>
      <c r="F3749">
        <f t="shared" si="58"/>
        <v>47.393700000000003</v>
      </c>
      <c r="G3749" t="s">
        <v>16</v>
      </c>
      <c r="J3749" t="str">
        <f>"01/04/1996 23:00"</f>
        <v>01/04/1996 23:00</v>
      </c>
    </row>
    <row r="3750" spans="1:10" x14ac:dyDescent="0.3">
      <c r="A3750" t="s">
        <v>6</v>
      </c>
      <c r="B3750" t="str">
        <f>"01/05/1996 00:00"</f>
        <v>01/05/1996 00:00</v>
      </c>
      <c r="C3750">
        <v>25.1</v>
      </c>
      <c r="D3750" t="s">
        <v>7</v>
      </c>
      <c r="E3750" s="2" t="s">
        <v>12</v>
      </c>
      <c r="F3750">
        <f t="shared" si="58"/>
        <v>49.773300000000006</v>
      </c>
      <c r="G3750" t="s">
        <v>16</v>
      </c>
      <c r="J3750" t="str">
        <f>"01/05/1996 23:00"</f>
        <v>01/05/1996 23:00</v>
      </c>
    </row>
    <row r="3751" spans="1:10" x14ac:dyDescent="0.3">
      <c r="A3751" t="s">
        <v>6</v>
      </c>
      <c r="B3751" t="str">
        <f>"01/06/1996 00:00"</f>
        <v>01/06/1996 00:00</v>
      </c>
      <c r="C3751">
        <v>21.8</v>
      </c>
      <c r="D3751" t="s">
        <v>7</v>
      </c>
      <c r="E3751" s="2" t="s">
        <v>12</v>
      </c>
      <c r="F3751">
        <f t="shared" si="58"/>
        <v>43.229400000000005</v>
      </c>
      <c r="G3751" t="s">
        <v>16</v>
      </c>
      <c r="J3751" t="str">
        <f>"01/06/1996 23:00"</f>
        <v>01/06/1996 23:00</v>
      </c>
    </row>
    <row r="3752" spans="1:10" x14ac:dyDescent="0.3">
      <c r="A3752" t="s">
        <v>6</v>
      </c>
      <c r="B3752" t="str">
        <f>"01/07/1996 00:00"</f>
        <v>01/07/1996 00:00</v>
      </c>
      <c r="C3752">
        <v>25</v>
      </c>
      <c r="D3752" t="s">
        <v>7</v>
      </c>
      <c r="E3752" s="2" t="s">
        <v>12</v>
      </c>
      <c r="F3752">
        <f t="shared" si="58"/>
        <v>49.575000000000003</v>
      </c>
      <c r="G3752" t="s">
        <v>16</v>
      </c>
      <c r="J3752" t="str">
        <f>"01/07/1996 23:00"</f>
        <v>01/07/1996 23:00</v>
      </c>
    </row>
    <row r="3753" spans="1:10" x14ac:dyDescent="0.3">
      <c r="A3753" t="s">
        <v>6</v>
      </c>
      <c r="B3753" t="str">
        <f>"01/08/1996 00:00"</f>
        <v>01/08/1996 00:00</v>
      </c>
      <c r="C3753">
        <v>21</v>
      </c>
      <c r="D3753" t="s">
        <v>7</v>
      </c>
      <c r="E3753" s="2" t="s">
        <v>12</v>
      </c>
      <c r="F3753">
        <f t="shared" si="58"/>
        <v>41.643000000000001</v>
      </c>
      <c r="G3753" t="s">
        <v>16</v>
      </c>
      <c r="J3753" t="str">
        <f>"01/08/1996 23:00"</f>
        <v>01/08/1996 23:00</v>
      </c>
    </row>
    <row r="3754" spans="1:10" x14ac:dyDescent="0.3">
      <c r="A3754" t="s">
        <v>6</v>
      </c>
      <c r="B3754" t="str">
        <f>"01/09/1996 00:00"</f>
        <v>01/09/1996 00:00</v>
      </c>
      <c r="C3754">
        <v>25.2</v>
      </c>
      <c r="D3754" t="s">
        <v>7</v>
      </c>
      <c r="E3754" s="2" t="s">
        <v>12</v>
      </c>
      <c r="F3754">
        <f t="shared" si="58"/>
        <v>49.971600000000002</v>
      </c>
      <c r="G3754" t="s">
        <v>16</v>
      </c>
      <c r="I3754" t="s">
        <v>8</v>
      </c>
      <c r="J3754" t="str">
        <f>"01/09/1996 23:00"</f>
        <v>01/09/1996 23:00</v>
      </c>
    </row>
    <row r="3755" spans="1:10" x14ac:dyDescent="0.3">
      <c r="A3755" t="s">
        <v>6</v>
      </c>
      <c r="B3755" t="str">
        <f>"01/10/1996 00:00"</f>
        <v>01/10/1996 00:00</v>
      </c>
      <c r="C3755">
        <v>21</v>
      </c>
      <c r="D3755" t="s">
        <v>7</v>
      </c>
      <c r="E3755" s="2" t="s">
        <v>12</v>
      </c>
      <c r="F3755">
        <f t="shared" si="58"/>
        <v>41.643000000000001</v>
      </c>
      <c r="G3755" t="s">
        <v>16</v>
      </c>
      <c r="I3755" t="s">
        <v>8</v>
      </c>
      <c r="J3755" t="str">
        <f>"01/10/1996 23:00"</f>
        <v>01/10/1996 23:00</v>
      </c>
    </row>
    <row r="3756" spans="1:10" x14ac:dyDescent="0.3">
      <c r="A3756" t="s">
        <v>6</v>
      </c>
      <c r="B3756" t="str">
        <f>"01/11/1996 00:00"</f>
        <v>01/11/1996 00:00</v>
      </c>
      <c r="C3756">
        <v>25.2</v>
      </c>
      <c r="D3756" t="s">
        <v>7</v>
      </c>
      <c r="E3756" s="2" t="s">
        <v>12</v>
      </c>
      <c r="F3756">
        <f t="shared" si="58"/>
        <v>49.971600000000002</v>
      </c>
      <c r="G3756" t="s">
        <v>16</v>
      </c>
      <c r="I3756" t="s">
        <v>8</v>
      </c>
      <c r="J3756" t="str">
        <f>"01/11/1996 23:00"</f>
        <v>01/11/1996 23:00</v>
      </c>
    </row>
    <row r="3757" spans="1:10" x14ac:dyDescent="0.3">
      <c r="A3757" t="s">
        <v>6</v>
      </c>
      <c r="B3757" t="str">
        <f>"01/12/1996 00:00"</f>
        <v>01/12/1996 00:00</v>
      </c>
      <c r="C3757">
        <v>22.7</v>
      </c>
      <c r="D3757" t="s">
        <v>7</v>
      </c>
      <c r="E3757" s="2" t="s">
        <v>12</v>
      </c>
      <c r="F3757">
        <f t="shared" si="58"/>
        <v>45.014099999999999</v>
      </c>
      <c r="G3757" t="s">
        <v>16</v>
      </c>
      <c r="I3757" t="s">
        <v>8</v>
      </c>
      <c r="J3757" t="str">
        <f>"01/12/1996 23:00"</f>
        <v>01/12/1996 23:00</v>
      </c>
    </row>
    <row r="3758" spans="1:10" x14ac:dyDescent="0.3">
      <c r="A3758" t="s">
        <v>6</v>
      </c>
      <c r="B3758" t="str">
        <f>"01/13/1996 00:00"</f>
        <v>01/13/1996 00:00</v>
      </c>
      <c r="C3758">
        <v>19.8</v>
      </c>
      <c r="D3758" t="s">
        <v>7</v>
      </c>
      <c r="E3758" s="2" t="s">
        <v>12</v>
      </c>
      <c r="F3758">
        <f t="shared" si="58"/>
        <v>39.263400000000004</v>
      </c>
      <c r="G3758" t="s">
        <v>16</v>
      </c>
      <c r="J3758" t="str">
        <f>"01/13/1996 23:00"</f>
        <v>01/13/1996 23:00</v>
      </c>
    </row>
    <row r="3759" spans="1:10" x14ac:dyDescent="0.3">
      <c r="A3759" t="s">
        <v>6</v>
      </c>
      <c r="B3759" t="str">
        <f>"01/14/1996 00:00"</f>
        <v>01/14/1996 00:00</v>
      </c>
      <c r="C3759">
        <v>19.8</v>
      </c>
      <c r="D3759" t="s">
        <v>7</v>
      </c>
      <c r="E3759" s="2" t="s">
        <v>12</v>
      </c>
      <c r="F3759">
        <f t="shared" si="58"/>
        <v>39.263400000000004</v>
      </c>
      <c r="G3759" t="s">
        <v>16</v>
      </c>
      <c r="I3759" t="s">
        <v>8</v>
      </c>
      <c r="J3759" t="str">
        <f>"01/14/1996 23:00"</f>
        <v>01/14/1996 23:00</v>
      </c>
    </row>
    <row r="3760" spans="1:10" x14ac:dyDescent="0.3">
      <c r="A3760" t="s">
        <v>6</v>
      </c>
      <c r="B3760" t="str">
        <f>"01/15/1996 00:00"</f>
        <v>01/15/1996 00:00</v>
      </c>
      <c r="C3760">
        <v>19.600000000000001</v>
      </c>
      <c r="D3760" t="s">
        <v>7</v>
      </c>
      <c r="E3760" s="2" t="s">
        <v>12</v>
      </c>
      <c r="F3760">
        <f t="shared" si="58"/>
        <v>38.866800000000005</v>
      </c>
      <c r="G3760" t="s">
        <v>16</v>
      </c>
      <c r="I3760" t="s">
        <v>8</v>
      </c>
      <c r="J3760" t="str">
        <f>"01/15/1996 23:00"</f>
        <v>01/15/1996 23:00</v>
      </c>
    </row>
    <row r="3761" spans="1:10" x14ac:dyDescent="0.3">
      <c r="A3761" t="s">
        <v>6</v>
      </c>
      <c r="B3761" t="str">
        <f>"01/16/1996 00:00"</f>
        <v>01/16/1996 00:00</v>
      </c>
      <c r="C3761">
        <v>19.100000000000001</v>
      </c>
      <c r="D3761" t="s">
        <v>7</v>
      </c>
      <c r="E3761" s="2" t="s">
        <v>12</v>
      </c>
      <c r="F3761">
        <f t="shared" si="58"/>
        <v>37.875300000000003</v>
      </c>
      <c r="G3761" t="s">
        <v>16</v>
      </c>
      <c r="J3761" t="str">
        <f>"01/16/1996 23:00"</f>
        <v>01/16/1996 23:00</v>
      </c>
    </row>
    <row r="3762" spans="1:10" x14ac:dyDescent="0.3">
      <c r="A3762" t="s">
        <v>6</v>
      </c>
      <c r="B3762" t="str">
        <f>"01/17/1996 00:00"</f>
        <v>01/17/1996 00:00</v>
      </c>
      <c r="C3762">
        <v>16.399999999999999</v>
      </c>
      <c r="D3762" t="s">
        <v>7</v>
      </c>
      <c r="E3762" s="2" t="s">
        <v>12</v>
      </c>
      <c r="F3762">
        <f t="shared" si="58"/>
        <v>32.5212</v>
      </c>
      <c r="G3762" t="s">
        <v>16</v>
      </c>
      <c r="I3762" t="s">
        <v>8</v>
      </c>
      <c r="J3762" t="str">
        <f>"01/17/1996 23:00"</f>
        <v>01/17/1996 23:00</v>
      </c>
    </row>
    <row r="3763" spans="1:10" x14ac:dyDescent="0.3">
      <c r="A3763" t="s">
        <v>6</v>
      </c>
      <c r="B3763" t="str">
        <f>"01/18/1996 00:00"</f>
        <v>01/18/1996 00:00</v>
      </c>
      <c r="C3763">
        <v>15.4</v>
      </c>
      <c r="D3763" t="s">
        <v>7</v>
      </c>
      <c r="E3763" s="2" t="s">
        <v>12</v>
      </c>
      <c r="F3763">
        <f t="shared" si="58"/>
        <v>30.538200000000003</v>
      </c>
      <c r="G3763" t="s">
        <v>16</v>
      </c>
      <c r="I3763" t="s">
        <v>8</v>
      </c>
      <c r="J3763" t="str">
        <f>"01/18/1996 23:00"</f>
        <v>01/18/1996 23:00</v>
      </c>
    </row>
    <row r="3764" spans="1:10" x14ac:dyDescent="0.3">
      <c r="A3764" t="s">
        <v>6</v>
      </c>
      <c r="B3764" t="str">
        <f>"01/19/1996 00:00"</f>
        <v>01/19/1996 00:00</v>
      </c>
      <c r="C3764">
        <v>15.2</v>
      </c>
      <c r="D3764" t="s">
        <v>7</v>
      </c>
      <c r="E3764" s="2" t="s">
        <v>12</v>
      </c>
      <c r="F3764">
        <f t="shared" si="58"/>
        <v>30.1416</v>
      </c>
      <c r="G3764" t="s">
        <v>16</v>
      </c>
      <c r="J3764" t="str">
        <f>"01/19/1996 23:00"</f>
        <v>01/19/1996 23:00</v>
      </c>
    </row>
    <row r="3765" spans="1:10" x14ac:dyDescent="0.3">
      <c r="A3765" t="s">
        <v>6</v>
      </c>
      <c r="B3765" t="str">
        <f>"01/20/1996 00:00"</f>
        <v>01/20/1996 00:00</v>
      </c>
      <c r="C3765">
        <v>9.93</v>
      </c>
      <c r="D3765" t="s">
        <v>7</v>
      </c>
      <c r="E3765" s="2" t="s">
        <v>12</v>
      </c>
      <c r="F3765">
        <f t="shared" si="58"/>
        <v>19.691189999999999</v>
      </c>
      <c r="G3765" t="s">
        <v>16</v>
      </c>
      <c r="J3765" t="str">
        <f>"01/20/1996 23:00"</f>
        <v>01/20/1996 23:00</v>
      </c>
    </row>
    <row r="3766" spans="1:10" x14ac:dyDescent="0.3">
      <c r="A3766" t="s">
        <v>6</v>
      </c>
      <c r="B3766" t="str">
        <f>"01/21/1996 00:00"</f>
        <v>01/21/1996 00:00</v>
      </c>
      <c r="C3766">
        <v>7.45</v>
      </c>
      <c r="D3766" t="s">
        <v>7</v>
      </c>
      <c r="E3766" s="2" t="s">
        <v>12</v>
      </c>
      <c r="F3766">
        <f t="shared" si="58"/>
        <v>14.773350000000001</v>
      </c>
      <c r="G3766" t="s">
        <v>16</v>
      </c>
      <c r="J3766" t="str">
        <f>"01/21/1996 23:00"</f>
        <v>01/21/1996 23:00</v>
      </c>
    </row>
    <row r="3767" spans="1:10" x14ac:dyDescent="0.3">
      <c r="A3767" t="s">
        <v>6</v>
      </c>
      <c r="B3767" t="str">
        <f>"01/22/1996 00:00"</f>
        <v>01/22/1996 00:00</v>
      </c>
      <c r="C3767">
        <v>9.73</v>
      </c>
      <c r="D3767" t="s">
        <v>7</v>
      </c>
      <c r="E3767" s="2" t="s">
        <v>12</v>
      </c>
      <c r="F3767">
        <f t="shared" si="58"/>
        <v>19.294590000000003</v>
      </c>
      <c r="G3767" t="s">
        <v>16</v>
      </c>
      <c r="J3767" t="str">
        <f>"01/22/1996 23:00"</f>
        <v>01/22/1996 23:00</v>
      </c>
    </row>
    <row r="3768" spans="1:10" x14ac:dyDescent="0.3">
      <c r="A3768" t="s">
        <v>6</v>
      </c>
      <c r="B3768" t="str">
        <f>"01/23/1996 00:00"</f>
        <v>01/23/1996 00:00</v>
      </c>
      <c r="C3768">
        <v>9.39</v>
      </c>
      <c r="D3768" t="s">
        <v>7</v>
      </c>
      <c r="E3768" s="2" t="s">
        <v>12</v>
      </c>
      <c r="F3768">
        <f t="shared" si="58"/>
        <v>18.620370000000001</v>
      </c>
      <c r="G3768" t="s">
        <v>16</v>
      </c>
      <c r="J3768" t="str">
        <f>"01/23/1996 23:00"</f>
        <v>01/23/1996 23:00</v>
      </c>
    </row>
    <row r="3769" spans="1:10" x14ac:dyDescent="0.3">
      <c r="A3769" t="s">
        <v>6</v>
      </c>
      <c r="B3769" t="str">
        <f>"01/24/1996 00:00"</f>
        <v>01/24/1996 00:00</v>
      </c>
      <c r="C3769">
        <v>7.03</v>
      </c>
      <c r="D3769" t="s">
        <v>7</v>
      </c>
      <c r="E3769" s="2" t="s">
        <v>12</v>
      </c>
      <c r="F3769">
        <f t="shared" si="58"/>
        <v>13.94049</v>
      </c>
      <c r="G3769" t="s">
        <v>16</v>
      </c>
      <c r="J3769" t="str">
        <f>"01/24/1996 23:00"</f>
        <v>01/24/1996 23:00</v>
      </c>
    </row>
    <row r="3770" spans="1:10" x14ac:dyDescent="0.3">
      <c r="A3770" t="s">
        <v>6</v>
      </c>
      <c r="B3770" t="str">
        <f>"01/25/1996 00:00"</f>
        <v>01/25/1996 00:00</v>
      </c>
      <c r="C3770">
        <v>9.07</v>
      </c>
      <c r="D3770" t="s">
        <v>7</v>
      </c>
      <c r="E3770" s="2" t="s">
        <v>12</v>
      </c>
      <c r="F3770">
        <f t="shared" si="58"/>
        <v>17.985810000000001</v>
      </c>
      <c r="G3770" t="s">
        <v>16</v>
      </c>
      <c r="J3770" t="str">
        <f>"01/25/1996 23:00"</f>
        <v>01/25/1996 23:00</v>
      </c>
    </row>
    <row r="3771" spans="1:10" x14ac:dyDescent="0.3">
      <c r="A3771" t="s">
        <v>6</v>
      </c>
      <c r="B3771" t="str">
        <f>"01/26/1996 00:00"</f>
        <v>01/26/1996 00:00</v>
      </c>
      <c r="C3771">
        <v>7.93</v>
      </c>
      <c r="D3771" t="s">
        <v>7</v>
      </c>
      <c r="E3771" s="2" t="s">
        <v>12</v>
      </c>
      <c r="F3771">
        <f t="shared" si="58"/>
        <v>15.72519</v>
      </c>
      <c r="G3771" t="s">
        <v>16</v>
      </c>
      <c r="J3771" t="str">
        <f>"01/26/1996 23:00"</f>
        <v>01/26/1996 23:00</v>
      </c>
    </row>
    <row r="3772" spans="1:10" x14ac:dyDescent="0.3">
      <c r="A3772" t="s">
        <v>6</v>
      </c>
      <c r="B3772" t="str">
        <f>"01/27/1996 00:00"</f>
        <v>01/27/1996 00:00</v>
      </c>
      <c r="C3772">
        <v>0</v>
      </c>
      <c r="D3772" t="s">
        <v>7</v>
      </c>
      <c r="E3772" s="2" t="s">
        <v>12</v>
      </c>
      <c r="F3772">
        <f t="shared" si="58"/>
        <v>0</v>
      </c>
      <c r="G3772" t="s">
        <v>16</v>
      </c>
      <c r="J3772" t="str">
        <f>"01/27/1996 23:00"</f>
        <v>01/27/1996 23:00</v>
      </c>
    </row>
    <row r="3773" spans="1:10" x14ac:dyDescent="0.3">
      <c r="A3773" t="s">
        <v>6</v>
      </c>
      <c r="B3773" t="str">
        <f>"01/28/1996 00:00"</f>
        <v>01/28/1996 00:00</v>
      </c>
      <c r="C3773">
        <v>1.08</v>
      </c>
      <c r="D3773" t="s">
        <v>7</v>
      </c>
      <c r="E3773" s="2" t="s">
        <v>12</v>
      </c>
      <c r="F3773">
        <f t="shared" si="58"/>
        <v>2.1416400000000002</v>
      </c>
      <c r="G3773" t="s">
        <v>16</v>
      </c>
      <c r="J3773" t="str">
        <f>"01/28/1996 23:00"</f>
        <v>01/28/1996 23:00</v>
      </c>
    </row>
    <row r="3774" spans="1:10" x14ac:dyDescent="0.3">
      <c r="A3774" t="s">
        <v>6</v>
      </c>
      <c r="B3774" t="str">
        <f>"01/29/1996 00:00"</f>
        <v>01/29/1996 00:00</v>
      </c>
      <c r="C3774">
        <v>6.45</v>
      </c>
      <c r="D3774" t="s">
        <v>7</v>
      </c>
      <c r="E3774" s="2" t="s">
        <v>12</v>
      </c>
      <c r="F3774">
        <f t="shared" si="58"/>
        <v>12.79035</v>
      </c>
      <c r="G3774" t="s">
        <v>16</v>
      </c>
      <c r="J3774" t="str">
        <f>"01/29/1996 23:00"</f>
        <v>01/29/1996 23:00</v>
      </c>
    </row>
    <row r="3775" spans="1:10" x14ac:dyDescent="0.3">
      <c r="A3775" t="s">
        <v>6</v>
      </c>
      <c r="B3775" t="str">
        <f>"01/30/1996 00:00"</f>
        <v>01/30/1996 00:00</v>
      </c>
      <c r="C3775">
        <v>8.1999999999999993</v>
      </c>
      <c r="D3775" t="s">
        <v>7</v>
      </c>
      <c r="E3775" s="2" t="s">
        <v>12</v>
      </c>
      <c r="F3775">
        <f t="shared" si="58"/>
        <v>16.2606</v>
      </c>
      <c r="G3775" t="s">
        <v>16</v>
      </c>
      <c r="J3775" t="str">
        <f>"01/30/1996 23:00"</f>
        <v>01/30/1996 23:00</v>
      </c>
    </row>
    <row r="3776" spans="1:10" x14ac:dyDescent="0.3">
      <c r="A3776" t="s">
        <v>6</v>
      </c>
      <c r="B3776" t="str">
        <f>"01/31/1996 00:00"</f>
        <v>01/31/1996 00:00</v>
      </c>
      <c r="C3776">
        <v>8.1999999999999993</v>
      </c>
      <c r="D3776" t="s">
        <v>7</v>
      </c>
      <c r="E3776" s="2" t="s">
        <v>12</v>
      </c>
      <c r="F3776">
        <f t="shared" si="58"/>
        <v>16.2606</v>
      </c>
      <c r="G3776" t="s">
        <v>16</v>
      </c>
      <c r="J3776" t="str">
        <f>"01/31/1996 23:00"</f>
        <v>01/31/1996 23:00</v>
      </c>
    </row>
    <row r="3777" spans="1:10" x14ac:dyDescent="0.3">
      <c r="A3777" t="s">
        <v>6</v>
      </c>
      <c r="B3777" t="str">
        <f>"02/01/1996 00:00"</f>
        <v>02/01/1996 00:00</v>
      </c>
      <c r="C3777">
        <v>8.15</v>
      </c>
      <c r="D3777" t="s">
        <v>7</v>
      </c>
      <c r="E3777" s="2" t="s">
        <v>12</v>
      </c>
      <c r="F3777">
        <f t="shared" si="58"/>
        <v>16.161450000000002</v>
      </c>
      <c r="G3777" t="s">
        <v>16</v>
      </c>
      <c r="J3777" t="str">
        <f>"02/01/1996 23:00"</f>
        <v>02/01/1996 23:00</v>
      </c>
    </row>
    <row r="3778" spans="1:10" x14ac:dyDescent="0.3">
      <c r="A3778" t="s">
        <v>6</v>
      </c>
      <c r="B3778" t="str">
        <f>"02/02/1996 00:00"</f>
        <v>02/02/1996 00:00</v>
      </c>
      <c r="C3778">
        <v>7.8</v>
      </c>
      <c r="D3778" t="s">
        <v>7</v>
      </c>
      <c r="E3778" s="2" t="s">
        <v>12</v>
      </c>
      <c r="F3778">
        <f t="shared" si="58"/>
        <v>15.4674</v>
      </c>
      <c r="G3778" t="s">
        <v>16</v>
      </c>
      <c r="J3778" t="str">
        <f>"02/02/1996 23:00"</f>
        <v>02/02/1996 23:00</v>
      </c>
    </row>
    <row r="3779" spans="1:10" x14ac:dyDescent="0.3">
      <c r="A3779" t="s">
        <v>6</v>
      </c>
      <c r="B3779" t="str">
        <f>"02/03/1996 00:00"</f>
        <v>02/03/1996 00:00</v>
      </c>
      <c r="C3779">
        <v>11.6</v>
      </c>
      <c r="D3779" t="s">
        <v>7</v>
      </c>
      <c r="E3779" s="2" t="s">
        <v>12</v>
      </c>
      <c r="F3779">
        <f t="shared" ref="F3779:F3842" si="59">C3779*1.983</f>
        <v>23.002800000000001</v>
      </c>
      <c r="G3779" t="s">
        <v>16</v>
      </c>
      <c r="J3779" t="str">
        <f>"02/03/1996 23:00"</f>
        <v>02/03/1996 23:00</v>
      </c>
    </row>
    <row r="3780" spans="1:10" x14ac:dyDescent="0.3">
      <c r="A3780" t="s">
        <v>6</v>
      </c>
      <c r="B3780" t="str">
        <f>"02/04/1996 00:00"</f>
        <v>02/04/1996 00:00</v>
      </c>
      <c r="C3780">
        <v>11.4</v>
      </c>
      <c r="D3780" t="s">
        <v>7</v>
      </c>
      <c r="E3780" s="2" t="s">
        <v>12</v>
      </c>
      <c r="F3780">
        <f t="shared" si="59"/>
        <v>22.606200000000001</v>
      </c>
      <c r="G3780" t="s">
        <v>16</v>
      </c>
      <c r="J3780" t="str">
        <f>"02/04/1996 23:00"</f>
        <v>02/04/1996 23:00</v>
      </c>
    </row>
    <row r="3781" spans="1:10" x14ac:dyDescent="0.3">
      <c r="A3781" t="s">
        <v>6</v>
      </c>
      <c r="B3781" t="str">
        <f>"02/05/1996 00:00"</f>
        <v>02/05/1996 00:00</v>
      </c>
      <c r="C3781">
        <v>10.5</v>
      </c>
      <c r="D3781" t="s">
        <v>7</v>
      </c>
      <c r="E3781" s="2" t="s">
        <v>12</v>
      </c>
      <c r="F3781">
        <f t="shared" si="59"/>
        <v>20.8215</v>
      </c>
      <c r="G3781" t="s">
        <v>16</v>
      </c>
      <c r="J3781" t="str">
        <f>"02/05/1996 23:00"</f>
        <v>02/05/1996 23:00</v>
      </c>
    </row>
    <row r="3782" spans="1:10" x14ac:dyDescent="0.3">
      <c r="A3782" t="s">
        <v>6</v>
      </c>
      <c r="B3782" t="str">
        <f>"02/06/1996 00:00"</f>
        <v>02/06/1996 00:00</v>
      </c>
      <c r="C3782">
        <v>6.75</v>
      </c>
      <c r="D3782" t="s">
        <v>7</v>
      </c>
      <c r="E3782" s="2" t="s">
        <v>12</v>
      </c>
      <c r="F3782">
        <f t="shared" si="59"/>
        <v>13.385250000000001</v>
      </c>
      <c r="G3782" t="s">
        <v>16</v>
      </c>
      <c r="J3782" t="str">
        <f>"02/06/1996 23:00"</f>
        <v>02/06/1996 23:00</v>
      </c>
    </row>
    <row r="3783" spans="1:10" x14ac:dyDescent="0.3">
      <c r="A3783" t="s">
        <v>6</v>
      </c>
      <c r="B3783" t="str">
        <f>"02/07/1996 00:00"</f>
        <v>02/07/1996 00:00</v>
      </c>
      <c r="C3783">
        <v>9.4499999999999993</v>
      </c>
      <c r="D3783" t="s">
        <v>7</v>
      </c>
      <c r="E3783" s="2" t="s">
        <v>12</v>
      </c>
      <c r="F3783">
        <f t="shared" si="59"/>
        <v>18.739349999999998</v>
      </c>
      <c r="G3783" t="s">
        <v>16</v>
      </c>
      <c r="J3783" t="str">
        <f>"02/07/1996 23:00"</f>
        <v>02/07/1996 23:00</v>
      </c>
    </row>
    <row r="3784" spans="1:10" x14ac:dyDescent="0.3">
      <c r="A3784" t="s">
        <v>6</v>
      </c>
      <c r="B3784" t="str">
        <f>"02/08/1996 00:00"</f>
        <v>02/08/1996 00:00</v>
      </c>
      <c r="C3784">
        <v>8.33</v>
      </c>
      <c r="D3784" t="s">
        <v>7</v>
      </c>
      <c r="E3784" s="2" t="s">
        <v>12</v>
      </c>
      <c r="F3784">
        <f t="shared" si="59"/>
        <v>16.51839</v>
      </c>
      <c r="G3784" t="s">
        <v>16</v>
      </c>
      <c r="J3784" t="str">
        <f>"02/08/1996 23:00"</f>
        <v>02/08/1996 23:00</v>
      </c>
    </row>
    <row r="3785" spans="1:10" x14ac:dyDescent="0.3">
      <c r="A3785" t="s">
        <v>6</v>
      </c>
      <c r="B3785" t="str">
        <f>"02/09/1996 00:00"</f>
        <v>02/09/1996 00:00</v>
      </c>
      <c r="C3785">
        <v>10.199999999999999</v>
      </c>
      <c r="D3785" t="s">
        <v>7</v>
      </c>
      <c r="E3785" s="2" t="s">
        <v>12</v>
      </c>
      <c r="F3785">
        <f t="shared" si="59"/>
        <v>20.226600000000001</v>
      </c>
      <c r="G3785" t="s">
        <v>16</v>
      </c>
      <c r="J3785" t="str">
        <f>"02/09/1996 23:00"</f>
        <v>02/09/1996 23:00</v>
      </c>
    </row>
    <row r="3786" spans="1:10" x14ac:dyDescent="0.3">
      <c r="A3786" t="s">
        <v>6</v>
      </c>
      <c r="B3786" t="str">
        <f>"02/10/1996 00:00"</f>
        <v>02/10/1996 00:00</v>
      </c>
      <c r="C3786">
        <v>3.24</v>
      </c>
      <c r="D3786" t="s">
        <v>7</v>
      </c>
      <c r="E3786" s="2" t="s">
        <v>12</v>
      </c>
      <c r="F3786">
        <f t="shared" si="59"/>
        <v>6.4249200000000011</v>
      </c>
      <c r="G3786" t="s">
        <v>16</v>
      </c>
      <c r="I3786" t="s">
        <v>8</v>
      </c>
      <c r="J3786" t="str">
        <f>"02/10/1996 23:00"</f>
        <v>02/10/1996 23:00</v>
      </c>
    </row>
    <row r="3787" spans="1:10" x14ac:dyDescent="0.3">
      <c r="A3787" t="s">
        <v>6</v>
      </c>
      <c r="B3787" t="str">
        <f>"02/11/1996 00:00"</f>
        <v>02/11/1996 00:00</v>
      </c>
      <c r="C3787">
        <v>4.16</v>
      </c>
      <c r="D3787" t="s">
        <v>7</v>
      </c>
      <c r="E3787" s="2" t="s">
        <v>12</v>
      </c>
      <c r="F3787">
        <f t="shared" si="59"/>
        <v>8.2492800000000006</v>
      </c>
      <c r="G3787" t="s">
        <v>16</v>
      </c>
      <c r="J3787" t="str">
        <f>"02/11/1996 23:00"</f>
        <v>02/11/1996 23:00</v>
      </c>
    </row>
    <row r="3788" spans="1:10" x14ac:dyDescent="0.3">
      <c r="A3788" t="s">
        <v>6</v>
      </c>
      <c r="B3788" t="str">
        <f>"02/12/1996 00:00"</f>
        <v>02/12/1996 00:00</v>
      </c>
      <c r="C3788">
        <v>10.8</v>
      </c>
      <c r="D3788" t="s">
        <v>7</v>
      </c>
      <c r="E3788" s="2" t="s">
        <v>12</v>
      </c>
      <c r="F3788">
        <f t="shared" si="59"/>
        <v>21.416400000000003</v>
      </c>
      <c r="G3788" t="s">
        <v>16</v>
      </c>
      <c r="J3788" t="str">
        <f>"02/12/1996 23:00"</f>
        <v>02/12/1996 23:00</v>
      </c>
    </row>
    <row r="3789" spans="1:10" x14ac:dyDescent="0.3">
      <c r="A3789" t="s">
        <v>6</v>
      </c>
      <c r="B3789" t="str">
        <f>"02/13/1996 00:00"</f>
        <v>02/13/1996 00:00</v>
      </c>
      <c r="C3789">
        <v>14.5</v>
      </c>
      <c r="D3789" t="s">
        <v>7</v>
      </c>
      <c r="E3789" s="2" t="s">
        <v>12</v>
      </c>
      <c r="F3789">
        <f t="shared" si="59"/>
        <v>28.753500000000003</v>
      </c>
      <c r="G3789" t="s">
        <v>16</v>
      </c>
      <c r="J3789" t="str">
        <f>"02/13/1996 23:00"</f>
        <v>02/13/1996 23:00</v>
      </c>
    </row>
    <row r="3790" spans="1:10" x14ac:dyDescent="0.3">
      <c r="A3790" t="s">
        <v>6</v>
      </c>
      <c r="B3790" t="str">
        <f>"02/14/1996 00:00"</f>
        <v>02/14/1996 00:00</v>
      </c>
      <c r="C3790">
        <v>10.1</v>
      </c>
      <c r="D3790" t="s">
        <v>7</v>
      </c>
      <c r="E3790" s="2" t="s">
        <v>12</v>
      </c>
      <c r="F3790">
        <f t="shared" si="59"/>
        <v>20.028300000000002</v>
      </c>
      <c r="G3790" t="s">
        <v>16</v>
      </c>
      <c r="J3790" t="str">
        <f>"02/14/1996 23:00"</f>
        <v>02/14/1996 23:00</v>
      </c>
    </row>
    <row r="3791" spans="1:10" x14ac:dyDescent="0.3">
      <c r="A3791" t="s">
        <v>6</v>
      </c>
      <c r="B3791" t="str">
        <f>"02/15/1996 00:00"</f>
        <v>02/15/1996 00:00</v>
      </c>
      <c r="C3791">
        <v>5.07</v>
      </c>
      <c r="D3791" t="s">
        <v>7</v>
      </c>
      <c r="E3791" s="2" t="s">
        <v>12</v>
      </c>
      <c r="F3791">
        <f t="shared" si="59"/>
        <v>10.05381</v>
      </c>
      <c r="G3791" t="s">
        <v>16</v>
      </c>
      <c r="J3791" t="str">
        <f>"02/15/1996 23:00"</f>
        <v>02/15/1996 23:00</v>
      </c>
    </row>
    <row r="3792" spans="1:10" x14ac:dyDescent="0.3">
      <c r="A3792" t="s">
        <v>6</v>
      </c>
      <c r="B3792" t="str">
        <f>"02/16/1996 00:00"</f>
        <v>02/16/1996 00:00</v>
      </c>
      <c r="C3792">
        <v>5.63</v>
      </c>
      <c r="D3792" t="s">
        <v>7</v>
      </c>
      <c r="E3792" s="2" t="s">
        <v>12</v>
      </c>
      <c r="F3792">
        <f t="shared" si="59"/>
        <v>11.164290000000001</v>
      </c>
      <c r="G3792" t="s">
        <v>16</v>
      </c>
      <c r="J3792" t="str">
        <f>"02/16/1996 23:00"</f>
        <v>02/16/1996 23:00</v>
      </c>
    </row>
    <row r="3793" spans="1:10" x14ac:dyDescent="0.3">
      <c r="A3793" t="s">
        <v>6</v>
      </c>
      <c r="B3793" t="str">
        <f>"02/17/1996 00:00"</f>
        <v>02/17/1996 00:00</v>
      </c>
      <c r="C3793">
        <v>3.38</v>
      </c>
      <c r="D3793" t="s">
        <v>7</v>
      </c>
      <c r="E3793" s="2" t="s">
        <v>12</v>
      </c>
      <c r="F3793">
        <f t="shared" si="59"/>
        <v>6.7025399999999999</v>
      </c>
      <c r="G3793" t="s">
        <v>16</v>
      </c>
      <c r="J3793" t="str">
        <f>"02/17/1996 23:00"</f>
        <v>02/17/1996 23:00</v>
      </c>
    </row>
    <row r="3794" spans="1:10" x14ac:dyDescent="0.3">
      <c r="A3794" t="s">
        <v>6</v>
      </c>
      <c r="B3794" t="str">
        <f>"02/18/1996 00:00"</f>
        <v>02/18/1996 00:00</v>
      </c>
      <c r="C3794">
        <v>5.07</v>
      </c>
      <c r="D3794" t="s">
        <v>7</v>
      </c>
      <c r="E3794" s="2" t="s">
        <v>12</v>
      </c>
      <c r="F3794">
        <f t="shared" si="59"/>
        <v>10.05381</v>
      </c>
      <c r="G3794" t="s">
        <v>16</v>
      </c>
      <c r="J3794" t="str">
        <f>"02/18/1996 23:00"</f>
        <v>02/18/1996 23:00</v>
      </c>
    </row>
    <row r="3795" spans="1:10" x14ac:dyDescent="0.3">
      <c r="A3795" t="s">
        <v>6</v>
      </c>
      <c r="B3795" t="str">
        <f>"02/19/1996 00:00"</f>
        <v>02/19/1996 00:00</v>
      </c>
      <c r="C3795">
        <v>5.07</v>
      </c>
      <c r="D3795" t="s">
        <v>7</v>
      </c>
      <c r="E3795" s="2" t="s">
        <v>12</v>
      </c>
      <c r="F3795">
        <f t="shared" si="59"/>
        <v>10.05381</v>
      </c>
      <c r="G3795" t="s">
        <v>16</v>
      </c>
      <c r="J3795" t="str">
        <f>"02/19/1996 23:00"</f>
        <v>02/19/1996 23:00</v>
      </c>
    </row>
    <row r="3796" spans="1:10" x14ac:dyDescent="0.3">
      <c r="A3796" t="s">
        <v>6</v>
      </c>
      <c r="B3796" t="str">
        <f>"02/20/1996 00:00"</f>
        <v>02/20/1996 00:00</v>
      </c>
      <c r="C3796">
        <v>3.38</v>
      </c>
      <c r="D3796" t="s">
        <v>7</v>
      </c>
      <c r="E3796" s="2" t="s">
        <v>12</v>
      </c>
      <c r="F3796">
        <f t="shared" si="59"/>
        <v>6.7025399999999999</v>
      </c>
      <c r="G3796" t="s">
        <v>16</v>
      </c>
      <c r="J3796" t="str">
        <f>"02/20/1996 23:00"</f>
        <v>02/20/1996 23:00</v>
      </c>
    </row>
    <row r="3797" spans="1:10" x14ac:dyDescent="0.3">
      <c r="A3797" t="s">
        <v>6</v>
      </c>
      <c r="B3797" t="str">
        <f>"02/21/1996 00:00"</f>
        <v>02/21/1996 00:00</v>
      </c>
      <c r="C3797">
        <v>5.34</v>
      </c>
      <c r="D3797" t="s">
        <v>7</v>
      </c>
      <c r="E3797" s="2" t="s">
        <v>12</v>
      </c>
      <c r="F3797">
        <f t="shared" si="59"/>
        <v>10.589220000000001</v>
      </c>
      <c r="G3797" t="s">
        <v>16</v>
      </c>
      <c r="J3797" t="str">
        <f>"02/21/1996 23:00"</f>
        <v>02/21/1996 23:00</v>
      </c>
    </row>
    <row r="3798" spans="1:10" x14ac:dyDescent="0.3">
      <c r="A3798" t="s">
        <v>6</v>
      </c>
      <c r="B3798" t="str">
        <f>"02/22/1996 00:00"</f>
        <v>02/22/1996 00:00</v>
      </c>
      <c r="C3798">
        <v>4.91</v>
      </c>
      <c r="D3798" t="s">
        <v>7</v>
      </c>
      <c r="E3798" s="2" t="s">
        <v>12</v>
      </c>
      <c r="F3798">
        <f t="shared" si="59"/>
        <v>9.7365300000000001</v>
      </c>
      <c r="G3798" t="s">
        <v>16</v>
      </c>
      <c r="J3798" t="str">
        <f>"02/22/1996 23:00"</f>
        <v>02/22/1996 23:00</v>
      </c>
    </row>
    <row r="3799" spans="1:10" x14ac:dyDescent="0.3">
      <c r="A3799" t="s">
        <v>6</v>
      </c>
      <c r="B3799" t="str">
        <f>"02/23/1996 00:00"</f>
        <v>02/23/1996 00:00</v>
      </c>
      <c r="C3799">
        <v>4.8899999999999997</v>
      </c>
      <c r="D3799" t="s">
        <v>7</v>
      </c>
      <c r="E3799" s="2" t="s">
        <v>12</v>
      </c>
      <c r="F3799">
        <f t="shared" si="59"/>
        <v>9.6968700000000005</v>
      </c>
      <c r="G3799" t="s">
        <v>16</v>
      </c>
      <c r="J3799" t="str">
        <f>"02/23/1996 23:00"</f>
        <v>02/23/1996 23:00</v>
      </c>
    </row>
    <row r="3800" spans="1:10" x14ac:dyDescent="0.3">
      <c r="A3800" t="s">
        <v>6</v>
      </c>
      <c r="B3800" t="str">
        <f>"02/24/1996 00:00"</f>
        <v>02/24/1996 00:00</v>
      </c>
      <c r="C3800">
        <v>4.91</v>
      </c>
      <c r="D3800" t="s">
        <v>7</v>
      </c>
      <c r="E3800" s="2" t="s">
        <v>12</v>
      </c>
      <c r="F3800">
        <f t="shared" si="59"/>
        <v>9.7365300000000001</v>
      </c>
      <c r="G3800" t="s">
        <v>16</v>
      </c>
      <c r="I3800" t="s">
        <v>8</v>
      </c>
      <c r="J3800" t="str">
        <f>"02/24/1996 23:00"</f>
        <v>02/24/1996 23:00</v>
      </c>
    </row>
    <row r="3801" spans="1:10" x14ac:dyDescent="0.3">
      <c r="A3801" t="s">
        <v>6</v>
      </c>
      <c r="B3801" t="str">
        <f>"02/25/1996 00:00"</f>
        <v>02/25/1996 00:00</v>
      </c>
      <c r="C3801">
        <v>4.91</v>
      </c>
      <c r="D3801" t="s">
        <v>7</v>
      </c>
      <c r="E3801" s="2" t="s">
        <v>12</v>
      </c>
      <c r="F3801">
        <f t="shared" si="59"/>
        <v>9.7365300000000001</v>
      </c>
      <c r="G3801" t="s">
        <v>16</v>
      </c>
      <c r="I3801" t="s">
        <v>8</v>
      </c>
      <c r="J3801" t="str">
        <f>"02/25/1996 23:00"</f>
        <v>02/25/1996 23:00</v>
      </c>
    </row>
    <row r="3802" spans="1:10" x14ac:dyDescent="0.3">
      <c r="A3802" t="s">
        <v>6</v>
      </c>
      <c r="B3802" t="str">
        <f>"02/26/1996 00:00"</f>
        <v>02/26/1996 00:00</v>
      </c>
      <c r="C3802">
        <v>4.91</v>
      </c>
      <c r="D3802" t="s">
        <v>7</v>
      </c>
      <c r="E3802" s="2" t="s">
        <v>12</v>
      </c>
      <c r="F3802">
        <f t="shared" si="59"/>
        <v>9.7365300000000001</v>
      </c>
      <c r="G3802" t="s">
        <v>16</v>
      </c>
      <c r="I3802" t="s">
        <v>8</v>
      </c>
      <c r="J3802" t="str">
        <f>"02/26/1996 23:00"</f>
        <v>02/26/1996 23:00</v>
      </c>
    </row>
    <row r="3803" spans="1:10" x14ac:dyDescent="0.3">
      <c r="A3803" t="s">
        <v>6</v>
      </c>
      <c r="B3803" t="str">
        <f>"02/27/1996 00:00"</f>
        <v>02/27/1996 00:00</v>
      </c>
      <c r="C3803">
        <v>4.91</v>
      </c>
      <c r="D3803" t="s">
        <v>7</v>
      </c>
      <c r="E3803" s="2" t="s">
        <v>12</v>
      </c>
      <c r="F3803">
        <f t="shared" si="59"/>
        <v>9.7365300000000001</v>
      </c>
      <c r="G3803" t="s">
        <v>16</v>
      </c>
      <c r="I3803" t="s">
        <v>35</v>
      </c>
      <c r="J3803" t="str">
        <f>"02/27/1996 23:00"</f>
        <v>02/27/1996 23:00</v>
      </c>
    </row>
    <row r="3804" spans="1:10" x14ac:dyDescent="0.3">
      <c r="A3804" t="s">
        <v>6</v>
      </c>
      <c r="B3804" t="str">
        <f>"02/28/1996 00:00"</f>
        <v>02/28/1996 00:00</v>
      </c>
      <c r="D3804" t="s">
        <v>7</v>
      </c>
      <c r="E3804" s="2" t="s">
        <v>12</v>
      </c>
      <c r="F3804">
        <f t="shared" si="59"/>
        <v>0</v>
      </c>
      <c r="G3804" t="s">
        <v>16</v>
      </c>
    </row>
    <row r="3805" spans="1:10" x14ac:dyDescent="0.3">
      <c r="A3805" t="s">
        <v>6</v>
      </c>
      <c r="B3805" t="str">
        <f>"02/29/1996 00:00"</f>
        <v>02/29/1996 00:00</v>
      </c>
      <c r="D3805" t="s">
        <v>7</v>
      </c>
      <c r="E3805" s="2" t="s">
        <v>12</v>
      </c>
      <c r="F3805">
        <f t="shared" si="59"/>
        <v>0</v>
      </c>
      <c r="G3805" t="s">
        <v>16</v>
      </c>
    </row>
    <row r="3806" spans="1:10" x14ac:dyDescent="0.3">
      <c r="A3806" t="s">
        <v>6</v>
      </c>
      <c r="B3806" t="str">
        <f>"03/01/1996 00:00"</f>
        <v>03/01/1996 00:00</v>
      </c>
      <c r="C3806">
        <v>4.4800000000000004</v>
      </c>
      <c r="D3806" t="s">
        <v>7</v>
      </c>
      <c r="E3806" s="2" t="s">
        <v>12</v>
      </c>
      <c r="F3806">
        <f t="shared" si="59"/>
        <v>8.8838400000000011</v>
      </c>
      <c r="G3806" t="s">
        <v>16</v>
      </c>
      <c r="J3806" t="str">
        <f>"03/01/1996 23:00"</f>
        <v>03/01/1996 23:00</v>
      </c>
    </row>
    <row r="3807" spans="1:10" x14ac:dyDescent="0.3">
      <c r="A3807" t="s">
        <v>6</v>
      </c>
      <c r="B3807" t="str">
        <f>"03/02/1996 00:00"</f>
        <v>03/02/1996 00:00</v>
      </c>
      <c r="C3807">
        <v>4.5</v>
      </c>
      <c r="D3807" t="s">
        <v>7</v>
      </c>
      <c r="E3807" s="2" t="s">
        <v>12</v>
      </c>
      <c r="F3807">
        <f t="shared" si="59"/>
        <v>8.9235000000000007</v>
      </c>
      <c r="G3807" t="s">
        <v>16</v>
      </c>
      <c r="I3807" t="s">
        <v>8</v>
      </c>
      <c r="J3807" t="str">
        <f>"03/02/1996 23:00"</f>
        <v>03/02/1996 23:00</v>
      </c>
    </row>
    <row r="3808" spans="1:10" x14ac:dyDescent="0.3">
      <c r="A3808" t="s">
        <v>6</v>
      </c>
      <c r="B3808" t="str">
        <f>"03/03/1996 00:00"</f>
        <v>03/03/1996 00:00</v>
      </c>
      <c r="C3808">
        <v>4.4800000000000004</v>
      </c>
      <c r="D3808" t="s">
        <v>7</v>
      </c>
      <c r="E3808" s="2" t="s">
        <v>12</v>
      </c>
      <c r="F3808">
        <f t="shared" si="59"/>
        <v>8.8838400000000011</v>
      </c>
      <c r="G3808" t="s">
        <v>16</v>
      </c>
      <c r="I3808" t="s">
        <v>8</v>
      </c>
      <c r="J3808" t="str">
        <f>"03/03/1996 23:00"</f>
        <v>03/03/1996 23:00</v>
      </c>
    </row>
    <row r="3809" spans="1:10" x14ac:dyDescent="0.3">
      <c r="A3809" t="s">
        <v>6</v>
      </c>
      <c r="B3809" t="str">
        <f>"03/04/1996 00:00"</f>
        <v>03/04/1996 00:00</v>
      </c>
      <c r="C3809">
        <v>4.5</v>
      </c>
      <c r="D3809" t="s">
        <v>7</v>
      </c>
      <c r="E3809" s="2" t="s">
        <v>12</v>
      </c>
      <c r="F3809">
        <f t="shared" si="59"/>
        <v>8.9235000000000007</v>
      </c>
      <c r="G3809" t="s">
        <v>16</v>
      </c>
      <c r="I3809" t="s">
        <v>8</v>
      </c>
      <c r="J3809" t="str">
        <f>"03/04/1996 23:00"</f>
        <v>03/04/1996 23:00</v>
      </c>
    </row>
    <row r="3810" spans="1:10" x14ac:dyDescent="0.3">
      <c r="A3810" t="s">
        <v>6</v>
      </c>
      <c r="B3810" t="str">
        <f>"03/05/1996 00:00"</f>
        <v>03/05/1996 00:00</v>
      </c>
      <c r="C3810">
        <v>4.53</v>
      </c>
      <c r="D3810" t="s">
        <v>7</v>
      </c>
      <c r="E3810" s="2" t="s">
        <v>12</v>
      </c>
      <c r="F3810">
        <f t="shared" si="59"/>
        <v>8.9829900000000009</v>
      </c>
      <c r="G3810" t="s">
        <v>16</v>
      </c>
      <c r="I3810" t="s">
        <v>8</v>
      </c>
      <c r="J3810" t="str">
        <f>"03/05/1996 23:00"</f>
        <v>03/05/1996 23:00</v>
      </c>
    </row>
    <row r="3811" spans="1:10" x14ac:dyDescent="0.3">
      <c r="A3811" t="s">
        <v>6</v>
      </c>
      <c r="B3811" t="str">
        <f>"03/06/1996 00:00"</f>
        <v>03/06/1996 00:00</v>
      </c>
      <c r="C3811">
        <v>4.5199999999999996</v>
      </c>
      <c r="D3811" t="s">
        <v>7</v>
      </c>
      <c r="E3811" s="2" t="s">
        <v>12</v>
      </c>
      <c r="F3811">
        <f t="shared" si="59"/>
        <v>8.9631600000000002</v>
      </c>
      <c r="G3811" t="s">
        <v>16</v>
      </c>
      <c r="J3811" t="str">
        <f>"03/06/1996 23:00"</f>
        <v>03/06/1996 23:00</v>
      </c>
    </row>
    <row r="3812" spans="1:10" x14ac:dyDescent="0.3">
      <c r="A3812" t="s">
        <v>6</v>
      </c>
      <c r="B3812" t="str">
        <f>"03/07/1996 00:00"</f>
        <v>03/07/1996 00:00</v>
      </c>
      <c r="C3812">
        <v>4.4800000000000004</v>
      </c>
      <c r="D3812" t="s">
        <v>7</v>
      </c>
      <c r="E3812" s="2" t="s">
        <v>12</v>
      </c>
      <c r="F3812">
        <f t="shared" si="59"/>
        <v>8.8838400000000011</v>
      </c>
      <c r="G3812" t="s">
        <v>16</v>
      </c>
      <c r="J3812" t="str">
        <f>"03/07/1996 23:00"</f>
        <v>03/07/1996 23:00</v>
      </c>
    </row>
    <row r="3813" spans="1:10" x14ac:dyDescent="0.3">
      <c r="A3813" t="s">
        <v>6</v>
      </c>
      <c r="B3813" t="str">
        <f>"03/08/1996 00:00"</f>
        <v>03/08/1996 00:00</v>
      </c>
      <c r="C3813">
        <v>4.4800000000000004</v>
      </c>
      <c r="D3813" t="s">
        <v>7</v>
      </c>
      <c r="E3813" s="2" t="s">
        <v>12</v>
      </c>
      <c r="F3813">
        <f t="shared" si="59"/>
        <v>8.8838400000000011</v>
      </c>
      <c r="G3813" t="s">
        <v>16</v>
      </c>
      <c r="I3813" t="s">
        <v>8</v>
      </c>
      <c r="J3813" t="str">
        <f>"03/08/1996 23:00"</f>
        <v>03/08/1996 23:00</v>
      </c>
    </row>
    <row r="3814" spans="1:10" x14ac:dyDescent="0.3">
      <c r="A3814" t="s">
        <v>6</v>
      </c>
      <c r="B3814" t="str">
        <f>"03/09/1996 00:00"</f>
        <v>03/09/1996 00:00</v>
      </c>
      <c r="C3814">
        <v>4.4800000000000004</v>
      </c>
      <c r="D3814" t="s">
        <v>7</v>
      </c>
      <c r="E3814" s="2" t="s">
        <v>12</v>
      </c>
      <c r="F3814">
        <f t="shared" si="59"/>
        <v>8.8838400000000011</v>
      </c>
      <c r="G3814" t="s">
        <v>16</v>
      </c>
      <c r="J3814" t="str">
        <f>"03/09/1996 23:00"</f>
        <v>03/09/1996 23:00</v>
      </c>
    </row>
    <row r="3815" spans="1:10" x14ac:dyDescent="0.3">
      <c r="A3815" t="s">
        <v>6</v>
      </c>
      <c r="B3815" t="str">
        <f>"03/10/1996 00:00"</f>
        <v>03/10/1996 00:00</v>
      </c>
      <c r="C3815">
        <v>4.4800000000000004</v>
      </c>
      <c r="D3815" t="s">
        <v>7</v>
      </c>
      <c r="E3815" s="2" t="s">
        <v>12</v>
      </c>
      <c r="F3815">
        <f t="shared" si="59"/>
        <v>8.8838400000000011</v>
      </c>
      <c r="G3815" t="s">
        <v>16</v>
      </c>
      <c r="J3815" t="str">
        <f>"03/10/1996 23:00"</f>
        <v>03/10/1996 23:00</v>
      </c>
    </row>
    <row r="3816" spans="1:10" x14ac:dyDescent="0.3">
      <c r="A3816" t="s">
        <v>6</v>
      </c>
      <c r="B3816" t="str">
        <f>"03/11/1996 00:00"</f>
        <v>03/11/1996 00:00</v>
      </c>
      <c r="C3816">
        <v>4.4800000000000004</v>
      </c>
      <c r="D3816" t="s">
        <v>7</v>
      </c>
      <c r="E3816" s="2" t="s">
        <v>12</v>
      </c>
      <c r="F3816">
        <f t="shared" si="59"/>
        <v>8.8838400000000011</v>
      </c>
      <c r="G3816" t="s">
        <v>16</v>
      </c>
      <c r="I3816" t="s">
        <v>8</v>
      </c>
      <c r="J3816" t="str">
        <f>"03/11/1996 23:00"</f>
        <v>03/11/1996 23:00</v>
      </c>
    </row>
    <row r="3817" spans="1:10" x14ac:dyDescent="0.3">
      <c r="A3817" t="s">
        <v>6</v>
      </c>
      <c r="B3817" t="str">
        <f>"03/12/1996 00:00"</f>
        <v>03/12/1996 00:00</v>
      </c>
      <c r="C3817">
        <v>4.7699999999999996</v>
      </c>
      <c r="D3817" t="s">
        <v>7</v>
      </c>
      <c r="E3817" s="2" t="s">
        <v>12</v>
      </c>
      <c r="F3817">
        <f t="shared" si="59"/>
        <v>9.4589099999999995</v>
      </c>
      <c r="G3817" t="s">
        <v>16</v>
      </c>
      <c r="I3817" t="s">
        <v>8</v>
      </c>
      <c r="J3817" t="str">
        <f>"03/12/1996 23:00"</f>
        <v>03/12/1996 23:00</v>
      </c>
    </row>
    <row r="3818" spans="1:10" x14ac:dyDescent="0.3">
      <c r="A3818" t="s">
        <v>6</v>
      </c>
      <c r="B3818" t="str">
        <f>"03/13/1996 00:00"</f>
        <v>03/13/1996 00:00</v>
      </c>
      <c r="C3818">
        <v>4.91</v>
      </c>
      <c r="D3818" t="s">
        <v>7</v>
      </c>
      <c r="E3818" s="2" t="s">
        <v>12</v>
      </c>
      <c r="F3818">
        <f t="shared" si="59"/>
        <v>9.7365300000000001</v>
      </c>
      <c r="G3818" t="s">
        <v>16</v>
      </c>
      <c r="J3818" t="str">
        <f>"03/13/1996 23:00"</f>
        <v>03/13/1996 23:00</v>
      </c>
    </row>
    <row r="3819" spans="1:10" x14ac:dyDescent="0.3">
      <c r="A3819" t="s">
        <v>6</v>
      </c>
      <c r="B3819" t="str">
        <f>"03/14/1996 00:00"</f>
        <v>03/14/1996 00:00</v>
      </c>
      <c r="C3819">
        <v>4.91</v>
      </c>
      <c r="D3819" t="s">
        <v>7</v>
      </c>
      <c r="E3819" s="2" t="s">
        <v>12</v>
      </c>
      <c r="F3819">
        <f t="shared" si="59"/>
        <v>9.7365300000000001</v>
      </c>
      <c r="G3819" t="s">
        <v>16</v>
      </c>
      <c r="J3819" t="str">
        <f>"03/14/1996 23:00"</f>
        <v>03/14/1996 23:00</v>
      </c>
    </row>
    <row r="3820" spans="1:10" x14ac:dyDescent="0.3">
      <c r="A3820" t="s">
        <v>6</v>
      </c>
      <c r="B3820" t="str">
        <f>"03/15/1996 00:00"</f>
        <v>03/15/1996 00:00</v>
      </c>
      <c r="C3820">
        <v>4.91</v>
      </c>
      <c r="D3820" t="s">
        <v>7</v>
      </c>
      <c r="E3820" s="2" t="s">
        <v>12</v>
      </c>
      <c r="F3820">
        <f t="shared" si="59"/>
        <v>9.7365300000000001</v>
      </c>
      <c r="G3820" t="s">
        <v>16</v>
      </c>
      <c r="J3820" t="str">
        <f>"03/15/1996 23:00"</f>
        <v>03/15/1996 23:00</v>
      </c>
    </row>
    <row r="3821" spans="1:10" x14ac:dyDescent="0.3">
      <c r="A3821" t="s">
        <v>6</v>
      </c>
      <c r="B3821" t="str">
        <f>"03/16/1996 00:00"</f>
        <v>03/16/1996 00:00</v>
      </c>
      <c r="C3821">
        <v>4.91</v>
      </c>
      <c r="D3821" t="s">
        <v>7</v>
      </c>
      <c r="E3821" s="2" t="s">
        <v>12</v>
      </c>
      <c r="F3821">
        <f t="shared" si="59"/>
        <v>9.7365300000000001</v>
      </c>
      <c r="G3821" t="s">
        <v>16</v>
      </c>
      <c r="J3821" t="str">
        <f>"03/16/1996 23:00"</f>
        <v>03/16/1996 23:00</v>
      </c>
    </row>
    <row r="3822" spans="1:10" x14ac:dyDescent="0.3">
      <c r="A3822" t="s">
        <v>6</v>
      </c>
      <c r="B3822" t="str">
        <f>"03/17/1996 00:00"</f>
        <v>03/17/1996 00:00</v>
      </c>
      <c r="C3822">
        <v>4.91</v>
      </c>
      <c r="D3822" t="s">
        <v>7</v>
      </c>
      <c r="E3822" s="2" t="s">
        <v>12</v>
      </c>
      <c r="F3822">
        <f t="shared" si="59"/>
        <v>9.7365300000000001</v>
      </c>
      <c r="G3822" t="s">
        <v>16</v>
      </c>
      <c r="J3822" t="str">
        <f>"03/17/1996 23:00"</f>
        <v>03/17/1996 23:00</v>
      </c>
    </row>
    <row r="3823" spans="1:10" x14ac:dyDescent="0.3">
      <c r="A3823" t="s">
        <v>6</v>
      </c>
      <c r="B3823" t="str">
        <f>"03/18/1996 00:00"</f>
        <v>03/18/1996 00:00</v>
      </c>
      <c r="C3823">
        <v>4.93</v>
      </c>
      <c r="D3823" t="s">
        <v>7</v>
      </c>
      <c r="E3823" s="2" t="s">
        <v>12</v>
      </c>
      <c r="F3823">
        <f t="shared" si="59"/>
        <v>9.7761899999999997</v>
      </c>
      <c r="G3823" t="s">
        <v>16</v>
      </c>
      <c r="J3823" t="str">
        <f>"03/18/1996 23:00"</f>
        <v>03/18/1996 23:00</v>
      </c>
    </row>
    <row r="3824" spans="1:10" x14ac:dyDescent="0.3">
      <c r="A3824" t="s">
        <v>6</v>
      </c>
      <c r="B3824" t="str">
        <f>"03/19/1996 00:00"</f>
        <v>03/19/1996 00:00</v>
      </c>
      <c r="C3824">
        <v>4.91</v>
      </c>
      <c r="D3824" t="s">
        <v>7</v>
      </c>
      <c r="E3824" s="2" t="s">
        <v>12</v>
      </c>
      <c r="F3824">
        <f t="shared" si="59"/>
        <v>9.7365300000000001</v>
      </c>
      <c r="G3824" t="s">
        <v>16</v>
      </c>
      <c r="J3824" t="str">
        <f>"03/19/1996 23:00"</f>
        <v>03/19/1996 23:00</v>
      </c>
    </row>
    <row r="3825" spans="1:10" x14ac:dyDescent="0.3">
      <c r="A3825" t="s">
        <v>6</v>
      </c>
      <c r="B3825" t="str">
        <f>"03/20/1996 00:00"</f>
        <v>03/20/1996 00:00</v>
      </c>
      <c r="C3825">
        <v>4.7699999999999996</v>
      </c>
      <c r="D3825" t="s">
        <v>7</v>
      </c>
      <c r="E3825" s="2" t="s">
        <v>12</v>
      </c>
      <c r="F3825">
        <f t="shared" si="59"/>
        <v>9.4589099999999995</v>
      </c>
      <c r="G3825" t="s">
        <v>16</v>
      </c>
      <c r="J3825" t="str">
        <f>"03/20/1996 23:00"</f>
        <v>03/20/1996 23:00</v>
      </c>
    </row>
    <row r="3826" spans="1:10" x14ac:dyDescent="0.3">
      <c r="A3826" t="s">
        <v>6</v>
      </c>
      <c r="B3826" t="str">
        <f>"03/21/1996 00:00"</f>
        <v>03/21/1996 00:00</v>
      </c>
      <c r="C3826">
        <v>4.4800000000000004</v>
      </c>
      <c r="D3826" t="s">
        <v>7</v>
      </c>
      <c r="E3826" s="2" t="s">
        <v>12</v>
      </c>
      <c r="F3826">
        <f t="shared" si="59"/>
        <v>8.8838400000000011</v>
      </c>
      <c r="G3826" t="s">
        <v>16</v>
      </c>
      <c r="J3826" t="str">
        <f>"03/21/1996 23:00"</f>
        <v>03/21/1996 23:00</v>
      </c>
    </row>
    <row r="3827" spans="1:10" x14ac:dyDescent="0.3">
      <c r="A3827" t="s">
        <v>6</v>
      </c>
      <c r="B3827" t="str">
        <f>"03/22/1996 00:00"</f>
        <v>03/22/1996 00:00</v>
      </c>
      <c r="C3827">
        <v>4.4800000000000004</v>
      </c>
      <c r="D3827" t="s">
        <v>7</v>
      </c>
      <c r="E3827" s="2" t="s">
        <v>12</v>
      </c>
      <c r="F3827">
        <f t="shared" si="59"/>
        <v>8.8838400000000011</v>
      </c>
      <c r="G3827" t="s">
        <v>16</v>
      </c>
      <c r="J3827" t="str">
        <f>"03/22/1996 23:00"</f>
        <v>03/22/1996 23:00</v>
      </c>
    </row>
    <row r="3828" spans="1:10" x14ac:dyDescent="0.3">
      <c r="A3828" t="s">
        <v>6</v>
      </c>
      <c r="B3828" t="str">
        <f>"03/23/1996 00:00"</f>
        <v>03/23/1996 00:00</v>
      </c>
      <c r="C3828">
        <v>4.53</v>
      </c>
      <c r="D3828" t="s">
        <v>7</v>
      </c>
      <c r="E3828" s="2" t="s">
        <v>12</v>
      </c>
      <c r="F3828">
        <f t="shared" si="59"/>
        <v>8.9829900000000009</v>
      </c>
      <c r="G3828" t="s">
        <v>16</v>
      </c>
      <c r="J3828" t="str">
        <f>"03/23/1996 23:00"</f>
        <v>03/23/1996 23:00</v>
      </c>
    </row>
    <row r="3829" spans="1:10" x14ac:dyDescent="0.3">
      <c r="A3829" t="s">
        <v>6</v>
      </c>
      <c r="B3829" t="str">
        <f>"03/24/1996 00:00"</f>
        <v>03/24/1996 00:00</v>
      </c>
      <c r="C3829">
        <v>4.87</v>
      </c>
      <c r="D3829" t="s">
        <v>7</v>
      </c>
      <c r="E3829" s="2" t="s">
        <v>12</v>
      </c>
      <c r="F3829">
        <f t="shared" si="59"/>
        <v>9.657210000000001</v>
      </c>
      <c r="G3829" t="s">
        <v>16</v>
      </c>
      <c r="J3829" t="str">
        <f>"03/24/1996 23:00"</f>
        <v>03/24/1996 23:00</v>
      </c>
    </row>
    <row r="3830" spans="1:10" x14ac:dyDescent="0.3">
      <c r="A3830" t="s">
        <v>6</v>
      </c>
      <c r="B3830" t="str">
        <f>"03/25/1996 00:00"</f>
        <v>03/25/1996 00:00</v>
      </c>
      <c r="C3830">
        <v>2.96</v>
      </c>
      <c r="D3830" t="s">
        <v>7</v>
      </c>
      <c r="E3830" s="2" t="s">
        <v>12</v>
      </c>
      <c r="F3830">
        <f t="shared" si="59"/>
        <v>5.8696799999999998</v>
      </c>
      <c r="G3830" t="s">
        <v>16</v>
      </c>
      <c r="J3830" t="str">
        <f>"03/25/1996 23:00"</f>
        <v>03/25/1996 23:00</v>
      </c>
    </row>
    <row r="3831" spans="1:10" x14ac:dyDescent="0.3">
      <c r="A3831" t="s">
        <v>6</v>
      </c>
      <c r="B3831" t="str">
        <f>"03/26/1996 00:00"</f>
        <v>03/26/1996 00:00</v>
      </c>
      <c r="C3831">
        <v>0.34699999999999998</v>
      </c>
      <c r="D3831" t="s">
        <v>7</v>
      </c>
      <c r="E3831" s="2" t="s">
        <v>12</v>
      </c>
      <c r="F3831">
        <f t="shared" si="59"/>
        <v>0.68810099999999996</v>
      </c>
      <c r="G3831" t="s">
        <v>16</v>
      </c>
      <c r="J3831" t="str">
        <f>"03/26/1996 23:00"</f>
        <v>03/26/1996 23:00</v>
      </c>
    </row>
    <row r="3832" spans="1:10" x14ac:dyDescent="0.3">
      <c r="A3832" t="s">
        <v>6</v>
      </c>
      <c r="B3832" t="str">
        <f>"03/27/1996 00:00"</f>
        <v>03/27/1996 00:00</v>
      </c>
      <c r="C3832">
        <v>0.28000000000000003</v>
      </c>
      <c r="D3832" t="s">
        <v>7</v>
      </c>
      <c r="E3832" s="2" t="s">
        <v>12</v>
      </c>
      <c r="F3832">
        <f t="shared" si="59"/>
        <v>0.55524000000000007</v>
      </c>
      <c r="G3832" t="s">
        <v>16</v>
      </c>
      <c r="J3832" t="str">
        <f>"03/27/1996 23:00"</f>
        <v>03/27/1996 23:00</v>
      </c>
    </row>
    <row r="3833" spans="1:10" x14ac:dyDescent="0.3">
      <c r="A3833" t="s">
        <v>6</v>
      </c>
      <c r="B3833" t="str">
        <f>"03/28/1996 00:00"</f>
        <v>03/28/1996 00:00</v>
      </c>
      <c r="C3833">
        <v>37.1</v>
      </c>
      <c r="D3833" t="s">
        <v>7</v>
      </c>
      <c r="E3833" s="2" t="s">
        <v>12</v>
      </c>
      <c r="F3833">
        <f t="shared" si="59"/>
        <v>73.569300000000013</v>
      </c>
      <c r="G3833" t="s">
        <v>16</v>
      </c>
      <c r="J3833" t="str">
        <f>"03/28/1996 23:00"</f>
        <v>03/28/1996 23:00</v>
      </c>
    </row>
    <row r="3834" spans="1:10" x14ac:dyDescent="0.3">
      <c r="A3834" t="s">
        <v>6</v>
      </c>
      <c r="B3834" t="str">
        <f>"03/29/1996 00:00"</f>
        <v>03/29/1996 00:00</v>
      </c>
      <c r="C3834">
        <v>69.3</v>
      </c>
      <c r="D3834" t="s">
        <v>7</v>
      </c>
      <c r="E3834" s="2" t="s">
        <v>12</v>
      </c>
      <c r="F3834">
        <f t="shared" si="59"/>
        <v>137.42189999999999</v>
      </c>
      <c r="G3834" t="s">
        <v>16</v>
      </c>
      <c r="J3834" t="str">
        <f>"03/29/1996 23:00"</f>
        <v>03/29/1996 23:00</v>
      </c>
    </row>
    <row r="3835" spans="1:10" x14ac:dyDescent="0.3">
      <c r="A3835" t="s">
        <v>6</v>
      </c>
      <c r="B3835" t="str">
        <f>"03/30/1996 00:00"</f>
        <v>03/30/1996 00:00</v>
      </c>
      <c r="C3835">
        <v>20.9</v>
      </c>
      <c r="D3835" t="s">
        <v>7</v>
      </c>
      <c r="E3835" s="2" t="s">
        <v>12</v>
      </c>
      <c r="F3835">
        <f t="shared" si="59"/>
        <v>41.444699999999997</v>
      </c>
      <c r="G3835" t="s">
        <v>16</v>
      </c>
      <c r="J3835" t="str">
        <f>"03/30/1996 23:00"</f>
        <v>03/30/1996 23:00</v>
      </c>
    </row>
    <row r="3836" spans="1:10" x14ac:dyDescent="0.3">
      <c r="A3836" t="s">
        <v>6</v>
      </c>
      <c r="B3836" t="str">
        <f>"03/31/1996 00:00"</f>
        <v>03/31/1996 00:00</v>
      </c>
      <c r="C3836">
        <v>4.7699999999999996</v>
      </c>
      <c r="D3836" t="s">
        <v>7</v>
      </c>
      <c r="E3836" s="2" t="s">
        <v>12</v>
      </c>
      <c r="F3836">
        <f t="shared" si="59"/>
        <v>9.4589099999999995</v>
      </c>
      <c r="G3836" t="s">
        <v>16</v>
      </c>
      <c r="I3836" t="s">
        <v>8</v>
      </c>
      <c r="J3836" t="str">
        <f>"03/31/1996 23:00"</f>
        <v>03/31/1996 23:00</v>
      </c>
    </row>
    <row r="3837" spans="1:10" x14ac:dyDescent="0.3">
      <c r="A3837" t="s">
        <v>6</v>
      </c>
      <c r="B3837" t="str">
        <f>"04/01/1996 00:00"</f>
        <v>04/01/1996 00:00</v>
      </c>
      <c r="C3837">
        <v>4.8600000000000003</v>
      </c>
      <c r="D3837" t="s">
        <v>7</v>
      </c>
      <c r="E3837" s="2" t="s">
        <v>12</v>
      </c>
      <c r="F3837">
        <f t="shared" si="59"/>
        <v>9.6373800000000003</v>
      </c>
      <c r="G3837" t="s">
        <v>16</v>
      </c>
      <c r="I3837" t="s">
        <v>8</v>
      </c>
      <c r="J3837" t="str">
        <f>"04/01/1996 23:00"</f>
        <v>04/01/1996 23:00</v>
      </c>
    </row>
    <row r="3838" spans="1:10" x14ac:dyDescent="0.3">
      <c r="A3838" t="s">
        <v>6</v>
      </c>
      <c r="B3838" t="str">
        <f>"04/02/1996 00:00"</f>
        <v>04/02/1996 00:00</v>
      </c>
      <c r="C3838">
        <v>4.5599999999999996</v>
      </c>
      <c r="D3838" t="s">
        <v>7</v>
      </c>
      <c r="E3838" s="2" t="s">
        <v>12</v>
      </c>
      <c r="F3838">
        <f t="shared" si="59"/>
        <v>9.0424799999999994</v>
      </c>
      <c r="G3838" t="s">
        <v>16</v>
      </c>
      <c r="J3838" t="str">
        <f>"04/02/1996 23:00"</f>
        <v>04/02/1996 23:00</v>
      </c>
    </row>
    <row r="3839" spans="1:10" x14ac:dyDescent="0.3">
      <c r="A3839" t="s">
        <v>6</v>
      </c>
      <c r="B3839" t="str">
        <f>"04/03/1996 00:00"</f>
        <v>04/03/1996 00:00</v>
      </c>
      <c r="C3839">
        <v>3.2</v>
      </c>
      <c r="D3839" t="s">
        <v>7</v>
      </c>
      <c r="E3839" s="2" t="s">
        <v>12</v>
      </c>
      <c r="F3839">
        <f t="shared" si="59"/>
        <v>6.345600000000001</v>
      </c>
      <c r="G3839" t="s">
        <v>16</v>
      </c>
      <c r="J3839" t="str">
        <f>"04/03/1996 23:00"</f>
        <v>04/03/1996 23:00</v>
      </c>
    </row>
    <row r="3840" spans="1:10" x14ac:dyDescent="0.3">
      <c r="A3840" t="s">
        <v>6</v>
      </c>
      <c r="B3840" t="str">
        <f>"04/04/1996 00:00"</f>
        <v>04/04/1996 00:00</v>
      </c>
      <c r="C3840">
        <v>4.3</v>
      </c>
      <c r="D3840" t="s">
        <v>7</v>
      </c>
      <c r="E3840" s="2" t="s">
        <v>12</v>
      </c>
      <c r="F3840">
        <f t="shared" si="59"/>
        <v>8.5268999999999995</v>
      </c>
      <c r="G3840" t="s">
        <v>16</v>
      </c>
      <c r="J3840" t="str">
        <f>"04/04/1996 23:00"</f>
        <v>04/04/1996 23:00</v>
      </c>
    </row>
    <row r="3841" spans="1:10" x14ac:dyDescent="0.3">
      <c r="A3841" t="s">
        <v>6</v>
      </c>
      <c r="B3841" t="str">
        <f>"04/05/1996 00:00"</f>
        <v>04/05/1996 00:00</v>
      </c>
      <c r="C3841">
        <v>4.7300000000000004</v>
      </c>
      <c r="D3841" t="s">
        <v>7</v>
      </c>
      <c r="E3841" s="2" t="s">
        <v>12</v>
      </c>
      <c r="F3841">
        <f t="shared" si="59"/>
        <v>9.3795900000000021</v>
      </c>
      <c r="G3841" t="s">
        <v>16</v>
      </c>
      <c r="J3841" t="str">
        <f>"04/05/1996 23:00"</f>
        <v>04/05/1996 23:00</v>
      </c>
    </row>
    <row r="3842" spans="1:10" x14ac:dyDescent="0.3">
      <c r="A3842" t="s">
        <v>6</v>
      </c>
      <c r="B3842" t="str">
        <f>"04/06/1996 00:00"</f>
        <v>04/06/1996 00:00</v>
      </c>
      <c r="C3842">
        <v>4.5</v>
      </c>
      <c r="D3842" t="s">
        <v>7</v>
      </c>
      <c r="E3842" s="2" t="s">
        <v>12</v>
      </c>
      <c r="F3842">
        <f t="shared" si="59"/>
        <v>8.9235000000000007</v>
      </c>
      <c r="G3842" t="s">
        <v>16</v>
      </c>
      <c r="J3842" t="str">
        <f>"04/06/1996 23:00"</f>
        <v>04/06/1996 23:00</v>
      </c>
    </row>
    <row r="3843" spans="1:10" x14ac:dyDescent="0.3">
      <c r="A3843" t="s">
        <v>6</v>
      </c>
      <c r="B3843" t="str">
        <f>"04/07/1996 00:00"</f>
        <v>04/07/1996 00:00</v>
      </c>
      <c r="C3843">
        <v>4.55</v>
      </c>
      <c r="D3843" t="s">
        <v>7</v>
      </c>
      <c r="E3843" s="2" t="s">
        <v>12</v>
      </c>
      <c r="F3843">
        <f t="shared" ref="F3843:F3906" si="60">C3843*1.983</f>
        <v>9.0226500000000005</v>
      </c>
      <c r="G3843" t="s">
        <v>16</v>
      </c>
      <c r="J3843" t="str">
        <f>"04/07/1996 23:00"</f>
        <v>04/07/1996 23:00</v>
      </c>
    </row>
    <row r="3844" spans="1:10" x14ac:dyDescent="0.3">
      <c r="A3844" t="s">
        <v>6</v>
      </c>
      <c r="B3844" t="str">
        <f>"04/08/1996 00:00"</f>
        <v>04/08/1996 00:00</v>
      </c>
      <c r="C3844">
        <v>4.57</v>
      </c>
      <c r="D3844" t="s">
        <v>7</v>
      </c>
      <c r="E3844" s="2" t="s">
        <v>12</v>
      </c>
      <c r="F3844">
        <f t="shared" si="60"/>
        <v>9.0623100000000019</v>
      </c>
      <c r="G3844" t="s">
        <v>16</v>
      </c>
      <c r="I3844" t="s">
        <v>8</v>
      </c>
      <c r="J3844" t="str">
        <f>"04/08/1996 23:00"</f>
        <v>04/08/1996 23:00</v>
      </c>
    </row>
    <row r="3845" spans="1:10" x14ac:dyDescent="0.3">
      <c r="A3845" t="s">
        <v>6</v>
      </c>
      <c r="B3845" t="str">
        <f>"04/09/1996 00:00"</f>
        <v>04/09/1996 00:00</v>
      </c>
      <c r="C3845">
        <v>3.63</v>
      </c>
      <c r="D3845" t="s">
        <v>7</v>
      </c>
      <c r="E3845" s="2" t="s">
        <v>12</v>
      </c>
      <c r="F3845">
        <f t="shared" si="60"/>
        <v>7.1982900000000001</v>
      </c>
      <c r="G3845" t="s">
        <v>16</v>
      </c>
      <c r="J3845" t="str">
        <f>"04/09/1996 23:00"</f>
        <v>04/09/1996 23:00</v>
      </c>
    </row>
    <row r="3846" spans="1:10" x14ac:dyDescent="0.3">
      <c r="A3846" t="s">
        <v>6</v>
      </c>
      <c r="B3846" t="str">
        <f>"04/10/1996 00:00"</f>
        <v>04/10/1996 00:00</v>
      </c>
      <c r="C3846">
        <v>0.39</v>
      </c>
      <c r="D3846" t="s">
        <v>7</v>
      </c>
      <c r="E3846" s="2" t="s">
        <v>12</v>
      </c>
      <c r="F3846">
        <f t="shared" si="60"/>
        <v>0.77337000000000011</v>
      </c>
      <c r="G3846" t="s">
        <v>16</v>
      </c>
      <c r="I3846" t="s">
        <v>8</v>
      </c>
      <c r="J3846" t="str">
        <f>"04/10/1996 23:00"</f>
        <v>04/10/1996 23:00</v>
      </c>
    </row>
    <row r="3847" spans="1:10" x14ac:dyDescent="0.3">
      <c r="A3847" t="s">
        <v>6</v>
      </c>
      <c r="B3847" t="str">
        <f>"04/11/1996 00:00"</f>
        <v>04/11/1996 00:00</v>
      </c>
      <c r="C3847">
        <v>0.15</v>
      </c>
      <c r="D3847" t="s">
        <v>7</v>
      </c>
      <c r="E3847" s="2" t="s">
        <v>12</v>
      </c>
      <c r="F3847">
        <f t="shared" si="60"/>
        <v>0.29744999999999999</v>
      </c>
      <c r="G3847" t="s">
        <v>16</v>
      </c>
      <c r="I3847" t="s">
        <v>8</v>
      </c>
      <c r="J3847" t="str">
        <f>"04/11/1996 23:00"</f>
        <v>04/11/1996 23:00</v>
      </c>
    </row>
    <row r="3848" spans="1:10" x14ac:dyDescent="0.3">
      <c r="A3848" t="s">
        <v>6</v>
      </c>
      <c r="B3848" t="str">
        <f>"04/12/1996 00:00"</f>
        <v>04/12/1996 00:00</v>
      </c>
      <c r="C3848">
        <v>8.7499999999999994E-2</v>
      </c>
      <c r="D3848" t="s">
        <v>7</v>
      </c>
      <c r="E3848" s="2" t="s">
        <v>12</v>
      </c>
      <c r="F3848">
        <f t="shared" si="60"/>
        <v>0.17351249999999999</v>
      </c>
      <c r="G3848" t="s">
        <v>16</v>
      </c>
      <c r="J3848" t="str">
        <f>"04/12/1996 23:00"</f>
        <v>04/12/1996 23:00</v>
      </c>
    </row>
    <row r="3849" spans="1:10" x14ac:dyDescent="0.3">
      <c r="A3849" t="s">
        <v>6</v>
      </c>
      <c r="B3849" t="str">
        <f>"04/13/1996 00:00"</f>
        <v>04/13/1996 00:00</v>
      </c>
      <c r="C3849">
        <v>0.05</v>
      </c>
      <c r="D3849" t="s">
        <v>7</v>
      </c>
      <c r="E3849" s="2" t="s">
        <v>12</v>
      </c>
      <c r="F3849">
        <f t="shared" si="60"/>
        <v>9.9150000000000016E-2</v>
      </c>
      <c r="G3849" t="s">
        <v>16</v>
      </c>
      <c r="I3849" t="s">
        <v>8</v>
      </c>
      <c r="J3849" t="str">
        <f>"04/13/1996 23:00"</f>
        <v>04/13/1996 23:00</v>
      </c>
    </row>
    <row r="3850" spans="1:10" x14ac:dyDescent="0.3">
      <c r="A3850" t="s">
        <v>6</v>
      </c>
      <c r="B3850" t="str">
        <f>"04/14/1996 00:00"</f>
        <v>04/14/1996 00:00</v>
      </c>
      <c r="C3850">
        <v>0.125</v>
      </c>
      <c r="D3850" t="s">
        <v>7</v>
      </c>
      <c r="E3850" s="2" t="s">
        <v>12</v>
      </c>
      <c r="F3850">
        <f t="shared" si="60"/>
        <v>0.24787500000000001</v>
      </c>
      <c r="G3850" t="s">
        <v>16</v>
      </c>
      <c r="J3850" t="str">
        <f>"04/14/1996 23:00"</f>
        <v>04/14/1996 23:00</v>
      </c>
    </row>
    <row r="3851" spans="1:10" x14ac:dyDescent="0.3">
      <c r="A3851" t="s">
        <v>6</v>
      </c>
      <c r="B3851" t="str">
        <f>"04/15/1996 00:00"</f>
        <v>04/15/1996 00:00</v>
      </c>
      <c r="C3851">
        <v>0.19</v>
      </c>
      <c r="D3851" t="s">
        <v>7</v>
      </c>
      <c r="E3851" s="2" t="s">
        <v>12</v>
      </c>
      <c r="F3851">
        <f t="shared" si="60"/>
        <v>0.37677000000000005</v>
      </c>
      <c r="G3851" t="s">
        <v>16</v>
      </c>
      <c r="J3851" t="str">
        <f>"04/15/1996 23:00"</f>
        <v>04/15/1996 23:00</v>
      </c>
    </row>
    <row r="3852" spans="1:10" x14ac:dyDescent="0.3">
      <c r="A3852" t="s">
        <v>6</v>
      </c>
      <c r="B3852" t="str">
        <f>"04/16/1996 00:00"</f>
        <v>04/16/1996 00:00</v>
      </c>
      <c r="C3852">
        <v>0.44</v>
      </c>
      <c r="D3852" t="s">
        <v>7</v>
      </c>
      <c r="E3852" s="2" t="s">
        <v>12</v>
      </c>
      <c r="F3852">
        <f t="shared" si="60"/>
        <v>0.87252000000000007</v>
      </c>
      <c r="G3852" t="s">
        <v>16</v>
      </c>
      <c r="J3852" t="str">
        <f>"04/16/1996 23:00"</f>
        <v>04/16/1996 23:00</v>
      </c>
    </row>
    <row r="3853" spans="1:10" x14ac:dyDescent="0.3">
      <c r="A3853" t="s">
        <v>6</v>
      </c>
      <c r="B3853" t="str">
        <f>"04/17/1996 00:00"</f>
        <v>04/17/1996 00:00</v>
      </c>
      <c r="C3853">
        <v>0.44</v>
      </c>
      <c r="D3853" t="s">
        <v>7</v>
      </c>
      <c r="E3853" s="2" t="s">
        <v>12</v>
      </c>
      <c r="F3853">
        <f t="shared" si="60"/>
        <v>0.87252000000000007</v>
      </c>
      <c r="G3853" t="s">
        <v>16</v>
      </c>
      <c r="J3853" t="str">
        <f>"04/17/1996 23:00"</f>
        <v>04/17/1996 23:00</v>
      </c>
    </row>
    <row r="3854" spans="1:10" x14ac:dyDescent="0.3">
      <c r="A3854" t="s">
        <v>6</v>
      </c>
      <c r="B3854" t="str">
        <f>"04/18/1996 00:00"</f>
        <v>04/18/1996 00:00</v>
      </c>
      <c r="C3854">
        <v>0.51900000000000002</v>
      </c>
      <c r="D3854" t="s">
        <v>7</v>
      </c>
      <c r="E3854" s="2" t="s">
        <v>12</v>
      </c>
      <c r="F3854">
        <f t="shared" si="60"/>
        <v>1.029177</v>
      </c>
      <c r="G3854" t="s">
        <v>16</v>
      </c>
      <c r="J3854" t="str">
        <f>"04/18/1996 23:00"</f>
        <v>04/18/1996 23:00</v>
      </c>
    </row>
    <row r="3855" spans="1:10" x14ac:dyDescent="0.3">
      <c r="A3855" t="s">
        <v>6</v>
      </c>
      <c r="B3855" t="str">
        <f>"04/19/1996 00:00"</f>
        <v>04/19/1996 00:00</v>
      </c>
      <c r="C3855">
        <v>28.3</v>
      </c>
      <c r="D3855" t="s">
        <v>7</v>
      </c>
      <c r="E3855" s="2" t="s">
        <v>12</v>
      </c>
      <c r="F3855">
        <f t="shared" si="60"/>
        <v>56.118900000000004</v>
      </c>
      <c r="G3855" t="s">
        <v>16</v>
      </c>
      <c r="J3855" t="str">
        <f>"04/19/1996 23:00"</f>
        <v>04/19/1996 23:00</v>
      </c>
    </row>
    <row r="3856" spans="1:10" x14ac:dyDescent="0.3">
      <c r="A3856" t="s">
        <v>6</v>
      </c>
      <c r="B3856" t="str">
        <f>"04/20/1996 00:00"</f>
        <v>04/20/1996 00:00</v>
      </c>
      <c r="C3856">
        <v>50.2</v>
      </c>
      <c r="D3856" t="s">
        <v>7</v>
      </c>
      <c r="E3856" s="2" t="s">
        <v>12</v>
      </c>
      <c r="F3856">
        <f t="shared" si="60"/>
        <v>99.546600000000012</v>
      </c>
      <c r="G3856" t="s">
        <v>16</v>
      </c>
      <c r="J3856" t="str">
        <f>"04/20/1996 23:00"</f>
        <v>04/20/1996 23:00</v>
      </c>
    </row>
    <row r="3857" spans="1:10" x14ac:dyDescent="0.3">
      <c r="A3857" t="s">
        <v>6</v>
      </c>
      <c r="B3857" t="str">
        <f>"04/21/1996 00:00"</f>
        <v>04/21/1996 00:00</v>
      </c>
      <c r="C3857">
        <v>51.7</v>
      </c>
      <c r="D3857" t="s">
        <v>7</v>
      </c>
      <c r="E3857" s="2" t="s">
        <v>12</v>
      </c>
      <c r="F3857">
        <f t="shared" si="60"/>
        <v>102.5211</v>
      </c>
      <c r="G3857" t="s">
        <v>16</v>
      </c>
      <c r="J3857" t="str">
        <f>"04/21/1996 23:00"</f>
        <v>04/21/1996 23:00</v>
      </c>
    </row>
    <row r="3858" spans="1:10" x14ac:dyDescent="0.3">
      <c r="A3858" t="s">
        <v>6</v>
      </c>
      <c r="B3858" t="str">
        <f>"04/22/1996 00:00"</f>
        <v>04/22/1996 00:00</v>
      </c>
      <c r="C3858">
        <v>56.3</v>
      </c>
      <c r="D3858" t="s">
        <v>7</v>
      </c>
      <c r="E3858" s="2" t="s">
        <v>12</v>
      </c>
      <c r="F3858">
        <f t="shared" si="60"/>
        <v>111.6429</v>
      </c>
      <c r="G3858" t="s">
        <v>16</v>
      </c>
      <c r="J3858" t="str">
        <f>"04/22/1996 23:00"</f>
        <v>04/22/1996 23:00</v>
      </c>
    </row>
    <row r="3859" spans="1:10" x14ac:dyDescent="0.3">
      <c r="A3859" t="s">
        <v>6</v>
      </c>
      <c r="B3859" t="str">
        <f>"04/23/1996 00:00"</f>
        <v>04/23/1996 00:00</v>
      </c>
      <c r="C3859">
        <v>55.4</v>
      </c>
      <c r="D3859" t="s">
        <v>7</v>
      </c>
      <c r="E3859" s="2" t="s">
        <v>12</v>
      </c>
      <c r="F3859">
        <f t="shared" si="60"/>
        <v>109.8582</v>
      </c>
      <c r="G3859" t="s">
        <v>16</v>
      </c>
      <c r="J3859" t="str">
        <f>"04/23/1996 23:00"</f>
        <v>04/23/1996 23:00</v>
      </c>
    </row>
    <row r="3860" spans="1:10" x14ac:dyDescent="0.3">
      <c r="A3860" t="s">
        <v>6</v>
      </c>
      <c r="B3860" t="str">
        <f>"04/24/1996 00:00"</f>
        <v>04/24/1996 00:00</v>
      </c>
      <c r="C3860">
        <v>21.5</v>
      </c>
      <c r="D3860" t="s">
        <v>7</v>
      </c>
      <c r="E3860" s="2" t="s">
        <v>12</v>
      </c>
      <c r="F3860">
        <f t="shared" si="60"/>
        <v>42.634500000000003</v>
      </c>
      <c r="G3860" t="s">
        <v>16</v>
      </c>
      <c r="J3860" t="str">
        <f>"04/24/1996 23:00"</f>
        <v>04/24/1996 23:00</v>
      </c>
    </row>
    <row r="3861" spans="1:10" x14ac:dyDescent="0.3">
      <c r="A3861" t="s">
        <v>6</v>
      </c>
      <c r="B3861" t="str">
        <f>"04/25/1996 00:00"</f>
        <v>04/25/1996 00:00</v>
      </c>
      <c r="C3861">
        <v>0.63700000000000001</v>
      </c>
      <c r="D3861" t="s">
        <v>7</v>
      </c>
      <c r="E3861" s="2" t="s">
        <v>12</v>
      </c>
      <c r="F3861">
        <f t="shared" si="60"/>
        <v>1.263171</v>
      </c>
      <c r="G3861" t="s">
        <v>16</v>
      </c>
      <c r="J3861" t="str">
        <f>"04/25/1996 23:00"</f>
        <v>04/25/1996 23:00</v>
      </c>
    </row>
    <row r="3862" spans="1:10" x14ac:dyDescent="0.3">
      <c r="A3862" t="s">
        <v>6</v>
      </c>
      <c r="B3862" t="str">
        <f>"04/26/1996 00:00"</f>
        <v>04/26/1996 00:00</v>
      </c>
      <c r="C3862">
        <v>0.63</v>
      </c>
      <c r="D3862" t="s">
        <v>7</v>
      </c>
      <c r="E3862" s="2" t="s">
        <v>12</v>
      </c>
      <c r="F3862">
        <f t="shared" si="60"/>
        <v>1.24929</v>
      </c>
      <c r="G3862" t="s">
        <v>16</v>
      </c>
      <c r="I3862" t="s">
        <v>8</v>
      </c>
      <c r="J3862" t="str">
        <f>"04/26/1996 22:00"</f>
        <v>04/26/1996 22:00</v>
      </c>
    </row>
    <row r="3863" spans="1:10" x14ac:dyDescent="0.3">
      <c r="A3863" t="s">
        <v>6</v>
      </c>
      <c r="B3863" t="str">
        <f>"04/27/1996 00:00"</f>
        <v>04/27/1996 00:00</v>
      </c>
      <c r="C3863">
        <v>0.44</v>
      </c>
      <c r="D3863" t="s">
        <v>7</v>
      </c>
      <c r="E3863" s="2" t="s">
        <v>12</v>
      </c>
      <c r="F3863">
        <f t="shared" si="60"/>
        <v>0.87252000000000007</v>
      </c>
      <c r="G3863" t="s">
        <v>16</v>
      </c>
      <c r="J3863" t="str">
        <f>"04/27/1996 23:00"</f>
        <v>04/27/1996 23:00</v>
      </c>
    </row>
    <row r="3864" spans="1:10" x14ac:dyDescent="0.3">
      <c r="A3864" t="s">
        <v>6</v>
      </c>
      <c r="B3864" t="str">
        <f>"04/28/1996 00:00"</f>
        <v>04/28/1996 00:00</v>
      </c>
      <c r="C3864">
        <v>0.72799999999999998</v>
      </c>
      <c r="D3864" t="s">
        <v>7</v>
      </c>
      <c r="E3864" s="2" t="s">
        <v>12</v>
      </c>
      <c r="F3864">
        <f t="shared" si="60"/>
        <v>1.443624</v>
      </c>
      <c r="G3864" t="s">
        <v>16</v>
      </c>
      <c r="J3864" t="str">
        <f>"04/28/1996 23:00"</f>
        <v>04/28/1996 23:00</v>
      </c>
    </row>
    <row r="3865" spans="1:10" x14ac:dyDescent="0.3">
      <c r="A3865" t="s">
        <v>6</v>
      </c>
      <c r="B3865" t="str">
        <f>"04/29/1996 00:00"</f>
        <v>04/29/1996 00:00</v>
      </c>
      <c r="C3865">
        <v>0.78600000000000003</v>
      </c>
      <c r="D3865" t="s">
        <v>7</v>
      </c>
      <c r="E3865" s="2" t="s">
        <v>12</v>
      </c>
      <c r="F3865">
        <f t="shared" si="60"/>
        <v>1.5586380000000002</v>
      </c>
      <c r="G3865" t="s">
        <v>16</v>
      </c>
      <c r="J3865" t="str">
        <f>"04/29/1996 23:00"</f>
        <v>04/29/1996 23:00</v>
      </c>
    </row>
    <row r="3866" spans="1:10" x14ac:dyDescent="0.3">
      <c r="A3866" t="s">
        <v>6</v>
      </c>
      <c r="B3866" t="str">
        <f>"04/30/1996 00:00"</f>
        <v>04/30/1996 00:00</v>
      </c>
      <c r="C3866">
        <v>0.42099999999999999</v>
      </c>
      <c r="D3866" t="s">
        <v>7</v>
      </c>
      <c r="E3866" s="2" t="s">
        <v>12</v>
      </c>
      <c r="F3866">
        <f t="shared" si="60"/>
        <v>0.834843</v>
      </c>
      <c r="G3866" t="s">
        <v>16</v>
      </c>
      <c r="J3866" t="str">
        <f>"04/30/1996 23:00"</f>
        <v>04/30/1996 23:00</v>
      </c>
    </row>
    <row r="3867" spans="1:10" x14ac:dyDescent="0.3">
      <c r="A3867" t="s">
        <v>6</v>
      </c>
      <c r="B3867" t="str">
        <f>"05/01/1996 00:00"</f>
        <v>05/01/1996 00:00</v>
      </c>
      <c r="C3867">
        <v>0.28000000000000003</v>
      </c>
      <c r="D3867" t="s">
        <v>7</v>
      </c>
      <c r="E3867" s="2" t="s">
        <v>12</v>
      </c>
      <c r="F3867">
        <f t="shared" si="60"/>
        <v>0.55524000000000007</v>
      </c>
      <c r="G3867" t="s">
        <v>16</v>
      </c>
      <c r="J3867" t="str">
        <f>"05/01/1996 23:00"</f>
        <v>05/01/1996 23:00</v>
      </c>
    </row>
    <row r="3868" spans="1:10" x14ac:dyDescent="0.3">
      <c r="A3868" t="s">
        <v>6</v>
      </c>
      <c r="B3868" t="str">
        <f>"05/02/1996 00:00"</f>
        <v>05/02/1996 00:00</v>
      </c>
      <c r="C3868">
        <v>0.28000000000000003</v>
      </c>
      <c r="D3868" t="s">
        <v>7</v>
      </c>
      <c r="E3868" s="2" t="s">
        <v>12</v>
      </c>
      <c r="F3868">
        <f t="shared" si="60"/>
        <v>0.55524000000000007</v>
      </c>
      <c r="G3868" t="s">
        <v>16</v>
      </c>
      <c r="I3868" t="s">
        <v>8</v>
      </c>
      <c r="J3868" t="str">
        <f>"05/02/1996 23:00"</f>
        <v>05/02/1996 23:00</v>
      </c>
    </row>
    <row r="3869" spans="1:10" x14ac:dyDescent="0.3">
      <c r="A3869" t="s">
        <v>6</v>
      </c>
      <c r="B3869" t="str">
        <f>"05/03/1996 00:00"</f>
        <v>05/03/1996 00:00</v>
      </c>
      <c r="C3869">
        <v>0.16900000000000001</v>
      </c>
      <c r="D3869" t="s">
        <v>7</v>
      </c>
      <c r="E3869" s="2" t="s">
        <v>12</v>
      </c>
      <c r="F3869">
        <f t="shared" si="60"/>
        <v>0.33512700000000006</v>
      </c>
      <c r="G3869" t="s">
        <v>16</v>
      </c>
      <c r="I3869" t="s">
        <v>8</v>
      </c>
      <c r="J3869" t="str">
        <f>"05/03/1996 23:00"</f>
        <v>05/03/1996 23:00</v>
      </c>
    </row>
    <row r="3870" spans="1:10" x14ac:dyDescent="0.3">
      <c r="A3870" t="s">
        <v>6</v>
      </c>
      <c r="B3870" t="str">
        <f>"05/04/1996 00:00"</f>
        <v>05/04/1996 00:00</v>
      </c>
      <c r="C3870">
        <v>0.05</v>
      </c>
      <c r="D3870" t="s">
        <v>7</v>
      </c>
      <c r="E3870" s="2" t="s">
        <v>12</v>
      </c>
      <c r="F3870">
        <f t="shared" si="60"/>
        <v>9.9150000000000016E-2</v>
      </c>
      <c r="G3870" t="s">
        <v>16</v>
      </c>
      <c r="I3870" t="s">
        <v>8</v>
      </c>
      <c r="J3870" t="str">
        <f>"05/04/1996 23:00"</f>
        <v>05/04/1996 23:00</v>
      </c>
    </row>
    <row r="3871" spans="1:10" x14ac:dyDescent="0.3">
      <c r="A3871" t="s">
        <v>6</v>
      </c>
      <c r="B3871" t="str">
        <f>"05/05/1996 00:00"</f>
        <v>05/05/1996 00:00</v>
      </c>
      <c r="C3871">
        <v>0.05</v>
      </c>
      <c r="D3871" t="s">
        <v>7</v>
      </c>
      <c r="E3871" s="2" t="s">
        <v>12</v>
      </c>
      <c r="F3871">
        <f t="shared" si="60"/>
        <v>9.9150000000000016E-2</v>
      </c>
      <c r="G3871" t="s">
        <v>16</v>
      </c>
      <c r="I3871" t="s">
        <v>8</v>
      </c>
      <c r="J3871" t="str">
        <f>"05/05/1996 23:00"</f>
        <v>05/05/1996 23:00</v>
      </c>
    </row>
    <row r="3872" spans="1:10" x14ac:dyDescent="0.3">
      <c r="A3872" t="s">
        <v>6</v>
      </c>
      <c r="B3872" t="str">
        <f>"05/06/1996 00:00"</f>
        <v>05/06/1996 00:00</v>
      </c>
      <c r="C3872">
        <v>0.05</v>
      </c>
      <c r="D3872" t="s">
        <v>7</v>
      </c>
      <c r="E3872" s="2" t="s">
        <v>12</v>
      </c>
      <c r="F3872">
        <f t="shared" si="60"/>
        <v>9.9150000000000016E-2</v>
      </c>
      <c r="G3872" t="s">
        <v>16</v>
      </c>
      <c r="J3872" t="str">
        <f>"05/06/1996 23:00"</f>
        <v>05/06/1996 23:00</v>
      </c>
    </row>
    <row r="3873" spans="1:10" x14ac:dyDescent="0.3">
      <c r="A3873" t="s">
        <v>6</v>
      </c>
      <c r="B3873" t="str">
        <f>"05/07/1996 00:00"</f>
        <v>05/07/1996 00:00</v>
      </c>
      <c r="C3873">
        <v>0.05</v>
      </c>
      <c r="D3873" t="s">
        <v>7</v>
      </c>
      <c r="E3873" s="2" t="s">
        <v>12</v>
      </c>
      <c r="F3873">
        <f t="shared" si="60"/>
        <v>9.9150000000000016E-2</v>
      </c>
      <c r="G3873" t="s">
        <v>16</v>
      </c>
      <c r="I3873" t="s">
        <v>8</v>
      </c>
      <c r="J3873" t="str">
        <f>"05/07/1996 23:00"</f>
        <v>05/07/1996 23:00</v>
      </c>
    </row>
    <row r="3874" spans="1:10" x14ac:dyDescent="0.3">
      <c r="A3874" t="s">
        <v>6</v>
      </c>
      <c r="B3874" t="str">
        <f>"05/08/1996 00:00"</f>
        <v>05/08/1996 00:00</v>
      </c>
      <c r="C3874">
        <v>0.05</v>
      </c>
      <c r="D3874" t="s">
        <v>7</v>
      </c>
      <c r="E3874" s="2" t="s">
        <v>12</v>
      </c>
      <c r="F3874">
        <f t="shared" si="60"/>
        <v>9.9150000000000016E-2</v>
      </c>
      <c r="G3874" t="s">
        <v>16</v>
      </c>
      <c r="I3874" t="s">
        <v>8</v>
      </c>
      <c r="J3874" t="str">
        <f>"05/08/1996 23:00"</f>
        <v>05/08/1996 23:00</v>
      </c>
    </row>
    <row r="3875" spans="1:10" x14ac:dyDescent="0.3">
      <c r="A3875" t="s">
        <v>6</v>
      </c>
      <c r="B3875" t="str">
        <f>"05/09/1996 00:00"</f>
        <v>05/09/1996 00:00</v>
      </c>
      <c r="C3875">
        <v>0.05</v>
      </c>
      <c r="D3875" t="s">
        <v>7</v>
      </c>
      <c r="E3875" s="2" t="s">
        <v>12</v>
      </c>
      <c r="F3875">
        <f t="shared" si="60"/>
        <v>9.9150000000000016E-2</v>
      </c>
      <c r="G3875" t="s">
        <v>16</v>
      </c>
      <c r="J3875" t="str">
        <f>"05/09/1996 23:00"</f>
        <v>05/09/1996 23:00</v>
      </c>
    </row>
    <row r="3876" spans="1:10" x14ac:dyDescent="0.3">
      <c r="A3876" t="s">
        <v>6</v>
      </c>
      <c r="B3876" t="str">
        <f>"05/10/1996 00:00"</f>
        <v>05/10/1996 00:00</v>
      </c>
      <c r="C3876">
        <v>0.05</v>
      </c>
      <c r="D3876" t="s">
        <v>7</v>
      </c>
      <c r="E3876" s="2" t="s">
        <v>12</v>
      </c>
      <c r="F3876">
        <f t="shared" si="60"/>
        <v>9.9150000000000016E-2</v>
      </c>
      <c r="G3876" t="s">
        <v>16</v>
      </c>
      <c r="I3876" t="s">
        <v>8</v>
      </c>
      <c r="J3876" t="str">
        <f>"05/10/1996 23:00"</f>
        <v>05/10/1996 23:00</v>
      </c>
    </row>
    <row r="3877" spans="1:10" x14ac:dyDescent="0.3">
      <c r="A3877" t="s">
        <v>6</v>
      </c>
      <c r="B3877" t="str">
        <f>"05/11/1996 00:00"</f>
        <v>05/11/1996 00:00</v>
      </c>
      <c r="C3877">
        <v>2.7099999999999999E-2</v>
      </c>
      <c r="D3877" t="s">
        <v>7</v>
      </c>
      <c r="E3877" s="2" t="s">
        <v>12</v>
      </c>
      <c r="F3877">
        <f t="shared" si="60"/>
        <v>5.3739300000000004E-2</v>
      </c>
      <c r="G3877" t="s">
        <v>16</v>
      </c>
      <c r="I3877" t="s">
        <v>8</v>
      </c>
      <c r="J3877" t="str">
        <f>"05/11/1996 23:00"</f>
        <v>05/11/1996 23:00</v>
      </c>
    </row>
    <row r="3878" spans="1:10" x14ac:dyDescent="0.3">
      <c r="A3878" t="s">
        <v>6</v>
      </c>
      <c r="B3878" t="str">
        <f>"05/12/1996 00:00"</f>
        <v>05/12/1996 00:00</v>
      </c>
      <c r="C3878">
        <v>0</v>
      </c>
      <c r="D3878" t="s">
        <v>7</v>
      </c>
      <c r="E3878" s="2" t="s">
        <v>12</v>
      </c>
      <c r="F3878">
        <f t="shared" si="60"/>
        <v>0</v>
      </c>
      <c r="G3878" t="s">
        <v>16</v>
      </c>
      <c r="J3878" t="str">
        <f>"05/12/1996 23:00"</f>
        <v>05/12/1996 23:00</v>
      </c>
    </row>
    <row r="3879" spans="1:10" x14ac:dyDescent="0.3">
      <c r="A3879" t="s">
        <v>6</v>
      </c>
      <c r="B3879" t="str">
        <f>"05/13/1996 00:00"</f>
        <v>05/13/1996 00:00</v>
      </c>
      <c r="C3879">
        <v>0</v>
      </c>
      <c r="D3879" t="s">
        <v>7</v>
      </c>
      <c r="E3879" s="2" t="s">
        <v>12</v>
      </c>
      <c r="F3879">
        <f t="shared" si="60"/>
        <v>0</v>
      </c>
      <c r="G3879" t="s">
        <v>16</v>
      </c>
      <c r="J3879" t="str">
        <f>"05/13/1996 23:00"</f>
        <v>05/13/1996 23:00</v>
      </c>
    </row>
    <row r="3880" spans="1:10" x14ac:dyDescent="0.3">
      <c r="A3880" t="s">
        <v>6</v>
      </c>
      <c r="B3880" t="str">
        <f>"05/14/1996 00:00"</f>
        <v>05/14/1996 00:00</v>
      </c>
      <c r="C3880">
        <v>0</v>
      </c>
      <c r="D3880" t="s">
        <v>7</v>
      </c>
      <c r="E3880" s="2" t="s">
        <v>12</v>
      </c>
      <c r="F3880">
        <f t="shared" si="60"/>
        <v>0</v>
      </c>
      <c r="G3880" t="s">
        <v>16</v>
      </c>
      <c r="I3880" t="s">
        <v>8</v>
      </c>
      <c r="J3880" t="str">
        <f>"05/14/1996 23:00"</f>
        <v>05/14/1996 23:00</v>
      </c>
    </row>
    <row r="3881" spans="1:10" x14ac:dyDescent="0.3">
      <c r="A3881" t="s">
        <v>6</v>
      </c>
      <c r="B3881" t="str">
        <f>"05/15/1996 00:00"</f>
        <v>05/15/1996 00:00</v>
      </c>
      <c r="C3881">
        <v>0</v>
      </c>
      <c r="D3881" t="s">
        <v>7</v>
      </c>
      <c r="E3881" s="2" t="s">
        <v>12</v>
      </c>
      <c r="F3881">
        <f t="shared" si="60"/>
        <v>0</v>
      </c>
      <c r="G3881" t="s">
        <v>16</v>
      </c>
      <c r="I3881" t="s">
        <v>8</v>
      </c>
      <c r="J3881" t="str">
        <f>"05/15/1996 23:00"</f>
        <v>05/15/1996 23:00</v>
      </c>
    </row>
    <row r="3882" spans="1:10" x14ac:dyDescent="0.3">
      <c r="A3882" t="s">
        <v>6</v>
      </c>
      <c r="B3882" t="str">
        <f>"05/16/1996 00:00"</f>
        <v>05/16/1996 00:00</v>
      </c>
      <c r="C3882">
        <v>0</v>
      </c>
      <c r="D3882" t="s">
        <v>7</v>
      </c>
      <c r="E3882" s="2" t="s">
        <v>12</v>
      </c>
      <c r="F3882">
        <f t="shared" si="60"/>
        <v>0</v>
      </c>
      <c r="G3882" t="s">
        <v>16</v>
      </c>
      <c r="J3882" t="str">
        <f>"05/16/1996 23:00"</f>
        <v>05/16/1996 23:00</v>
      </c>
    </row>
    <row r="3883" spans="1:10" x14ac:dyDescent="0.3">
      <c r="A3883" t="s">
        <v>6</v>
      </c>
      <c r="B3883" t="str">
        <f>"05/17/1996 00:00"</f>
        <v>05/17/1996 00:00</v>
      </c>
      <c r="C3883">
        <v>0</v>
      </c>
      <c r="D3883" t="s">
        <v>7</v>
      </c>
      <c r="E3883" s="2" t="s">
        <v>12</v>
      </c>
      <c r="F3883">
        <f t="shared" si="60"/>
        <v>0</v>
      </c>
      <c r="G3883" t="s">
        <v>16</v>
      </c>
      <c r="I3883" t="s">
        <v>8</v>
      </c>
      <c r="J3883" t="str">
        <f>"05/17/1996 23:00"</f>
        <v>05/17/1996 23:00</v>
      </c>
    </row>
    <row r="3884" spans="1:10" x14ac:dyDescent="0.3">
      <c r="A3884" t="s">
        <v>6</v>
      </c>
      <c r="B3884" t="str">
        <f>"05/18/1996 00:00"</f>
        <v>05/18/1996 00:00</v>
      </c>
      <c r="C3884">
        <v>0</v>
      </c>
      <c r="D3884" t="s">
        <v>7</v>
      </c>
      <c r="E3884" s="2" t="s">
        <v>12</v>
      </c>
      <c r="F3884">
        <f t="shared" si="60"/>
        <v>0</v>
      </c>
      <c r="G3884" t="s">
        <v>16</v>
      </c>
      <c r="J3884" t="str">
        <f>"05/18/1996 23:00"</f>
        <v>05/18/1996 23:00</v>
      </c>
    </row>
    <row r="3885" spans="1:10" x14ac:dyDescent="0.3">
      <c r="A3885" t="s">
        <v>6</v>
      </c>
      <c r="B3885" t="str">
        <f>"05/19/1996 00:00"</f>
        <v>05/19/1996 00:00</v>
      </c>
      <c r="C3885">
        <v>0</v>
      </c>
      <c r="D3885" t="s">
        <v>7</v>
      </c>
      <c r="E3885" s="2" t="s">
        <v>12</v>
      </c>
      <c r="F3885">
        <f t="shared" si="60"/>
        <v>0</v>
      </c>
      <c r="G3885" t="s">
        <v>16</v>
      </c>
      <c r="J3885" t="str">
        <f>"05/19/1996 23:00"</f>
        <v>05/19/1996 23:00</v>
      </c>
    </row>
    <row r="3886" spans="1:10" x14ac:dyDescent="0.3">
      <c r="A3886" t="s">
        <v>6</v>
      </c>
      <c r="B3886" t="str">
        <f>"05/20/1996 00:00"</f>
        <v>05/20/1996 00:00</v>
      </c>
      <c r="C3886">
        <v>0</v>
      </c>
      <c r="D3886" t="s">
        <v>7</v>
      </c>
      <c r="E3886" s="2" t="s">
        <v>12</v>
      </c>
      <c r="F3886">
        <f t="shared" si="60"/>
        <v>0</v>
      </c>
      <c r="G3886" t="s">
        <v>16</v>
      </c>
      <c r="I3886" t="s">
        <v>8</v>
      </c>
      <c r="J3886" t="str">
        <f>"05/20/1996 23:00"</f>
        <v>05/20/1996 23:00</v>
      </c>
    </row>
    <row r="3887" spans="1:10" x14ac:dyDescent="0.3">
      <c r="A3887" t="s">
        <v>6</v>
      </c>
      <c r="B3887" t="str">
        <f>"05/21/1996 00:00"</f>
        <v>05/21/1996 00:00</v>
      </c>
      <c r="C3887">
        <v>66.099999999999994</v>
      </c>
      <c r="D3887" t="s">
        <v>7</v>
      </c>
      <c r="E3887" s="2" t="s">
        <v>12</v>
      </c>
      <c r="F3887">
        <f t="shared" si="60"/>
        <v>131.0763</v>
      </c>
      <c r="G3887" t="s">
        <v>16</v>
      </c>
      <c r="J3887" t="str">
        <f>"05/21/1996 23:00"</f>
        <v>05/21/1996 23:00</v>
      </c>
    </row>
    <row r="3888" spans="1:10" x14ac:dyDescent="0.3">
      <c r="A3888" t="s">
        <v>6</v>
      </c>
      <c r="B3888" t="str">
        <f>"05/22/1996 00:00"</f>
        <v>05/22/1996 00:00</v>
      </c>
      <c r="C3888">
        <v>175</v>
      </c>
      <c r="D3888" t="s">
        <v>7</v>
      </c>
      <c r="E3888" s="2" t="s">
        <v>12</v>
      </c>
      <c r="F3888">
        <f t="shared" si="60"/>
        <v>347.02500000000003</v>
      </c>
      <c r="G3888" t="s">
        <v>16</v>
      </c>
      <c r="J3888" t="str">
        <f>"05/22/1996 23:00"</f>
        <v>05/22/1996 23:00</v>
      </c>
    </row>
    <row r="3889" spans="1:10" x14ac:dyDescent="0.3">
      <c r="A3889" t="s">
        <v>6</v>
      </c>
      <c r="B3889" t="str">
        <f>"05/23/1996 00:00"</f>
        <v>05/23/1996 00:00</v>
      </c>
      <c r="C3889">
        <v>227</v>
      </c>
      <c r="D3889" t="s">
        <v>7</v>
      </c>
      <c r="E3889" s="2" t="s">
        <v>12</v>
      </c>
      <c r="F3889">
        <f t="shared" si="60"/>
        <v>450.14100000000002</v>
      </c>
      <c r="G3889" t="s">
        <v>16</v>
      </c>
      <c r="J3889" t="str">
        <f>"05/23/1996 23:00"</f>
        <v>05/23/1996 23:00</v>
      </c>
    </row>
    <row r="3890" spans="1:10" x14ac:dyDescent="0.3">
      <c r="A3890" t="s">
        <v>6</v>
      </c>
      <c r="B3890" t="str">
        <f>"05/24/1996 00:00"</f>
        <v>05/24/1996 00:00</v>
      </c>
      <c r="C3890">
        <v>225</v>
      </c>
      <c r="D3890" t="s">
        <v>7</v>
      </c>
      <c r="E3890" s="2" t="s">
        <v>12</v>
      </c>
      <c r="F3890">
        <f t="shared" si="60"/>
        <v>446.17500000000001</v>
      </c>
      <c r="G3890" t="s">
        <v>16</v>
      </c>
      <c r="J3890" t="str">
        <f>"05/24/1996 23:00"</f>
        <v>05/24/1996 23:00</v>
      </c>
    </row>
    <row r="3891" spans="1:10" x14ac:dyDescent="0.3">
      <c r="A3891" t="s">
        <v>6</v>
      </c>
      <c r="B3891" t="str">
        <f>"05/25/1996 00:00"</f>
        <v>05/25/1996 00:00</v>
      </c>
      <c r="C3891">
        <v>231</v>
      </c>
      <c r="D3891" t="s">
        <v>7</v>
      </c>
      <c r="E3891" s="2" t="s">
        <v>12</v>
      </c>
      <c r="F3891">
        <f t="shared" si="60"/>
        <v>458.07300000000004</v>
      </c>
      <c r="G3891" t="s">
        <v>16</v>
      </c>
      <c r="J3891" t="str">
        <f>"05/25/1996 23:00"</f>
        <v>05/25/1996 23:00</v>
      </c>
    </row>
    <row r="3892" spans="1:10" x14ac:dyDescent="0.3">
      <c r="A3892" t="s">
        <v>6</v>
      </c>
      <c r="B3892" t="str">
        <f>"05/26/1996 00:00"</f>
        <v>05/26/1996 00:00</v>
      </c>
      <c r="C3892">
        <v>230</v>
      </c>
      <c r="D3892" t="s">
        <v>7</v>
      </c>
      <c r="E3892" s="2" t="s">
        <v>12</v>
      </c>
      <c r="F3892">
        <f t="shared" si="60"/>
        <v>456.09000000000003</v>
      </c>
      <c r="G3892" t="s">
        <v>16</v>
      </c>
      <c r="J3892" t="str">
        <f>"05/26/1996 23:00"</f>
        <v>05/26/1996 23:00</v>
      </c>
    </row>
    <row r="3893" spans="1:10" x14ac:dyDescent="0.3">
      <c r="A3893" t="s">
        <v>6</v>
      </c>
      <c r="B3893" t="str">
        <f>"05/27/1996 00:00"</f>
        <v>05/27/1996 00:00</v>
      </c>
      <c r="C3893">
        <v>229</v>
      </c>
      <c r="D3893" t="s">
        <v>7</v>
      </c>
      <c r="E3893" s="2" t="s">
        <v>12</v>
      </c>
      <c r="F3893">
        <f t="shared" si="60"/>
        <v>454.10700000000003</v>
      </c>
      <c r="G3893" t="s">
        <v>16</v>
      </c>
      <c r="I3893" t="s">
        <v>8</v>
      </c>
      <c r="J3893" t="str">
        <f>"05/27/1996 23:00"</f>
        <v>05/27/1996 23:00</v>
      </c>
    </row>
    <row r="3894" spans="1:10" x14ac:dyDescent="0.3">
      <c r="A3894" t="s">
        <v>6</v>
      </c>
      <c r="B3894" t="str">
        <f>"05/28/1996 00:00"</f>
        <v>05/28/1996 00:00</v>
      </c>
      <c r="C3894">
        <v>229</v>
      </c>
      <c r="D3894" t="s">
        <v>7</v>
      </c>
      <c r="E3894" s="2" t="s">
        <v>12</v>
      </c>
      <c r="F3894">
        <f t="shared" si="60"/>
        <v>454.10700000000003</v>
      </c>
      <c r="G3894" t="s">
        <v>16</v>
      </c>
      <c r="I3894" t="s">
        <v>35</v>
      </c>
      <c r="J3894" t="str">
        <f>"05/28/1996 23:00"</f>
        <v>05/28/1996 23:00</v>
      </c>
    </row>
    <row r="3895" spans="1:10" x14ac:dyDescent="0.3">
      <c r="A3895" t="s">
        <v>6</v>
      </c>
      <c r="B3895" t="str">
        <f>"05/29/1996 00:00"</f>
        <v>05/29/1996 00:00</v>
      </c>
      <c r="C3895">
        <v>229</v>
      </c>
      <c r="D3895" t="s">
        <v>7</v>
      </c>
      <c r="E3895" s="2" t="s">
        <v>12</v>
      </c>
      <c r="F3895">
        <f t="shared" si="60"/>
        <v>454.10700000000003</v>
      </c>
      <c r="G3895" t="s">
        <v>16</v>
      </c>
      <c r="I3895" t="s">
        <v>35</v>
      </c>
      <c r="J3895" t="str">
        <f>"05/29/1996 23:00"</f>
        <v>05/29/1996 23:00</v>
      </c>
    </row>
    <row r="3896" spans="1:10" x14ac:dyDescent="0.3">
      <c r="A3896" t="s">
        <v>6</v>
      </c>
      <c r="B3896" t="str">
        <f>"05/30/1996 00:00"</f>
        <v>05/30/1996 00:00</v>
      </c>
      <c r="C3896">
        <v>168</v>
      </c>
      <c r="D3896" t="s">
        <v>7</v>
      </c>
      <c r="E3896" s="2" t="s">
        <v>12</v>
      </c>
      <c r="F3896">
        <f t="shared" si="60"/>
        <v>333.14400000000001</v>
      </c>
      <c r="G3896" t="s">
        <v>16</v>
      </c>
      <c r="I3896" t="s">
        <v>8</v>
      </c>
      <c r="J3896" t="str">
        <f>"05/30/1996 23:00"</f>
        <v>05/30/1996 23:00</v>
      </c>
    </row>
    <row r="3897" spans="1:10" x14ac:dyDescent="0.3">
      <c r="A3897" t="s">
        <v>6</v>
      </c>
      <c r="B3897" t="str">
        <f>"05/31/1996 00:00"</f>
        <v>05/31/1996 00:00</v>
      </c>
      <c r="C3897">
        <v>99.9</v>
      </c>
      <c r="D3897" t="s">
        <v>7</v>
      </c>
      <c r="E3897" s="2" t="s">
        <v>12</v>
      </c>
      <c r="F3897">
        <f t="shared" si="60"/>
        <v>198.10170000000002</v>
      </c>
      <c r="G3897" t="s">
        <v>16</v>
      </c>
      <c r="J3897" t="str">
        <f>"05/31/1996 23:00"</f>
        <v>05/31/1996 23:00</v>
      </c>
    </row>
    <row r="3898" spans="1:10" x14ac:dyDescent="0.3">
      <c r="A3898" t="s">
        <v>6</v>
      </c>
      <c r="B3898" t="str">
        <f>"06/01/1996 00:00"</f>
        <v>06/01/1996 00:00</v>
      </c>
      <c r="C3898">
        <v>160</v>
      </c>
      <c r="D3898" t="s">
        <v>7</v>
      </c>
      <c r="E3898" s="2" t="s">
        <v>12</v>
      </c>
      <c r="F3898">
        <f t="shared" si="60"/>
        <v>317.28000000000003</v>
      </c>
      <c r="G3898" t="s">
        <v>16</v>
      </c>
      <c r="J3898" t="str">
        <f>"06/01/1996 23:00"</f>
        <v>06/01/1996 23:00</v>
      </c>
    </row>
    <row r="3899" spans="1:10" x14ac:dyDescent="0.3">
      <c r="A3899" t="s">
        <v>6</v>
      </c>
      <c r="B3899" t="str">
        <f>"06/02/1996 00:00"</f>
        <v>06/02/1996 00:00</v>
      </c>
      <c r="C3899">
        <v>229</v>
      </c>
      <c r="D3899" t="s">
        <v>7</v>
      </c>
      <c r="E3899" s="2" t="s">
        <v>12</v>
      </c>
      <c r="F3899">
        <f t="shared" si="60"/>
        <v>454.10700000000003</v>
      </c>
      <c r="G3899" t="s">
        <v>16</v>
      </c>
      <c r="J3899" t="str">
        <f>"06/02/1996 23:00"</f>
        <v>06/02/1996 23:00</v>
      </c>
    </row>
    <row r="3900" spans="1:10" x14ac:dyDescent="0.3">
      <c r="A3900" t="s">
        <v>6</v>
      </c>
      <c r="B3900" t="str">
        <f>"06/03/1996 00:00"</f>
        <v>06/03/1996 00:00</v>
      </c>
      <c r="C3900">
        <v>268</v>
      </c>
      <c r="D3900" t="s">
        <v>7</v>
      </c>
      <c r="E3900" s="2" t="s">
        <v>12</v>
      </c>
      <c r="F3900">
        <f t="shared" si="60"/>
        <v>531.44400000000007</v>
      </c>
      <c r="G3900" t="s">
        <v>16</v>
      </c>
      <c r="J3900" t="str">
        <f>"06/03/1996 23:00"</f>
        <v>06/03/1996 23:00</v>
      </c>
    </row>
    <row r="3901" spans="1:10" x14ac:dyDescent="0.3">
      <c r="A3901" t="s">
        <v>6</v>
      </c>
      <c r="B3901" t="str">
        <f>"06/04/1996 00:00"</f>
        <v>06/04/1996 00:00</v>
      </c>
      <c r="C3901">
        <v>342</v>
      </c>
      <c r="D3901" t="s">
        <v>7</v>
      </c>
      <c r="E3901" s="2" t="s">
        <v>12</v>
      </c>
      <c r="F3901">
        <f t="shared" si="60"/>
        <v>678.18600000000004</v>
      </c>
      <c r="G3901" t="s">
        <v>16</v>
      </c>
      <c r="J3901" t="str">
        <f>"06/04/1996 23:00"</f>
        <v>06/04/1996 23:00</v>
      </c>
    </row>
    <row r="3902" spans="1:10" x14ac:dyDescent="0.3">
      <c r="A3902" t="s">
        <v>6</v>
      </c>
      <c r="B3902" t="str">
        <f>"06/05/1996 00:00"</f>
        <v>06/05/1996 00:00</v>
      </c>
      <c r="C3902">
        <v>396</v>
      </c>
      <c r="D3902" t="s">
        <v>7</v>
      </c>
      <c r="E3902" s="2" t="s">
        <v>12</v>
      </c>
      <c r="F3902">
        <f t="shared" si="60"/>
        <v>785.26800000000003</v>
      </c>
      <c r="G3902" t="s">
        <v>16</v>
      </c>
      <c r="J3902" t="str">
        <f>"06/05/1996 23:00"</f>
        <v>06/05/1996 23:00</v>
      </c>
    </row>
    <row r="3903" spans="1:10" x14ac:dyDescent="0.3">
      <c r="A3903" t="s">
        <v>6</v>
      </c>
      <c r="B3903" t="str">
        <f>"06/06/1996 00:00"</f>
        <v>06/06/1996 00:00</v>
      </c>
      <c r="C3903">
        <v>337</v>
      </c>
      <c r="D3903" t="s">
        <v>7</v>
      </c>
      <c r="E3903" s="2" t="s">
        <v>12</v>
      </c>
      <c r="F3903">
        <f t="shared" si="60"/>
        <v>668.27100000000007</v>
      </c>
      <c r="G3903" t="s">
        <v>16</v>
      </c>
      <c r="J3903" t="str">
        <f>"06/06/1996 23:00"</f>
        <v>06/06/1996 23:00</v>
      </c>
    </row>
    <row r="3904" spans="1:10" x14ac:dyDescent="0.3">
      <c r="A3904" t="s">
        <v>6</v>
      </c>
      <c r="B3904" t="str">
        <f>"06/07/1996 00:00"</f>
        <v>06/07/1996 00:00</v>
      </c>
      <c r="C3904">
        <v>325</v>
      </c>
      <c r="D3904" t="s">
        <v>7</v>
      </c>
      <c r="E3904" s="2" t="s">
        <v>12</v>
      </c>
      <c r="F3904">
        <f t="shared" si="60"/>
        <v>644.47500000000002</v>
      </c>
      <c r="G3904" t="s">
        <v>16</v>
      </c>
      <c r="J3904" t="str">
        <f>"06/07/1996 23:00"</f>
        <v>06/07/1996 23:00</v>
      </c>
    </row>
    <row r="3905" spans="1:10" x14ac:dyDescent="0.3">
      <c r="A3905" t="s">
        <v>6</v>
      </c>
      <c r="B3905" t="str">
        <f>"06/08/1996 00:00"</f>
        <v>06/08/1996 00:00</v>
      </c>
      <c r="C3905">
        <v>356</v>
      </c>
      <c r="D3905" t="s">
        <v>7</v>
      </c>
      <c r="E3905" s="2" t="s">
        <v>12</v>
      </c>
      <c r="F3905">
        <f t="shared" si="60"/>
        <v>705.94799999999998</v>
      </c>
      <c r="G3905" t="s">
        <v>16</v>
      </c>
      <c r="J3905" t="str">
        <f>"06/08/1996 23:00"</f>
        <v>06/08/1996 23:00</v>
      </c>
    </row>
    <row r="3906" spans="1:10" x14ac:dyDescent="0.3">
      <c r="A3906" t="s">
        <v>6</v>
      </c>
      <c r="B3906" t="str">
        <f>"06/09/1996 00:00"</f>
        <v>06/09/1996 00:00</v>
      </c>
      <c r="C3906">
        <v>345</v>
      </c>
      <c r="D3906" t="s">
        <v>7</v>
      </c>
      <c r="E3906" s="2" t="s">
        <v>12</v>
      </c>
      <c r="F3906">
        <f t="shared" si="60"/>
        <v>684.13499999999999</v>
      </c>
      <c r="G3906" t="s">
        <v>16</v>
      </c>
      <c r="J3906" t="str">
        <f>"06/09/1996 23:00"</f>
        <v>06/09/1996 23:00</v>
      </c>
    </row>
    <row r="3907" spans="1:10" x14ac:dyDescent="0.3">
      <c r="A3907" t="s">
        <v>6</v>
      </c>
      <c r="B3907" t="str">
        <f>"06/10/1996 00:00"</f>
        <v>06/10/1996 00:00</v>
      </c>
      <c r="C3907">
        <v>307</v>
      </c>
      <c r="D3907" t="s">
        <v>7</v>
      </c>
      <c r="E3907" s="2" t="s">
        <v>12</v>
      </c>
      <c r="F3907">
        <f t="shared" ref="F3907:F3970" si="61">C3907*1.983</f>
        <v>608.78100000000006</v>
      </c>
      <c r="G3907" t="s">
        <v>16</v>
      </c>
      <c r="J3907" t="str">
        <f>"06/10/1996 23:00"</f>
        <v>06/10/1996 23:00</v>
      </c>
    </row>
    <row r="3908" spans="1:10" x14ac:dyDescent="0.3">
      <c r="A3908" t="s">
        <v>6</v>
      </c>
      <c r="B3908" t="str">
        <f>"06/11/1996 00:00"</f>
        <v>06/11/1996 00:00</v>
      </c>
      <c r="C3908">
        <v>339</v>
      </c>
      <c r="D3908" t="s">
        <v>7</v>
      </c>
      <c r="E3908" s="2" t="s">
        <v>12</v>
      </c>
      <c r="F3908">
        <f t="shared" si="61"/>
        <v>672.23700000000008</v>
      </c>
      <c r="G3908" t="s">
        <v>16</v>
      </c>
      <c r="J3908" t="str">
        <f>"06/11/1996 23:00"</f>
        <v>06/11/1996 23:00</v>
      </c>
    </row>
    <row r="3909" spans="1:10" x14ac:dyDescent="0.3">
      <c r="A3909" t="s">
        <v>6</v>
      </c>
      <c r="B3909" t="str">
        <f>"06/12/1996 00:00"</f>
        <v>06/12/1996 00:00</v>
      </c>
      <c r="C3909">
        <v>268</v>
      </c>
      <c r="D3909" t="s">
        <v>7</v>
      </c>
      <c r="E3909" s="2" t="s">
        <v>12</v>
      </c>
      <c r="F3909">
        <f t="shared" si="61"/>
        <v>531.44400000000007</v>
      </c>
      <c r="G3909" t="s">
        <v>16</v>
      </c>
      <c r="J3909" t="str">
        <f>"06/12/1996 23:00"</f>
        <v>06/12/1996 23:00</v>
      </c>
    </row>
    <row r="3910" spans="1:10" x14ac:dyDescent="0.3">
      <c r="A3910" t="s">
        <v>6</v>
      </c>
      <c r="B3910" t="str">
        <f>"06/13/1996 00:00"</f>
        <v>06/13/1996 00:00</v>
      </c>
      <c r="C3910">
        <v>218</v>
      </c>
      <c r="D3910" t="s">
        <v>7</v>
      </c>
      <c r="E3910" s="2" t="s">
        <v>12</v>
      </c>
      <c r="F3910">
        <f t="shared" si="61"/>
        <v>432.29400000000004</v>
      </c>
      <c r="G3910" t="s">
        <v>16</v>
      </c>
      <c r="J3910" t="str">
        <f>"06/13/1996 23:00"</f>
        <v>06/13/1996 23:00</v>
      </c>
    </row>
    <row r="3911" spans="1:10" x14ac:dyDescent="0.3">
      <c r="A3911" t="s">
        <v>6</v>
      </c>
      <c r="B3911" t="str">
        <f>"06/14/1996 00:00"</f>
        <v>06/14/1996 00:00</v>
      </c>
      <c r="C3911">
        <v>135</v>
      </c>
      <c r="D3911" t="s">
        <v>7</v>
      </c>
      <c r="E3911" s="2" t="s">
        <v>12</v>
      </c>
      <c r="F3911">
        <f t="shared" si="61"/>
        <v>267.70500000000004</v>
      </c>
      <c r="G3911" t="s">
        <v>16</v>
      </c>
      <c r="J3911" t="str">
        <f>"06/14/1996 23:00"</f>
        <v>06/14/1996 23:00</v>
      </c>
    </row>
    <row r="3912" spans="1:10" x14ac:dyDescent="0.3">
      <c r="A3912" t="s">
        <v>6</v>
      </c>
      <c r="B3912" t="str">
        <f>"06/15/1996 00:00"</f>
        <v>06/15/1996 00:00</v>
      </c>
      <c r="C3912">
        <v>2.15</v>
      </c>
      <c r="D3912" t="s">
        <v>7</v>
      </c>
      <c r="E3912" s="2" t="s">
        <v>12</v>
      </c>
      <c r="F3912">
        <f t="shared" si="61"/>
        <v>4.2634499999999997</v>
      </c>
      <c r="G3912" t="s">
        <v>16</v>
      </c>
      <c r="J3912" t="str">
        <f>"06/15/1996 23:00"</f>
        <v>06/15/1996 23:00</v>
      </c>
    </row>
    <row r="3913" spans="1:10" x14ac:dyDescent="0.3">
      <c r="A3913" t="s">
        <v>6</v>
      </c>
      <c r="B3913" t="str">
        <f>"06/16/1996 00:00"</f>
        <v>06/16/1996 00:00</v>
      </c>
      <c r="C3913">
        <v>2.34</v>
      </c>
      <c r="D3913" t="s">
        <v>7</v>
      </c>
      <c r="E3913" s="2" t="s">
        <v>12</v>
      </c>
      <c r="F3913">
        <f t="shared" si="61"/>
        <v>4.6402200000000002</v>
      </c>
      <c r="G3913" t="s">
        <v>16</v>
      </c>
      <c r="J3913" t="str">
        <f>"06/16/1996 23:00"</f>
        <v>06/16/1996 23:00</v>
      </c>
    </row>
    <row r="3914" spans="1:10" x14ac:dyDescent="0.3">
      <c r="A3914" t="s">
        <v>6</v>
      </c>
      <c r="B3914" t="str">
        <f>"06/17/1996 00:00"</f>
        <v>06/17/1996 00:00</v>
      </c>
      <c r="C3914">
        <v>1.59</v>
      </c>
      <c r="D3914" t="s">
        <v>7</v>
      </c>
      <c r="E3914" s="2" t="s">
        <v>12</v>
      </c>
      <c r="F3914">
        <f t="shared" si="61"/>
        <v>3.1529700000000003</v>
      </c>
      <c r="G3914" t="s">
        <v>16</v>
      </c>
      <c r="J3914" t="str">
        <f>"06/17/1996 23:00"</f>
        <v>06/17/1996 23:00</v>
      </c>
    </row>
    <row r="3915" spans="1:10" x14ac:dyDescent="0.3">
      <c r="A3915" t="s">
        <v>6</v>
      </c>
      <c r="B3915" t="str">
        <f>"06/18/1996 00:00"</f>
        <v>06/18/1996 00:00</v>
      </c>
      <c r="C3915">
        <v>0.28000000000000003</v>
      </c>
      <c r="D3915" t="s">
        <v>7</v>
      </c>
      <c r="E3915" s="2" t="s">
        <v>12</v>
      </c>
      <c r="F3915">
        <f t="shared" si="61"/>
        <v>0.55524000000000007</v>
      </c>
      <c r="G3915" t="s">
        <v>16</v>
      </c>
      <c r="I3915" t="s">
        <v>8</v>
      </c>
      <c r="J3915" t="str">
        <f>"06/18/1996 23:00"</f>
        <v>06/18/1996 23:00</v>
      </c>
    </row>
    <row r="3916" spans="1:10" x14ac:dyDescent="0.3">
      <c r="A3916" t="s">
        <v>6</v>
      </c>
      <c r="B3916" t="str">
        <f>"06/19/1996 00:00"</f>
        <v>06/19/1996 00:00</v>
      </c>
      <c r="C3916">
        <v>0.28000000000000003</v>
      </c>
      <c r="D3916" t="s">
        <v>7</v>
      </c>
      <c r="E3916" s="2" t="s">
        <v>12</v>
      </c>
      <c r="F3916">
        <f t="shared" si="61"/>
        <v>0.55524000000000007</v>
      </c>
      <c r="G3916" t="s">
        <v>16</v>
      </c>
      <c r="I3916" t="s">
        <v>8</v>
      </c>
      <c r="J3916" t="str">
        <f>"06/19/1996 23:00"</f>
        <v>06/19/1996 23:00</v>
      </c>
    </row>
    <row r="3917" spans="1:10" x14ac:dyDescent="0.3">
      <c r="A3917" t="s">
        <v>6</v>
      </c>
      <c r="B3917" t="str">
        <f>"06/20/1996 00:00"</f>
        <v>06/20/1996 00:00</v>
      </c>
      <c r="C3917">
        <v>7.52</v>
      </c>
      <c r="D3917" t="s">
        <v>7</v>
      </c>
      <c r="E3917" s="2" t="s">
        <v>12</v>
      </c>
      <c r="F3917">
        <f t="shared" si="61"/>
        <v>14.91216</v>
      </c>
      <c r="G3917" t="s">
        <v>16</v>
      </c>
      <c r="J3917" t="str">
        <f>"06/20/1996 23:00"</f>
        <v>06/20/1996 23:00</v>
      </c>
    </row>
    <row r="3918" spans="1:10" x14ac:dyDescent="0.3">
      <c r="A3918" t="s">
        <v>6</v>
      </c>
      <c r="B3918" t="str">
        <f>"06/21/1996 00:00"</f>
        <v>06/21/1996 00:00</v>
      </c>
      <c r="C3918">
        <v>19.7</v>
      </c>
      <c r="D3918" t="s">
        <v>7</v>
      </c>
      <c r="E3918" s="2" t="s">
        <v>12</v>
      </c>
      <c r="F3918">
        <f t="shared" si="61"/>
        <v>39.065100000000001</v>
      </c>
      <c r="G3918" t="s">
        <v>16</v>
      </c>
      <c r="J3918" t="str">
        <f>"06/21/1996 23:00"</f>
        <v>06/21/1996 23:00</v>
      </c>
    </row>
    <row r="3919" spans="1:10" x14ac:dyDescent="0.3">
      <c r="A3919" t="s">
        <v>6</v>
      </c>
      <c r="B3919" t="str">
        <f>"06/22/1996 00:00"</f>
        <v>06/22/1996 00:00</v>
      </c>
      <c r="C3919">
        <v>29.3</v>
      </c>
      <c r="D3919" t="s">
        <v>7</v>
      </c>
      <c r="E3919" s="2" t="s">
        <v>12</v>
      </c>
      <c r="F3919">
        <f t="shared" si="61"/>
        <v>58.101900000000008</v>
      </c>
      <c r="G3919" t="s">
        <v>16</v>
      </c>
      <c r="J3919" t="str">
        <f>"06/22/1996 23:00"</f>
        <v>06/22/1996 23:00</v>
      </c>
    </row>
    <row r="3920" spans="1:10" x14ac:dyDescent="0.3">
      <c r="A3920" t="s">
        <v>6</v>
      </c>
      <c r="B3920" t="str">
        <f>"06/23/1996 00:00"</f>
        <v>06/23/1996 00:00</v>
      </c>
      <c r="C3920">
        <v>20.9</v>
      </c>
      <c r="D3920" t="s">
        <v>7</v>
      </c>
      <c r="E3920" s="2" t="s">
        <v>12</v>
      </c>
      <c r="F3920">
        <f t="shared" si="61"/>
        <v>41.444699999999997</v>
      </c>
      <c r="G3920" t="s">
        <v>16</v>
      </c>
      <c r="J3920" t="str">
        <f>"06/23/1996 23:00"</f>
        <v>06/23/1996 23:00</v>
      </c>
    </row>
    <row r="3921" spans="1:10" x14ac:dyDescent="0.3">
      <c r="A3921" t="s">
        <v>6</v>
      </c>
      <c r="B3921" t="str">
        <f>"06/24/1996 00:00"</f>
        <v>06/24/1996 00:00</v>
      </c>
      <c r="C3921">
        <v>2.56</v>
      </c>
      <c r="D3921" t="s">
        <v>7</v>
      </c>
      <c r="E3921" s="2" t="s">
        <v>12</v>
      </c>
      <c r="F3921">
        <f t="shared" si="61"/>
        <v>5.0764800000000001</v>
      </c>
      <c r="G3921" t="s">
        <v>16</v>
      </c>
      <c r="I3921" t="s">
        <v>8</v>
      </c>
      <c r="J3921" t="str">
        <f>"06/24/1996 23:00"</f>
        <v>06/24/1996 23:00</v>
      </c>
    </row>
    <row r="3922" spans="1:10" x14ac:dyDescent="0.3">
      <c r="A3922" t="s">
        <v>6</v>
      </c>
      <c r="B3922" t="str">
        <f>"06/25/1996 00:00"</f>
        <v>06/25/1996 00:00</v>
      </c>
      <c r="C3922">
        <v>2.54</v>
      </c>
      <c r="D3922" t="s">
        <v>7</v>
      </c>
      <c r="E3922" s="2" t="s">
        <v>12</v>
      </c>
      <c r="F3922">
        <f t="shared" si="61"/>
        <v>5.0368200000000005</v>
      </c>
      <c r="G3922" t="s">
        <v>16</v>
      </c>
      <c r="I3922" t="s">
        <v>8</v>
      </c>
      <c r="J3922" t="str">
        <f>"06/25/1996 23:00"</f>
        <v>06/25/1996 23:00</v>
      </c>
    </row>
    <row r="3923" spans="1:10" x14ac:dyDescent="0.3">
      <c r="A3923" t="s">
        <v>6</v>
      </c>
      <c r="B3923" t="str">
        <f>"06/26/1996 00:00"</f>
        <v>06/26/1996 00:00</v>
      </c>
      <c r="C3923">
        <v>2.56</v>
      </c>
      <c r="D3923" t="s">
        <v>7</v>
      </c>
      <c r="E3923" s="2" t="s">
        <v>12</v>
      </c>
      <c r="F3923">
        <f t="shared" si="61"/>
        <v>5.0764800000000001</v>
      </c>
      <c r="G3923" t="s">
        <v>16</v>
      </c>
      <c r="I3923" t="s">
        <v>8</v>
      </c>
      <c r="J3923" t="str">
        <f>"06/26/1996 10:00"</f>
        <v>06/26/1996 10:00</v>
      </c>
    </row>
    <row r="3924" spans="1:10" x14ac:dyDescent="0.3">
      <c r="A3924" t="s">
        <v>6</v>
      </c>
      <c r="B3924" t="str">
        <f>"06/27/1996 00:00"</f>
        <v>06/27/1996 00:00</v>
      </c>
      <c r="D3924" t="s">
        <v>7</v>
      </c>
      <c r="E3924" s="2" t="s">
        <v>12</v>
      </c>
      <c r="F3924">
        <f t="shared" si="61"/>
        <v>0</v>
      </c>
      <c r="G3924" t="s">
        <v>16</v>
      </c>
    </row>
    <row r="3925" spans="1:10" x14ac:dyDescent="0.3">
      <c r="A3925" t="s">
        <v>6</v>
      </c>
      <c r="B3925" t="str">
        <f>"06/28/1996 00:00"</f>
        <v>06/28/1996 00:00</v>
      </c>
      <c r="D3925" t="s">
        <v>7</v>
      </c>
      <c r="E3925" s="2" t="s">
        <v>12</v>
      </c>
      <c r="F3925">
        <f t="shared" si="61"/>
        <v>0</v>
      </c>
      <c r="G3925" t="s">
        <v>16</v>
      </c>
    </row>
    <row r="3926" spans="1:10" x14ac:dyDescent="0.3">
      <c r="A3926" t="s">
        <v>6</v>
      </c>
      <c r="B3926" t="str">
        <f>"06/29/1996 00:00"</f>
        <v>06/29/1996 00:00</v>
      </c>
      <c r="D3926" t="s">
        <v>7</v>
      </c>
      <c r="E3926" s="2" t="s">
        <v>12</v>
      </c>
      <c r="F3926">
        <f t="shared" si="61"/>
        <v>0</v>
      </c>
      <c r="G3926" t="s">
        <v>16</v>
      </c>
    </row>
    <row r="3927" spans="1:10" x14ac:dyDescent="0.3">
      <c r="A3927" t="s">
        <v>6</v>
      </c>
      <c r="B3927" t="str">
        <f>"06/30/1996 00:00"</f>
        <v>06/30/1996 00:00</v>
      </c>
      <c r="D3927" t="s">
        <v>7</v>
      </c>
      <c r="E3927" s="2" t="s">
        <v>12</v>
      </c>
      <c r="F3927">
        <f t="shared" si="61"/>
        <v>0</v>
      </c>
      <c r="G3927" t="s">
        <v>16</v>
      </c>
    </row>
    <row r="3928" spans="1:10" x14ac:dyDescent="0.3">
      <c r="A3928" t="s">
        <v>6</v>
      </c>
      <c r="B3928" t="str">
        <f>"07/01/1996 00:00"</f>
        <v>07/01/1996 00:00</v>
      </c>
      <c r="D3928" t="s">
        <v>7</v>
      </c>
      <c r="E3928" s="2" t="s">
        <v>12</v>
      </c>
      <c r="F3928">
        <f t="shared" si="61"/>
        <v>0</v>
      </c>
      <c r="G3928" t="s">
        <v>16</v>
      </c>
    </row>
    <row r="3929" spans="1:10" x14ac:dyDescent="0.3">
      <c r="A3929" t="s">
        <v>6</v>
      </c>
      <c r="B3929" t="str">
        <f>"07/02/1996 00:00"</f>
        <v>07/02/1996 00:00</v>
      </c>
      <c r="D3929" t="s">
        <v>7</v>
      </c>
      <c r="E3929" s="2" t="s">
        <v>12</v>
      </c>
      <c r="F3929">
        <f t="shared" si="61"/>
        <v>0</v>
      </c>
      <c r="G3929" t="s">
        <v>16</v>
      </c>
    </row>
    <row r="3930" spans="1:10" x14ac:dyDescent="0.3">
      <c r="A3930" t="s">
        <v>6</v>
      </c>
      <c r="B3930" t="str">
        <f>"07/03/1996 00:00"</f>
        <v>07/03/1996 00:00</v>
      </c>
      <c r="D3930" t="s">
        <v>7</v>
      </c>
      <c r="E3930" s="2" t="s">
        <v>12</v>
      </c>
      <c r="F3930">
        <f t="shared" si="61"/>
        <v>0</v>
      </c>
      <c r="G3930" t="s">
        <v>16</v>
      </c>
    </row>
    <row r="3931" spans="1:10" x14ac:dyDescent="0.3">
      <c r="A3931" t="s">
        <v>6</v>
      </c>
      <c r="B3931" t="str">
        <f>"07/04/1996 00:00"</f>
        <v>07/04/1996 00:00</v>
      </c>
      <c r="C3931">
        <v>0.28000000000000003</v>
      </c>
      <c r="D3931" t="s">
        <v>7</v>
      </c>
      <c r="E3931" s="2" t="s">
        <v>12</v>
      </c>
      <c r="F3931">
        <f t="shared" si="61"/>
        <v>0.55524000000000007</v>
      </c>
      <c r="G3931" t="s">
        <v>16</v>
      </c>
      <c r="J3931" t="str">
        <f>"07/04/1996 23:00"</f>
        <v>07/04/1996 23:00</v>
      </c>
    </row>
    <row r="3932" spans="1:10" x14ac:dyDescent="0.3">
      <c r="A3932" t="s">
        <v>6</v>
      </c>
      <c r="B3932" t="str">
        <f>"07/05/1996 00:00"</f>
        <v>07/05/1996 00:00</v>
      </c>
      <c r="C3932">
        <v>0.28000000000000003</v>
      </c>
      <c r="D3932" t="s">
        <v>7</v>
      </c>
      <c r="E3932" s="2" t="s">
        <v>12</v>
      </c>
      <c r="F3932">
        <f t="shared" si="61"/>
        <v>0.55524000000000007</v>
      </c>
      <c r="G3932" t="s">
        <v>16</v>
      </c>
      <c r="J3932" t="str">
        <f>"07/05/1996 10:00"</f>
        <v>07/05/1996 10:00</v>
      </c>
    </row>
    <row r="3933" spans="1:10" x14ac:dyDescent="0.3">
      <c r="A3933" t="s">
        <v>6</v>
      </c>
      <c r="B3933" t="str">
        <f>"07/06/1996 00:00"</f>
        <v>07/06/1996 00:00</v>
      </c>
      <c r="D3933" t="s">
        <v>7</v>
      </c>
      <c r="E3933" s="2" t="s">
        <v>12</v>
      </c>
      <c r="F3933">
        <f t="shared" si="61"/>
        <v>0</v>
      </c>
      <c r="G3933" t="s">
        <v>16</v>
      </c>
    </row>
    <row r="3934" spans="1:10" x14ac:dyDescent="0.3">
      <c r="A3934" t="s">
        <v>6</v>
      </c>
      <c r="B3934" t="str">
        <f>"07/07/1996 00:00"</f>
        <v>07/07/1996 00:00</v>
      </c>
      <c r="D3934" t="s">
        <v>7</v>
      </c>
      <c r="E3934" s="2" t="s">
        <v>12</v>
      </c>
      <c r="F3934">
        <f t="shared" si="61"/>
        <v>0</v>
      </c>
      <c r="G3934" t="s">
        <v>16</v>
      </c>
    </row>
    <row r="3935" spans="1:10" x14ac:dyDescent="0.3">
      <c r="A3935" t="s">
        <v>6</v>
      </c>
      <c r="B3935" t="str">
        <f>"07/08/1996 00:00"</f>
        <v>07/08/1996 00:00</v>
      </c>
      <c r="D3935" t="s">
        <v>7</v>
      </c>
      <c r="E3935" s="2" t="s">
        <v>12</v>
      </c>
      <c r="F3935">
        <f t="shared" si="61"/>
        <v>0</v>
      </c>
      <c r="G3935" t="s">
        <v>16</v>
      </c>
    </row>
    <row r="3936" spans="1:10" x14ac:dyDescent="0.3">
      <c r="A3936" t="s">
        <v>6</v>
      </c>
      <c r="B3936" t="str">
        <f>"07/09/1996 00:00"</f>
        <v>07/09/1996 00:00</v>
      </c>
      <c r="D3936" t="s">
        <v>7</v>
      </c>
      <c r="E3936" s="2" t="s">
        <v>12</v>
      </c>
      <c r="F3936">
        <f t="shared" si="61"/>
        <v>0</v>
      </c>
      <c r="G3936" t="s">
        <v>16</v>
      </c>
    </row>
    <row r="3937" spans="1:10" x14ac:dyDescent="0.3">
      <c r="A3937" t="s">
        <v>6</v>
      </c>
      <c r="B3937" t="str">
        <f>"07/10/1996 00:00"</f>
        <v>07/10/1996 00:00</v>
      </c>
      <c r="C3937">
        <v>0.28000000000000003</v>
      </c>
      <c r="D3937" t="s">
        <v>7</v>
      </c>
      <c r="E3937" s="2" t="s">
        <v>12</v>
      </c>
      <c r="F3937">
        <f t="shared" si="61"/>
        <v>0.55524000000000007</v>
      </c>
      <c r="G3937" t="s">
        <v>16</v>
      </c>
      <c r="J3937" t="str">
        <f>"07/10/1996 18:00"</f>
        <v>07/10/1996 18:00</v>
      </c>
    </row>
    <row r="3938" spans="1:10" x14ac:dyDescent="0.3">
      <c r="A3938" t="s">
        <v>6</v>
      </c>
      <c r="B3938" t="str">
        <f>"07/11/1996 00:00"</f>
        <v>07/11/1996 00:00</v>
      </c>
      <c r="C3938">
        <v>0.28000000000000003</v>
      </c>
      <c r="D3938" t="s">
        <v>7</v>
      </c>
      <c r="E3938" s="2" t="s">
        <v>12</v>
      </c>
      <c r="F3938">
        <f t="shared" si="61"/>
        <v>0.55524000000000007</v>
      </c>
      <c r="G3938" t="s">
        <v>16</v>
      </c>
      <c r="J3938" t="str">
        <f>"07/11/1996 23:00"</f>
        <v>07/11/1996 23:00</v>
      </c>
    </row>
    <row r="3939" spans="1:10" x14ac:dyDescent="0.3">
      <c r="A3939" t="s">
        <v>6</v>
      </c>
      <c r="B3939" t="str">
        <f>"07/12/1996 00:00"</f>
        <v>07/12/1996 00:00</v>
      </c>
      <c r="C3939">
        <v>0.26900000000000002</v>
      </c>
      <c r="D3939" t="s">
        <v>7</v>
      </c>
      <c r="E3939" s="2" t="s">
        <v>12</v>
      </c>
      <c r="F3939">
        <f t="shared" si="61"/>
        <v>0.5334270000000001</v>
      </c>
      <c r="G3939" t="s">
        <v>16</v>
      </c>
      <c r="J3939" t="str">
        <f>"07/12/1996 22:00"</f>
        <v>07/12/1996 22:00</v>
      </c>
    </row>
    <row r="3940" spans="1:10" x14ac:dyDescent="0.3">
      <c r="A3940" t="s">
        <v>6</v>
      </c>
      <c r="B3940" t="str">
        <f>"07/13/1996 00:00"</f>
        <v>07/13/1996 00:00</v>
      </c>
      <c r="C3940">
        <v>0.15</v>
      </c>
      <c r="D3940" t="s">
        <v>7</v>
      </c>
      <c r="E3940" s="2" t="s">
        <v>12</v>
      </c>
      <c r="F3940">
        <f t="shared" si="61"/>
        <v>0.29744999999999999</v>
      </c>
      <c r="G3940" t="s">
        <v>16</v>
      </c>
      <c r="J3940" t="str">
        <f>"07/13/1996 23:00"</f>
        <v>07/13/1996 23:00</v>
      </c>
    </row>
    <row r="3941" spans="1:10" x14ac:dyDescent="0.3">
      <c r="A3941" t="s">
        <v>6</v>
      </c>
      <c r="B3941" t="str">
        <f>"07/14/1996 00:00"</f>
        <v>07/14/1996 00:00</v>
      </c>
      <c r="C3941">
        <v>0.15</v>
      </c>
      <c r="D3941" t="s">
        <v>7</v>
      </c>
      <c r="E3941" s="2" t="s">
        <v>12</v>
      </c>
      <c r="F3941">
        <f t="shared" si="61"/>
        <v>0.29744999999999999</v>
      </c>
      <c r="G3941" t="s">
        <v>16</v>
      </c>
      <c r="I3941" t="s">
        <v>8</v>
      </c>
      <c r="J3941" t="str">
        <f>"07/14/1996 23:00"</f>
        <v>07/14/1996 23:00</v>
      </c>
    </row>
    <row r="3942" spans="1:10" x14ac:dyDescent="0.3">
      <c r="A3942" t="s">
        <v>6</v>
      </c>
      <c r="B3942" t="str">
        <f>"07/15/1996 00:00"</f>
        <v>07/15/1996 00:00</v>
      </c>
      <c r="C3942">
        <v>0.15</v>
      </c>
      <c r="D3942" t="s">
        <v>7</v>
      </c>
      <c r="E3942" s="2" t="s">
        <v>12</v>
      </c>
      <c r="F3942">
        <f t="shared" si="61"/>
        <v>0.29744999999999999</v>
      </c>
      <c r="G3942" t="s">
        <v>16</v>
      </c>
      <c r="I3942" t="s">
        <v>35</v>
      </c>
      <c r="J3942" t="str">
        <f>"07/15/1996 06:00"</f>
        <v>07/15/1996 06:00</v>
      </c>
    </row>
    <row r="3943" spans="1:10" x14ac:dyDescent="0.3">
      <c r="A3943" t="s">
        <v>6</v>
      </c>
      <c r="B3943" t="str">
        <f>"07/16/1996 00:00"</f>
        <v>07/16/1996 00:00</v>
      </c>
      <c r="D3943" t="s">
        <v>7</v>
      </c>
      <c r="E3943" s="2" t="s">
        <v>12</v>
      </c>
      <c r="F3943">
        <f t="shared" si="61"/>
        <v>0</v>
      </c>
      <c r="G3943" t="s">
        <v>16</v>
      </c>
    </row>
    <row r="3944" spans="1:10" x14ac:dyDescent="0.3">
      <c r="A3944" t="s">
        <v>6</v>
      </c>
      <c r="B3944" t="str">
        <f>"07/17/1996 00:00"</f>
        <v>07/17/1996 00:00</v>
      </c>
      <c r="D3944" t="s">
        <v>7</v>
      </c>
      <c r="E3944" s="2" t="s">
        <v>12</v>
      </c>
      <c r="F3944">
        <f t="shared" si="61"/>
        <v>0</v>
      </c>
      <c r="G3944" t="s">
        <v>16</v>
      </c>
    </row>
    <row r="3945" spans="1:10" x14ac:dyDescent="0.3">
      <c r="A3945" t="s">
        <v>6</v>
      </c>
      <c r="B3945" t="str">
        <f>"07/18/1996 00:00"</f>
        <v>07/18/1996 00:00</v>
      </c>
      <c r="D3945" t="s">
        <v>7</v>
      </c>
      <c r="E3945" s="2" t="s">
        <v>12</v>
      </c>
      <c r="F3945">
        <f t="shared" si="61"/>
        <v>0</v>
      </c>
      <c r="G3945" t="s">
        <v>16</v>
      </c>
    </row>
    <row r="3946" spans="1:10" x14ac:dyDescent="0.3">
      <c r="A3946" t="s">
        <v>6</v>
      </c>
      <c r="B3946" t="str">
        <f>"07/19/1996 00:00"</f>
        <v>07/19/1996 00:00</v>
      </c>
      <c r="C3946">
        <v>0.28000000000000003</v>
      </c>
      <c r="D3946" t="s">
        <v>7</v>
      </c>
      <c r="E3946" s="2" t="s">
        <v>12</v>
      </c>
      <c r="F3946">
        <f t="shared" si="61"/>
        <v>0.55524000000000007</v>
      </c>
      <c r="G3946" t="s">
        <v>16</v>
      </c>
      <c r="J3946" t="str">
        <f>"07/19/1996 23:00"</f>
        <v>07/19/1996 23:00</v>
      </c>
    </row>
    <row r="3947" spans="1:10" x14ac:dyDescent="0.3">
      <c r="A3947" t="s">
        <v>6</v>
      </c>
      <c r="B3947" t="str">
        <f>"07/20/1996 00:00"</f>
        <v>07/20/1996 00:00</v>
      </c>
      <c r="C3947">
        <v>0.28000000000000003</v>
      </c>
      <c r="D3947" t="s">
        <v>7</v>
      </c>
      <c r="E3947" s="2" t="s">
        <v>12</v>
      </c>
      <c r="F3947">
        <f t="shared" si="61"/>
        <v>0.55524000000000007</v>
      </c>
      <c r="G3947" t="s">
        <v>16</v>
      </c>
      <c r="J3947" t="str">
        <f>"07/20/1996 23:00"</f>
        <v>07/20/1996 23:00</v>
      </c>
    </row>
    <row r="3948" spans="1:10" x14ac:dyDescent="0.3">
      <c r="A3948" t="s">
        <v>6</v>
      </c>
      <c r="B3948" t="str">
        <f>"07/21/1996 00:00"</f>
        <v>07/21/1996 00:00</v>
      </c>
      <c r="C3948">
        <v>0.28000000000000003</v>
      </c>
      <c r="D3948" t="s">
        <v>7</v>
      </c>
      <c r="E3948" s="2" t="s">
        <v>12</v>
      </c>
      <c r="F3948">
        <f t="shared" si="61"/>
        <v>0.55524000000000007</v>
      </c>
      <c r="G3948" t="s">
        <v>16</v>
      </c>
      <c r="I3948" t="s">
        <v>8</v>
      </c>
      <c r="J3948" t="str">
        <f>"07/21/1996 23:00"</f>
        <v>07/21/1996 23:00</v>
      </c>
    </row>
    <row r="3949" spans="1:10" x14ac:dyDescent="0.3">
      <c r="A3949" t="s">
        <v>6</v>
      </c>
      <c r="B3949" t="str">
        <f>"07/22/1996 00:00"</f>
        <v>07/22/1996 00:00</v>
      </c>
      <c r="C3949">
        <v>8.76</v>
      </c>
      <c r="D3949" t="s">
        <v>7</v>
      </c>
      <c r="E3949" s="2" t="s">
        <v>12</v>
      </c>
      <c r="F3949">
        <f t="shared" si="61"/>
        <v>17.371079999999999</v>
      </c>
      <c r="G3949" t="s">
        <v>16</v>
      </c>
      <c r="J3949" t="str">
        <f>"07/22/1996 23:00"</f>
        <v>07/22/1996 23:00</v>
      </c>
    </row>
    <row r="3950" spans="1:10" x14ac:dyDescent="0.3">
      <c r="A3950" t="s">
        <v>6</v>
      </c>
      <c r="B3950" t="str">
        <f>"07/23/1996 00:00"</f>
        <v>07/23/1996 00:00</v>
      </c>
      <c r="C3950">
        <v>30.8</v>
      </c>
      <c r="D3950" t="s">
        <v>7</v>
      </c>
      <c r="E3950" s="2" t="s">
        <v>12</v>
      </c>
      <c r="F3950">
        <f t="shared" si="61"/>
        <v>61.076400000000007</v>
      </c>
      <c r="G3950" t="s">
        <v>16</v>
      </c>
      <c r="J3950" t="str">
        <f>"07/23/1996 23:00"</f>
        <v>07/23/1996 23:00</v>
      </c>
    </row>
    <row r="3951" spans="1:10" x14ac:dyDescent="0.3">
      <c r="A3951" t="s">
        <v>6</v>
      </c>
      <c r="B3951" t="str">
        <f>"07/24/1996 00:00"</f>
        <v>07/24/1996 00:00</v>
      </c>
      <c r="C3951">
        <v>63</v>
      </c>
      <c r="D3951" t="s">
        <v>7</v>
      </c>
      <c r="E3951" s="2" t="s">
        <v>12</v>
      </c>
      <c r="F3951">
        <f t="shared" si="61"/>
        <v>124.929</v>
      </c>
      <c r="G3951" t="s">
        <v>16</v>
      </c>
      <c r="J3951" t="str">
        <f>"07/24/1996 23:00"</f>
        <v>07/24/1996 23:00</v>
      </c>
    </row>
    <row r="3952" spans="1:10" x14ac:dyDescent="0.3">
      <c r="A3952" t="s">
        <v>6</v>
      </c>
      <c r="B3952" t="str">
        <f>"07/25/1996 00:00"</f>
        <v>07/25/1996 00:00</v>
      </c>
      <c r="C3952">
        <v>34.700000000000003</v>
      </c>
      <c r="D3952" t="s">
        <v>7</v>
      </c>
      <c r="E3952" s="2" t="s">
        <v>12</v>
      </c>
      <c r="F3952">
        <f t="shared" si="61"/>
        <v>68.810100000000006</v>
      </c>
      <c r="G3952" t="s">
        <v>16</v>
      </c>
      <c r="J3952" t="str">
        <f>"07/25/1996 23:00"</f>
        <v>07/25/1996 23:00</v>
      </c>
    </row>
    <row r="3953" spans="1:10" x14ac:dyDescent="0.3">
      <c r="A3953" t="s">
        <v>6</v>
      </c>
      <c r="B3953" t="str">
        <f>"07/26/1996 00:00"</f>
        <v>07/26/1996 00:00</v>
      </c>
      <c r="C3953">
        <v>6.98</v>
      </c>
      <c r="D3953" t="s">
        <v>7</v>
      </c>
      <c r="E3953" s="2" t="s">
        <v>12</v>
      </c>
      <c r="F3953">
        <f t="shared" si="61"/>
        <v>13.841340000000001</v>
      </c>
      <c r="G3953" t="s">
        <v>16</v>
      </c>
      <c r="J3953" t="str">
        <f>"07/26/1996 23:00"</f>
        <v>07/26/1996 23:00</v>
      </c>
    </row>
    <row r="3954" spans="1:10" x14ac:dyDescent="0.3">
      <c r="A3954" t="s">
        <v>6</v>
      </c>
      <c r="B3954" t="str">
        <f>"07/27/1996 00:00"</f>
        <v>07/27/1996 00:00</v>
      </c>
      <c r="C3954">
        <v>1.53</v>
      </c>
      <c r="D3954" t="s">
        <v>7</v>
      </c>
      <c r="E3954" s="2" t="s">
        <v>12</v>
      </c>
      <c r="F3954">
        <f t="shared" si="61"/>
        <v>3.0339900000000002</v>
      </c>
      <c r="G3954" t="s">
        <v>16</v>
      </c>
      <c r="J3954" t="str">
        <f>"07/27/1996 23:00"</f>
        <v>07/27/1996 23:00</v>
      </c>
    </row>
    <row r="3955" spans="1:10" x14ac:dyDescent="0.3">
      <c r="A3955" t="s">
        <v>6</v>
      </c>
      <c r="B3955" t="str">
        <f>"07/28/1996 00:00"</f>
        <v>07/28/1996 00:00</v>
      </c>
      <c r="C3955">
        <v>1.08</v>
      </c>
      <c r="D3955" t="s">
        <v>7</v>
      </c>
      <c r="E3955" s="2" t="s">
        <v>12</v>
      </c>
      <c r="F3955">
        <f t="shared" si="61"/>
        <v>2.1416400000000002</v>
      </c>
      <c r="G3955" t="s">
        <v>16</v>
      </c>
      <c r="J3955" t="str">
        <f>"07/28/1996 23:00"</f>
        <v>07/28/1996 23:00</v>
      </c>
    </row>
    <row r="3956" spans="1:10" x14ac:dyDescent="0.3">
      <c r="A3956" t="s">
        <v>6</v>
      </c>
      <c r="B3956" t="str">
        <f>"07/29/1996 00:00"</f>
        <v>07/29/1996 00:00</v>
      </c>
      <c r="C3956">
        <v>1.08</v>
      </c>
      <c r="D3956" t="s">
        <v>7</v>
      </c>
      <c r="E3956" s="2" t="s">
        <v>12</v>
      </c>
      <c r="F3956">
        <f t="shared" si="61"/>
        <v>2.1416400000000002</v>
      </c>
      <c r="G3956" t="s">
        <v>16</v>
      </c>
      <c r="J3956" t="str">
        <f>"07/29/1996 23:00"</f>
        <v>07/29/1996 23:00</v>
      </c>
    </row>
    <row r="3957" spans="1:10" x14ac:dyDescent="0.3">
      <c r="A3957" t="s">
        <v>6</v>
      </c>
      <c r="B3957" t="str">
        <f>"07/30/1996 00:00"</f>
        <v>07/30/1996 00:00</v>
      </c>
      <c r="C3957">
        <v>1.08</v>
      </c>
      <c r="D3957" t="s">
        <v>7</v>
      </c>
      <c r="E3957" s="2" t="s">
        <v>12</v>
      </c>
      <c r="F3957">
        <f t="shared" si="61"/>
        <v>2.1416400000000002</v>
      </c>
      <c r="G3957" t="s">
        <v>16</v>
      </c>
      <c r="J3957" t="str">
        <f>"07/30/1996 23:00"</f>
        <v>07/30/1996 23:00</v>
      </c>
    </row>
    <row r="3958" spans="1:10" x14ac:dyDescent="0.3">
      <c r="A3958" t="s">
        <v>6</v>
      </c>
      <c r="B3958" t="str">
        <f>"07/31/1996 00:00"</f>
        <v>07/31/1996 00:00</v>
      </c>
      <c r="C3958">
        <v>1.08</v>
      </c>
      <c r="D3958" t="s">
        <v>7</v>
      </c>
      <c r="E3958" s="2" t="s">
        <v>12</v>
      </c>
      <c r="F3958">
        <f t="shared" si="61"/>
        <v>2.1416400000000002</v>
      </c>
      <c r="G3958" t="s">
        <v>16</v>
      </c>
      <c r="J3958" t="str">
        <f>"07/31/1996 23:00"</f>
        <v>07/31/1996 23:00</v>
      </c>
    </row>
    <row r="3959" spans="1:10" x14ac:dyDescent="0.3">
      <c r="A3959" t="s">
        <v>6</v>
      </c>
      <c r="B3959" t="str">
        <f>"08/01/1996 00:00"</f>
        <v>08/01/1996 00:00</v>
      </c>
      <c r="C3959">
        <v>1.08</v>
      </c>
      <c r="D3959" t="s">
        <v>7</v>
      </c>
      <c r="E3959" s="2" t="s">
        <v>12</v>
      </c>
      <c r="F3959">
        <f t="shared" si="61"/>
        <v>2.1416400000000002</v>
      </c>
      <c r="G3959" t="s">
        <v>16</v>
      </c>
      <c r="J3959" t="str">
        <f>"08/01/1996 23:00"</f>
        <v>08/01/1996 23:00</v>
      </c>
    </row>
    <row r="3960" spans="1:10" x14ac:dyDescent="0.3">
      <c r="A3960" t="s">
        <v>6</v>
      </c>
      <c r="B3960" t="str">
        <f>"08/02/1996 00:00"</f>
        <v>08/02/1996 00:00</v>
      </c>
      <c r="C3960">
        <v>1.08</v>
      </c>
      <c r="D3960" t="s">
        <v>7</v>
      </c>
      <c r="E3960" s="2" t="s">
        <v>12</v>
      </c>
      <c r="F3960">
        <f t="shared" si="61"/>
        <v>2.1416400000000002</v>
      </c>
      <c r="G3960" t="s">
        <v>16</v>
      </c>
      <c r="J3960" t="str">
        <f>"08/02/1996 23:00"</f>
        <v>08/02/1996 23:00</v>
      </c>
    </row>
    <row r="3961" spans="1:10" x14ac:dyDescent="0.3">
      <c r="A3961" t="s">
        <v>6</v>
      </c>
      <c r="B3961" t="str">
        <f>"08/03/1996 00:00"</f>
        <v>08/03/1996 00:00</v>
      </c>
      <c r="C3961">
        <v>1.08</v>
      </c>
      <c r="D3961" t="s">
        <v>7</v>
      </c>
      <c r="E3961" s="2" t="s">
        <v>12</v>
      </c>
      <c r="F3961">
        <f t="shared" si="61"/>
        <v>2.1416400000000002</v>
      </c>
      <c r="G3961" t="s">
        <v>16</v>
      </c>
      <c r="J3961" t="str">
        <f>"08/03/1996 23:00"</f>
        <v>08/03/1996 23:00</v>
      </c>
    </row>
    <row r="3962" spans="1:10" x14ac:dyDescent="0.3">
      <c r="A3962" t="s">
        <v>6</v>
      </c>
      <c r="B3962" t="str">
        <f>"08/04/1996 00:00"</f>
        <v>08/04/1996 00:00</v>
      </c>
      <c r="C3962">
        <v>1.08</v>
      </c>
      <c r="D3962" t="s">
        <v>7</v>
      </c>
      <c r="E3962" s="2" t="s">
        <v>12</v>
      </c>
      <c r="F3962">
        <f t="shared" si="61"/>
        <v>2.1416400000000002</v>
      </c>
      <c r="G3962" t="s">
        <v>16</v>
      </c>
      <c r="J3962" t="str">
        <f>"08/04/1996 23:00"</f>
        <v>08/04/1996 23:00</v>
      </c>
    </row>
    <row r="3963" spans="1:10" x14ac:dyDescent="0.3">
      <c r="A3963" t="s">
        <v>6</v>
      </c>
      <c r="B3963" t="str">
        <f>"08/05/1996 00:00"</f>
        <v>08/05/1996 00:00</v>
      </c>
      <c r="C3963">
        <v>1.08</v>
      </c>
      <c r="D3963" t="s">
        <v>7</v>
      </c>
      <c r="E3963" s="2" t="s">
        <v>12</v>
      </c>
      <c r="F3963">
        <f t="shared" si="61"/>
        <v>2.1416400000000002</v>
      </c>
      <c r="G3963" t="s">
        <v>16</v>
      </c>
      <c r="J3963" t="str">
        <f>"08/05/1996 23:00"</f>
        <v>08/05/1996 23:00</v>
      </c>
    </row>
    <row r="3964" spans="1:10" x14ac:dyDescent="0.3">
      <c r="A3964" t="s">
        <v>6</v>
      </c>
      <c r="B3964" t="str">
        <f>"08/06/1996 00:00"</f>
        <v>08/06/1996 00:00</v>
      </c>
      <c r="C3964">
        <v>0.94599999999999995</v>
      </c>
      <c r="D3964" t="s">
        <v>7</v>
      </c>
      <c r="E3964" s="2" t="s">
        <v>12</v>
      </c>
      <c r="F3964">
        <f t="shared" si="61"/>
        <v>1.875918</v>
      </c>
      <c r="G3964" t="s">
        <v>16</v>
      </c>
      <c r="J3964" t="str">
        <f>"08/06/1996 23:00"</f>
        <v>08/06/1996 23:00</v>
      </c>
    </row>
    <row r="3965" spans="1:10" x14ac:dyDescent="0.3">
      <c r="A3965" t="s">
        <v>6</v>
      </c>
      <c r="B3965" t="str">
        <f>"08/07/1996 00:00"</f>
        <v>08/07/1996 00:00</v>
      </c>
      <c r="C3965">
        <v>0.85</v>
      </c>
      <c r="D3965" t="s">
        <v>7</v>
      </c>
      <c r="E3965" s="2" t="s">
        <v>12</v>
      </c>
      <c r="F3965">
        <f t="shared" si="61"/>
        <v>1.6855500000000001</v>
      </c>
      <c r="G3965" t="s">
        <v>16</v>
      </c>
      <c r="J3965" t="str">
        <f>"08/07/1996 23:00"</f>
        <v>08/07/1996 23:00</v>
      </c>
    </row>
    <row r="3966" spans="1:10" x14ac:dyDescent="0.3">
      <c r="A3966" t="s">
        <v>6</v>
      </c>
      <c r="B3966" t="str">
        <f>"08/08/1996 00:00"</f>
        <v>08/08/1996 00:00</v>
      </c>
      <c r="C3966">
        <v>0.85</v>
      </c>
      <c r="D3966" t="s">
        <v>7</v>
      </c>
      <c r="E3966" s="2" t="s">
        <v>12</v>
      </c>
      <c r="F3966">
        <f t="shared" si="61"/>
        <v>1.6855500000000001</v>
      </c>
      <c r="G3966" t="s">
        <v>16</v>
      </c>
      <c r="J3966" t="str">
        <f>"08/08/1996 23:00"</f>
        <v>08/08/1996 23:00</v>
      </c>
    </row>
    <row r="3967" spans="1:10" x14ac:dyDescent="0.3">
      <c r="A3967" t="s">
        <v>6</v>
      </c>
      <c r="B3967" t="str">
        <f>"08/09/1996 00:00"</f>
        <v>08/09/1996 00:00</v>
      </c>
      <c r="C3967">
        <v>0.85</v>
      </c>
      <c r="D3967" t="s">
        <v>7</v>
      </c>
      <c r="E3967" s="2" t="s">
        <v>12</v>
      </c>
      <c r="F3967">
        <f t="shared" si="61"/>
        <v>1.6855500000000001</v>
      </c>
      <c r="G3967" t="s">
        <v>16</v>
      </c>
      <c r="J3967" t="str">
        <f>"08/09/1996 23:00"</f>
        <v>08/09/1996 23:00</v>
      </c>
    </row>
    <row r="3968" spans="1:10" x14ac:dyDescent="0.3">
      <c r="A3968" t="s">
        <v>6</v>
      </c>
      <c r="B3968" t="str">
        <f>"08/10/1996 00:00"</f>
        <v>08/10/1996 00:00</v>
      </c>
      <c r="C3968">
        <v>0.85</v>
      </c>
      <c r="D3968" t="s">
        <v>7</v>
      </c>
      <c r="E3968" s="2" t="s">
        <v>12</v>
      </c>
      <c r="F3968">
        <f t="shared" si="61"/>
        <v>1.6855500000000001</v>
      </c>
      <c r="G3968" t="s">
        <v>16</v>
      </c>
      <c r="J3968" t="str">
        <f>"08/10/1996 23:00"</f>
        <v>08/10/1996 23:00</v>
      </c>
    </row>
    <row r="3969" spans="1:10" x14ac:dyDescent="0.3">
      <c r="A3969" t="s">
        <v>6</v>
      </c>
      <c r="B3969" t="str">
        <f>"08/11/1996 00:00"</f>
        <v>08/11/1996 00:00</v>
      </c>
      <c r="C3969">
        <v>1.52</v>
      </c>
      <c r="D3969" t="s">
        <v>7</v>
      </c>
      <c r="E3969" s="2" t="s">
        <v>12</v>
      </c>
      <c r="F3969">
        <f t="shared" si="61"/>
        <v>3.0141600000000004</v>
      </c>
      <c r="G3969" t="s">
        <v>16</v>
      </c>
      <c r="J3969" t="str">
        <f>"08/11/1996 23:00"</f>
        <v>08/11/1996 23:00</v>
      </c>
    </row>
    <row r="3970" spans="1:10" x14ac:dyDescent="0.3">
      <c r="A3970" t="s">
        <v>6</v>
      </c>
      <c r="B3970" t="str">
        <f>"08/12/1996 00:00"</f>
        <v>08/12/1996 00:00</v>
      </c>
      <c r="C3970">
        <v>1.92</v>
      </c>
      <c r="D3970" t="s">
        <v>7</v>
      </c>
      <c r="E3970" s="2" t="s">
        <v>12</v>
      </c>
      <c r="F3970">
        <f t="shared" si="61"/>
        <v>3.8073600000000001</v>
      </c>
      <c r="G3970" t="s">
        <v>16</v>
      </c>
      <c r="J3970" t="str">
        <f>"08/12/1996 23:00"</f>
        <v>08/12/1996 23:00</v>
      </c>
    </row>
    <row r="3971" spans="1:10" x14ac:dyDescent="0.3">
      <c r="A3971" t="s">
        <v>6</v>
      </c>
      <c r="B3971" t="str">
        <f>"08/13/1996 00:00"</f>
        <v>08/13/1996 00:00</v>
      </c>
      <c r="C3971">
        <v>78.2</v>
      </c>
      <c r="D3971" t="s">
        <v>7</v>
      </c>
      <c r="E3971" s="2" t="s">
        <v>12</v>
      </c>
      <c r="F3971">
        <f t="shared" ref="F3971:F4034" si="62">C3971*1.983</f>
        <v>155.07060000000001</v>
      </c>
      <c r="G3971" t="s">
        <v>16</v>
      </c>
      <c r="J3971" t="str">
        <f>"08/13/1996 23:00"</f>
        <v>08/13/1996 23:00</v>
      </c>
    </row>
    <row r="3972" spans="1:10" x14ac:dyDescent="0.3">
      <c r="A3972" t="s">
        <v>6</v>
      </c>
      <c r="B3972" t="str">
        <f>"08/14/1996 00:00"</f>
        <v>08/14/1996 00:00</v>
      </c>
      <c r="C3972">
        <v>324</v>
      </c>
      <c r="D3972" t="s">
        <v>7</v>
      </c>
      <c r="E3972" s="2" t="s">
        <v>12</v>
      </c>
      <c r="F3972">
        <f t="shared" si="62"/>
        <v>642.49200000000008</v>
      </c>
      <c r="G3972" t="s">
        <v>16</v>
      </c>
      <c r="J3972" t="str">
        <f>"08/14/1996 23:00"</f>
        <v>08/14/1996 23:00</v>
      </c>
    </row>
    <row r="3973" spans="1:10" x14ac:dyDescent="0.3">
      <c r="A3973" t="s">
        <v>6</v>
      </c>
      <c r="B3973" t="str">
        <f>"08/15/1996 00:00"</f>
        <v>08/15/1996 00:00</v>
      </c>
      <c r="C3973">
        <v>415</v>
      </c>
      <c r="D3973" t="s">
        <v>7</v>
      </c>
      <c r="E3973" s="2" t="s">
        <v>12</v>
      </c>
      <c r="F3973">
        <f t="shared" si="62"/>
        <v>822.94500000000005</v>
      </c>
      <c r="G3973" t="s">
        <v>16</v>
      </c>
      <c r="J3973" t="str">
        <f>"08/15/1996 23:00"</f>
        <v>08/15/1996 23:00</v>
      </c>
    </row>
    <row r="3974" spans="1:10" x14ac:dyDescent="0.3">
      <c r="A3974" t="s">
        <v>6</v>
      </c>
      <c r="B3974" t="str">
        <f>"08/16/1996 00:00"</f>
        <v>08/16/1996 00:00</v>
      </c>
      <c r="C3974">
        <v>416</v>
      </c>
      <c r="D3974" t="s">
        <v>7</v>
      </c>
      <c r="E3974" s="2" t="s">
        <v>12</v>
      </c>
      <c r="F3974">
        <f t="shared" si="62"/>
        <v>824.928</v>
      </c>
      <c r="G3974" t="s">
        <v>16</v>
      </c>
      <c r="J3974" t="str">
        <f>"08/16/1996 23:00"</f>
        <v>08/16/1996 23:00</v>
      </c>
    </row>
    <row r="3975" spans="1:10" x14ac:dyDescent="0.3">
      <c r="A3975" t="s">
        <v>6</v>
      </c>
      <c r="B3975" t="str">
        <f>"08/17/1996 00:00"</f>
        <v>08/17/1996 00:00</v>
      </c>
      <c r="C3975">
        <v>355</v>
      </c>
      <c r="D3975" t="s">
        <v>7</v>
      </c>
      <c r="E3975" s="2" t="s">
        <v>12</v>
      </c>
      <c r="F3975">
        <f t="shared" si="62"/>
        <v>703.96500000000003</v>
      </c>
      <c r="G3975" t="s">
        <v>16</v>
      </c>
      <c r="J3975" t="str">
        <f>"08/17/1996 23:00"</f>
        <v>08/17/1996 23:00</v>
      </c>
    </row>
    <row r="3976" spans="1:10" x14ac:dyDescent="0.3">
      <c r="A3976" t="s">
        <v>6</v>
      </c>
      <c r="B3976" t="str">
        <f>"08/18/1996 00:00"</f>
        <v>08/18/1996 00:00</v>
      </c>
      <c r="C3976">
        <v>314</v>
      </c>
      <c r="D3976" t="s">
        <v>7</v>
      </c>
      <c r="E3976" s="2" t="s">
        <v>12</v>
      </c>
      <c r="F3976">
        <f t="shared" si="62"/>
        <v>622.66200000000003</v>
      </c>
      <c r="G3976" t="s">
        <v>16</v>
      </c>
      <c r="J3976" t="str">
        <f>"08/18/1996 23:00"</f>
        <v>08/18/1996 23:00</v>
      </c>
    </row>
    <row r="3977" spans="1:10" x14ac:dyDescent="0.3">
      <c r="A3977" t="s">
        <v>6</v>
      </c>
      <c r="B3977" t="str">
        <f>"08/19/1996 00:00"</f>
        <v>08/19/1996 00:00</v>
      </c>
      <c r="C3977">
        <v>313</v>
      </c>
      <c r="D3977" t="s">
        <v>7</v>
      </c>
      <c r="E3977" s="2" t="s">
        <v>12</v>
      </c>
      <c r="F3977">
        <f t="shared" si="62"/>
        <v>620.67899999999997</v>
      </c>
      <c r="G3977" t="s">
        <v>16</v>
      </c>
      <c r="J3977" t="str">
        <f>"08/19/1996 23:00"</f>
        <v>08/19/1996 23:00</v>
      </c>
    </row>
    <row r="3978" spans="1:10" x14ac:dyDescent="0.3">
      <c r="A3978" t="s">
        <v>6</v>
      </c>
      <c r="B3978" t="str">
        <f>"08/20/1996 00:00"</f>
        <v>08/20/1996 00:00</v>
      </c>
      <c r="C3978">
        <v>313</v>
      </c>
      <c r="D3978" t="s">
        <v>7</v>
      </c>
      <c r="E3978" s="2" t="s">
        <v>12</v>
      </c>
      <c r="F3978">
        <f t="shared" si="62"/>
        <v>620.67899999999997</v>
      </c>
      <c r="G3978" t="s">
        <v>16</v>
      </c>
      <c r="J3978" t="str">
        <f>"08/20/1996 23:00"</f>
        <v>08/20/1996 23:00</v>
      </c>
    </row>
    <row r="3979" spans="1:10" x14ac:dyDescent="0.3">
      <c r="A3979" t="s">
        <v>6</v>
      </c>
      <c r="B3979" t="str">
        <f>"08/21/1996 00:00"</f>
        <v>08/21/1996 00:00</v>
      </c>
      <c r="C3979">
        <v>311</v>
      </c>
      <c r="D3979" t="s">
        <v>7</v>
      </c>
      <c r="E3979" s="2" t="s">
        <v>12</v>
      </c>
      <c r="F3979">
        <f t="shared" si="62"/>
        <v>616.71300000000008</v>
      </c>
      <c r="G3979" t="s">
        <v>16</v>
      </c>
      <c r="J3979" t="str">
        <f>"08/21/1996 23:00"</f>
        <v>08/21/1996 23:00</v>
      </c>
    </row>
    <row r="3980" spans="1:10" x14ac:dyDescent="0.3">
      <c r="A3980" t="s">
        <v>6</v>
      </c>
      <c r="B3980" t="str">
        <f>"08/22/1996 00:00"</f>
        <v>08/22/1996 00:00</v>
      </c>
      <c r="C3980">
        <v>309</v>
      </c>
      <c r="D3980" t="s">
        <v>7</v>
      </c>
      <c r="E3980" s="2" t="s">
        <v>12</v>
      </c>
      <c r="F3980">
        <f t="shared" si="62"/>
        <v>612.74700000000007</v>
      </c>
      <c r="G3980" t="s">
        <v>16</v>
      </c>
      <c r="J3980" t="str">
        <f>"08/22/1996 23:00"</f>
        <v>08/22/1996 23:00</v>
      </c>
    </row>
    <row r="3981" spans="1:10" x14ac:dyDescent="0.3">
      <c r="A3981" t="s">
        <v>6</v>
      </c>
      <c r="B3981" t="str">
        <f>"08/23/1996 00:00"</f>
        <v>08/23/1996 00:00</v>
      </c>
      <c r="C3981">
        <v>287</v>
      </c>
      <c r="D3981" t="s">
        <v>7</v>
      </c>
      <c r="E3981" s="2" t="s">
        <v>12</v>
      </c>
      <c r="F3981">
        <f t="shared" si="62"/>
        <v>569.12099999999998</v>
      </c>
      <c r="G3981" t="s">
        <v>16</v>
      </c>
      <c r="J3981" t="str">
        <f>"08/23/1996 23:00"</f>
        <v>08/23/1996 23:00</v>
      </c>
    </row>
    <row r="3982" spans="1:10" x14ac:dyDescent="0.3">
      <c r="A3982" t="s">
        <v>6</v>
      </c>
      <c r="B3982" t="str">
        <f>"08/24/1996 00:00"</f>
        <v>08/24/1996 00:00</v>
      </c>
      <c r="C3982">
        <v>103</v>
      </c>
      <c r="D3982" t="s">
        <v>7</v>
      </c>
      <c r="E3982" s="2" t="s">
        <v>12</v>
      </c>
      <c r="F3982">
        <f t="shared" si="62"/>
        <v>204.24900000000002</v>
      </c>
      <c r="G3982" t="s">
        <v>16</v>
      </c>
      <c r="J3982" t="str">
        <f>"08/24/1996 23:00"</f>
        <v>08/24/1996 23:00</v>
      </c>
    </row>
    <row r="3983" spans="1:10" x14ac:dyDescent="0.3">
      <c r="A3983" t="s">
        <v>6</v>
      </c>
      <c r="B3983" t="str">
        <f>"08/25/1996 00:00"</f>
        <v>08/25/1996 00:00</v>
      </c>
      <c r="C3983">
        <v>215</v>
      </c>
      <c r="D3983" t="s">
        <v>7</v>
      </c>
      <c r="E3983" s="2" t="s">
        <v>12</v>
      </c>
      <c r="F3983">
        <f t="shared" si="62"/>
        <v>426.34500000000003</v>
      </c>
      <c r="G3983" t="s">
        <v>16</v>
      </c>
      <c r="J3983" t="str">
        <f>"08/25/1996 23:00"</f>
        <v>08/25/1996 23:00</v>
      </c>
    </row>
    <row r="3984" spans="1:10" x14ac:dyDescent="0.3">
      <c r="A3984" t="s">
        <v>6</v>
      </c>
      <c r="B3984" t="str">
        <f>"08/26/1996 00:00"</f>
        <v>08/26/1996 00:00</v>
      </c>
      <c r="C3984">
        <v>203</v>
      </c>
      <c r="D3984" t="s">
        <v>7</v>
      </c>
      <c r="E3984" s="2" t="s">
        <v>12</v>
      </c>
      <c r="F3984">
        <f t="shared" si="62"/>
        <v>402.54900000000004</v>
      </c>
      <c r="G3984" t="s">
        <v>16</v>
      </c>
      <c r="J3984" t="str">
        <f>"08/26/1996 23:00"</f>
        <v>08/26/1996 23:00</v>
      </c>
    </row>
    <row r="3985" spans="1:10" x14ac:dyDescent="0.3">
      <c r="A3985" t="s">
        <v>6</v>
      </c>
      <c r="B3985" t="str">
        <f>"08/27/1996 00:00"</f>
        <v>08/27/1996 00:00</v>
      </c>
      <c r="C3985">
        <v>1.97</v>
      </c>
      <c r="D3985" t="s">
        <v>7</v>
      </c>
      <c r="E3985" s="2" t="s">
        <v>12</v>
      </c>
      <c r="F3985">
        <f t="shared" si="62"/>
        <v>3.9065099999999999</v>
      </c>
      <c r="G3985" t="s">
        <v>16</v>
      </c>
      <c r="J3985" t="str">
        <f>"08/27/1996 23:00"</f>
        <v>08/27/1996 23:00</v>
      </c>
    </row>
    <row r="3986" spans="1:10" x14ac:dyDescent="0.3">
      <c r="A3986" t="s">
        <v>6</v>
      </c>
      <c r="B3986" t="str">
        <f>"08/28/1996 00:00"</f>
        <v>08/28/1996 00:00</v>
      </c>
      <c r="C3986">
        <v>33.200000000000003</v>
      </c>
      <c r="D3986" t="s">
        <v>7</v>
      </c>
      <c r="E3986" s="2" t="s">
        <v>12</v>
      </c>
      <c r="F3986">
        <f t="shared" si="62"/>
        <v>65.835600000000014</v>
      </c>
      <c r="G3986" t="s">
        <v>16</v>
      </c>
      <c r="J3986" t="str">
        <f>"08/28/1996 23:00"</f>
        <v>08/28/1996 23:00</v>
      </c>
    </row>
    <row r="3987" spans="1:10" x14ac:dyDescent="0.3">
      <c r="A3987" t="s">
        <v>6</v>
      </c>
      <c r="B3987" t="str">
        <f>"08/29/1996 00:00"</f>
        <v>08/29/1996 00:00</v>
      </c>
      <c r="C3987">
        <v>162</v>
      </c>
      <c r="D3987" t="s">
        <v>7</v>
      </c>
      <c r="E3987" s="2" t="s">
        <v>12</v>
      </c>
      <c r="F3987">
        <f t="shared" si="62"/>
        <v>321.24600000000004</v>
      </c>
      <c r="G3987" t="s">
        <v>16</v>
      </c>
      <c r="J3987" t="str">
        <f>"08/29/1996 23:00"</f>
        <v>08/29/1996 23:00</v>
      </c>
    </row>
    <row r="3988" spans="1:10" x14ac:dyDescent="0.3">
      <c r="A3988" t="s">
        <v>6</v>
      </c>
      <c r="B3988" t="str">
        <f>"08/30/1996 00:00"</f>
        <v>08/30/1996 00:00</v>
      </c>
      <c r="C3988">
        <v>220</v>
      </c>
      <c r="D3988" t="s">
        <v>7</v>
      </c>
      <c r="E3988" s="2" t="s">
        <v>12</v>
      </c>
      <c r="F3988">
        <f t="shared" si="62"/>
        <v>436.26000000000005</v>
      </c>
      <c r="G3988" t="s">
        <v>16</v>
      </c>
      <c r="J3988" t="str">
        <f>"08/30/1996 23:00"</f>
        <v>08/30/1996 23:00</v>
      </c>
    </row>
    <row r="3989" spans="1:10" x14ac:dyDescent="0.3">
      <c r="A3989" t="s">
        <v>6</v>
      </c>
      <c r="B3989" t="str">
        <f>"08/31/1996 00:00"</f>
        <v>08/31/1996 00:00</v>
      </c>
      <c r="C3989">
        <v>250</v>
      </c>
      <c r="D3989" t="s">
        <v>7</v>
      </c>
      <c r="E3989" s="2" t="s">
        <v>12</v>
      </c>
      <c r="F3989">
        <f t="shared" si="62"/>
        <v>495.75</v>
      </c>
      <c r="G3989" t="s">
        <v>16</v>
      </c>
      <c r="J3989" t="str">
        <f>"08/31/1996 23:00"</f>
        <v>08/31/1996 23:00</v>
      </c>
    </row>
    <row r="3990" spans="1:10" x14ac:dyDescent="0.3">
      <c r="A3990" t="s">
        <v>6</v>
      </c>
      <c r="B3990" t="str">
        <f>"09/01/1996 00:00"</f>
        <v>09/01/1996 00:00</v>
      </c>
      <c r="C3990">
        <v>331</v>
      </c>
      <c r="D3990" t="s">
        <v>7</v>
      </c>
      <c r="E3990" s="2" t="s">
        <v>12</v>
      </c>
      <c r="F3990">
        <f t="shared" si="62"/>
        <v>656.37300000000005</v>
      </c>
      <c r="G3990" t="s">
        <v>16</v>
      </c>
      <c r="J3990" t="str">
        <f>"09/01/1996 23:00"</f>
        <v>09/01/1996 23:00</v>
      </c>
    </row>
    <row r="3991" spans="1:10" x14ac:dyDescent="0.3">
      <c r="A3991" t="s">
        <v>6</v>
      </c>
      <c r="B3991" t="str">
        <f>"09/02/1996 00:00"</f>
        <v>09/02/1996 00:00</v>
      </c>
      <c r="C3991">
        <v>412</v>
      </c>
      <c r="D3991" t="s">
        <v>7</v>
      </c>
      <c r="E3991" s="2" t="s">
        <v>12</v>
      </c>
      <c r="F3991">
        <f t="shared" si="62"/>
        <v>816.99600000000009</v>
      </c>
      <c r="G3991" t="s">
        <v>16</v>
      </c>
      <c r="J3991" t="str">
        <f>"09/02/1996 23:00"</f>
        <v>09/02/1996 23:00</v>
      </c>
    </row>
    <row r="3992" spans="1:10" x14ac:dyDescent="0.3">
      <c r="A3992" t="s">
        <v>6</v>
      </c>
      <c r="B3992" t="str">
        <f>"09/03/1996 00:00"</f>
        <v>09/03/1996 00:00</v>
      </c>
      <c r="C3992">
        <v>449</v>
      </c>
      <c r="D3992" t="s">
        <v>7</v>
      </c>
      <c r="E3992" s="2" t="s">
        <v>12</v>
      </c>
      <c r="F3992">
        <f t="shared" si="62"/>
        <v>890.36700000000008</v>
      </c>
      <c r="G3992" t="s">
        <v>16</v>
      </c>
      <c r="J3992" t="str">
        <f>"09/03/1996 23:00"</f>
        <v>09/03/1996 23:00</v>
      </c>
    </row>
    <row r="3993" spans="1:10" x14ac:dyDescent="0.3">
      <c r="A3993" t="s">
        <v>6</v>
      </c>
      <c r="B3993" t="str">
        <f>"09/04/1996 00:00"</f>
        <v>09/04/1996 00:00</v>
      </c>
      <c r="C3993">
        <v>449</v>
      </c>
      <c r="D3993" t="s">
        <v>7</v>
      </c>
      <c r="E3993" s="2" t="s">
        <v>12</v>
      </c>
      <c r="F3993">
        <f t="shared" si="62"/>
        <v>890.36700000000008</v>
      </c>
      <c r="G3993" t="s">
        <v>16</v>
      </c>
      <c r="J3993" t="str">
        <f>"09/04/1996 23:00"</f>
        <v>09/04/1996 23:00</v>
      </c>
    </row>
    <row r="3994" spans="1:10" x14ac:dyDescent="0.3">
      <c r="A3994" t="s">
        <v>6</v>
      </c>
      <c r="B3994" t="str">
        <f>"09/05/1996 00:00"</f>
        <v>09/05/1996 00:00</v>
      </c>
      <c r="C3994">
        <v>366</v>
      </c>
      <c r="D3994" t="s">
        <v>7</v>
      </c>
      <c r="E3994" s="2" t="s">
        <v>12</v>
      </c>
      <c r="F3994">
        <f t="shared" si="62"/>
        <v>725.77800000000002</v>
      </c>
      <c r="G3994" t="s">
        <v>16</v>
      </c>
      <c r="J3994" t="str">
        <f>"09/05/1996 23:00"</f>
        <v>09/05/1996 23:00</v>
      </c>
    </row>
    <row r="3995" spans="1:10" x14ac:dyDescent="0.3">
      <c r="A3995" t="s">
        <v>6</v>
      </c>
      <c r="B3995" t="str">
        <f>"09/06/1996 00:00"</f>
        <v>09/06/1996 00:00</v>
      </c>
      <c r="C3995">
        <v>133</v>
      </c>
      <c r="D3995" t="s">
        <v>7</v>
      </c>
      <c r="E3995" s="2" t="s">
        <v>12</v>
      </c>
      <c r="F3995">
        <f t="shared" si="62"/>
        <v>263.73900000000003</v>
      </c>
      <c r="G3995" t="s">
        <v>16</v>
      </c>
      <c r="J3995" t="str">
        <f>"09/06/1996 23:00"</f>
        <v>09/06/1996 23:00</v>
      </c>
    </row>
    <row r="3996" spans="1:10" x14ac:dyDescent="0.3">
      <c r="A3996" t="s">
        <v>6</v>
      </c>
      <c r="B3996" t="str">
        <f>"09/07/1996 00:00"</f>
        <v>09/07/1996 00:00</v>
      </c>
      <c r="C3996">
        <v>74.2</v>
      </c>
      <c r="D3996" t="s">
        <v>7</v>
      </c>
      <c r="E3996" s="2" t="s">
        <v>12</v>
      </c>
      <c r="F3996">
        <f t="shared" si="62"/>
        <v>147.13860000000003</v>
      </c>
      <c r="G3996" t="s">
        <v>16</v>
      </c>
      <c r="J3996" t="str">
        <f>"09/07/1996 23:00"</f>
        <v>09/07/1996 23:00</v>
      </c>
    </row>
    <row r="3997" spans="1:10" x14ac:dyDescent="0.3">
      <c r="A3997" t="s">
        <v>6</v>
      </c>
      <c r="B3997" t="str">
        <f>"09/08/1996 00:00"</f>
        <v>09/08/1996 00:00</v>
      </c>
      <c r="C3997">
        <v>73.5</v>
      </c>
      <c r="D3997" t="s">
        <v>7</v>
      </c>
      <c r="E3997" s="2" t="s">
        <v>12</v>
      </c>
      <c r="F3997">
        <f t="shared" si="62"/>
        <v>145.75050000000002</v>
      </c>
      <c r="G3997" t="s">
        <v>16</v>
      </c>
      <c r="J3997" t="str">
        <f>"09/08/1996 23:00"</f>
        <v>09/08/1996 23:00</v>
      </c>
    </row>
    <row r="3998" spans="1:10" x14ac:dyDescent="0.3">
      <c r="A3998" t="s">
        <v>6</v>
      </c>
      <c r="B3998" t="str">
        <f>"09/09/1996 00:00"</f>
        <v>09/09/1996 00:00</v>
      </c>
      <c r="C3998">
        <v>73.3</v>
      </c>
      <c r="D3998" t="s">
        <v>7</v>
      </c>
      <c r="E3998" s="2" t="s">
        <v>12</v>
      </c>
      <c r="F3998">
        <f t="shared" si="62"/>
        <v>145.35390000000001</v>
      </c>
      <c r="G3998" t="s">
        <v>16</v>
      </c>
      <c r="J3998" t="str">
        <f>"09/09/1996 23:00"</f>
        <v>09/09/1996 23:00</v>
      </c>
    </row>
    <row r="3999" spans="1:10" x14ac:dyDescent="0.3">
      <c r="A3999" t="s">
        <v>6</v>
      </c>
      <c r="B3999" t="str">
        <f>"09/10/1996 00:00"</f>
        <v>09/10/1996 00:00</v>
      </c>
      <c r="C3999">
        <v>73.3</v>
      </c>
      <c r="D3999" t="s">
        <v>7</v>
      </c>
      <c r="E3999" s="2" t="s">
        <v>12</v>
      </c>
      <c r="F3999">
        <f t="shared" si="62"/>
        <v>145.35390000000001</v>
      </c>
      <c r="G3999" t="s">
        <v>16</v>
      </c>
      <c r="J3999" t="str">
        <f>"09/10/1996 23:00"</f>
        <v>09/10/1996 23:00</v>
      </c>
    </row>
    <row r="4000" spans="1:10" x14ac:dyDescent="0.3">
      <c r="A4000" t="s">
        <v>6</v>
      </c>
      <c r="B4000" t="str">
        <f>"09/11/1996 00:00"</f>
        <v>09/11/1996 00:00</v>
      </c>
      <c r="C4000">
        <v>73.3</v>
      </c>
      <c r="D4000" t="s">
        <v>7</v>
      </c>
      <c r="E4000" s="2" t="s">
        <v>12</v>
      </c>
      <c r="F4000">
        <f t="shared" si="62"/>
        <v>145.35390000000001</v>
      </c>
      <c r="G4000" t="s">
        <v>16</v>
      </c>
      <c r="J4000" t="str">
        <f>"09/11/1996 23:00"</f>
        <v>09/11/1996 23:00</v>
      </c>
    </row>
    <row r="4001" spans="1:10" x14ac:dyDescent="0.3">
      <c r="A4001" t="s">
        <v>6</v>
      </c>
      <c r="B4001" t="str">
        <f>"09/12/1996 00:00"</f>
        <v>09/12/1996 00:00</v>
      </c>
      <c r="C4001">
        <v>37.9</v>
      </c>
      <c r="D4001" t="s">
        <v>7</v>
      </c>
      <c r="E4001" s="2" t="s">
        <v>12</v>
      </c>
      <c r="F4001">
        <f t="shared" si="62"/>
        <v>75.155699999999996</v>
      </c>
      <c r="G4001" t="s">
        <v>16</v>
      </c>
      <c r="J4001" t="str">
        <f>"09/12/1996 23:00"</f>
        <v>09/12/1996 23:00</v>
      </c>
    </row>
    <row r="4002" spans="1:10" x14ac:dyDescent="0.3">
      <c r="A4002" t="s">
        <v>6</v>
      </c>
      <c r="B4002" t="str">
        <f>"09/13/1996 00:00"</f>
        <v>09/13/1996 00:00</v>
      </c>
      <c r="C4002">
        <v>2.59</v>
      </c>
      <c r="D4002" t="s">
        <v>7</v>
      </c>
      <c r="E4002" s="2" t="s">
        <v>12</v>
      </c>
      <c r="F4002">
        <f t="shared" si="62"/>
        <v>5.1359700000000004</v>
      </c>
      <c r="G4002" t="s">
        <v>16</v>
      </c>
      <c r="J4002" t="str">
        <f>"09/13/1996 23:00"</f>
        <v>09/13/1996 23:00</v>
      </c>
    </row>
    <row r="4003" spans="1:10" x14ac:dyDescent="0.3">
      <c r="A4003" t="s">
        <v>6</v>
      </c>
      <c r="B4003" t="str">
        <f>"09/14/1996 00:00"</f>
        <v>09/14/1996 00:00</v>
      </c>
      <c r="C4003">
        <v>2.91</v>
      </c>
      <c r="D4003" t="s">
        <v>7</v>
      </c>
      <c r="E4003" s="2" t="s">
        <v>12</v>
      </c>
      <c r="F4003">
        <f t="shared" si="62"/>
        <v>5.7705300000000008</v>
      </c>
      <c r="G4003" t="s">
        <v>16</v>
      </c>
      <c r="J4003" t="str">
        <f>"09/14/1996 23:00"</f>
        <v>09/14/1996 23:00</v>
      </c>
    </row>
    <row r="4004" spans="1:10" x14ac:dyDescent="0.3">
      <c r="A4004" t="s">
        <v>6</v>
      </c>
      <c r="B4004" t="str">
        <f>"09/15/1996 00:00"</f>
        <v>09/15/1996 00:00</v>
      </c>
      <c r="C4004">
        <v>2.91</v>
      </c>
      <c r="D4004" t="s">
        <v>7</v>
      </c>
      <c r="E4004" s="2" t="s">
        <v>12</v>
      </c>
      <c r="F4004">
        <f t="shared" si="62"/>
        <v>5.7705300000000008</v>
      </c>
      <c r="G4004" t="s">
        <v>16</v>
      </c>
      <c r="J4004" t="str">
        <f>"09/15/1996 23:00"</f>
        <v>09/15/1996 23:00</v>
      </c>
    </row>
    <row r="4005" spans="1:10" x14ac:dyDescent="0.3">
      <c r="A4005" t="s">
        <v>6</v>
      </c>
      <c r="B4005" t="str">
        <f>"09/16/1996 00:00"</f>
        <v>09/16/1996 00:00</v>
      </c>
      <c r="C4005">
        <v>2.91</v>
      </c>
      <c r="D4005" t="s">
        <v>7</v>
      </c>
      <c r="E4005" s="2" t="s">
        <v>12</v>
      </c>
      <c r="F4005">
        <f t="shared" si="62"/>
        <v>5.7705300000000008</v>
      </c>
      <c r="G4005" t="s">
        <v>16</v>
      </c>
      <c r="J4005" t="str">
        <f>"09/16/1996 23:00"</f>
        <v>09/16/1996 23:00</v>
      </c>
    </row>
    <row r="4006" spans="1:10" x14ac:dyDescent="0.3">
      <c r="A4006" t="s">
        <v>6</v>
      </c>
      <c r="B4006" t="str">
        <f>"09/17/1996 00:00"</f>
        <v>09/17/1996 00:00</v>
      </c>
      <c r="C4006">
        <v>2.91</v>
      </c>
      <c r="D4006" t="s">
        <v>7</v>
      </c>
      <c r="E4006" s="2" t="s">
        <v>12</v>
      </c>
      <c r="F4006">
        <f t="shared" si="62"/>
        <v>5.7705300000000008</v>
      </c>
      <c r="G4006" t="s">
        <v>16</v>
      </c>
      <c r="I4006" t="s">
        <v>8</v>
      </c>
      <c r="J4006" t="str">
        <f>"09/17/1996 23:00"</f>
        <v>09/17/1996 23:00</v>
      </c>
    </row>
    <row r="4007" spans="1:10" x14ac:dyDescent="0.3">
      <c r="A4007" t="s">
        <v>6</v>
      </c>
      <c r="B4007" t="str">
        <f>"09/18/1996 00:00"</f>
        <v>09/18/1996 00:00</v>
      </c>
      <c r="C4007">
        <v>3.22</v>
      </c>
      <c r="D4007" t="s">
        <v>7</v>
      </c>
      <c r="E4007" s="2" t="s">
        <v>12</v>
      </c>
      <c r="F4007">
        <f t="shared" si="62"/>
        <v>6.3852600000000006</v>
      </c>
      <c r="G4007" t="s">
        <v>16</v>
      </c>
      <c r="J4007" t="str">
        <f>"09/18/1996 23:00"</f>
        <v>09/18/1996 23:00</v>
      </c>
    </row>
    <row r="4008" spans="1:10" x14ac:dyDescent="0.3">
      <c r="A4008" t="s">
        <v>6</v>
      </c>
      <c r="B4008" t="str">
        <f>"09/19/1996 00:00"</f>
        <v>09/19/1996 00:00</v>
      </c>
      <c r="C4008">
        <v>69.599999999999994</v>
      </c>
      <c r="D4008" t="s">
        <v>7</v>
      </c>
      <c r="E4008" s="2" t="s">
        <v>12</v>
      </c>
      <c r="F4008">
        <f t="shared" si="62"/>
        <v>138.01679999999999</v>
      </c>
      <c r="G4008" t="s">
        <v>16</v>
      </c>
      <c r="J4008" t="str">
        <f>"09/19/1996 23:00"</f>
        <v>09/19/1996 23:00</v>
      </c>
    </row>
    <row r="4009" spans="1:10" x14ac:dyDescent="0.3">
      <c r="A4009" t="s">
        <v>6</v>
      </c>
      <c r="B4009" t="str">
        <f>"09/20/1996 00:00"</f>
        <v>09/20/1996 00:00</v>
      </c>
      <c r="C4009">
        <v>164</v>
      </c>
      <c r="D4009" t="s">
        <v>7</v>
      </c>
      <c r="E4009" s="2" t="s">
        <v>12</v>
      </c>
      <c r="F4009">
        <f t="shared" si="62"/>
        <v>325.21199999999999</v>
      </c>
      <c r="G4009" t="s">
        <v>16</v>
      </c>
      <c r="J4009" t="str">
        <f>"09/20/1996 23:00"</f>
        <v>09/20/1996 23:00</v>
      </c>
    </row>
    <row r="4010" spans="1:10" x14ac:dyDescent="0.3">
      <c r="A4010" t="s">
        <v>6</v>
      </c>
      <c r="B4010" t="str">
        <f>"09/21/1996 00:00"</f>
        <v>09/21/1996 00:00</v>
      </c>
      <c r="C4010">
        <v>164</v>
      </c>
      <c r="D4010" t="s">
        <v>7</v>
      </c>
      <c r="E4010" s="2" t="s">
        <v>12</v>
      </c>
      <c r="F4010">
        <f t="shared" si="62"/>
        <v>325.21199999999999</v>
      </c>
      <c r="G4010" t="s">
        <v>16</v>
      </c>
      <c r="J4010" t="str">
        <f>"09/21/1996 23:00"</f>
        <v>09/21/1996 23:00</v>
      </c>
    </row>
    <row r="4011" spans="1:10" x14ac:dyDescent="0.3">
      <c r="A4011" t="s">
        <v>6</v>
      </c>
      <c r="B4011" t="str">
        <f>"09/22/1996 00:00"</f>
        <v>09/22/1996 00:00</v>
      </c>
      <c r="C4011">
        <v>135</v>
      </c>
      <c r="D4011" t="s">
        <v>7</v>
      </c>
      <c r="E4011" s="2" t="s">
        <v>12</v>
      </c>
      <c r="F4011">
        <f t="shared" si="62"/>
        <v>267.70500000000004</v>
      </c>
      <c r="G4011" t="s">
        <v>16</v>
      </c>
      <c r="J4011" t="str">
        <f>"09/22/1996 23:00"</f>
        <v>09/22/1996 23:00</v>
      </c>
    </row>
    <row r="4012" spans="1:10" x14ac:dyDescent="0.3">
      <c r="A4012" t="s">
        <v>6</v>
      </c>
      <c r="B4012" t="str">
        <f>"09/23/1996 00:00"</f>
        <v>09/23/1996 00:00</v>
      </c>
      <c r="C4012">
        <v>166</v>
      </c>
      <c r="D4012" t="s">
        <v>7</v>
      </c>
      <c r="E4012" s="2" t="s">
        <v>12</v>
      </c>
      <c r="F4012">
        <f t="shared" si="62"/>
        <v>329.178</v>
      </c>
      <c r="G4012" t="s">
        <v>16</v>
      </c>
      <c r="J4012" t="str">
        <f>"09/23/1996 23:00"</f>
        <v>09/23/1996 23:00</v>
      </c>
    </row>
    <row r="4013" spans="1:10" x14ac:dyDescent="0.3">
      <c r="A4013" t="s">
        <v>6</v>
      </c>
      <c r="B4013" t="str">
        <f>"09/24/1996 00:00"</f>
        <v>09/24/1996 00:00</v>
      </c>
      <c r="C4013">
        <v>229</v>
      </c>
      <c r="D4013" t="s">
        <v>7</v>
      </c>
      <c r="E4013" s="2" t="s">
        <v>12</v>
      </c>
      <c r="F4013">
        <f t="shared" si="62"/>
        <v>454.10700000000003</v>
      </c>
      <c r="G4013" t="s">
        <v>16</v>
      </c>
      <c r="J4013" t="str">
        <f>"09/24/1996 23:00"</f>
        <v>09/24/1996 23:00</v>
      </c>
    </row>
    <row r="4014" spans="1:10" x14ac:dyDescent="0.3">
      <c r="A4014" t="s">
        <v>6</v>
      </c>
      <c r="B4014" t="str">
        <f>"09/25/1996 00:00"</f>
        <v>09/25/1996 00:00</v>
      </c>
      <c r="C4014">
        <v>275</v>
      </c>
      <c r="D4014" t="s">
        <v>7</v>
      </c>
      <c r="E4014" s="2" t="s">
        <v>12</v>
      </c>
      <c r="F4014">
        <f t="shared" si="62"/>
        <v>545.32500000000005</v>
      </c>
      <c r="G4014" t="s">
        <v>16</v>
      </c>
      <c r="J4014" t="str">
        <f>"09/25/1996 23:00"</f>
        <v>09/25/1996 23:00</v>
      </c>
    </row>
    <row r="4015" spans="1:10" x14ac:dyDescent="0.3">
      <c r="A4015" t="s">
        <v>6</v>
      </c>
      <c r="B4015" t="str">
        <f>"09/26/1996 00:00"</f>
        <v>09/26/1996 00:00</v>
      </c>
      <c r="C4015">
        <v>305</v>
      </c>
      <c r="D4015" t="s">
        <v>7</v>
      </c>
      <c r="E4015" s="2" t="s">
        <v>12</v>
      </c>
      <c r="F4015">
        <f t="shared" si="62"/>
        <v>604.81500000000005</v>
      </c>
      <c r="G4015" t="s">
        <v>16</v>
      </c>
      <c r="J4015" t="str">
        <f>"09/26/1996 23:00"</f>
        <v>09/26/1996 23:00</v>
      </c>
    </row>
    <row r="4016" spans="1:10" x14ac:dyDescent="0.3">
      <c r="A4016" t="s">
        <v>6</v>
      </c>
      <c r="B4016" t="str">
        <f>"09/27/1996 00:00"</f>
        <v>09/27/1996 00:00</v>
      </c>
      <c r="C4016">
        <v>346</v>
      </c>
      <c r="D4016" t="s">
        <v>7</v>
      </c>
      <c r="E4016" s="2" t="s">
        <v>12</v>
      </c>
      <c r="F4016">
        <f t="shared" si="62"/>
        <v>686.11800000000005</v>
      </c>
      <c r="G4016" t="s">
        <v>16</v>
      </c>
      <c r="J4016" t="str">
        <f>"09/27/1996 23:00"</f>
        <v>09/27/1996 23:00</v>
      </c>
    </row>
    <row r="4017" spans="1:10" x14ac:dyDescent="0.3">
      <c r="A4017" t="s">
        <v>6</v>
      </c>
      <c r="B4017" t="str">
        <f>"09/28/1996 00:00"</f>
        <v>09/28/1996 00:00</v>
      </c>
      <c r="C4017">
        <v>346</v>
      </c>
      <c r="D4017" t="s">
        <v>7</v>
      </c>
      <c r="E4017" s="2" t="s">
        <v>12</v>
      </c>
      <c r="F4017">
        <f t="shared" si="62"/>
        <v>686.11800000000005</v>
      </c>
      <c r="G4017" t="s">
        <v>16</v>
      </c>
      <c r="J4017" t="str">
        <f>"09/28/1996 23:00"</f>
        <v>09/28/1996 23:00</v>
      </c>
    </row>
    <row r="4018" spans="1:10" x14ac:dyDescent="0.3">
      <c r="A4018" t="s">
        <v>6</v>
      </c>
      <c r="B4018" t="str">
        <f>"09/29/1996 00:00"</f>
        <v>09/29/1996 00:00</v>
      </c>
      <c r="C4018">
        <v>346</v>
      </c>
      <c r="D4018" t="s">
        <v>7</v>
      </c>
      <c r="E4018" s="2" t="s">
        <v>12</v>
      </c>
      <c r="F4018">
        <f t="shared" si="62"/>
        <v>686.11800000000005</v>
      </c>
      <c r="G4018" t="s">
        <v>16</v>
      </c>
      <c r="J4018" t="str">
        <f>"09/29/1996 23:00"</f>
        <v>09/29/1996 23:00</v>
      </c>
    </row>
    <row r="4019" spans="1:10" x14ac:dyDescent="0.3">
      <c r="A4019" t="s">
        <v>6</v>
      </c>
      <c r="B4019" t="str">
        <f>"09/30/1996 00:00"</f>
        <v>09/30/1996 00:00</v>
      </c>
      <c r="C4019">
        <v>291</v>
      </c>
      <c r="D4019" t="s">
        <v>7</v>
      </c>
      <c r="E4019" s="2" t="s">
        <v>12</v>
      </c>
      <c r="F4019">
        <f t="shared" si="62"/>
        <v>577.053</v>
      </c>
      <c r="G4019" t="s">
        <v>16</v>
      </c>
      <c r="J4019" t="str">
        <f>"09/30/1996 23:00"</f>
        <v>09/30/1996 23:00</v>
      </c>
    </row>
    <row r="4020" spans="1:10" x14ac:dyDescent="0.3">
      <c r="A4020" t="s">
        <v>6</v>
      </c>
      <c r="B4020" t="str">
        <f>"10/01/1996 00:00"</f>
        <v>10/01/1996 00:00</v>
      </c>
      <c r="C4020">
        <v>0</v>
      </c>
      <c r="D4020" t="s">
        <v>7</v>
      </c>
      <c r="E4020" s="2" t="s">
        <v>12</v>
      </c>
      <c r="F4020">
        <f t="shared" si="62"/>
        <v>0</v>
      </c>
      <c r="G4020" t="s">
        <v>16</v>
      </c>
      <c r="I4020" t="s">
        <v>35</v>
      </c>
      <c r="J4020" t="str">
        <f>"10/01/1996 23:00"</f>
        <v>10/01/1996 23:00</v>
      </c>
    </row>
    <row r="4021" spans="1:10" x14ac:dyDescent="0.3">
      <c r="A4021" t="s">
        <v>6</v>
      </c>
      <c r="B4021" t="str">
        <f>"10/02/1996 00:00"</f>
        <v>10/02/1996 00:00</v>
      </c>
      <c r="C4021">
        <v>0</v>
      </c>
      <c r="D4021" t="s">
        <v>7</v>
      </c>
      <c r="E4021" s="2" t="s">
        <v>12</v>
      </c>
      <c r="F4021">
        <f t="shared" si="62"/>
        <v>0</v>
      </c>
      <c r="G4021" t="s">
        <v>16</v>
      </c>
      <c r="I4021" t="s">
        <v>35</v>
      </c>
      <c r="J4021" t="str">
        <f>"10/02/1996 23:00"</f>
        <v>10/02/1996 23:00</v>
      </c>
    </row>
    <row r="4022" spans="1:10" x14ac:dyDescent="0.3">
      <c r="A4022" t="s">
        <v>6</v>
      </c>
      <c r="B4022" t="str">
        <f>"10/03/1996 00:00"</f>
        <v>10/03/1996 00:00</v>
      </c>
      <c r="C4022">
        <v>0</v>
      </c>
      <c r="D4022" t="s">
        <v>7</v>
      </c>
      <c r="E4022" s="2" t="s">
        <v>12</v>
      </c>
      <c r="F4022">
        <f t="shared" si="62"/>
        <v>0</v>
      </c>
      <c r="G4022" t="s">
        <v>16</v>
      </c>
      <c r="I4022" t="s">
        <v>35</v>
      </c>
      <c r="J4022" t="str">
        <f>"10/03/1996 23:00"</f>
        <v>10/03/1996 23:00</v>
      </c>
    </row>
    <row r="4023" spans="1:10" x14ac:dyDescent="0.3">
      <c r="A4023" t="s">
        <v>6</v>
      </c>
      <c r="B4023" t="str">
        <f>"10/04/1996 00:00"</f>
        <v>10/04/1996 00:00</v>
      </c>
      <c r="C4023">
        <v>0</v>
      </c>
      <c r="D4023" t="s">
        <v>7</v>
      </c>
      <c r="E4023" s="2" t="s">
        <v>12</v>
      </c>
      <c r="F4023">
        <f t="shared" si="62"/>
        <v>0</v>
      </c>
      <c r="G4023" t="s">
        <v>16</v>
      </c>
      <c r="I4023" t="s">
        <v>35</v>
      </c>
      <c r="J4023" t="str">
        <f>"10/04/1996 23:00"</f>
        <v>10/04/1996 23:00</v>
      </c>
    </row>
    <row r="4024" spans="1:10" x14ac:dyDescent="0.3">
      <c r="A4024" t="s">
        <v>6</v>
      </c>
      <c r="B4024" t="str">
        <f>"10/05/1996 00:00"</f>
        <v>10/05/1996 00:00</v>
      </c>
      <c r="C4024">
        <v>0</v>
      </c>
      <c r="D4024" t="s">
        <v>7</v>
      </c>
      <c r="E4024" s="2" t="s">
        <v>12</v>
      </c>
      <c r="F4024">
        <f t="shared" si="62"/>
        <v>0</v>
      </c>
      <c r="G4024" t="s">
        <v>16</v>
      </c>
      <c r="I4024" t="s">
        <v>35</v>
      </c>
      <c r="J4024" t="str">
        <f>"10/05/1996 23:00"</f>
        <v>10/05/1996 23:00</v>
      </c>
    </row>
    <row r="4025" spans="1:10" x14ac:dyDescent="0.3">
      <c r="A4025" t="s">
        <v>6</v>
      </c>
      <c r="B4025" t="str">
        <f>"10/06/1996 00:00"</f>
        <v>10/06/1996 00:00</v>
      </c>
      <c r="C4025">
        <v>0</v>
      </c>
      <c r="D4025" t="s">
        <v>7</v>
      </c>
      <c r="E4025" s="2" t="s">
        <v>12</v>
      </c>
      <c r="F4025">
        <f t="shared" si="62"/>
        <v>0</v>
      </c>
      <c r="G4025" t="s">
        <v>16</v>
      </c>
      <c r="I4025" t="s">
        <v>35</v>
      </c>
      <c r="J4025" t="str">
        <f>"10/06/1996 23:00"</f>
        <v>10/06/1996 23:00</v>
      </c>
    </row>
    <row r="4026" spans="1:10" x14ac:dyDescent="0.3">
      <c r="A4026" t="s">
        <v>6</v>
      </c>
      <c r="B4026" t="str">
        <f>"10/07/1996 00:00"</f>
        <v>10/07/1996 00:00</v>
      </c>
      <c r="C4026">
        <v>0</v>
      </c>
      <c r="D4026" t="s">
        <v>7</v>
      </c>
      <c r="E4026" s="2" t="s">
        <v>12</v>
      </c>
      <c r="F4026">
        <f t="shared" si="62"/>
        <v>0</v>
      </c>
      <c r="G4026" t="s">
        <v>16</v>
      </c>
      <c r="I4026" t="s">
        <v>35</v>
      </c>
      <c r="J4026" t="str">
        <f>"10/07/1996 23:00"</f>
        <v>10/07/1996 23:00</v>
      </c>
    </row>
    <row r="4027" spans="1:10" x14ac:dyDescent="0.3">
      <c r="A4027" t="s">
        <v>6</v>
      </c>
      <c r="B4027" t="str">
        <f>"10/08/1996 00:00"</f>
        <v>10/08/1996 00:00</v>
      </c>
      <c r="C4027">
        <v>0</v>
      </c>
      <c r="D4027" t="s">
        <v>7</v>
      </c>
      <c r="E4027" s="2" t="s">
        <v>12</v>
      </c>
      <c r="F4027">
        <f t="shared" si="62"/>
        <v>0</v>
      </c>
      <c r="G4027" t="s">
        <v>16</v>
      </c>
      <c r="I4027" t="s">
        <v>35</v>
      </c>
      <c r="J4027" t="str">
        <f>"10/08/1996 23:00"</f>
        <v>10/08/1996 23:00</v>
      </c>
    </row>
    <row r="4028" spans="1:10" x14ac:dyDescent="0.3">
      <c r="A4028" t="s">
        <v>6</v>
      </c>
      <c r="B4028" t="str">
        <f>"10/09/1996 00:00"</f>
        <v>10/09/1996 00:00</v>
      </c>
      <c r="C4028">
        <v>0</v>
      </c>
      <c r="D4028" t="s">
        <v>7</v>
      </c>
      <c r="E4028" s="2" t="s">
        <v>12</v>
      </c>
      <c r="F4028">
        <f t="shared" si="62"/>
        <v>0</v>
      </c>
      <c r="G4028" t="s">
        <v>16</v>
      </c>
      <c r="I4028" t="s">
        <v>8</v>
      </c>
      <c r="J4028" t="str">
        <f>"10/09/1996 23:00"</f>
        <v>10/09/1996 23:00</v>
      </c>
    </row>
    <row r="4029" spans="1:10" x14ac:dyDescent="0.3">
      <c r="A4029" t="s">
        <v>6</v>
      </c>
      <c r="B4029" t="str">
        <f>"10/10/1996 00:00"</f>
        <v>10/10/1996 00:00</v>
      </c>
      <c r="C4029">
        <v>0</v>
      </c>
      <c r="D4029" t="s">
        <v>7</v>
      </c>
      <c r="E4029" s="2" t="s">
        <v>12</v>
      </c>
      <c r="F4029">
        <f t="shared" si="62"/>
        <v>0</v>
      </c>
      <c r="G4029" t="s">
        <v>16</v>
      </c>
      <c r="J4029" t="str">
        <f>"10/10/1996 23:00"</f>
        <v>10/10/1996 23:00</v>
      </c>
    </row>
    <row r="4030" spans="1:10" x14ac:dyDescent="0.3">
      <c r="A4030" t="s">
        <v>6</v>
      </c>
      <c r="B4030" t="str">
        <f>"10/11/1996 00:00"</f>
        <v>10/11/1996 00:00</v>
      </c>
      <c r="C4030">
        <v>168</v>
      </c>
      <c r="D4030" t="s">
        <v>7</v>
      </c>
      <c r="E4030" s="2" t="s">
        <v>12</v>
      </c>
      <c r="F4030">
        <f t="shared" si="62"/>
        <v>333.14400000000001</v>
      </c>
      <c r="G4030" t="s">
        <v>16</v>
      </c>
      <c r="J4030" t="str">
        <f>"10/11/1996 23:00"</f>
        <v>10/11/1996 23:00</v>
      </c>
    </row>
    <row r="4031" spans="1:10" x14ac:dyDescent="0.3">
      <c r="A4031" t="s">
        <v>6</v>
      </c>
      <c r="B4031" t="str">
        <f>"10/12/1996 00:00"</f>
        <v>10/12/1996 00:00</v>
      </c>
      <c r="C4031">
        <v>270</v>
      </c>
      <c r="D4031" t="s">
        <v>7</v>
      </c>
      <c r="E4031" s="2" t="s">
        <v>12</v>
      </c>
      <c r="F4031">
        <f t="shared" si="62"/>
        <v>535.41000000000008</v>
      </c>
      <c r="G4031" t="s">
        <v>16</v>
      </c>
      <c r="J4031" t="str">
        <f>"10/12/1996 23:00"</f>
        <v>10/12/1996 23:00</v>
      </c>
    </row>
    <row r="4032" spans="1:10" x14ac:dyDescent="0.3">
      <c r="A4032" t="s">
        <v>6</v>
      </c>
      <c r="B4032" t="str">
        <f>"10/13/1996 00:00"</f>
        <v>10/13/1996 00:00</v>
      </c>
      <c r="C4032">
        <v>284</v>
      </c>
      <c r="D4032" t="s">
        <v>7</v>
      </c>
      <c r="E4032" s="2" t="s">
        <v>12</v>
      </c>
      <c r="F4032">
        <f t="shared" si="62"/>
        <v>563.17200000000003</v>
      </c>
      <c r="G4032" t="s">
        <v>16</v>
      </c>
      <c r="J4032" t="str">
        <f>"10/13/1996 23:00"</f>
        <v>10/13/1996 23:00</v>
      </c>
    </row>
    <row r="4033" spans="1:10" x14ac:dyDescent="0.3">
      <c r="A4033" t="s">
        <v>6</v>
      </c>
      <c r="B4033" t="str">
        <f>"10/14/1996 00:00"</f>
        <v>10/14/1996 00:00</v>
      </c>
      <c r="C4033">
        <v>286</v>
      </c>
      <c r="D4033" t="s">
        <v>7</v>
      </c>
      <c r="E4033" s="2" t="s">
        <v>12</v>
      </c>
      <c r="F4033">
        <f t="shared" si="62"/>
        <v>567.13800000000003</v>
      </c>
      <c r="G4033" t="s">
        <v>16</v>
      </c>
      <c r="J4033" t="str">
        <f>"10/14/1996 23:00"</f>
        <v>10/14/1996 23:00</v>
      </c>
    </row>
    <row r="4034" spans="1:10" x14ac:dyDescent="0.3">
      <c r="A4034" t="s">
        <v>6</v>
      </c>
      <c r="B4034" t="str">
        <f>"10/15/1996 00:00"</f>
        <v>10/15/1996 00:00</v>
      </c>
      <c r="C4034">
        <v>285</v>
      </c>
      <c r="D4034" t="s">
        <v>7</v>
      </c>
      <c r="E4034" s="2" t="s">
        <v>12</v>
      </c>
      <c r="F4034">
        <f t="shared" si="62"/>
        <v>565.15499999999997</v>
      </c>
      <c r="G4034" t="s">
        <v>16</v>
      </c>
      <c r="J4034" t="str">
        <f>"10/15/1996 23:00"</f>
        <v>10/15/1996 23:00</v>
      </c>
    </row>
    <row r="4035" spans="1:10" x14ac:dyDescent="0.3">
      <c r="A4035" t="s">
        <v>6</v>
      </c>
      <c r="B4035" t="str">
        <f>"10/16/1996 00:00"</f>
        <v>10/16/1996 00:00</v>
      </c>
      <c r="C4035">
        <v>243</v>
      </c>
      <c r="D4035" t="s">
        <v>7</v>
      </c>
      <c r="E4035" s="2" t="s">
        <v>12</v>
      </c>
      <c r="F4035">
        <f t="shared" ref="F4035:F4098" si="63">C4035*1.983</f>
        <v>481.86900000000003</v>
      </c>
      <c r="G4035" t="s">
        <v>16</v>
      </c>
      <c r="J4035" t="str">
        <f>"10/16/1996 23:00"</f>
        <v>10/16/1996 23:00</v>
      </c>
    </row>
    <row r="4036" spans="1:10" x14ac:dyDescent="0.3">
      <c r="A4036" t="s">
        <v>6</v>
      </c>
      <c r="B4036" t="str">
        <f>"10/17/1996 00:00"</f>
        <v>10/17/1996 00:00</v>
      </c>
      <c r="C4036">
        <v>109</v>
      </c>
      <c r="D4036" t="s">
        <v>7</v>
      </c>
      <c r="E4036" s="2" t="s">
        <v>12</v>
      </c>
      <c r="F4036">
        <f t="shared" si="63"/>
        <v>216.14700000000002</v>
      </c>
      <c r="G4036" t="s">
        <v>16</v>
      </c>
      <c r="J4036" t="str">
        <f>"10/17/1996 23:00"</f>
        <v>10/17/1996 23:00</v>
      </c>
    </row>
    <row r="4037" spans="1:10" x14ac:dyDescent="0.3">
      <c r="A4037" t="s">
        <v>6</v>
      </c>
      <c r="B4037" t="str">
        <f>"10/18/1996 00:00"</f>
        <v>10/18/1996 00:00</v>
      </c>
      <c r="C4037">
        <v>34.6</v>
      </c>
      <c r="D4037" t="s">
        <v>7</v>
      </c>
      <c r="E4037" s="2" t="s">
        <v>12</v>
      </c>
      <c r="F4037">
        <f t="shared" si="63"/>
        <v>68.611800000000002</v>
      </c>
      <c r="G4037" t="s">
        <v>16</v>
      </c>
      <c r="J4037" t="str">
        <f>"10/18/1996 23:00"</f>
        <v>10/18/1996 23:00</v>
      </c>
    </row>
    <row r="4038" spans="1:10" x14ac:dyDescent="0.3">
      <c r="A4038" t="s">
        <v>6</v>
      </c>
      <c r="B4038" t="str">
        <f>"10/19/1996 00:00"</f>
        <v>10/19/1996 00:00</v>
      </c>
      <c r="C4038">
        <v>2.81</v>
      </c>
      <c r="D4038" t="s">
        <v>7</v>
      </c>
      <c r="E4038" s="2" t="s">
        <v>12</v>
      </c>
      <c r="F4038">
        <f t="shared" si="63"/>
        <v>5.5722300000000002</v>
      </c>
      <c r="G4038" t="s">
        <v>16</v>
      </c>
      <c r="J4038" t="str">
        <f>"10/19/1996 23:00"</f>
        <v>10/19/1996 23:00</v>
      </c>
    </row>
    <row r="4039" spans="1:10" x14ac:dyDescent="0.3">
      <c r="A4039" t="s">
        <v>6</v>
      </c>
      <c r="B4039" t="str">
        <f>"10/20/1996 00:00"</f>
        <v>10/20/1996 00:00</v>
      </c>
      <c r="C4039">
        <v>3.08</v>
      </c>
      <c r="D4039" t="s">
        <v>7</v>
      </c>
      <c r="E4039" s="2" t="s">
        <v>12</v>
      </c>
      <c r="F4039">
        <f t="shared" si="63"/>
        <v>6.1076400000000008</v>
      </c>
      <c r="G4039" t="s">
        <v>16</v>
      </c>
      <c r="J4039" t="str">
        <f>"10/20/1996 23:00"</f>
        <v>10/20/1996 23:00</v>
      </c>
    </row>
    <row r="4040" spans="1:10" x14ac:dyDescent="0.3">
      <c r="A4040" t="s">
        <v>6</v>
      </c>
      <c r="B4040" t="str">
        <f>"10/21/1996 00:00"</f>
        <v>10/21/1996 00:00</v>
      </c>
      <c r="C4040">
        <v>3.28</v>
      </c>
      <c r="D4040" t="s">
        <v>7</v>
      </c>
      <c r="E4040" s="2" t="s">
        <v>12</v>
      </c>
      <c r="F4040">
        <f t="shared" si="63"/>
        <v>6.5042400000000002</v>
      </c>
      <c r="G4040" t="s">
        <v>16</v>
      </c>
      <c r="J4040" t="str">
        <f>"10/21/1996 23:00"</f>
        <v>10/21/1996 23:00</v>
      </c>
    </row>
    <row r="4041" spans="1:10" x14ac:dyDescent="0.3">
      <c r="A4041" t="s">
        <v>6</v>
      </c>
      <c r="B4041" t="str">
        <f>"10/22/1996 00:00"</f>
        <v>10/22/1996 00:00</v>
      </c>
      <c r="C4041">
        <v>78.400000000000006</v>
      </c>
      <c r="D4041" t="s">
        <v>7</v>
      </c>
      <c r="E4041" s="2" t="s">
        <v>12</v>
      </c>
      <c r="F4041">
        <f t="shared" si="63"/>
        <v>155.46720000000002</v>
      </c>
      <c r="G4041" t="s">
        <v>16</v>
      </c>
      <c r="J4041" t="str">
        <f>"10/22/1996 23:00"</f>
        <v>10/22/1996 23:00</v>
      </c>
    </row>
    <row r="4042" spans="1:10" x14ac:dyDescent="0.3">
      <c r="A4042" t="s">
        <v>6</v>
      </c>
      <c r="B4042" t="str">
        <f>"10/23/1996 00:00"</f>
        <v>10/23/1996 00:00</v>
      </c>
      <c r="C4042">
        <v>213</v>
      </c>
      <c r="D4042" t="s">
        <v>7</v>
      </c>
      <c r="E4042" s="2" t="s">
        <v>12</v>
      </c>
      <c r="F4042">
        <f t="shared" si="63"/>
        <v>422.37900000000002</v>
      </c>
      <c r="G4042" t="s">
        <v>16</v>
      </c>
      <c r="J4042" t="str">
        <f>"10/23/1996 23:00"</f>
        <v>10/23/1996 23:00</v>
      </c>
    </row>
    <row r="4043" spans="1:10" x14ac:dyDescent="0.3">
      <c r="A4043" t="s">
        <v>6</v>
      </c>
      <c r="B4043" t="str">
        <f>"10/24/1996 00:00"</f>
        <v>10/24/1996 00:00</v>
      </c>
      <c r="C4043">
        <v>192</v>
      </c>
      <c r="D4043" t="s">
        <v>7</v>
      </c>
      <c r="E4043" s="2" t="s">
        <v>12</v>
      </c>
      <c r="F4043">
        <f t="shared" si="63"/>
        <v>380.73599999999999</v>
      </c>
      <c r="G4043" t="s">
        <v>16</v>
      </c>
      <c r="J4043" t="str">
        <f>"10/24/1996 23:00"</f>
        <v>10/24/1996 23:00</v>
      </c>
    </row>
    <row r="4044" spans="1:10" x14ac:dyDescent="0.3">
      <c r="A4044" t="s">
        <v>6</v>
      </c>
      <c r="B4044" t="str">
        <f>"10/25/1996 00:00"</f>
        <v>10/25/1996 00:00</v>
      </c>
      <c r="C4044">
        <v>205</v>
      </c>
      <c r="D4044" t="s">
        <v>7</v>
      </c>
      <c r="E4044" s="2" t="s">
        <v>12</v>
      </c>
      <c r="F4044">
        <f t="shared" si="63"/>
        <v>406.51500000000004</v>
      </c>
      <c r="G4044" t="s">
        <v>16</v>
      </c>
      <c r="J4044" t="str">
        <f>"10/25/1996 23:00"</f>
        <v>10/25/1996 23:00</v>
      </c>
    </row>
    <row r="4045" spans="1:10" x14ac:dyDescent="0.3">
      <c r="A4045" t="s">
        <v>6</v>
      </c>
      <c r="B4045" t="str">
        <f>"10/26/1996 00:00"</f>
        <v>10/26/1996 00:00</v>
      </c>
      <c r="C4045">
        <v>167</v>
      </c>
      <c r="D4045" t="s">
        <v>7</v>
      </c>
      <c r="E4045" s="2" t="s">
        <v>12</v>
      </c>
      <c r="F4045">
        <f t="shared" si="63"/>
        <v>331.161</v>
      </c>
      <c r="G4045" t="s">
        <v>16</v>
      </c>
      <c r="J4045" t="str">
        <f>"10/26/1996 23:00"</f>
        <v>10/26/1996 23:00</v>
      </c>
    </row>
    <row r="4046" spans="1:10" x14ac:dyDescent="0.3">
      <c r="A4046" t="s">
        <v>6</v>
      </c>
      <c r="B4046" t="str">
        <f>"10/27/1996 00:00"</f>
        <v>10/27/1996 00:00</v>
      </c>
      <c r="C4046">
        <v>2.23</v>
      </c>
      <c r="D4046" t="s">
        <v>7</v>
      </c>
      <c r="E4046" s="2" t="s">
        <v>12</v>
      </c>
      <c r="F4046">
        <f t="shared" si="63"/>
        <v>4.4220899999999999</v>
      </c>
      <c r="G4046" t="s">
        <v>16</v>
      </c>
      <c r="J4046" t="str">
        <f>"10/27/1996 23:00"</f>
        <v>10/27/1996 23:00</v>
      </c>
    </row>
    <row r="4047" spans="1:10" x14ac:dyDescent="0.3">
      <c r="A4047" t="s">
        <v>6</v>
      </c>
      <c r="B4047" t="str">
        <f>"10/28/1996 00:00"</f>
        <v>10/28/1996 00:00</v>
      </c>
      <c r="C4047">
        <v>2.23</v>
      </c>
      <c r="D4047" t="s">
        <v>7</v>
      </c>
      <c r="E4047" s="2" t="s">
        <v>12</v>
      </c>
      <c r="F4047">
        <f t="shared" si="63"/>
        <v>4.4220899999999999</v>
      </c>
      <c r="G4047" t="s">
        <v>16</v>
      </c>
      <c r="I4047" t="s">
        <v>8</v>
      </c>
      <c r="J4047" t="str">
        <f>"10/28/1996 23:00"</f>
        <v>10/28/1996 23:00</v>
      </c>
    </row>
    <row r="4048" spans="1:10" x14ac:dyDescent="0.3">
      <c r="A4048" t="s">
        <v>6</v>
      </c>
      <c r="B4048" t="str">
        <f>"10/29/1996 00:00"</f>
        <v>10/29/1996 00:00</v>
      </c>
      <c r="C4048">
        <v>24.9</v>
      </c>
      <c r="D4048" t="s">
        <v>7</v>
      </c>
      <c r="E4048" s="2" t="s">
        <v>12</v>
      </c>
      <c r="F4048">
        <f t="shared" si="63"/>
        <v>49.3767</v>
      </c>
      <c r="G4048" t="s">
        <v>16</v>
      </c>
      <c r="I4048" t="s">
        <v>8</v>
      </c>
      <c r="J4048" t="str">
        <f>"10/29/1996 23:00"</f>
        <v>10/29/1996 23:00</v>
      </c>
    </row>
    <row r="4049" spans="1:10" x14ac:dyDescent="0.3">
      <c r="A4049" t="s">
        <v>6</v>
      </c>
      <c r="B4049" t="str">
        <f>"10/30/1996 00:00"</f>
        <v>10/30/1996 00:00</v>
      </c>
      <c r="C4049">
        <v>53.4</v>
      </c>
      <c r="D4049" t="s">
        <v>7</v>
      </c>
      <c r="E4049" s="2" t="s">
        <v>12</v>
      </c>
      <c r="F4049">
        <f t="shared" si="63"/>
        <v>105.8922</v>
      </c>
      <c r="G4049" t="s">
        <v>16</v>
      </c>
      <c r="J4049" t="str">
        <f>"10/30/1996 23:00"</f>
        <v>10/30/1996 23:00</v>
      </c>
    </row>
    <row r="4050" spans="1:10" x14ac:dyDescent="0.3">
      <c r="A4050" t="s">
        <v>6</v>
      </c>
      <c r="B4050" t="str">
        <f>"10/31/1996 00:00"</f>
        <v>10/31/1996 00:00</v>
      </c>
      <c r="C4050">
        <v>53.4</v>
      </c>
      <c r="D4050" t="s">
        <v>7</v>
      </c>
      <c r="E4050" s="2" t="s">
        <v>12</v>
      </c>
      <c r="F4050">
        <f t="shared" si="63"/>
        <v>105.8922</v>
      </c>
      <c r="G4050" t="s">
        <v>16</v>
      </c>
      <c r="I4050" t="s">
        <v>8</v>
      </c>
      <c r="J4050" t="str">
        <f>"10/31/1996 23:00"</f>
        <v>10/31/1996 23:00</v>
      </c>
    </row>
    <row r="4051" spans="1:10" x14ac:dyDescent="0.3">
      <c r="A4051" t="s">
        <v>6</v>
      </c>
      <c r="B4051" t="str">
        <f>"11/01/1996 00:00"</f>
        <v>11/01/1996 00:00</v>
      </c>
      <c r="C4051">
        <v>83.8</v>
      </c>
      <c r="D4051" t="s">
        <v>7</v>
      </c>
      <c r="E4051" s="2" t="s">
        <v>12</v>
      </c>
      <c r="F4051">
        <f t="shared" si="63"/>
        <v>166.1754</v>
      </c>
      <c r="G4051" t="s">
        <v>16</v>
      </c>
      <c r="J4051" t="str">
        <f>"11/01/1996 23:00"</f>
        <v>11/01/1996 23:00</v>
      </c>
    </row>
    <row r="4052" spans="1:10" x14ac:dyDescent="0.3">
      <c r="A4052" t="s">
        <v>6</v>
      </c>
      <c r="B4052" t="str">
        <f>"11/02/1996 00:00"</f>
        <v>11/02/1996 00:00</v>
      </c>
      <c r="C4052">
        <v>83.7</v>
      </c>
      <c r="D4052" t="s">
        <v>7</v>
      </c>
      <c r="E4052" s="2" t="s">
        <v>12</v>
      </c>
      <c r="F4052">
        <f t="shared" si="63"/>
        <v>165.97710000000001</v>
      </c>
      <c r="G4052" t="s">
        <v>16</v>
      </c>
      <c r="J4052" t="str">
        <f>"11/02/1996 23:00"</f>
        <v>11/02/1996 23:00</v>
      </c>
    </row>
    <row r="4053" spans="1:10" x14ac:dyDescent="0.3">
      <c r="A4053" t="s">
        <v>6</v>
      </c>
      <c r="B4053" t="str">
        <f>"11/03/1996 00:00"</f>
        <v>11/03/1996 00:00</v>
      </c>
      <c r="C4053">
        <v>58.3</v>
      </c>
      <c r="D4053" t="s">
        <v>7</v>
      </c>
      <c r="E4053" s="2" t="s">
        <v>12</v>
      </c>
      <c r="F4053">
        <f t="shared" si="63"/>
        <v>115.60890000000001</v>
      </c>
      <c r="G4053" t="s">
        <v>16</v>
      </c>
      <c r="J4053" t="str">
        <f>"11/03/1996 23:00"</f>
        <v>11/03/1996 23:00</v>
      </c>
    </row>
    <row r="4054" spans="1:10" x14ac:dyDescent="0.3">
      <c r="A4054" t="s">
        <v>6</v>
      </c>
      <c r="B4054" t="str">
        <f>"11/04/1996 00:00"</f>
        <v>11/04/1996 00:00</v>
      </c>
      <c r="C4054">
        <v>58.1</v>
      </c>
      <c r="D4054" t="s">
        <v>7</v>
      </c>
      <c r="E4054" s="2" t="s">
        <v>12</v>
      </c>
      <c r="F4054">
        <f t="shared" si="63"/>
        <v>115.21230000000001</v>
      </c>
      <c r="G4054" t="s">
        <v>16</v>
      </c>
      <c r="J4054" t="str">
        <f>"11/04/1996 23:00"</f>
        <v>11/04/1996 23:00</v>
      </c>
    </row>
    <row r="4055" spans="1:10" x14ac:dyDescent="0.3">
      <c r="A4055" t="s">
        <v>6</v>
      </c>
      <c r="B4055" t="str">
        <f>"11/05/1996 00:00"</f>
        <v>11/05/1996 00:00</v>
      </c>
      <c r="C4055">
        <v>84.8</v>
      </c>
      <c r="D4055" t="s">
        <v>7</v>
      </c>
      <c r="E4055" s="2" t="s">
        <v>12</v>
      </c>
      <c r="F4055">
        <f t="shared" si="63"/>
        <v>168.1584</v>
      </c>
      <c r="G4055" t="s">
        <v>16</v>
      </c>
      <c r="J4055" t="str">
        <f>"11/05/1996 23:00"</f>
        <v>11/05/1996 23:00</v>
      </c>
    </row>
    <row r="4056" spans="1:10" x14ac:dyDescent="0.3">
      <c r="A4056" t="s">
        <v>6</v>
      </c>
      <c r="B4056" t="str">
        <f>"11/06/1996 00:00"</f>
        <v>11/06/1996 00:00</v>
      </c>
      <c r="C4056">
        <v>105</v>
      </c>
      <c r="D4056" t="s">
        <v>7</v>
      </c>
      <c r="E4056" s="2" t="s">
        <v>12</v>
      </c>
      <c r="F4056">
        <f t="shared" si="63"/>
        <v>208.215</v>
      </c>
      <c r="G4056" t="s">
        <v>16</v>
      </c>
      <c r="J4056" t="str">
        <f>"11/06/1996 23:00"</f>
        <v>11/06/1996 23:00</v>
      </c>
    </row>
    <row r="4057" spans="1:10" x14ac:dyDescent="0.3">
      <c r="A4057" t="s">
        <v>6</v>
      </c>
      <c r="B4057" t="str">
        <f>"11/07/1996 00:00"</f>
        <v>11/07/1996 00:00</v>
      </c>
      <c r="C4057">
        <v>105</v>
      </c>
      <c r="D4057" t="s">
        <v>7</v>
      </c>
      <c r="E4057" s="2" t="s">
        <v>12</v>
      </c>
      <c r="F4057">
        <f t="shared" si="63"/>
        <v>208.215</v>
      </c>
      <c r="G4057" t="s">
        <v>16</v>
      </c>
      <c r="J4057" t="str">
        <f>"11/07/1996 23:00"</f>
        <v>11/07/1996 23:00</v>
      </c>
    </row>
    <row r="4058" spans="1:10" x14ac:dyDescent="0.3">
      <c r="A4058" t="s">
        <v>6</v>
      </c>
      <c r="B4058" t="str">
        <f>"11/08/1996 00:00"</f>
        <v>11/08/1996 00:00</v>
      </c>
      <c r="C4058">
        <v>105</v>
      </c>
      <c r="D4058" t="s">
        <v>7</v>
      </c>
      <c r="E4058" s="2" t="s">
        <v>12</v>
      </c>
      <c r="F4058">
        <f t="shared" si="63"/>
        <v>208.215</v>
      </c>
      <c r="G4058" t="s">
        <v>16</v>
      </c>
      <c r="I4058" t="s">
        <v>8</v>
      </c>
      <c r="J4058" t="str">
        <f>"11/08/1996 23:00"</f>
        <v>11/08/1996 23:00</v>
      </c>
    </row>
    <row r="4059" spans="1:10" x14ac:dyDescent="0.3">
      <c r="A4059" t="s">
        <v>6</v>
      </c>
      <c r="B4059" t="str">
        <f>"11/09/1996 00:00"</f>
        <v>11/09/1996 00:00</v>
      </c>
      <c r="C4059">
        <v>105</v>
      </c>
      <c r="D4059" t="s">
        <v>7</v>
      </c>
      <c r="E4059" s="2" t="s">
        <v>12</v>
      </c>
      <c r="F4059">
        <f t="shared" si="63"/>
        <v>208.215</v>
      </c>
      <c r="G4059" t="s">
        <v>16</v>
      </c>
      <c r="J4059" t="str">
        <f>"11/09/1996 23:00"</f>
        <v>11/09/1996 23:00</v>
      </c>
    </row>
    <row r="4060" spans="1:10" x14ac:dyDescent="0.3">
      <c r="A4060" t="s">
        <v>6</v>
      </c>
      <c r="B4060" t="str">
        <f>"11/10/1996 00:00"</f>
        <v>11/10/1996 00:00</v>
      </c>
      <c r="C4060">
        <v>104</v>
      </c>
      <c r="D4060" t="s">
        <v>7</v>
      </c>
      <c r="E4060" s="2" t="s">
        <v>12</v>
      </c>
      <c r="F4060">
        <f t="shared" si="63"/>
        <v>206.232</v>
      </c>
      <c r="G4060" t="s">
        <v>16</v>
      </c>
      <c r="J4060" t="str">
        <f>"11/10/1996 23:00"</f>
        <v>11/10/1996 23:00</v>
      </c>
    </row>
    <row r="4061" spans="1:10" x14ac:dyDescent="0.3">
      <c r="A4061" t="s">
        <v>6</v>
      </c>
      <c r="B4061" t="str">
        <f>"11/11/1996 00:00"</f>
        <v>11/11/1996 00:00</v>
      </c>
      <c r="C4061">
        <v>96.4</v>
      </c>
      <c r="D4061" t="s">
        <v>7</v>
      </c>
      <c r="E4061" s="2" t="s">
        <v>12</v>
      </c>
      <c r="F4061">
        <f t="shared" si="63"/>
        <v>191.16120000000001</v>
      </c>
      <c r="G4061" t="s">
        <v>16</v>
      </c>
      <c r="J4061" t="str">
        <f>"11/11/1996 23:00"</f>
        <v>11/11/1996 23:00</v>
      </c>
    </row>
    <row r="4062" spans="1:10" x14ac:dyDescent="0.3">
      <c r="A4062" t="s">
        <v>6</v>
      </c>
      <c r="B4062" t="str">
        <f>"11/12/1996 00:00"</f>
        <v>11/12/1996 00:00</v>
      </c>
      <c r="C4062">
        <v>79.8</v>
      </c>
      <c r="D4062" t="s">
        <v>7</v>
      </c>
      <c r="E4062" s="2" t="s">
        <v>12</v>
      </c>
      <c r="F4062">
        <f t="shared" si="63"/>
        <v>158.24340000000001</v>
      </c>
      <c r="G4062" t="s">
        <v>16</v>
      </c>
      <c r="J4062" t="str">
        <f>"11/12/1996 23:00"</f>
        <v>11/12/1996 23:00</v>
      </c>
    </row>
    <row r="4063" spans="1:10" x14ac:dyDescent="0.3">
      <c r="A4063" t="s">
        <v>6</v>
      </c>
      <c r="B4063" t="str">
        <f>"11/13/1996 00:00"</f>
        <v>11/13/1996 00:00</v>
      </c>
      <c r="C4063">
        <v>82.3</v>
      </c>
      <c r="D4063" t="s">
        <v>7</v>
      </c>
      <c r="E4063" s="2" t="s">
        <v>12</v>
      </c>
      <c r="F4063">
        <f t="shared" si="63"/>
        <v>163.20089999999999</v>
      </c>
      <c r="G4063" t="s">
        <v>16</v>
      </c>
      <c r="J4063" t="str">
        <f>"11/13/1996 23:00"</f>
        <v>11/13/1996 23:00</v>
      </c>
    </row>
    <row r="4064" spans="1:10" x14ac:dyDescent="0.3">
      <c r="A4064" t="s">
        <v>6</v>
      </c>
      <c r="B4064" t="str">
        <f>"11/14/1996 00:00"</f>
        <v>11/14/1996 00:00</v>
      </c>
      <c r="C4064">
        <v>82.4</v>
      </c>
      <c r="D4064" t="s">
        <v>7</v>
      </c>
      <c r="E4064" s="2" t="s">
        <v>12</v>
      </c>
      <c r="F4064">
        <f t="shared" si="63"/>
        <v>163.39920000000001</v>
      </c>
      <c r="G4064" t="s">
        <v>16</v>
      </c>
      <c r="J4064" t="str">
        <f>"11/14/1996 23:00"</f>
        <v>11/14/1996 23:00</v>
      </c>
    </row>
    <row r="4065" spans="1:10" x14ac:dyDescent="0.3">
      <c r="A4065" t="s">
        <v>6</v>
      </c>
      <c r="B4065" t="str">
        <f>"11/15/1996 00:00"</f>
        <v>11/15/1996 00:00</v>
      </c>
      <c r="C4065">
        <v>99.8</v>
      </c>
      <c r="D4065" t="s">
        <v>7</v>
      </c>
      <c r="E4065" s="2" t="s">
        <v>12</v>
      </c>
      <c r="F4065">
        <f t="shared" si="63"/>
        <v>197.9034</v>
      </c>
      <c r="G4065" t="s">
        <v>16</v>
      </c>
      <c r="J4065" t="str">
        <f>"11/15/1996 23:00"</f>
        <v>11/15/1996 23:00</v>
      </c>
    </row>
    <row r="4066" spans="1:10" x14ac:dyDescent="0.3">
      <c r="A4066" t="s">
        <v>6</v>
      </c>
      <c r="B4066" t="str">
        <f>"11/16/1996 00:00"</f>
        <v>11/16/1996 00:00</v>
      </c>
      <c r="C4066">
        <v>109</v>
      </c>
      <c r="D4066" t="s">
        <v>7</v>
      </c>
      <c r="E4066" s="2" t="s">
        <v>12</v>
      </c>
      <c r="F4066">
        <f t="shared" si="63"/>
        <v>216.14700000000002</v>
      </c>
      <c r="G4066" t="s">
        <v>16</v>
      </c>
      <c r="J4066" t="str">
        <f>"11/16/1996 23:00"</f>
        <v>11/16/1996 23:00</v>
      </c>
    </row>
    <row r="4067" spans="1:10" x14ac:dyDescent="0.3">
      <c r="A4067" t="s">
        <v>6</v>
      </c>
      <c r="B4067" t="str">
        <f>"11/17/1996 00:00"</f>
        <v>11/17/1996 00:00</v>
      </c>
      <c r="C4067">
        <v>109</v>
      </c>
      <c r="D4067" t="s">
        <v>7</v>
      </c>
      <c r="E4067" s="2" t="s">
        <v>12</v>
      </c>
      <c r="F4067">
        <f t="shared" si="63"/>
        <v>216.14700000000002</v>
      </c>
      <c r="G4067" t="s">
        <v>16</v>
      </c>
      <c r="J4067" t="str">
        <f>"11/17/1996 23:00"</f>
        <v>11/17/1996 23:00</v>
      </c>
    </row>
    <row r="4068" spans="1:10" x14ac:dyDescent="0.3">
      <c r="A4068" t="s">
        <v>6</v>
      </c>
      <c r="B4068" t="str">
        <f>"11/18/1996 00:00"</f>
        <v>11/18/1996 00:00</v>
      </c>
      <c r="C4068">
        <v>109</v>
      </c>
      <c r="D4068" t="s">
        <v>7</v>
      </c>
      <c r="E4068" s="2" t="s">
        <v>12</v>
      </c>
      <c r="F4068">
        <f t="shared" si="63"/>
        <v>216.14700000000002</v>
      </c>
      <c r="G4068" t="s">
        <v>16</v>
      </c>
      <c r="J4068" t="str">
        <f>"11/18/1996 23:00"</f>
        <v>11/18/1996 23:00</v>
      </c>
    </row>
    <row r="4069" spans="1:10" x14ac:dyDescent="0.3">
      <c r="A4069" t="s">
        <v>6</v>
      </c>
      <c r="B4069" t="str">
        <f>"11/19/1996 00:00"</f>
        <v>11/19/1996 00:00</v>
      </c>
      <c r="C4069">
        <v>105</v>
      </c>
      <c r="D4069" t="s">
        <v>7</v>
      </c>
      <c r="E4069" s="2" t="s">
        <v>12</v>
      </c>
      <c r="F4069">
        <f t="shared" si="63"/>
        <v>208.215</v>
      </c>
      <c r="G4069" t="s">
        <v>16</v>
      </c>
      <c r="J4069" t="str">
        <f>"11/19/1996 23:00"</f>
        <v>11/19/1996 23:00</v>
      </c>
    </row>
    <row r="4070" spans="1:10" x14ac:dyDescent="0.3">
      <c r="A4070" t="s">
        <v>6</v>
      </c>
      <c r="B4070" t="str">
        <f>"11/20/1996 00:00"</f>
        <v>11/20/1996 00:00</v>
      </c>
      <c r="C4070">
        <v>69.8</v>
      </c>
      <c r="D4070" t="s">
        <v>7</v>
      </c>
      <c r="E4070" s="2" t="s">
        <v>12</v>
      </c>
      <c r="F4070">
        <f t="shared" si="63"/>
        <v>138.4134</v>
      </c>
      <c r="G4070" t="s">
        <v>16</v>
      </c>
      <c r="J4070" t="str">
        <f>"11/20/1996 23:00"</f>
        <v>11/20/1996 23:00</v>
      </c>
    </row>
    <row r="4071" spans="1:10" x14ac:dyDescent="0.3">
      <c r="A4071" t="s">
        <v>6</v>
      </c>
      <c r="B4071" t="str">
        <f>"11/21/1996 00:00"</f>
        <v>11/21/1996 00:00</v>
      </c>
      <c r="C4071">
        <v>2.91</v>
      </c>
      <c r="D4071" t="s">
        <v>7</v>
      </c>
      <c r="E4071" s="2" t="s">
        <v>12</v>
      </c>
      <c r="F4071">
        <f t="shared" si="63"/>
        <v>5.7705300000000008</v>
      </c>
      <c r="G4071" t="s">
        <v>16</v>
      </c>
      <c r="J4071" t="str">
        <f>"11/21/1996 23:00"</f>
        <v>11/21/1996 23:00</v>
      </c>
    </row>
    <row r="4072" spans="1:10" x14ac:dyDescent="0.3">
      <c r="A4072" t="s">
        <v>6</v>
      </c>
      <c r="B4072" t="str">
        <f>"11/22/1996 00:00"</f>
        <v>11/22/1996 00:00</v>
      </c>
      <c r="C4072">
        <v>2.91</v>
      </c>
      <c r="D4072" t="s">
        <v>7</v>
      </c>
      <c r="E4072" s="2" t="s">
        <v>12</v>
      </c>
      <c r="F4072">
        <f t="shared" si="63"/>
        <v>5.7705300000000008</v>
      </c>
      <c r="G4072" t="s">
        <v>16</v>
      </c>
      <c r="J4072" t="str">
        <f>"11/22/1996 23:00"</f>
        <v>11/22/1996 23:00</v>
      </c>
    </row>
    <row r="4073" spans="1:10" x14ac:dyDescent="0.3">
      <c r="A4073" t="s">
        <v>6</v>
      </c>
      <c r="B4073" t="str">
        <f>"11/23/1996 00:00"</f>
        <v>11/23/1996 00:00</v>
      </c>
      <c r="C4073">
        <v>63.2</v>
      </c>
      <c r="D4073" t="s">
        <v>7</v>
      </c>
      <c r="E4073" s="2" t="s">
        <v>12</v>
      </c>
      <c r="F4073">
        <f t="shared" si="63"/>
        <v>125.32560000000001</v>
      </c>
      <c r="G4073" t="s">
        <v>16</v>
      </c>
      <c r="J4073" t="str">
        <f>"11/23/1996 23:00"</f>
        <v>11/23/1996 23:00</v>
      </c>
    </row>
    <row r="4074" spans="1:10" x14ac:dyDescent="0.3">
      <c r="A4074" t="s">
        <v>6</v>
      </c>
      <c r="B4074" t="str">
        <f>"11/24/1996 00:00"</f>
        <v>11/24/1996 00:00</v>
      </c>
      <c r="C4074">
        <v>105</v>
      </c>
      <c r="D4074" t="s">
        <v>7</v>
      </c>
      <c r="E4074" s="2" t="s">
        <v>12</v>
      </c>
      <c r="F4074">
        <f t="shared" si="63"/>
        <v>208.215</v>
      </c>
      <c r="G4074" t="s">
        <v>16</v>
      </c>
      <c r="I4074" t="s">
        <v>8</v>
      </c>
      <c r="J4074" t="str">
        <f>"11/24/1996 23:00"</f>
        <v>11/24/1996 23:00</v>
      </c>
    </row>
    <row r="4075" spans="1:10" x14ac:dyDescent="0.3">
      <c r="A4075" t="s">
        <v>6</v>
      </c>
      <c r="B4075" t="str">
        <f>"11/25/1996 00:00"</f>
        <v>11/25/1996 00:00</v>
      </c>
      <c r="C4075">
        <v>102</v>
      </c>
      <c r="D4075" t="s">
        <v>7</v>
      </c>
      <c r="E4075" s="2" t="s">
        <v>12</v>
      </c>
      <c r="F4075">
        <f t="shared" si="63"/>
        <v>202.26600000000002</v>
      </c>
      <c r="G4075" t="s">
        <v>16</v>
      </c>
      <c r="J4075" t="str">
        <f>"11/25/1996 23:00"</f>
        <v>11/25/1996 23:00</v>
      </c>
    </row>
    <row r="4076" spans="1:10" x14ac:dyDescent="0.3">
      <c r="A4076" t="s">
        <v>6</v>
      </c>
      <c r="B4076" t="str">
        <f>"11/26/1996 00:00"</f>
        <v>11/26/1996 00:00</v>
      </c>
      <c r="C4076">
        <v>101</v>
      </c>
      <c r="D4076" t="s">
        <v>7</v>
      </c>
      <c r="E4076" s="2" t="s">
        <v>12</v>
      </c>
      <c r="F4076">
        <f t="shared" si="63"/>
        <v>200.28300000000002</v>
      </c>
      <c r="G4076" t="s">
        <v>16</v>
      </c>
      <c r="I4076" t="s">
        <v>8</v>
      </c>
      <c r="J4076" t="str">
        <f>"11/26/1996 23:00"</f>
        <v>11/26/1996 23:00</v>
      </c>
    </row>
    <row r="4077" spans="1:10" x14ac:dyDescent="0.3">
      <c r="A4077" t="s">
        <v>6</v>
      </c>
      <c r="B4077" t="str">
        <f>"11/27/1996 00:00"</f>
        <v>11/27/1996 00:00</v>
      </c>
      <c r="C4077">
        <v>101</v>
      </c>
      <c r="D4077" t="s">
        <v>7</v>
      </c>
      <c r="E4077" s="2" t="s">
        <v>12</v>
      </c>
      <c r="F4077">
        <f t="shared" si="63"/>
        <v>200.28300000000002</v>
      </c>
      <c r="G4077" t="s">
        <v>16</v>
      </c>
      <c r="J4077" t="str">
        <f>"11/27/1996 23:00"</f>
        <v>11/27/1996 23:00</v>
      </c>
    </row>
    <row r="4078" spans="1:10" x14ac:dyDescent="0.3">
      <c r="A4078" t="s">
        <v>6</v>
      </c>
      <c r="B4078" t="str">
        <f>"11/28/1996 00:00"</f>
        <v>11/28/1996 00:00</v>
      </c>
      <c r="C4078">
        <v>101</v>
      </c>
      <c r="D4078" t="s">
        <v>7</v>
      </c>
      <c r="E4078" s="2" t="s">
        <v>12</v>
      </c>
      <c r="F4078">
        <f t="shared" si="63"/>
        <v>200.28300000000002</v>
      </c>
      <c r="G4078" t="s">
        <v>16</v>
      </c>
      <c r="J4078" t="str">
        <f>"11/28/1996 23:00"</f>
        <v>11/28/1996 23:00</v>
      </c>
    </row>
    <row r="4079" spans="1:10" x14ac:dyDescent="0.3">
      <c r="A4079" t="s">
        <v>6</v>
      </c>
      <c r="B4079" t="str">
        <f>"11/29/1996 00:00"</f>
        <v>11/29/1996 00:00</v>
      </c>
      <c r="C4079">
        <v>102</v>
      </c>
      <c r="D4079" t="s">
        <v>7</v>
      </c>
      <c r="E4079" s="2" t="s">
        <v>12</v>
      </c>
      <c r="F4079">
        <f t="shared" si="63"/>
        <v>202.26600000000002</v>
      </c>
      <c r="G4079" t="s">
        <v>16</v>
      </c>
      <c r="J4079" t="str">
        <f>"11/29/1996 23:00"</f>
        <v>11/29/1996 23:00</v>
      </c>
    </row>
    <row r="4080" spans="1:10" x14ac:dyDescent="0.3">
      <c r="A4080" t="s">
        <v>6</v>
      </c>
      <c r="B4080" t="str">
        <f>"11/30/1996 00:00"</f>
        <v>11/30/1996 00:00</v>
      </c>
      <c r="C4080">
        <v>103</v>
      </c>
      <c r="D4080" t="s">
        <v>7</v>
      </c>
      <c r="E4080" s="2" t="s">
        <v>12</v>
      </c>
      <c r="F4080">
        <f t="shared" si="63"/>
        <v>204.24900000000002</v>
      </c>
      <c r="G4080" t="s">
        <v>16</v>
      </c>
      <c r="I4080" t="s">
        <v>8</v>
      </c>
      <c r="J4080" t="str">
        <f>"11/30/1996 23:00"</f>
        <v>11/30/1996 23:00</v>
      </c>
    </row>
    <row r="4081" spans="1:10" x14ac:dyDescent="0.3">
      <c r="A4081" t="s">
        <v>6</v>
      </c>
      <c r="B4081" t="str">
        <f>"12/01/1996 00:00"</f>
        <v>12/01/1996 00:00</v>
      </c>
      <c r="C4081">
        <v>103</v>
      </c>
      <c r="D4081" t="s">
        <v>7</v>
      </c>
      <c r="E4081" s="2" t="s">
        <v>12</v>
      </c>
      <c r="F4081">
        <f t="shared" si="63"/>
        <v>204.24900000000002</v>
      </c>
      <c r="G4081" t="s">
        <v>16</v>
      </c>
      <c r="J4081" t="str">
        <f>"12/01/1996 23:00"</f>
        <v>12/01/1996 23:00</v>
      </c>
    </row>
    <row r="4082" spans="1:10" x14ac:dyDescent="0.3">
      <c r="A4082" t="s">
        <v>6</v>
      </c>
      <c r="B4082" t="str">
        <f>"12/02/1996 00:00"</f>
        <v>12/02/1996 00:00</v>
      </c>
      <c r="C4082">
        <v>103</v>
      </c>
      <c r="D4082" t="s">
        <v>7</v>
      </c>
      <c r="E4082" s="2" t="s">
        <v>12</v>
      </c>
      <c r="F4082">
        <f t="shared" si="63"/>
        <v>204.24900000000002</v>
      </c>
      <c r="G4082" t="s">
        <v>16</v>
      </c>
      <c r="J4082" t="str">
        <f>"12/02/1996 23:00"</f>
        <v>12/02/1996 23:00</v>
      </c>
    </row>
    <row r="4083" spans="1:10" x14ac:dyDescent="0.3">
      <c r="A4083" t="s">
        <v>6</v>
      </c>
      <c r="B4083" t="str">
        <f>"12/03/1996 00:00"</f>
        <v>12/03/1996 00:00</v>
      </c>
      <c r="C4083">
        <v>103</v>
      </c>
      <c r="D4083" t="s">
        <v>7</v>
      </c>
      <c r="E4083" s="2" t="s">
        <v>12</v>
      </c>
      <c r="F4083">
        <f t="shared" si="63"/>
        <v>204.24900000000002</v>
      </c>
      <c r="G4083" t="s">
        <v>16</v>
      </c>
      <c r="I4083" t="s">
        <v>8</v>
      </c>
      <c r="J4083" t="str">
        <f>"12/03/1996 23:00"</f>
        <v>12/03/1996 23:00</v>
      </c>
    </row>
    <row r="4084" spans="1:10" x14ac:dyDescent="0.3">
      <c r="A4084" t="s">
        <v>6</v>
      </c>
      <c r="B4084" t="str">
        <f>"12/04/1996 00:00"</f>
        <v>12/04/1996 00:00</v>
      </c>
      <c r="C4084">
        <v>103</v>
      </c>
      <c r="D4084" t="s">
        <v>7</v>
      </c>
      <c r="E4084" s="2" t="s">
        <v>12</v>
      </c>
      <c r="F4084">
        <f t="shared" si="63"/>
        <v>204.24900000000002</v>
      </c>
      <c r="G4084" t="s">
        <v>16</v>
      </c>
      <c r="J4084" t="str">
        <f>"12/04/1996 23:00"</f>
        <v>12/04/1996 23:00</v>
      </c>
    </row>
    <row r="4085" spans="1:10" x14ac:dyDescent="0.3">
      <c r="A4085" t="s">
        <v>6</v>
      </c>
      <c r="B4085" t="str">
        <f>"12/05/1996 00:00"</f>
        <v>12/05/1996 00:00</v>
      </c>
      <c r="C4085">
        <v>102</v>
      </c>
      <c r="D4085" t="s">
        <v>7</v>
      </c>
      <c r="E4085" s="2" t="s">
        <v>12</v>
      </c>
      <c r="F4085">
        <f t="shared" si="63"/>
        <v>202.26600000000002</v>
      </c>
      <c r="G4085" t="s">
        <v>16</v>
      </c>
      <c r="J4085" t="str">
        <f>"12/05/1996 23:00"</f>
        <v>12/05/1996 23:00</v>
      </c>
    </row>
    <row r="4086" spans="1:10" x14ac:dyDescent="0.3">
      <c r="A4086" t="s">
        <v>6</v>
      </c>
      <c r="B4086" t="str">
        <f>"12/06/1996 00:00"</f>
        <v>12/06/1996 00:00</v>
      </c>
      <c r="C4086">
        <v>94.6</v>
      </c>
      <c r="D4086" t="s">
        <v>7</v>
      </c>
      <c r="E4086" s="2" t="s">
        <v>12</v>
      </c>
      <c r="F4086">
        <f t="shared" si="63"/>
        <v>187.59180000000001</v>
      </c>
      <c r="G4086" t="s">
        <v>16</v>
      </c>
      <c r="J4086" t="str">
        <f>"12/06/1996 23:00"</f>
        <v>12/06/1996 23:00</v>
      </c>
    </row>
    <row r="4087" spans="1:10" x14ac:dyDescent="0.3">
      <c r="A4087" t="s">
        <v>6</v>
      </c>
      <c r="B4087" t="str">
        <f>"12/07/1996 00:00"</f>
        <v>12/07/1996 00:00</v>
      </c>
      <c r="C4087">
        <v>94.9</v>
      </c>
      <c r="D4087" t="s">
        <v>7</v>
      </c>
      <c r="E4087" s="2" t="s">
        <v>12</v>
      </c>
      <c r="F4087">
        <f t="shared" si="63"/>
        <v>188.18670000000003</v>
      </c>
      <c r="G4087" t="s">
        <v>16</v>
      </c>
      <c r="J4087" t="str">
        <f>"12/07/1996 23:00"</f>
        <v>12/07/1996 23:00</v>
      </c>
    </row>
    <row r="4088" spans="1:10" x14ac:dyDescent="0.3">
      <c r="A4088" t="s">
        <v>6</v>
      </c>
      <c r="B4088" t="str">
        <f>"12/08/1996 00:00"</f>
        <v>12/08/1996 00:00</v>
      </c>
      <c r="C4088">
        <v>99</v>
      </c>
      <c r="D4088" t="s">
        <v>7</v>
      </c>
      <c r="E4088" s="2" t="s">
        <v>12</v>
      </c>
      <c r="F4088">
        <f t="shared" si="63"/>
        <v>196.31700000000001</v>
      </c>
      <c r="G4088" t="s">
        <v>16</v>
      </c>
      <c r="J4088" t="str">
        <f>"12/08/1996 23:00"</f>
        <v>12/08/1996 23:00</v>
      </c>
    </row>
    <row r="4089" spans="1:10" x14ac:dyDescent="0.3">
      <c r="A4089" t="s">
        <v>6</v>
      </c>
      <c r="B4089" t="str">
        <f>"12/09/1996 00:00"</f>
        <v>12/09/1996 00:00</v>
      </c>
      <c r="C4089">
        <v>96.6</v>
      </c>
      <c r="D4089" t="s">
        <v>7</v>
      </c>
      <c r="E4089" s="2" t="s">
        <v>12</v>
      </c>
      <c r="F4089">
        <f t="shared" si="63"/>
        <v>191.55779999999999</v>
      </c>
      <c r="G4089" t="s">
        <v>16</v>
      </c>
      <c r="J4089" t="str">
        <f>"12/09/1996 23:00"</f>
        <v>12/09/1996 23:00</v>
      </c>
    </row>
    <row r="4090" spans="1:10" x14ac:dyDescent="0.3">
      <c r="A4090" t="s">
        <v>6</v>
      </c>
      <c r="B4090" t="str">
        <f>"12/10/1996 00:00"</f>
        <v>12/10/1996 00:00</v>
      </c>
      <c r="C4090">
        <v>96.8</v>
      </c>
      <c r="D4090" t="s">
        <v>7</v>
      </c>
      <c r="E4090" s="2" t="s">
        <v>12</v>
      </c>
      <c r="F4090">
        <f t="shared" si="63"/>
        <v>191.95439999999999</v>
      </c>
      <c r="G4090" t="s">
        <v>16</v>
      </c>
      <c r="J4090" t="str">
        <f>"12/10/1996 23:00"</f>
        <v>12/10/1996 23:00</v>
      </c>
    </row>
    <row r="4091" spans="1:10" x14ac:dyDescent="0.3">
      <c r="A4091" t="s">
        <v>6</v>
      </c>
      <c r="B4091" t="str">
        <f>"12/11/1996 00:00"</f>
        <v>12/11/1996 00:00</v>
      </c>
      <c r="C4091">
        <v>97.8</v>
      </c>
      <c r="D4091" t="s">
        <v>7</v>
      </c>
      <c r="E4091" s="2" t="s">
        <v>12</v>
      </c>
      <c r="F4091">
        <f t="shared" si="63"/>
        <v>193.9374</v>
      </c>
      <c r="G4091" t="s">
        <v>16</v>
      </c>
      <c r="J4091" t="str">
        <f>"12/11/1996 23:00"</f>
        <v>12/11/1996 23:00</v>
      </c>
    </row>
    <row r="4092" spans="1:10" x14ac:dyDescent="0.3">
      <c r="A4092" t="s">
        <v>6</v>
      </c>
      <c r="B4092" t="str">
        <f>"12/12/1996 00:00"</f>
        <v>12/12/1996 00:00</v>
      </c>
      <c r="C4092">
        <v>98.1</v>
      </c>
      <c r="D4092" t="s">
        <v>7</v>
      </c>
      <c r="E4092" s="2" t="s">
        <v>12</v>
      </c>
      <c r="F4092">
        <f t="shared" si="63"/>
        <v>194.53229999999999</v>
      </c>
      <c r="G4092" t="s">
        <v>16</v>
      </c>
      <c r="I4092" t="s">
        <v>8</v>
      </c>
      <c r="J4092" t="str">
        <f>"12/12/1996 23:00"</f>
        <v>12/12/1996 23:00</v>
      </c>
    </row>
    <row r="4093" spans="1:10" x14ac:dyDescent="0.3">
      <c r="A4093" t="s">
        <v>6</v>
      </c>
      <c r="B4093" t="str">
        <f>"12/13/1996 00:00"</f>
        <v>12/13/1996 00:00</v>
      </c>
      <c r="C4093">
        <v>98.6</v>
      </c>
      <c r="D4093" t="s">
        <v>7</v>
      </c>
      <c r="E4093" s="2" t="s">
        <v>12</v>
      </c>
      <c r="F4093">
        <f t="shared" si="63"/>
        <v>195.52379999999999</v>
      </c>
      <c r="G4093" t="s">
        <v>16</v>
      </c>
      <c r="I4093" t="s">
        <v>8</v>
      </c>
      <c r="J4093" t="str">
        <f>"12/13/1996 23:00"</f>
        <v>12/13/1996 23:00</v>
      </c>
    </row>
    <row r="4094" spans="1:10" x14ac:dyDescent="0.3">
      <c r="A4094" t="s">
        <v>6</v>
      </c>
      <c r="B4094" t="str">
        <f>"12/14/1996 00:00"</f>
        <v>12/14/1996 00:00</v>
      </c>
      <c r="C4094">
        <v>99.2</v>
      </c>
      <c r="D4094" t="s">
        <v>7</v>
      </c>
      <c r="E4094" s="2" t="s">
        <v>12</v>
      </c>
      <c r="F4094">
        <f t="shared" si="63"/>
        <v>196.71360000000001</v>
      </c>
      <c r="G4094" t="s">
        <v>16</v>
      </c>
      <c r="I4094" t="s">
        <v>8</v>
      </c>
      <c r="J4094" t="str">
        <f>"12/14/1996 23:00"</f>
        <v>12/14/1996 23:00</v>
      </c>
    </row>
    <row r="4095" spans="1:10" x14ac:dyDescent="0.3">
      <c r="A4095" t="s">
        <v>6</v>
      </c>
      <c r="B4095" t="str">
        <f>"12/15/1996 00:00"</f>
        <v>12/15/1996 00:00</v>
      </c>
      <c r="C4095">
        <v>99.4</v>
      </c>
      <c r="D4095" t="s">
        <v>7</v>
      </c>
      <c r="E4095" s="2" t="s">
        <v>12</v>
      </c>
      <c r="F4095">
        <f t="shared" si="63"/>
        <v>197.11020000000002</v>
      </c>
      <c r="G4095" t="s">
        <v>16</v>
      </c>
      <c r="I4095" t="s">
        <v>8</v>
      </c>
      <c r="J4095" t="str">
        <f>"12/15/1996 23:00"</f>
        <v>12/15/1996 23:00</v>
      </c>
    </row>
    <row r="4096" spans="1:10" x14ac:dyDescent="0.3">
      <c r="A4096" t="s">
        <v>6</v>
      </c>
      <c r="B4096" t="str">
        <f>"12/16/1996 00:00"</f>
        <v>12/16/1996 00:00</v>
      </c>
      <c r="C4096">
        <v>100</v>
      </c>
      <c r="D4096" t="s">
        <v>7</v>
      </c>
      <c r="E4096" s="2" t="s">
        <v>12</v>
      </c>
      <c r="F4096">
        <f t="shared" si="63"/>
        <v>198.3</v>
      </c>
      <c r="G4096" t="s">
        <v>16</v>
      </c>
      <c r="I4096" t="s">
        <v>8</v>
      </c>
      <c r="J4096" t="str">
        <f>"12/16/1996 23:00"</f>
        <v>12/16/1996 23:00</v>
      </c>
    </row>
    <row r="4097" spans="1:10" x14ac:dyDescent="0.3">
      <c r="A4097" t="s">
        <v>6</v>
      </c>
      <c r="B4097" t="str">
        <f>"12/17/1996 00:00"</f>
        <v>12/17/1996 00:00</v>
      </c>
      <c r="C4097">
        <v>101</v>
      </c>
      <c r="D4097" t="s">
        <v>7</v>
      </c>
      <c r="E4097" s="2" t="s">
        <v>12</v>
      </c>
      <c r="F4097">
        <f t="shared" si="63"/>
        <v>200.28300000000002</v>
      </c>
      <c r="G4097" t="s">
        <v>16</v>
      </c>
      <c r="J4097" t="str">
        <f>"12/17/1996 23:00"</f>
        <v>12/17/1996 23:00</v>
      </c>
    </row>
    <row r="4098" spans="1:10" x14ac:dyDescent="0.3">
      <c r="A4098" t="s">
        <v>6</v>
      </c>
      <c r="B4098" t="str">
        <f>"12/18/1996 00:00"</f>
        <v>12/18/1996 00:00</v>
      </c>
      <c r="C4098">
        <v>101</v>
      </c>
      <c r="D4098" t="s">
        <v>7</v>
      </c>
      <c r="E4098" s="2" t="s">
        <v>12</v>
      </c>
      <c r="F4098">
        <f t="shared" si="63"/>
        <v>200.28300000000002</v>
      </c>
      <c r="G4098" t="s">
        <v>16</v>
      </c>
      <c r="I4098" t="s">
        <v>8</v>
      </c>
      <c r="J4098" t="str">
        <f>"12/18/1996 23:00"</f>
        <v>12/18/1996 23:00</v>
      </c>
    </row>
    <row r="4099" spans="1:10" x14ac:dyDescent="0.3">
      <c r="A4099" t="s">
        <v>6</v>
      </c>
      <c r="B4099" t="str">
        <f>"12/19/1996 00:00"</f>
        <v>12/19/1996 00:00</v>
      </c>
      <c r="C4099">
        <v>101</v>
      </c>
      <c r="D4099" t="s">
        <v>7</v>
      </c>
      <c r="E4099" s="2" t="s">
        <v>12</v>
      </c>
      <c r="F4099">
        <f t="shared" ref="F4099:F4162" si="64">C4099*1.983</f>
        <v>200.28300000000002</v>
      </c>
      <c r="G4099" t="s">
        <v>16</v>
      </c>
      <c r="J4099" t="str">
        <f>"12/19/1996 23:00"</f>
        <v>12/19/1996 23:00</v>
      </c>
    </row>
    <row r="4100" spans="1:10" x14ac:dyDescent="0.3">
      <c r="A4100" t="s">
        <v>6</v>
      </c>
      <c r="B4100" t="str">
        <f>"12/20/1996 00:00"</f>
        <v>12/20/1996 00:00</v>
      </c>
      <c r="C4100">
        <v>101</v>
      </c>
      <c r="D4100" t="s">
        <v>7</v>
      </c>
      <c r="E4100" s="2" t="s">
        <v>12</v>
      </c>
      <c r="F4100">
        <f t="shared" si="64"/>
        <v>200.28300000000002</v>
      </c>
      <c r="G4100" t="s">
        <v>16</v>
      </c>
      <c r="J4100" t="str">
        <f>"12/20/1996 23:00"</f>
        <v>12/20/1996 23:00</v>
      </c>
    </row>
    <row r="4101" spans="1:10" x14ac:dyDescent="0.3">
      <c r="A4101" t="s">
        <v>6</v>
      </c>
      <c r="B4101" t="str">
        <f>"12/21/1996 00:00"</f>
        <v>12/21/1996 00:00</v>
      </c>
      <c r="C4101">
        <v>102</v>
      </c>
      <c r="D4101" t="s">
        <v>7</v>
      </c>
      <c r="E4101" s="2" t="s">
        <v>12</v>
      </c>
      <c r="F4101">
        <f t="shared" si="64"/>
        <v>202.26600000000002</v>
      </c>
      <c r="G4101" t="s">
        <v>16</v>
      </c>
      <c r="J4101" t="str">
        <f>"12/21/1996 23:00"</f>
        <v>12/21/1996 23:00</v>
      </c>
    </row>
    <row r="4102" spans="1:10" x14ac:dyDescent="0.3">
      <c r="A4102" t="s">
        <v>6</v>
      </c>
      <c r="B4102" t="str">
        <f>"12/22/1996 00:00"</f>
        <v>12/22/1996 00:00</v>
      </c>
      <c r="C4102">
        <v>102</v>
      </c>
      <c r="D4102" t="s">
        <v>7</v>
      </c>
      <c r="E4102" s="2" t="s">
        <v>12</v>
      </c>
      <c r="F4102">
        <f t="shared" si="64"/>
        <v>202.26600000000002</v>
      </c>
      <c r="G4102" t="s">
        <v>16</v>
      </c>
      <c r="J4102" t="str">
        <f>"12/22/1996 23:00"</f>
        <v>12/22/1996 23:00</v>
      </c>
    </row>
    <row r="4103" spans="1:10" x14ac:dyDescent="0.3">
      <c r="A4103" t="s">
        <v>6</v>
      </c>
      <c r="B4103" t="str">
        <f>"12/23/1996 00:00"</f>
        <v>12/23/1996 00:00</v>
      </c>
      <c r="C4103">
        <v>102</v>
      </c>
      <c r="D4103" t="s">
        <v>7</v>
      </c>
      <c r="E4103" s="2" t="s">
        <v>12</v>
      </c>
      <c r="F4103">
        <f t="shared" si="64"/>
        <v>202.26600000000002</v>
      </c>
      <c r="G4103" t="s">
        <v>16</v>
      </c>
      <c r="J4103" t="str">
        <f>"12/23/1996 23:00"</f>
        <v>12/23/1996 23:00</v>
      </c>
    </row>
    <row r="4104" spans="1:10" x14ac:dyDescent="0.3">
      <c r="A4104" t="s">
        <v>6</v>
      </c>
      <c r="B4104" t="str">
        <f>"12/24/1996 00:00"</f>
        <v>12/24/1996 00:00</v>
      </c>
      <c r="C4104">
        <v>103</v>
      </c>
      <c r="D4104" t="s">
        <v>7</v>
      </c>
      <c r="E4104" s="2" t="s">
        <v>12</v>
      </c>
      <c r="F4104">
        <f t="shared" si="64"/>
        <v>204.24900000000002</v>
      </c>
      <c r="G4104" t="s">
        <v>16</v>
      </c>
      <c r="J4104" t="str">
        <f>"12/24/1996 23:00"</f>
        <v>12/24/1996 23:00</v>
      </c>
    </row>
    <row r="4105" spans="1:10" x14ac:dyDescent="0.3">
      <c r="A4105" t="s">
        <v>6</v>
      </c>
      <c r="B4105" t="str">
        <f>"12/25/1996 00:00"</f>
        <v>12/25/1996 00:00</v>
      </c>
      <c r="C4105">
        <v>103</v>
      </c>
      <c r="D4105" t="s">
        <v>7</v>
      </c>
      <c r="E4105" s="2" t="s">
        <v>12</v>
      </c>
      <c r="F4105">
        <f t="shared" si="64"/>
        <v>204.24900000000002</v>
      </c>
      <c r="G4105" t="s">
        <v>16</v>
      </c>
      <c r="J4105" t="str">
        <f>"12/25/1996 23:00"</f>
        <v>12/25/1996 23:00</v>
      </c>
    </row>
    <row r="4106" spans="1:10" x14ac:dyDescent="0.3">
      <c r="A4106" t="s">
        <v>6</v>
      </c>
      <c r="B4106" t="str">
        <f>"12/26/1996 00:00"</f>
        <v>12/26/1996 00:00</v>
      </c>
      <c r="C4106">
        <v>103</v>
      </c>
      <c r="D4106" t="s">
        <v>7</v>
      </c>
      <c r="E4106" s="2" t="s">
        <v>12</v>
      </c>
      <c r="F4106">
        <f t="shared" si="64"/>
        <v>204.24900000000002</v>
      </c>
      <c r="G4106" t="s">
        <v>16</v>
      </c>
      <c r="J4106" t="str">
        <f>"12/26/1996 23:00"</f>
        <v>12/26/1996 23:00</v>
      </c>
    </row>
    <row r="4107" spans="1:10" x14ac:dyDescent="0.3">
      <c r="A4107" t="s">
        <v>6</v>
      </c>
      <c r="B4107" t="str">
        <f>"12/27/1996 00:00"</f>
        <v>12/27/1996 00:00</v>
      </c>
      <c r="C4107">
        <v>103</v>
      </c>
      <c r="D4107" t="s">
        <v>7</v>
      </c>
      <c r="E4107" s="2" t="s">
        <v>12</v>
      </c>
      <c r="F4107">
        <f t="shared" si="64"/>
        <v>204.24900000000002</v>
      </c>
      <c r="G4107" t="s">
        <v>16</v>
      </c>
      <c r="I4107" t="s">
        <v>8</v>
      </c>
      <c r="J4107" t="str">
        <f>"12/27/1996 23:00"</f>
        <v>12/27/1996 23:00</v>
      </c>
    </row>
    <row r="4108" spans="1:10" x14ac:dyDescent="0.3">
      <c r="A4108" t="s">
        <v>6</v>
      </c>
      <c r="B4108" t="str">
        <f>"12/28/1996 00:00"</f>
        <v>12/28/1996 00:00</v>
      </c>
      <c r="C4108">
        <v>103</v>
      </c>
      <c r="D4108" t="s">
        <v>7</v>
      </c>
      <c r="E4108" s="2" t="s">
        <v>12</v>
      </c>
      <c r="F4108">
        <f t="shared" si="64"/>
        <v>204.24900000000002</v>
      </c>
      <c r="G4108" t="s">
        <v>16</v>
      </c>
      <c r="J4108" t="str">
        <f>"12/28/1996 23:00"</f>
        <v>12/28/1996 23:00</v>
      </c>
    </row>
    <row r="4109" spans="1:10" x14ac:dyDescent="0.3">
      <c r="A4109" t="s">
        <v>6</v>
      </c>
      <c r="B4109" t="str">
        <f>"12/29/1996 00:00"</f>
        <v>12/29/1996 00:00</v>
      </c>
      <c r="C4109">
        <v>103</v>
      </c>
      <c r="D4109" t="s">
        <v>7</v>
      </c>
      <c r="E4109" s="2" t="s">
        <v>12</v>
      </c>
      <c r="F4109">
        <f t="shared" si="64"/>
        <v>204.24900000000002</v>
      </c>
      <c r="G4109" t="s">
        <v>16</v>
      </c>
      <c r="J4109" t="str">
        <f>"12/29/1996 23:00"</f>
        <v>12/29/1996 23:00</v>
      </c>
    </row>
    <row r="4110" spans="1:10" x14ac:dyDescent="0.3">
      <c r="A4110" t="s">
        <v>6</v>
      </c>
      <c r="B4110" t="str">
        <f>"12/30/1996 00:00"</f>
        <v>12/30/1996 00:00</v>
      </c>
      <c r="C4110">
        <v>104</v>
      </c>
      <c r="D4110" t="s">
        <v>7</v>
      </c>
      <c r="E4110" s="2" t="s">
        <v>12</v>
      </c>
      <c r="F4110">
        <f t="shared" si="64"/>
        <v>206.232</v>
      </c>
      <c r="G4110" t="s">
        <v>16</v>
      </c>
      <c r="J4110" t="str">
        <f>"12/30/1996 23:00"</f>
        <v>12/30/1996 23:00</v>
      </c>
    </row>
    <row r="4111" spans="1:10" x14ac:dyDescent="0.3">
      <c r="A4111" t="s">
        <v>6</v>
      </c>
      <c r="B4111" t="str">
        <f>"12/31/1996 00:00"</f>
        <v>12/31/1996 00:00</v>
      </c>
      <c r="C4111">
        <v>104</v>
      </c>
      <c r="D4111" t="s">
        <v>7</v>
      </c>
      <c r="E4111" s="2" t="s">
        <v>12</v>
      </c>
      <c r="F4111">
        <f t="shared" si="64"/>
        <v>206.232</v>
      </c>
      <c r="G4111" t="s">
        <v>16</v>
      </c>
      <c r="I4111" t="s">
        <v>8</v>
      </c>
      <c r="J4111" t="str">
        <f>"12/31/1996 23:00"</f>
        <v>12/31/1996 23:00</v>
      </c>
    </row>
    <row r="4112" spans="1:10" x14ac:dyDescent="0.3">
      <c r="A4112" t="s">
        <v>6</v>
      </c>
      <c r="B4112" t="str">
        <f>"01/01/1997 00:00"</f>
        <v>01/01/1997 00:00</v>
      </c>
      <c r="C4112">
        <v>3030</v>
      </c>
      <c r="D4112" t="s">
        <v>7</v>
      </c>
      <c r="E4112" s="2" t="s">
        <v>12</v>
      </c>
      <c r="F4112">
        <f t="shared" si="64"/>
        <v>6008.4900000000007</v>
      </c>
      <c r="G4112" t="s">
        <v>16</v>
      </c>
      <c r="I4112" t="s">
        <v>8</v>
      </c>
      <c r="J4112" t="str">
        <f>"01/01/1997 23:00"</f>
        <v>01/01/1997 23:00</v>
      </c>
    </row>
    <row r="4113" spans="1:10" x14ac:dyDescent="0.3">
      <c r="A4113" t="s">
        <v>6</v>
      </c>
      <c r="B4113" t="str">
        <f>"01/02/1997 00:00"</f>
        <v>01/02/1997 00:00</v>
      </c>
      <c r="C4113">
        <v>105</v>
      </c>
      <c r="D4113" t="s">
        <v>7</v>
      </c>
      <c r="E4113" s="2" t="s">
        <v>12</v>
      </c>
      <c r="F4113">
        <f t="shared" si="64"/>
        <v>208.215</v>
      </c>
      <c r="G4113" t="s">
        <v>16</v>
      </c>
      <c r="J4113" t="str">
        <f>"01/02/1997 23:00"</f>
        <v>01/02/1997 23:00</v>
      </c>
    </row>
    <row r="4114" spans="1:10" x14ac:dyDescent="0.3">
      <c r="A4114" t="s">
        <v>6</v>
      </c>
      <c r="B4114" t="str">
        <f>"01/03/1997 00:00"</f>
        <v>01/03/1997 00:00</v>
      </c>
      <c r="C4114">
        <v>105</v>
      </c>
      <c r="D4114" t="s">
        <v>7</v>
      </c>
      <c r="E4114" s="2" t="s">
        <v>12</v>
      </c>
      <c r="F4114">
        <f t="shared" si="64"/>
        <v>208.215</v>
      </c>
      <c r="G4114" t="s">
        <v>16</v>
      </c>
      <c r="J4114" t="str">
        <f>"01/03/1997 23:00"</f>
        <v>01/03/1997 23:00</v>
      </c>
    </row>
    <row r="4115" spans="1:10" x14ac:dyDescent="0.3">
      <c r="A4115" t="s">
        <v>6</v>
      </c>
      <c r="B4115" t="str">
        <f>"01/04/1997 00:00"</f>
        <v>01/04/1997 00:00</v>
      </c>
      <c r="C4115">
        <v>105</v>
      </c>
      <c r="D4115" t="s">
        <v>7</v>
      </c>
      <c r="E4115" s="2" t="s">
        <v>12</v>
      </c>
      <c r="F4115">
        <f t="shared" si="64"/>
        <v>208.215</v>
      </c>
      <c r="G4115" t="s">
        <v>16</v>
      </c>
      <c r="J4115" t="str">
        <f>"01/04/1997 23:00"</f>
        <v>01/04/1997 23:00</v>
      </c>
    </row>
    <row r="4116" spans="1:10" x14ac:dyDescent="0.3">
      <c r="A4116" t="s">
        <v>6</v>
      </c>
      <c r="B4116" t="str">
        <f>"01/05/1997 00:00"</f>
        <v>01/05/1997 00:00</v>
      </c>
      <c r="C4116">
        <v>106</v>
      </c>
      <c r="D4116" t="s">
        <v>7</v>
      </c>
      <c r="E4116" s="2" t="s">
        <v>12</v>
      </c>
      <c r="F4116">
        <f t="shared" si="64"/>
        <v>210.19800000000001</v>
      </c>
      <c r="G4116" t="s">
        <v>16</v>
      </c>
      <c r="J4116" t="str">
        <f>"01/05/1997 23:00"</f>
        <v>01/05/1997 23:00</v>
      </c>
    </row>
    <row r="4117" spans="1:10" x14ac:dyDescent="0.3">
      <c r="A4117" t="s">
        <v>6</v>
      </c>
      <c r="B4117" t="str">
        <f>"01/06/1997 00:00"</f>
        <v>01/06/1997 00:00</v>
      </c>
      <c r="C4117">
        <v>106</v>
      </c>
      <c r="D4117" t="s">
        <v>7</v>
      </c>
      <c r="E4117" s="2" t="s">
        <v>12</v>
      </c>
      <c r="F4117">
        <f t="shared" si="64"/>
        <v>210.19800000000001</v>
      </c>
      <c r="G4117" t="s">
        <v>16</v>
      </c>
      <c r="J4117" t="str">
        <f>"01/06/1997 23:00"</f>
        <v>01/06/1997 23:00</v>
      </c>
    </row>
    <row r="4118" spans="1:10" x14ac:dyDescent="0.3">
      <c r="A4118" t="s">
        <v>6</v>
      </c>
      <c r="B4118" t="str">
        <f>"01/07/1997 00:00"</f>
        <v>01/07/1997 00:00</v>
      </c>
      <c r="C4118">
        <v>106</v>
      </c>
      <c r="D4118" t="s">
        <v>7</v>
      </c>
      <c r="E4118" s="2" t="s">
        <v>12</v>
      </c>
      <c r="F4118">
        <f t="shared" si="64"/>
        <v>210.19800000000001</v>
      </c>
      <c r="G4118" t="s">
        <v>16</v>
      </c>
      <c r="J4118" t="str">
        <f>"01/07/1997 23:00"</f>
        <v>01/07/1997 23:00</v>
      </c>
    </row>
    <row r="4119" spans="1:10" x14ac:dyDescent="0.3">
      <c r="A4119" t="s">
        <v>6</v>
      </c>
      <c r="B4119" t="str">
        <f>"01/08/1997 00:00"</f>
        <v>01/08/1997 00:00</v>
      </c>
      <c r="C4119">
        <v>106</v>
      </c>
      <c r="D4119" t="s">
        <v>7</v>
      </c>
      <c r="E4119" s="2" t="s">
        <v>12</v>
      </c>
      <c r="F4119">
        <f t="shared" si="64"/>
        <v>210.19800000000001</v>
      </c>
      <c r="G4119" t="s">
        <v>16</v>
      </c>
      <c r="J4119" t="str">
        <f>"01/08/1997 23:00"</f>
        <v>01/08/1997 23:00</v>
      </c>
    </row>
    <row r="4120" spans="1:10" x14ac:dyDescent="0.3">
      <c r="A4120" t="s">
        <v>6</v>
      </c>
      <c r="B4120" t="str">
        <f>"01/09/1997 00:00"</f>
        <v>01/09/1997 00:00</v>
      </c>
      <c r="C4120">
        <v>105</v>
      </c>
      <c r="D4120" t="s">
        <v>7</v>
      </c>
      <c r="E4120" s="2" t="s">
        <v>12</v>
      </c>
      <c r="F4120">
        <f t="shared" si="64"/>
        <v>208.215</v>
      </c>
      <c r="G4120" t="s">
        <v>16</v>
      </c>
      <c r="J4120" t="str">
        <f>"01/09/1997 23:00"</f>
        <v>01/09/1997 23:00</v>
      </c>
    </row>
    <row r="4121" spans="1:10" x14ac:dyDescent="0.3">
      <c r="A4121" t="s">
        <v>6</v>
      </c>
      <c r="B4121" t="str">
        <f>"01/10/1997 00:00"</f>
        <v>01/10/1997 00:00</v>
      </c>
      <c r="C4121">
        <v>106</v>
      </c>
      <c r="D4121" t="s">
        <v>7</v>
      </c>
      <c r="E4121" s="2" t="s">
        <v>12</v>
      </c>
      <c r="F4121">
        <f t="shared" si="64"/>
        <v>210.19800000000001</v>
      </c>
      <c r="G4121" t="s">
        <v>16</v>
      </c>
      <c r="J4121" t="str">
        <f>"01/10/1997 23:00"</f>
        <v>01/10/1997 23:00</v>
      </c>
    </row>
    <row r="4122" spans="1:10" x14ac:dyDescent="0.3">
      <c r="A4122" t="s">
        <v>6</v>
      </c>
      <c r="B4122" t="str">
        <f>"01/11/1997 00:00"</f>
        <v>01/11/1997 00:00</v>
      </c>
      <c r="C4122">
        <v>106</v>
      </c>
      <c r="D4122" t="s">
        <v>7</v>
      </c>
      <c r="E4122" s="2" t="s">
        <v>12</v>
      </c>
      <c r="F4122">
        <f t="shared" si="64"/>
        <v>210.19800000000001</v>
      </c>
      <c r="G4122" t="s">
        <v>16</v>
      </c>
      <c r="J4122" t="str">
        <f>"01/11/1997 23:00"</f>
        <v>01/11/1997 23:00</v>
      </c>
    </row>
    <row r="4123" spans="1:10" x14ac:dyDescent="0.3">
      <c r="A4123" t="s">
        <v>6</v>
      </c>
      <c r="B4123" t="str">
        <f>"01/12/1997 00:00"</f>
        <v>01/12/1997 00:00</v>
      </c>
      <c r="C4123">
        <v>106</v>
      </c>
      <c r="D4123" t="s">
        <v>7</v>
      </c>
      <c r="E4123" s="2" t="s">
        <v>12</v>
      </c>
      <c r="F4123">
        <f t="shared" si="64"/>
        <v>210.19800000000001</v>
      </c>
      <c r="G4123" t="s">
        <v>16</v>
      </c>
      <c r="J4123" t="str">
        <f>"01/12/1997 23:00"</f>
        <v>01/12/1997 23:00</v>
      </c>
    </row>
    <row r="4124" spans="1:10" x14ac:dyDescent="0.3">
      <c r="A4124" t="s">
        <v>6</v>
      </c>
      <c r="B4124" t="str">
        <f>"01/13/1997 00:00"</f>
        <v>01/13/1997 00:00</v>
      </c>
      <c r="C4124">
        <v>107</v>
      </c>
      <c r="D4124" t="s">
        <v>7</v>
      </c>
      <c r="E4124" s="2" t="s">
        <v>12</v>
      </c>
      <c r="F4124">
        <f t="shared" si="64"/>
        <v>212.18100000000001</v>
      </c>
      <c r="G4124" t="s">
        <v>16</v>
      </c>
      <c r="J4124" t="str">
        <f>"01/13/1997 23:00"</f>
        <v>01/13/1997 23:00</v>
      </c>
    </row>
    <row r="4125" spans="1:10" x14ac:dyDescent="0.3">
      <c r="A4125" t="s">
        <v>6</v>
      </c>
      <c r="B4125" t="str">
        <f>"01/14/1997 00:00"</f>
        <v>01/14/1997 00:00</v>
      </c>
      <c r="C4125">
        <v>108</v>
      </c>
      <c r="D4125" t="s">
        <v>7</v>
      </c>
      <c r="E4125" s="2" t="s">
        <v>12</v>
      </c>
      <c r="F4125">
        <f t="shared" si="64"/>
        <v>214.16400000000002</v>
      </c>
      <c r="G4125" t="s">
        <v>16</v>
      </c>
      <c r="J4125" t="str">
        <f>"01/14/1997 23:00"</f>
        <v>01/14/1997 23:00</v>
      </c>
    </row>
    <row r="4126" spans="1:10" x14ac:dyDescent="0.3">
      <c r="A4126" t="s">
        <v>6</v>
      </c>
      <c r="B4126" t="str">
        <f>"01/15/1997 00:00"</f>
        <v>01/15/1997 00:00</v>
      </c>
      <c r="C4126">
        <v>108</v>
      </c>
      <c r="D4126" t="s">
        <v>7</v>
      </c>
      <c r="E4126" s="2" t="s">
        <v>12</v>
      </c>
      <c r="F4126">
        <f t="shared" si="64"/>
        <v>214.16400000000002</v>
      </c>
      <c r="G4126" t="s">
        <v>16</v>
      </c>
      <c r="I4126" t="s">
        <v>8</v>
      </c>
      <c r="J4126" t="str">
        <f>"01/15/1997 23:00"</f>
        <v>01/15/1997 23:00</v>
      </c>
    </row>
    <row r="4127" spans="1:10" x14ac:dyDescent="0.3">
      <c r="A4127" t="s">
        <v>6</v>
      </c>
      <c r="B4127" t="str">
        <f>"01/16/1997 00:00"</f>
        <v>01/16/1997 00:00</v>
      </c>
      <c r="C4127">
        <v>109</v>
      </c>
      <c r="D4127" t="s">
        <v>7</v>
      </c>
      <c r="E4127" s="2" t="s">
        <v>12</v>
      </c>
      <c r="F4127">
        <f t="shared" si="64"/>
        <v>216.14700000000002</v>
      </c>
      <c r="G4127" t="s">
        <v>16</v>
      </c>
      <c r="J4127" t="str">
        <f>"01/16/1997 23:00"</f>
        <v>01/16/1997 23:00</v>
      </c>
    </row>
    <row r="4128" spans="1:10" x14ac:dyDescent="0.3">
      <c r="A4128" t="s">
        <v>6</v>
      </c>
      <c r="B4128" t="str">
        <f>"01/17/1997 00:00"</f>
        <v>01/17/1997 00:00</v>
      </c>
      <c r="C4128">
        <v>109</v>
      </c>
      <c r="D4128" t="s">
        <v>7</v>
      </c>
      <c r="E4128" s="2" t="s">
        <v>12</v>
      </c>
      <c r="F4128">
        <f t="shared" si="64"/>
        <v>216.14700000000002</v>
      </c>
      <c r="G4128" t="s">
        <v>16</v>
      </c>
      <c r="J4128" t="str">
        <f>"01/17/1997 23:00"</f>
        <v>01/17/1997 23:00</v>
      </c>
    </row>
    <row r="4129" spans="1:10" x14ac:dyDescent="0.3">
      <c r="A4129" t="s">
        <v>6</v>
      </c>
      <c r="B4129" t="str">
        <f>"01/18/1997 00:00"</f>
        <v>01/18/1997 00:00</v>
      </c>
      <c r="C4129">
        <v>109</v>
      </c>
      <c r="D4129" t="s">
        <v>7</v>
      </c>
      <c r="E4129" s="2" t="s">
        <v>12</v>
      </c>
      <c r="F4129">
        <f t="shared" si="64"/>
        <v>216.14700000000002</v>
      </c>
      <c r="G4129" t="s">
        <v>16</v>
      </c>
      <c r="I4129" t="s">
        <v>8</v>
      </c>
      <c r="J4129" t="str">
        <f>"01/18/1997 23:00"</f>
        <v>01/18/1997 23:00</v>
      </c>
    </row>
    <row r="4130" spans="1:10" x14ac:dyDescent="0.3">
      <c r="A4130" t="s">
        <v>6</v>
      </c>
      <c r="B4130" t="str">
        <f>"01/19/1997 00:00"</f>
        <v>01/19/1997 00:00</v>
      </c>
      <c r="C4130">
        <v>109</v>
      </c>
      <c r="D4130" t="s">
        <v>7</v>
      </c>
      <c r="E4130" s="2" t="s">
        <v>12</v>
      </c>
      <c r="F4130">
        <f t="shared" si="64"/>
        <v>216.14700000000002</v>
      </c>
      <c r="G4130" t="s">
        <v>16</v>
      </c>
      <c r="J4130" t="str">
        <f>"01/19/1997 23:00"</f>
        <v>01/19/1997 23:00</v>
      </c>
    </row>
    <row r="4131" spans="1:10" x14ac:dyDescent="0.3">
      <c r="A4131" t="s">
        <v>6</v>
      </c>
      <c r="B4131" t="str">
        <f>"01/20/1997 00:00"</f>
        <v>01/20/1997 00:00</v>
      </c>
      <c r="C4131">
        <v>109</v>
      </c>
      <c r="D4131" t="s">
        <v>7</v>
      </c>
      <c r="E4131" s="2" t="s">
        <v>12</v>
      </c>
      <c r="F4131">
        <f t="shared" si="64"/>
        <v>216.14700000000002</v>
      </c>
      <c r="G4131" t="s">
        <v>16</v>
      </c>
      <c r="J4131" t="str">
        <f>"01/20/1997 23:00"</f>
        <v>01/20/1997 23:00</v>
      </c>
    </row>
    <row r="4132" spans="1:10" x14ac:dyDescent="0.3">
      <c r="A4132" t="s">
        <v>6</v>
      </c>
      <c r="B4132" t="str">
        <f>"01/21/1997 00:00"</f>
        <v>01/21/1997 00:00</v>
      </c>
      <c r="C4132">
        <v>111</v>
      </c>
      <c r="D4132" t="s">
        <v>7</v>
      </c>
      <c r="E4132" s="2" t="s">
        <v>12</v>
      </c>
      <c r="F4132">
        <f t="shared" si="64"/>
        <v>220.113</v>
      </c>
      <c r="G4132" t="s">
        <v>16</v>
      </c>
      <c r="J4132" t="str">
        <f>"01/21/1997 23:00"</f>
        <v>01/21/1997 23:00</v>
      </c>
    </row>
    <row r="4133" spans="1:10" x14ac:dyDescent="0.3">
      <c r="A4133" t="s">
        <v>6</v>
      </c>
      <c r="B4133" t="str">
        <f>"01/22/1997 00:00"</f>
        <v>01/22/1997 00:00</v>
      </c>
      <c r="C4133">
        <v>112</v>
      </c>
      <c r="D4133" t="s">
        <v>7</v>
      </c>
      <c r="E4133" s="2" t="s">
        <v>12</v>
      </c>
      <c r="F4133">
        <f t="shared" si="64"/>
        <v>222.096</v>
      </c>
      <c r="G4133" t="s">
        <v>16</v>
      </c>
      <c r="J4133" t="str">
        <f>"01/22/1997 23:00"</f>
        <v>01/22/1997 23:00</v>
      </c>
    </row>
    <row r="4134" spans="1:10" x14ac:dyDescent="0.3">
      <c r="A4134" t="s">
        <v>6</v>
      </c>
      <c r="B4134" t="str">
        <f>"01/23/1997 00:00"</f>
        <v>01/23/1997 00:00</v>
      </c>
      <c r="C4134">
        <v>112</v>
      </c>
      <c r="D4134" t="s">
        <v>7</v>
      </c>
      <c r="E4134" s="2" t="s">
        <v>12</v>
      </c>
      <c r="F4134">
        <f t="shared" si="64"/>
        <v>222.096</v>
      </c>
      <c r="G4134" t="s">
        <v>16</v>
      </c>
      <c r="J4134" t="str">
        <f>"01/23/1997 23:00"</f>
        <v>01/23/1997 23:00</v>
      </c>
    </row>
    <row r="4135" spans="1:10" x14ac:dyDescent="0.3">
      <c r="A4135" t="s">
        <v>6</v>
      </c>
      <c r="B4135" t="str">
        <f>"01/24/1997 00:00"</f>
        <v>01/24/1997 00:00</v>
      </c>
      <c r="C4135">
        <v>96.1</v>
      </c>
      <c r="D4135" t="s">
        <v>7</v>
      </c>
      <c r="E4135" s="2" t="s">
        <v>12</v>
      </c>
      <c r="F4135">
        <f t="shared" si="64"/>
        <v>190.56629999999998</v>
      </c>
      <c r="G4135" t="s">
        <v>16</v>
      </c>
      <c r="J4135" t="str">
        <f>"01/24/1997 23:00"</f>
        <v>01/24/1997 23:00</v>
      </c>
    </row>
    <row r="4136" spans="1:10" x14ac:dyDescent="0.3">
      <c r="A4136" t="s">
        <v>6</v>
      </c>
      <c r="B4136" t="str">
        <f>"01/25/1997 00:00"</f>
        <v>01/25/1997 00:00</v>
      </c>
      <c r="C4136">
        <v>95.4</v>
      </c>
      <c r="D4136" t="s">
        <v>7</v>
      </c>
      <c r="E4136" s="2" t="s">
        <v>12</v>
      </c>
      <c r="F4136">
        <f t="shared" si="64"/>
        <v>189.17820000000003</v>
      </c>
      <c r="G4136" t="s">
        <v>16</v>
      </c>
      <c r="J4136" t="str">
        <f>"01/25/1997 23:00"</f>
        <v>01/25/1997 23:00</v>
      </c>
    </row>
    <row r="4137" spans="1:10" x14ac:dyDescent="0.3">
      <c r="A4137" t="s">
        <v>6</v>
      </c>
      <c r="B4137" t="str">
        <f>"01/26/1997 00:00"</f>
        <v>01/26/1997 00:00</v>
      </c>
      <c r="C4137">
        <v>95.5</v>
      </c>
      <c r="D4137" t="s">
        <v>7</v>
      </c>
      <c r="E4137" s="2" t="s">
        <v>12</v>
      </c>
      <c r="F4137">
        <f t="shared" si="64"/>
        <v>189.37650000000002</v>
      </c>
      <c r="G4137" t="s">
        <v>16</v>
      </c>
      <c r="J4137" t="str">
        <f>"01/26/1997 23:00"</f>
        <v>01/26/1997 23:00</v>
      </c>
    </row>
    <row r="4138" spans="1:10" x14ac:dyDescent="0.3">
      <c r="A4138" t="s">
        <v>6</v>
      </c>
      <c r="B4138" t="str">
        <f>"01/27/1997 00:00"</f>
        <v>01/27/1997 00:00</v>
      </c>
      <c r="C4138">
        <v>96.1</v>
      </c>
      <c r="D4138" t="s">
        <v>7</v>
      </c>
      <c r="E4138" s="2" t="s">
        <v>12</v>
      </c>
      <c r="F4138">
        <f t="shared" si="64"/>
        <v>190.56629999999998</v>
      </c>
      <c r="G4138" t="s">
        <v>16</v>
      </c>
      <c r="J4138" t="str">
        <f>"01/27/1997 23:00"</f>
        <v>01/27/1997 23:00</v>
      </c>
    </row>
    <row r="4139" spans="1:10" x14ac:dyDescent="0.3">
      <c r="A4139" t="s">
        <v>6</v>
      </c>
      <c r="B4139" t="str">
        <f>"01/28/1997 00:00"</f>
        <v>01/28/1997 00:00</v>
      </c>
      <c r="C4139">
        <v>95.6</v>
      </c>
      <c r="D4139" t="s">
        <v>7</v>
      </c>
      <c r="E4139" s="2" t="s">
        <v>12</v>
      </c>
      <c r="F4139">
        <f t="shared" si="64"/>
        <v>189.57480000000001</v>
      </c>
      <c r="G4139" t="s">
        <v>16</v>
      </c>
      <c r="J4139" t="str">
        <f>"01/28/1997 23:00"</f>
        <v>01/28/1997 23:00</v>
      </c>
    </row>
    <row r="4140" spans="1:10" x14ac:dyDescent="0.3">
      <c r="A4140" t="s">
        <v>6</v>
      </c>
      <c r="B4140" t="str">
        <f>"01/29/1997 00:00"</f>
        <v>01/29/1997 00:00</v>
      </c>
      <c r="C4140">
        <v>96</v>
      </c>
      <c r="D4140" t="s">
        <v>7</v>
      </c>
      <c r="E4140" s="2" t="s">
        <v>12</v>
      </c>
      <c r="F4140">
        <f t="shared" si="64"/>
        <v>190.36799999999999</v>
      </c>
      <c r="G4140" t="s">
        <v>16</v>
      </c>
      <c r="J4140" t="str">
        <f>"01/29/1997 23:00"</f>
        <v>01/29/1997 23:00</v>
      </c>
    </row>
    <row r="4141" spans="1:10" x14ac:dyDescent="0.3">
      <c r="A4141" t="s">
        <v>6</v>
      </c>
      <c r="B4141" t="str">
        <f>"01/30/1997 00:00"</f>
        <v>01/30/1997 00:00</v>
      </c>
      <c r="C4141">
        <v>96.5</v>
      </c>
      <c r="D4141" t="s">
        <v>7</v>
      </c>
      <c r="E4141" s="2" t="s">
        <v>12</v>
      </c>
      <c r="F4141">
        <f t="shared" si="64"/>
        <v>191.3595</v>
      </c>
      <c r="G4141" t="s">
        <v>16</v>
      </c>
      <c r="J4141" t="str">
        <f>"01/30/1997 23:00"</f>
        <v>01/30/1997 23:00</v>
      </c>
    </row>
    <row r="4142" spans="1:10" x14ac:dyDescent="0.3">
      <c r="A4142" t="s">
        <v>6</v>
      </c>
      <c r="B4142" t="str">
        <f>"01/31/1997 00:00"</f>
        <v>01/31/1997 00:00</v>
      </c>
      <c r="C4142">
        <v>96.6</v>
      </c>
      <c r="D4142" t="s">
        <v>7</v>
      </c>
      <c r="E4142" s="2" t="s">
        <v>12</v>
      </c>
      <c r="F4142">
        <f t="shared" si="64"/>
        <v>191.55779999999999</v>
      </c>
      <c r="G4142" t="s">
        <v>16</v>
      </c>
      <c r="I4142" t="s">
        <v>8</v>
      </c>
      <c r="J4142" t="str">
        <f>"01/31/1997 23:00"</f>
        <v>01/31/1997 23:00</v>
      </c>
    </row>
    <row r="4143" spans="1:10" x14ac:dyDescent="0.3">
      <c r="A4143" t="s">
        <v>6</v>
      </c>
      <c r="B4143" t="str">
        <f>"02/01/1997 00:00"</f>
        <v>02/01/1997 00:00</v>
      </c>
      <c r="C4143">
        <v>96.7</v>
      </c>
      <c r="D4143" t="s">
        <v>7</v>
      </c>
      <c r="E4143" s="2" t="s">
        <v>12</v>
      </c>
      <c r="F4143">
        <f t="shared" si="64"/>
        <v>191.7561</v>
      </c>
      <c r="G4143" t="s">
        <v>16</v>
      </c>
      <c r="I4143" t="s">
        <v>8</v>
      </c>
      <c r="J4143" t="str">
        <f>"02/01/1997 23:00"</f>
        <v>02/01/1997 23:00</v>
      </c>
    </row>
    <row r="4144" spans="1:10" x14ac:dyDescent="0.3">
      <c r="A4144" t="s">
        <v>6</v>
      </c>
      <c r="B4144" t="str">
        <f>"02/02/1997 00:00"</f>
        <v>02/02/1997 00:00</v>
      </c>
      <c r="C4144">
        <v>96.8</v>
      </c>
      <c r="D4144" t="s">
        <v>7</v>
      </c>
      <c r="E4144" s="2" t="s">
        <v>12</v>
      </c>
      <c r="F4144">
        <f t="shared" si="64"/>
        <v>191.95439999999999</v>
      </c>
      <c r="G4144" t="s">
        <v>16</v>
      </c>
      <c r="I4144" t="s">
        <v>8</v>
      </c>
      <c r="J4144" t="str">
        <f>"02/02/1997 23:00"</f>
        <v>02/02/1997 23:00</v>
      </c>
    </row>
    <row r="4145" spans="1:10" x14ac:dyDescent="0.3">
      <c r="A4145" t="s">
        <v>6</v>
      </c>
      <c r="B4145" t="str">
        <f>"02/03/1997 00:00"</f>
        <v>02/03/1997 00:00</v>
      </c>
      <c r="C4145">
        <v>96.7</v>
      </c>
      <c r="D4145" t="s">
        <v>7</v>
      </c>
      <c r="E4145" s="2" t="s">
        <v>12</v>
      </c>
      <c r="F4145">
        <f t="shared" si="64"/>
        <v>191.7561</v>
      </c>
      <c r="G4145" t="s">
        <v>16</v>
      </c>
      <c r="J4145" t="str">
        <f>"02/03/1997 23:00"</f>
        <v>02/03/1997 23:00</v>
      </c>
    </row>
    <row r="4146" spans="1:10" x14ac:dyDescent="0.3">
      <c r="A4146" t="s">
        <v>6</v>
      </c>
      <c r="B4146" t="str">
        <f>"02/04/1997 00:00"</f>
        <v>02/04/1997 00:00</v>
      </c>
      <c r="C4146">
        <v>97</v>
      </c>
      <c r="D4146" t="s">
        <v>7</v>
      </c>
      <c r="E4146" s="2" t="s">
        <v>12</v>
      </c>
      <c r="F4146">
        <f t="shared" si="64"/>
        <v>192.351</v>
      </c>
      <c r="G4146" t="s">
        <v>16</v>
      </c>
      <c r="J4146" t="str">
        <f>"02/04/1997 23:00"</f>
        <v>02/04/1997 23:00</v>
      </c>
    </row>
    <row r="4147" spans="1:10" x14ac:dyDescent="0.3">
      <c r="A4147" t="s">
        <v>6</v>
      </c>
      <c r="B4147" t="str">
        <f>"02/05/1997 00:00"</f>
        <v>02/05/1997 00:00</v>
      </c>
      <c r="C4147">
        <v>96.8</v>
      </c>
      <c r="D4147" t="s">
        <v>7</v>
      </c>
      <c r="E4147" s="2" t="s">
        <v>12</v>
      </c>
      <c r="F4147">
        <f t="shared" si="64"/>
        <v>191.95439999999999</v>
      </c>
      <c r="G4147" t="s">
        <v>16</v>
      </c>
      <c r="I4147" t="s">
        <v>8</v>
      </c>
      <c r="J4147" t="str">
        <f>"02/05/1997 23:00"</f>
        <v>02/05/1997 23:00</v>
      </c>
    </row>
    <row r="4148" spans="1:10" x14ac:dyDescent="0.3">
      <c r="A4148" t="s">
        <v>6</v>
      </c>
      <c r="B4148" t="str">
        <f>"02/06/1997 00:00"</f>
        <v>02/06/1997 00:00</v>
      </c>
      <c r="C4148">
        <v>97.6</v>
      </c>
      <c r="D4148" t="s">
        <v>7</v>
      </c>
      <c r="E4148" s="2" t="s">
        <v>12</v>
      </c>
      <c r="F4148">
        <f t="shared" si="64"/>
        <v>193.54079999999999</v>
      </c>
      <c r="G4148" t="s">
        <v>16</v>
      </c>
      <c r="I4148" t="s">
        <v>8</v>
      </c>
      <c r="J4148" t="str">
        <f>"02/06/1997 23:00"</f>
        <v>02/06/1997 23:00</v>
      </c>
    </row>
    <row r="4149" spans="1:10" x14ac:dyDescent="0.3">
      <c r="A4149" t="s">
        <v>6</v>
      </c>
      <c r="B4149" t="str">
        <f>"02/07/1997 00:00"</f>
        <v>02/07/1997 00:00</v>
      </c>
      <c r="C4149">
        <v>97.6</v>
      </c>
      <c r="D4149" t="s">
        <v>7</v>
      </c>
      <c r="E4149" s="2" t="s">
        <v>12</v>
      </c>
      <c r="F4149">
        <f t="shared" si="64"/>
        <v>193.54079999999999</v>
      </c>
      <c r="G4149" t="s">
        <v>16</v>
      </c>
      <c r="J4149" t="str">
        <f>"02/07/1997 23:00"</f>
        <v>02/07/1997 23:00</v>
      </c>
    </row>
    <row r="4150" spans="1:10" x14ac:dyDescent="0.3">
      <c r="A4150" t="s">
        <v>6</v>
      </c>
      <c r="B4150" t="str">
        <f>"02/08/1997 00:00"</f>
        <v>02/08/1997 00:00</v>
      </c>
      <c r="C4150">
        <v>97.9</v>
      </c>
      <c r="D4150" t="s">
        <v>7</v>
      </c>
      <c r="E4150" s="2" t="s">
        <v>12</v>
      </c>
      <c r="F4150">
        <f t="shared" si="64"/>
        <v>194.13570000000001</v>
      </c>
      <c r="G4150" t="s">
        <v>16</v>
      </c>
      <c r="J4150" t="str">
        <f>"02/08/1997 23:00"</f>
        <v>02/08/1997 23:00</v>
      </c>
    </row>
    <row r="4151" spans="1:10" x14ac:dyDescent="0.3">
      <c r="A4151" t="s">
        <v>6</v>
      </c>
      <c r="B4151" t="str">
        <f>"02/09/1997 00:00"</f>
        <v>02/09/1997 00:00</v>
      </c>
      <c r="C4151">
        <v>98</v>
      </c>
      <c r="D4151" t="s">
        <v>7</v>
      </c>
      <c r="E4151" s="2" t="s">
        <v>12</v>
      </c>
      <c r="F4151">
        <f t="shared" si="64"/>
        <v>194.334</v>
      </c>
      <c r="G4151" t="s">
        <v>16</v>
      </c>
      <c r="J4151" t="str">
        <f>"02/09/1997 23:00"</f>
        <v>02/09/1997 23:00</v>
      </c>
    </row>
    <row r="4152" spans="1:10" x14ac:dyDescent="0.3">
      <c r="A4152" t="s">
        <v>6</v>
      </c>
      <c r="B4152" t="str">
        <f>"02/10/1997 00:00"</f>
        <v>02/10/1997 00:00</v>
      </c>
      <c r="C4152">
        <v>98</v>
      </c>
      <c r="D4152" t="s">
        <v>7</v>
      </c>
      <c r="E4152" s="2" t="s">
        <v>12</v>
      </c>
      <c r="F4152">
        <f t="shared" si="64"/>
        <v>194.334</v>
      </c>
      <c r="G4152" t="s">
        <v>16</v>
      </c>
      <c r="J4152" t="str">
        <f>"02/10/1997 23:00"</f>
        <v>02/10/1997 23:00</v>
      </c>
    </row>
    <row r="4153" spans="1:10" x14ac:dyDescent="0.3">
      <c r="A4153" t="s">
        <v>6</v>
      </c>
      <c r="B4153" t="str">
        <f>"02/11/1997 00:00"</f>
        <v>02/11/1997 00:00</v>
      </c>
      <c r="C4153">
        <v>98.5</v>
      </c>
      <c r="D4153" t="s">
        <v>7</v>
      </c>
      <c r="E4153" s="2" t="s">
        <v>12</v>
      </c>
      <c r="F4153">
        <f t="shared" si="64"/>
        <v>195.32550000000001</v>
      </c>
      <c r="G4153" t="s">
        <v>16</v>
      </c>
      <c r="I4153" t="s">
        <v>8</v>
      </c>
      <c r="J4153" t="str">
        <f>"02/11/1997 23:00"</f>
        <v>02/11/1997 23:00</v>
      </c>
    </row>
    <row r="4154" spans="1:10" x14ac:dyDescent="0.3">
      <c r="A4154" t="s">
        <v>6</v>
      </c>
      <c r="B4154" t="str">
        <f>"02/12/1997 00:00"</f>
        <v>02/12/1997 00:00</v>
      </c>
      <c r="C4154">
        <v>98.5</v>
      </c>
      <c r="D4154" t="s">
        <v>7</v>
      </c>
      <c r="E4154" s="2" t="s">
        <v>12</v>
      </c>
      <c r="F4154">
        <f t="shared" si="64"/>
        <v>195.32550000000001</v>
      </c>
      <c r="G4154" t="s">
        <v>16</v>
      </c>
      <c r="I4154" t="s">
        <v>8</v>
      </c>
      <c r="J4154" t="str">
        <f>"02/12/1997 23:00"</f>
        <v>02/12/1997 23:00</v>
      </c>
    </row>
    <row r="4155" spans="1:10" x14ac:dyDescent="0.3">
      <c r="A4155" t="s">
        <v>6</v>
      </c>
      <c r="B4155" t="str">
        <f>"02/13/1997 00:00"</f>
        <v>02/13/1997 00:00</v>
      </c>
      <c r="C4155">
        <v>99.4</v>
      </c>
      <c r="D4155" t="s">
        <v>7</v>
      </c>
      <c r="E4155" s="2" t="s">
        <v>12</v>
      </c>
      <c r="F4155">
        <f t="shared" si="64"/>
        <v>197.11020000000002</v>
      </c>
      <c r="G4155" t="s">
        <v>16</v>
      </c>
      <c r="I4155" t="s">
        <v>8</v>
      </c>
      <c r="J4155" t="str">
        <f>"02/13/1997 23:00"</f>
        <v>02/13/1997 23:00</v>
      </c>
    </row>
    <row r="4156" spans="1:10" x14ac:dyDescent="0.3">
      <c r="A4156" t="s">
        <v>6</v>
      </c>
      <c r="B4156" t="str">
        <f>"02/14/1997 00:00"</f>
        <v>02/14/1997 00:00</v>
      </c>
      <c r="C4156">
        <v>99.4</v>
      </c>
      <c r="D4156" t="s">
        <v>7</v>
      </c>
      <c r="E4156" s="2" t="s">
        <v>12</v>
      </c>
      <c r="F4156">
        <f t="shared" si="64"/>
        <v>197.11020000000002</v>
      </c>
      <c r="G4156" t="s">
        <v>16</v>
      </c>
      <c r="I4156" t="s">
        <v>8</v>
      </c>
      <c r="J4156" t="str">
        <f>"02/14/1997 23:00"</f>
        <v>02/14/1997 23:00</v>
      </c>
    </row>
    <row r="4157" spans="1:10" x14ac:dyDescent="0.3">
      <c r="A4157" t="s">
        <v>6</v>
      </c>
      <c r="B4157" t="str">
        <f>"02/15/1997 00:00"</f>
        <v>02/15/1997 00:00</v>
      </c>
      <c r="C4157">
        <v>3530</v>
      </c>
      <c r="D4157" t="s">
        <v>7</v>
      </c>
      <c r="E4157" s="2" t="s">
        <v>12</v>
      </c>
      <c r="F4157">
        <f t="shared" si="64"/>
        <v>6999.9900000000007</v>
      </c>
      <c r="G4157" t="s">
        <v>16</v>
      </c>
      <c r="I4157" t="s">
        <v>8</v>
      </c>
      <c r="J4157" t="str">
        <f>"02/15/1997 23:00"</f>
        <v>02/15/1997 23:00</v>
      </c>
    </row>
    <row r="4158" spans="1:10" x14ac:dyDescent="0.3">
      <c r="A4158" t="s">
        <v>6</v>
      </c>
      <c r="B4158" t="str">
        <f>"02/16/1997 00:00"</f>
        <v>02/16/1997 00:00</v>
      </c>
      <c r="C4158">
        <v>77</v>
      </c>
      <c r="D4158" t="s">
        <v>7</v>
      </c>
      <c r="E4158" s="2" t="s">
        <v>12</v>
      </c>
      <c r="F4158">
        <f t="shared" si="64"/>
        <v>152.691</v>
      </c>
      <c r="G4158" t="s">
        <v>16</v>
      </c>
      <c r="I4158" t="s">
        <v>8</v>
      </c>
      <c r="J4158" t="str">
        <f>"02/16/1997 23:00"</f>
        <v>02/16/1997 23:00</v>
      </c>
    </row>
    <row r="4159" spans="1:10" x14ac:dyDescent="0.3">
      <c r="A4159" t="s">
        <v>6</v>
      </c>
      <c r="B4159" t="str">
        <f>"02/17/1997 00:00"</f>
        <v>02/17/1997 00:00</v>
      </c>
      <c r="C4159">
        <v>36.6</v>
      </c>
      <c r="D4159" t="s">
        <v>7</v>
      </c>
      <c r="E4159" s="2" t="s">
        <v>12</v>
      </c>
      <c r="F4159">
        <f t="shared" si="64"/>
        <v>72.577800000000011</v>
      </c>
      <c r="G4159" t="s">
        <v>16</v>
      </c>
      <c r="I4159" t="s">
        <v>8</v>
      </c>
      <c r="J4159" t="str">
        <f>"02/17/1997 23:00"</f>
        <v>02/17/1997 23:00</v>
      </c>
    </row>
    <row r="4160" spans="1:10" x14ac:dyDescent="0.3">
      <c r="A4160" t="s">
        <v>6</v>
      </c>
      <c r="B4160" t="str">
        <f>"02/18/1997 00:00"</f>
        <v>02/18/1997 00:00</v>
      </c>
      <c r="C4160">
        <v>26</v>
      </c>
      <c r="D4160" t="s">
        <v>7</v>
      </c>
      <c r="E4160" s="2" t="s">
        <v>12</v>
      </c>
      <c r="F4160">
        <f t="shared" si="64"/>
        <v>51.558</v>
      </c>
      <c r="G4160" t="s">
        <v>16</v>
      </c>
      <c r="I4160" t="s">
        <v>8</v>
      </c>
      <c r="J4160" t="str">
        <f>"02/18/1997 23:00"</f>
        <v>02/18/1997 23:00</v>
      </c>
    </row>
    <row r="4161" spans="1:10" x14ac:dyDescent="0.3">
      <c r="A4161" t="s">
        <v>6</v>
      </c>
      <c r="B4161" t="str">
        <f>"02/19/1997 00:00"</f>
        <v>02/19/1997 00:00</v>
      </c>
      <c r="C4161">
        <v>26</v>
      </c>
      <c r="D4161" t="s">
        <v>7</v>
      </c>
      <c r="E4161" s="2" t="s">
        <v>12</v>
      </c>
      <c r="F4161">
        <f t="shared" si="64"/>
        <v>51.558</v>
      </c>
      <c r="G4161" t="s">
        <v>16</v>
      </c>
      <c r="I4161" t="s">
        <v>8</v>
      </c>
      <c r="J4161" t="str">
        <f>"02/19/1997 23:00"</f>
        <v>02/19/1997 23:00</v>
      </c>
    </row>
    <row r="4162" spans="1:10" x14ac:dyDescent="0.3">
      <c r="A4162" t="s">
        <v>6</v>
      </c>
      <c r="B4162" t="str">
        <f>"02/20/1997 00:00"</f>
        <v>02/20/1997 00:00</v>
      </c>
      <c r="C4162">
        <v>83.5</v>
      </c>
      <c r="D4162" t="s">
        <v>7</v>
      </c>
      <c r="E4162" s="2" t="s">
        <v>12</v>
      </c>
      <c r="F4162">
        <f t="shared" si="64"/>
        <v>165.5805</v>
      </c>
      <c r="G4162" t="s">
        <v>16</v>
      </c>
      <c r="I4162" t="s">
        <v>8</v>
      </c>
      <c r="J4162" t="str">
        <f>"02/20/1997 23:00"</f>
        <v>02/20/1997 23:00</v>
      </c>
    </row>
    <row r="4163" spans="1:10" x14ac:dyDescent="0.3">
      <c r="A4163" t="s">
        <v>6</v>
      </c>
      <c r="B4163" t="str">
        <f>"02/21/1997 00:00"</f>
        <v>02/21/1997 00:00</v>
      </c>
      <c r="C4163">
        <v>40.1</v>
      </c>
      <c r="D4163" t="s">
        <v>7</v>
      </c>
      <c r="E4163" s="2" t="s">
        <v>12</v>
      </c>
      <c r="F4163">
        <f t="shared" ref="F4163:F4226" si="65">C4163*1.983</f>
        <v>79.518300000000011</v>
      </c>
      <c r="G4163" t="s">
        <v>16</v>
      </c>
      <c r="I4163" t="s">
        <v>8</v>
      </c>
      <c r="J4163" t="str">
        <f>"02/21/1997 23:00"</f>
        <v>02/21/1997 23:00</v>
      </c>
    </row>
    <row r="4164" spans="1:10" x14ac:dyDescent="0.3">
      <c r="A4164" t="s">
        <v>6</v>
      </c>
      <c r="B4164" t="str">
        <f>"02/22/1997 00:00"</f>
        <v>02/22/1997 00:00</v>
      </c>
      <c r="C4164">
        <v>14.9</v>
      </c>
      <c r="D4164" t="s">
        <v>7</v>
      </c>
      <c r="E4164" s="2" t="s">
        <v>12</v>
      </c>
      <c r="F4164">
        <f t="shared" si="65"/>
        <v>29.546700000000001</v>
      </c>
      <c r="G4164" t="s">
        <v>16</v>
      </c>
      <c r="I4164" t="s">
        <v>8</v>
      </c>
      <c r="J4164" t="str">
        <f>"02/22/1997 23:00"</f>
        <v>02/22/1997 23:00</v>
      </c>
    </row>
    <row r="4165" spans="1:10" x14ac:dyDescent="0.3">
      <c r="A4165" t="s">
        <v>6</v>
      </c>
      <c r="B4165" t="str">
        <f>"02/23/1997 00:00"</f>
        <v>02/23/1997 00:00</v>
      </c>
      <c r="C4165">
        <v>14.9</v>
      </c>
      <c r="D4165" t="s">
        <v>7</v>
      </c>
      <c r="E4165" s="2" t="s">
        <v>12</v>
      </c>
      <c r="F4165">
        <f t="shared" si="65"/>
        <v>29.546700000000001</v>
      </c>
      <c r="G4165" t="s">
        <v>16</v>
      </c>
      <c r="J4165" t="str">
        <f>"02/23/1997 23:00"</f>
        <v>02/23/1997 23:00</v>
      </c>
    </row>
    <row r="4166" spans="1:10" x14ac:dyDescent="0.3">
      <c r="A4166" t="s">
        <v>6</v>
      </c>
      <c r="B4166" t="str">
        <f>"02/24/1997 00:00"</f>
        <v>02/24/1997 00:00</v>
      </c>
      <c r="C4166">
        <v>15</v>
      </c>
      <c r="D4166" t="s">
        <v>7</v>
      </c>
      <c r="E4166" s="2" t="s">
        <v>12</v>
      </c>
      <c r="F4166">
        <f t="shared" si="65"/>
        <v>29.745000000000001</v>
      </c>
      <c r="G4166" t="s">
        <v>16</v>
      </c>
      <c r="I4166" t="s">
        <v>8</v>
      </c>
      <c r="J4166" t="str">
        <f>"02/24/1997 23:00"</f>
        <v>02/24/1997 23:00</v>
      </c>
    </row>
    <row r="4167" spans="1:10" x14ac:dyDescent="0.3">
      <c r="A4167" t="s">
        <v>6</v>
      </c>
      <c r="B4167" t="str">
        <f>"02/25/1997 00:00"</f>
        <v>02/25/1997 00:00</v>
      </c>
      <c r="C4167">
        <v>14.6</v>
      </c>
      <c r="D4167" t="s">
        <v>7</v>
      </c>
      <c r="E4167" s="2" t="s">
        <v>12</v>
      </c>
      <c r="F4167">
        <f t="shared" si="65"/>
        <v>28.951800000000002</v>
      </c>
      <c r="G4167" t="s">
        <v>16</v>
      </c>
      <c r="I4167" t="s">
        <v>8</v>
      </c>
      <c r="J4167" t="str">
        <f>"02/25/1997 23:00"</f>
        <v>02/25/1997 23:00</v>
      </c>
    </row>
    <row r="4168" spans="1:10" x14ac:dyDescent="0.3">
      <c r="A4168" t="s">
        <v>6</v>
      </c>
      <c r="B4168" t="str">
        <f>"02/26/1997 00:00"</f>
        <v>02/26/1997 00:00</v>
      </c>
      <c r="C4168">
        <v>13.7</v>
      </c>
      <c r="D4168" t="s">
        <v>7</v>
      </c>
      <c r="E4168" s="2" t="s">
        <v>12</v>
      </c>
      <c r="F4168">
        <f t="shared" si="65"/>
        <v>27.167100000000001</v>
      </c>
      <c r="G4168" t="s">
        <v>16</v>
      </c>
      <c r="J4168" t="str">
        <f>"02/26/1997 23:00"</f>
        <v>02/26/1997 23:00</v>
      </c>
    </row>
    <row r="4169" spans="1:10" x14ac:dyDescent="0.3">
      <c r="A4169" t="s">
        <v>6</v>
      </c>
      <c r="B4169" t="str">
        <f>"02/27/1997 00:00"</f>
        <v>02/27/1997 00:00</v>
      </c>
      <c r="C4169">
        <v>13.9</v>
      </c>
      <c r="D4169" t="s">
        <v>7</v>
      </c>
      <c r="E4169" s="2" t="s">
        <v>12</v>
      </c>
      <c r="F4169">
        <f t="shared" si="65"/>
        <v>27.563700000000001</v>
      </c>
      <c r="G4169" t="s">
        <v>16</v>
      </c>
      <c r="J4169" t="str">
        <f>"02/27/1997 23:00"</f>
        <v>02/27/1997 23:00</v>
      </c>
    </row>
    <row r="4170" spans="1:10" x14ac:dyDescent="0.3">
      <c r="A4170" t="s">
        <v>6</v>
      </c>
      <c r="B4170" t="str">
        <f>"02/28/1997 00:00"</f>
        <v>02/28/1997 00:00</v>
      </c>
      <c r="C4170">
        <v>13.5</v>
      </c>
      <c r="D4170" t="s">
        <v>7</v>
      </c>
      <c r="E4170" s="2" t="s">
        <v>12</v>
      </c>
      <c r="F4170">
        <f t="shared" si="65"/>
        <v>26.770500000000002</v>
      </c>
      <c r="G4170" t="s">
        <v>16</v>
      </c>
      <c r="I4170" t="s">
        <v>8</v>
      </c>
      <c r="J4170" t="str">
        <f>"02/28/1997 23:00"</f>
        <v>02/28/1997 23:00</v>
      </c>
    </row>
    <row r="4171" spans="1:10" x14ac:dyDescent="0.3">
      <c r="A4171" t="s">
        <v>6</v>
      </c>
      <c r="B4171" t="str">
        <f>"03/01/1997 00:00"</f>
        <v>03/01/1997 00:00</v>
      </c>
      <c r="C4171">
        <v>12.9</v>
      </c>
      <c r="D4171" t="s">
        <v>7</v>
      </c>
      <c r="E4171" s="2" t="s">
        <v>12</v>
      </c>
      <c r="F4171">
        <f t="shared" si="65"/>
        <v>25.5807</v>
      </c>
      <c r="G4171" t="s">
        <v>16</v>
      </c>
      <c r="I4171" t="s">
        <v>8</v>
      </c>
      <c r="J4171" t="str">
        <f>"03/01/1997 23:00"</f>
        <v>03/01/1997 23:00</v>
      </c>
    </row>
    <row r="4172" spans="1:10" x14ac:dyDescent="0.3">
      <c r="A4172" t="s">
        <v>6</v>
      </c>
      <c r="B4172" t="str">
        <f>"03/02/1997 00:00"</f>
        <v>03/02/1997 00:00</v>
      </c>
      <c r="C4172">
        <v>12.9</v>
      </c>
      <c r="D4172" t="s">
        <v>7</v>
      </c>
      <c r="E4172" s="2" t="s">
        <v>12</v>
      </c>
      <c r="F4172">
        <f t="shared" si="65"/>
        <v>25.5807</v>
      </c>
      <c r="G4172" t="s">
        <v>16</v>
      </c>
      <c r="I4172" t="s">
        <v>8</v>
      </c>
      <c r="J4172" t="str">
        <f>"03/02/1997 23:00"</f>
        <v>03/02/1997 23:00</v>
      </c>
    </row>
    <row r="4173" spans="1:10" x14ac:dyDescent="0.3">
      <c r="A4173" t="s">
        <v>6</v>
      </c>
      <c r="B4173" t="str">
        <f>"03/03/1997 00:00"</f>
        <v>03/03/1997 00:00</v>
      </c>
      <c r="C4173">
        <v>8.3000000000000007</v>
      </c>
      <c r="D4173" t="s">
        <v>7</v>
      </c>
      <c r="E4173" s="2" t="s">
        <v>12</v>
      </c>
      <c r="F4173">
        <f t="shared" si="65"/>
        <v>16.458900000000003</v>
      </c>
      <c r="G4173" t="s">
        <v>16</v>
      </c>
      <c r="I4173" t="s">
        <v>8</v>
      </c>
      <c r="J4173" t="str">
        <f>"03/03/1997 23:00"</f>
        <v>03/03/1997 23:00</v>
      </c>
    </row>
    <row r="4174" spans="1:10" x14ac:dyDescent="0.3">
      <c r="A4174" t="s">
        <v>6</v>
      </c>
      <c r="B4174" t="str">
        <f>"03/04/1997 00:00"</f>
        <v>03/04/1997 00:00</v>
      </c>
      <c r="D4174" t="s">
        <v>7</v>
      </c>
      <c r="E4174" s="2" t="s">
        <v>12</v>
      </c>
      <c r="F4174">
        <f t="shared" si="65"/>
        <v>0</v>
      </c>
      <c r="G4174" t="s">
        <v>16</v>
      </c>
      <c r="I4174" t="s">
        <v>36</v>
      </c>
      <c r="J4174" t="str">
        <f>"03/04/1997 23:00"</f>
        <v>03/04/1997 23:00</v>
      </c>
    </row>
    <row r="4175" spans="1:10" x14ac:dyDescent="0.3">
      <c r="A4175" t="s">
        <v>6</v>
      </c>
      <c r="B4175" t="str">
        <f>"03/05/1997 00:00"</f>
        <v>03/05/1997 00:00</v>
      </c>
      <c r="C4175">
        <v>8.14</v>
      </c>
      <c r="D4175" t="s">
        <v>7</v>
      </c>
      <c r="E4175" s="2" t="s">
        <v>12</v>
      </c>
      <c r="F4175">
        <f t="shared" si="65"/>
        <v>16.141620000000003</v>
      </c>
      <c r="G4175" t="s">
        <v>16</v>
      </c>
      <c r="I4175" t="s">
        <v>8</v>
      </c>
      <c r="J4175" t="str">
        <f>"03/05/1997 23:00"</f>
        <v>03/05/1997 23:00</v>
      </c>
    </row>
    <row r="4176" spans="1:10" x14ac:dyDescent="0.3">
      <c r="A4176" t="s">
        <v>6</v>
      </c>
      <c r="B4176" t="str">
        <f>"03/06/1997 00:00"</f>
        <v>03/06/1997 00:00</v>
      </c>
      <c r="C4176">
        <v>7.34</v>
      </c>
      <c r="D4176" t="s">
        <v>7</v>
      </c>
      <c r="E4176" s="2" t="s">
        <v>12</v>
      </c>
      <c r="F4176">
        <f t="shared" si="65"/>
        <v>14.55522</v>
      </c>
      <c r="G4176" t="s">
        <v>16</v>
      </c>
      <c r="J4176" t="str">
        <f>"03/06/1997 23:00"</f>
        <v>03/06/1997 23:00</v>
      </c>
    </row>
    <row r="4177" spans="1:10" x14ac:dyDescent="0.3">
      <c r="A4177" t="s">
        <v>6</v>
      </c>
      <c r="B4177" t="str">
        <f>"03/07/1997 00:00"</f>
        <v>03/07/1997 00:00</v>
      </c>
      <c r="C4177">
        <v>7.12</v>
      </c>
      <c r="D4177" t="s">
        <v>7</v>
      </c>
      <c r="E4177" s="2" t="s">
        <v>12</v>
      </c>
      <c r="F4177">
        <f t="shared" si="65"/>
        <v>14.118960000000001</v>
      </c>
      <c r="G4177" t="s">
        <v>16</v>
      </c>
      <c r="J4177" t="str">
        <f>"03/07/1997 23:00"</f>
        <v>03/07/1997 23:00</v>
      </c>
    </row>
    <row r="4178" spans="1:10" x14ac:dyDescent="0.3">
      <c r="A4178" t="s">
        <v>6</v>
      </c>
      <c r="B4178" t="str">
        <f>"03/08/1997 00:00"</f>
        <v>03/08/1997 00:00</v>
      </c>
      <c r="D4178" t="s">
        <v>7</v>
      </c>
      <c r="E4178" s="2" t="s">
        <v>12</v>
      </c>
      <c r="F4178">
        <f t="shared" si="65"/>
        <v>0</v>
      </c>
      <c r="G4178" t="s">
        <v>16</v>
      </c>
      <c r="J4178" t="str">
        <f>"03/08/1997 23:00"</f>
        <v>03/08/1997 23:00</v>
      </c>
    </row>
    <row r="4179" spans="1:10" x14ac:dyDescent="0.3">
      <c r="A4179" t="s">
        <v>6</v>
      </c>
      <c r="B4179" t="str">
        <f>"03/09/1997 00:00"</f>
        <v>03/09/1997 00:00</v>
      </c>
      <c r="D4179" t="s">
        <v>7</v>
      </c>
      <c r="E4179" s="2" t="s">
        <v>12</v>
      </c>
      <c r="F4179">
        <f t="shared" si="65"/>
        <v>0</v>
      </c>
      <c r="G4179" t="s">
        <v>16</v>
      </c>
      <c r="I4179" t="s">
        <v>8</v>
      </c>
      <c r="J4179" t="str">
        <f>"03/09/1997 23:00"</f>
        <v>03/09/1997 23:00</v>
      </c>
    </row>
    <row r="4180" spans="1:10" x14ac:dyDescent="0.3">
      <c r="A4180" t="s">
        <v>6</v>
      </c>
      <c r="B4180" t="str">
        <f>"03/10/1997 00:00"</f>
        <v>03/10/1997 00:00</v>
      </c>
      <c r="D4180" t="s">
        <v>7</v>
      </c>
      <c r="E4180" s="2" t="s">
        <v>12</v>
      </c>
      <c r="F4180">
        <f t="shared" si="65"/>
        <v>0</v>
      </c>
      <c r="G4180" t="s">
        <v>16</v>
      </c>
      <c r="J4180" t="str">
        <f>"03/10/1997 23:00"</f>
        <v>03/10/1997 23:00</v>
      </c>
    </row>
    <row r="4181" spans="1:10" x14ac:dyDescent="0.3">
      <c r="A4181" t="s">
        <v>6</v>
      </c>
      <c r="B4181" t="str">
        <f>"03/11/1997 00:00"</f>
        <v>03/11/1997 00:00</v>
      </c>
      <c r="D4181" t="s">
        <v>7</v>
      </c>
      <c r="E4181" s="2" t="s">
        <v>12</v>
      </c>
      <c r="F4181">
        <f t="shared" si="65"/>
        <v>0</v>
      </c>
      <c r="G4181" t="s">
        <v>16</v>
      </c>
      <c r="I4181" t="s">
        <v>8</v>
      </c>
      <c r="J4181" t="str">
        <f>"03/11/1997 23:00"</f>
        <v>03/11/1997 23:00</v>
      </c>
    </row>
    <row r="4182" spans="1:10" x14ac:dyDescent="0.3">
      <c r="A4182" t="s">
        <v>6</v>
      </c>
      <c r="B4182" t="str">
        <f>"03/12/1997 00:00"</f>
        <v>03/12/1997 00:00</v>
      </c>
      <c r="D4182" t="s">
        <v>7</v>
      </c>
      <c r="E4182" s="2" t="s">
        <v>12</v>
      </c>
      <c r="F4182">
        <f t="shared" si="65"/>
        <v>0</v>
      </c>
      <c r="G4182" t="s">
        <v>16</v>
      </c>
      <c r="I4182" t="s">
        <v>8</v>
      </c>
      <c r="J4182" t="str">
        <f>"03/12/1997 23:00"</f>
        <v>03/12/1997 23:00</v>
      </c>
    </row>
    <row r="4183" spans="1:10" x14ac:dyDescent="0.3">
      <c r="A4183" t="s">
        <v>6</v>
      </c>
      <c r="B4183" t="str">
        <f>"03/13/1997 00:00"</f>
        <v>03/13/1997 00:00</v>
      </c>
      <c r="D4183" t="s">
        <v>7</v>
      </c>
      <c r="E4183" s="2" t="s">
        <v>12</v>
      </c>
      <c r="F4183">
        <f t="shared" si="65"/>
        <v>0</v>
      </c>
      <c r="G4183" t="s">
        <v>16</v>
      </c>
      <c r="I4183" t="s">
        <v>8</v>
      </c>
      <c r="J4183" t="str">
        <f>"03/13/1997 23:00"</f>
        <v>03/13/1997 23:00</v>
      </c>
    </row>
    <row r="4184" spans="1:10" x14ac:dyDescent="0.3">
      <c r="A4184" t="s">
        <v>6</v>
      </c>
      <c r="B4184" t="str">
        <f>"03/14/1997 00:00"</f>
        <v>03/14/1997 00:00</v>
      </c>
      <c r="C4184">
        <v>0.28000000000000003</v>
      </c>
      <c r="D4184" t="s">
        <v>7</v>
      </c>
      <c r="E4184" s="2" t="s">
        <v>12</v>
      </c>
      <c r="F4184">
        <f t="shared" si="65"/>
        <v>0.55524000000000007</v>
      </c>
      <c r="G4184" t="s">
        <v>16</v>
      </c>
      <c r="I4184" t="s">
        <v>8</v>
      </c>
      <c r="J4184" t="str">
        <f>"03/14/1997 23:00"</f>
        <v>03/14/1997 23:00</v>
      </c>
    </row>
    <row r="4185" spans="1:10" x14ac:dyDescent="0.3">
      <c r="A4185" t="s">
        <v>6</v>
      </c>
      <c r="B4185" t="str">
        <f>"03/15/1997 00:00"</f>
        <v>03/15/1997 00:00</v>
      </c>
      <c r="C4185">
        <v>0.28000000000000003</v>
      </c>
      <c r="D4185" t="s">
        <v>7</v>
      </c>
      <c r="E4185" s="2" t="s">
        <v>12</v>
      </c>
      <c r="F4185">
        <f t="shared" si="65"/>
        <v>0.55524000000000007</v>
      </c>
      <c r="G4185" t="s">
        <v>16</v>
      </c>
      <c r="I4185" t="s">
        <v>34</v>
      </c>
      <c r="J4185" t="str">
        <f>"03/15/1997 23:00"</f>
        <v>03/15/1997 23:00</v>
      </c>
    </row>
    <row r="4186" spans="1:10" x14ac:dyDescent="0.3">
      <c r="A4186" t="s">
        <v>6</v>
      </c>
      <c r="B4186" t="str">
        <f>"03/16/1997 00:00"</f>
        <v>03/16/1997 00:00</v>
      </c>
      <c r="C4186">
        <v>0.28000000000000003</v>
      </c>
      <c r="D4186" t="s">
        <v>7</v>
      </c>
      <c r="E4186" s="2" t="s">
        <v>12</v>
      </c>
      <c r="F4186">
        <f t="shared" si="65"/>
        <v>0.55524000000000007</v>
      </c>
      <c r="G4186" t="s">
        <v>16</v>
      </c>
      <c r="I4186" t="s">
        <v>8</v>
      </c>
      <c r="J4186" t="str">
        <f>"03/16/1997 23:00"</f>
        <v>03/16/1997 23:00</v>
      </c>
    </row>
    <row r="4187" spans="1:10" x14ac:dyDescent="0.3">
      <c r="A4187" t="s">
        <v>6</v>
      </c>
      <c r="B4187" t="str">
        <f>"03/17/1997 00:00"</f>
        <v>03/17/1997 00:00</v>
      </c>
      <c r="C4187">
        <v>0.28000000000000003</v>
      </c>
      <c r="D4187" t="s">
        <v>7</v>
      </c>
      <c r="E4187" s="2" t="s">
        <v>12</v>
      </c>
      <c r="F4187">
        <f t="shared" si="65"/>
        <v>0.55524000000000007</v>
      </c>
      <c r="G4187" t="s">
        <v>16</v>
      </c>
      <c r="I4187" t="s">
        <v>8</v>
      </c>
      <c r="J4187" t="str">
        <f>"03/17/1997 23:00"</f>
        <v>03/17/1997 23:00</v>
      </c>
    </row>
    <row r="4188" spans="1:10" x14ac:dyDescent="0.3">
      <c r="A4188" t="s">
        <v>6</v>
      </c>
      <c r="B4188" t="str">
        <f>"03/18/1997 00:00"</f>
        <v>03/18/1997 00:00</v>
      </c>
      <c r="C4188">
        <v>0.28000000000000003</v>
      </c>
      <c r="D4188" t="s">
        <v>7</v>
      </c>
      <c r="E4188" s="2" t="s">
        <v>12</v>
      </c>
      <c r="F4188">
        <f t="shared" si="65"/>
        <v>0.55524000000000007</v>
      </c>
      <c r="G4188" t="s">
        <v>16</v>
      </c>
      <c r="I4188" t="s">
        <v>8</v>
      </c>
      <c r="J4188" t="str">
        <f>"03/18/1997 23:00"</f>
        <v>03/18/1997 23:00</v>
      </c>
    </row>
    <row r="4189" spans="1:10" x14ac:dyDescent="0.3">
      <c r="A4189" t="s">
        <v>6</v>
      </c>
      <c r="B4189" t="str">
        <f>"03/19/1997 00:00"</f>
        <v>03/19/1997 00:00</v>
      </c>
      <c r="C4189">
        <v>49</v>
      </c>
      <c r="D4189" t="s">
        <v>7</v>
      </c>
      <c r="E4189" s="2" t="s">
        <v>12</v>
      </c>
      <c r="F4189">
        <f t="shared" si="65"/>
        <v>97.167000000000002</v>
      </c>
      <c r="G4189" t="s">
        <v>16</v>
      </c>
      <c r="I4189" t="s">
        <v>8</v>
      </c>
      <c r="J4189" t="str">
        <f>"03/19/1997 23:00"</f>
        <v>03/19/1997 23:00</v>
      </c>
    </row>
    <row r="4190" spans="1:10" x14ac:dyDescent="0.3">
      <c r="A4190" t="s">
        <v>6</v>
      </c>
      <c r="B4190" t="str">
        <f>"03/20/1997 00:00"</f>
        <v>03/20/1997 00:00</v>
      </c>
      <c r="C4190">
        <v>87.3</v>
      </c>
      <c r="D4190" t="s">
        <v>7</v>
      </c>
      <c r="E4190" s="2" t="s">
        <v>12</v>
      </c>
      <c r="F4190">
        <f t="shared" si="65"/>
        <v>173.11590000000001</v>
      </c>
      <c r="G4190" t="s">
        <v>16</v>
      </c>
      <c r="J4190" t="str">
        <f>"03/20/1997 23:00"</f>
        <v>03/20/1997 23:00</v>
      </c>
    </row>
    <row r="4191" spans="1:10" x14ac:dyDescent="0.3">
      <c r="A4191" t="s">
        <v>6</v>
      </c>
      <c r="B4191" t="str">
        <f>"03/21/1997 00:00"</f>
        <v>03/21/1997 00:00</v>
      </c>
      <c r="C4191">
        <v>44.4</v>
      </c>
      <c r="D4191" t="s">
        <v>7</v>
      </c>
      <c r="E4191" s="2" t="s">
        <v>12</v>
      </c>
      <c r="F4191">
        <f t="shared" si="65"/>
        <v>88.045200000000008</v>
      </c>
      <c r="G4191" t="s">
        <v>16</v>
      </c>
      <c r="I4191" t="s">
        <v>8</v>
      </c>
      <c r="J4191" t="str">
        <f>"03/21/1997 23:00"</f>
        <v>03/21/1997 23:00</v>
      </c>
    </row>
    <row r="4192" spans="1:10" x14ac:dyDescent="0.3">
      <c r="A4192" t="s">
        <v>6</v>
      </c>
      <c r="B4192" t="str">
        <f>"03/22/1997 00:00"</f>
        <v>03/22/1997 00:00</v>
      </c>
      <c r="C4192">
        <v>2.56</v>
      </c>
      <c r="D4192" t="s">
        <v>7</v>
      </c>
      <c r="E4192" s="2" t="s">
        <v>12</v>
      </c>
      <c r="F4192">
        <f t="shared" si="65"/>
        <v>5.0764800000000001</v>
      </c>
      <c r="G4192" t="s">
        <v>16</v>
      </c>
      <c r="I4192" t="s">
        <v>34</v>
      </c>
      <c r="J4192" t="str">
        <f>"03/22/1997 23:00"</f>
        <v>03/22/1997 23:00</v>
      </c>
    </row>
    <row r="4193" spans="1:10" x14ac:dyDescent="0.3">
      <c r="A4193" t="s">
        <v>6</v>
      </c>
      <c r="B4193" t="str">
        <f>"03/23/1997 00:00"</f>
        <v>03/23/1997 00:00</v>
      </c>
      <c r="C4193">
        <v>2.56</v>
      </c>
      <c r="D4193" t="s">
        <v>7</v>
      </c>
      <c r="E4193" s="2" t="s">
        <v>12</v>
      </c>
      <c r="F4193">
        <f t="shared" si="65"/>
        <v>5.0764800000000001</v>
      </c>
      <c r="G4193" t="s">
        <v>16</v>
      </c>
      <c r="I4193" t="s">
        <v>8</v>
      </c>
      <c r="J4193" t="str">
        <f>"03/23/1997 23:00"</f>
        <v>03/23/1997 23:00</v>
      </c>
    </row>
    <row r="4194" spans="1:10" x14ac:dyDescent="0.3">
      <c r="A4194" t="s">
        <v>6</v>
      </c>
      <c r="B4194" t="str">
        <f>"03/24/1997 00:00"</f>
        <v>03/24/1997 00:00</v>
      </c>
      <c r="C4194">
        <v>7.5</v>
      </c>
      <c r="D4194" t="s">
        <v>7</v>
      </c>
      <c r="E4194" s="2" t="s">
        <v>12</v>
      </c>
      <c r="F4194">
        <f t="shared" si="65"/>
        <v>14.8725</v>
      </c>
      <c r="G4194" t="s">
        <v>16</v>
      </c>
      <c r="I4194" t="s">
        <v>8</v>
      </c>
      <c r="J4194" t="str">
        <f>"03/24/1997 23:00"</f>
        <v>03/24/1997 23:00</v>
      </c>
    </row>
    <row r="4195" spans="1:10" x14ac:dyDescent="0.3">
      <c r="A4195" t="s">
        <v>6</v>
      </c>
      <c r="B4195" t="str">
        <f>"03/25/1997 00:00"</f>
        <v>03/25/1997 00:00</v>
      </c>
      <c r="C4195">
        <v>2.94</v>
      </c>
      <c r="D4195" t="s">
        <v>7</v>
      </c>
      <c r="E4195" s="2" t="s">
        <v>12</v>
      </c>
      <c r="F4195">
        <f t="shared" si="65"/>
        <v>5.8300200000000002</v>
      </c>
      <c r="G4195" t="s">
        <v>16</v>
      </c>
      <c r="I4195" t="s">
        <v>8</v>
      </c>
      <c r="J4195" t="str">
        <f>"03/25/1997 23:00"</f>
        <v>03/25/1997 23:00</v>
      </c>
    </row>
    <row r="4196" spans="1:10" x14ac:dyDescent="0.3">
      <c r="A4196" t="s">
        <v>6</v>
      </c>
      <c r="B4196" t="str">
        <f>"03/26/1997 00:00"</f>
        <v>03/26/1997 00:00</v>
      </c>
      <c r="C4196">
        <v>2.94</v>
      </c>
      <c r="D4196" t="s">
        <v>7</v>
      </c>
      <c r="E4196" s="2" t="s">
        <v>12</v>
      </c>
      <c r="F4196">
        <f t="shared" si="65"/>
        <v>5.8300200000000002</v>
      </c>
      <c r="G4196" t="s">
        <v>16</v>
      </c>
      <c r="I4196" t="s">
        <v>8</v>
      </c>
      <c r="J4196" t="str">
        <f>"03/26/1997 23:00"</f>
        <v>03/26/1997 23:00</v>
      </c>
    </row>
    <row r="4197" spans="1:10" x14ac:dyDescent="0.3">
      <c r="A4197" t="s">
        <v>6</v>
      </c>
      <c r="B4197" t="str">
        <f>"03/27/1997 00:00"</f>
        <v>03/27/1997 00:00</v>
      </c>
      <c r="C4197">
        <v>5.0999999999999996</v>
      </c>
      <c r="D4197" t="s">
        <v>7</v>
      </c>
      <c r="E4197" s="2" t="s">
        <v>12</v>
      </c>
      <c r="F4197">
        <f t="shared" si="65"/>
        <v>10.113300000000001</v>
      </c>
      <c r="G4197" t="s">
        <v>16</v>
      </c>
      <c r="I4197" t="s">
        <v>8</v>
      </c>
      <c r="J4197" t="str">
        <f>"03/27/1997 23:00"</f>
        <v>03/27/1997 23:00</v>
      </c>
    </row>
    <row r="4198" spans="1:10" x14ac:dyDescent="0.3">
      <c r="A4198" t="s">
        <v>6</v>
      </c>
      <c r="B4198" t="str">
        <f>"03/28/1997 00:00"</f>
        <v>03/28/1997 00:00</v>
      </c>
      <c r="C4198">
        <v>2.91</v>
      </c>
      <c r="D4198" t="s">
        <v>7</v>
      </c>
      <c r="E4198" s="2" t="s">
        <v>12</v>
      </c>
      <c r="F4198">
        <f t="shared" si="65"/>
        <v>5.7705300000000008</v>
      </c>
      <c r="G4198" t="s">
        <v>16</v>
      </c>
      <c r="I4198" t="s">
        <v>34</v>
      </c>
      <c r="J4198" t="str">
        <f>"03/28/1997 23:00"</f>
        <v>03/28/1997 23:00</v>
      </c>
    </row>
    <row r="4199" spans="1:10" x14ac:dyDescent="0.3">
      <c r="A4199" t="s">
        <v>6</v>
      </c>
      <c r="B4199" t="str">
        <f>"03/29/1997 00:00"</f>
        <v>03/29/1997 00:00</v>
      </c>
      <c r="C4199">
        <v>2.91</v>
      </c>
      <c r="D4199" t="s">
        <v>7</v>
      </c>
      <c r="E4199" s="2" t="s">
        <v>12</v>
      </c>
      <c r="F4199">
        <f t="shared" si="65"/>
        <v>5.7705300000000008</v>
      </c>
      <c r="G4199" t="s">
        <v>16</v>
      </c>
      <c r="I4199" t="s">
        <v>34</v>
      </c>
      <c r="J4199" t="str">
        <f>"03/29/1997 23:00"</f>
        <v>03/29/1997 23:00</v>
      </c>
    </row>
    <row r="4200" spans="1:10" x14ac:dyDescent="0.3">
      <c r="A4200" t="s">
        <v>6</v>
      </c>
      <c r="B4200" t="str">
        <f>"03/30/1997 00:00"</f>
        <v>03/30/1997 00:00</v>
      </c>
      <c r="C4200">
        <v>2.91</v>
      </c>
      <c r="D4200" t="s">
        <v>7</v>
      </c>
      <c r="E4200" s="2" t="s">
        <v>12</v>
      </c>
      <c r="F4200">
        <f t="shared" si="65"/>
        <v>5.7705300000000008</v>
      </c>
      <c r="G4200" t="s">
        <v>16</v>
      </c>
      <c r="I4200" t="s">
        <v>34</v>
      </c>
      <c r="J4200" t="str">
        <f>"03/30/1997 23:00"</f>
        <v>03/30/1997 23:00</v>
      </c>
    </row>
    <row r="4201" spans="1:10" x14ac:dyDescent="0.3">
      <c r="A4201" t="s">
        <v>6</v>
      </c>
      <c r="B4201" t="str">
        <f>"03/31/1997 00:00"</f>
        <v>03/31/1997 00:00</v>
      </c>
      <c r="C4201">
        <v>2.91</v>
      </c>
      <c r="D4201" t="s">
        <v>7</v>
      </c>
      <c r="E4201" s="2" t="s">
        <v>12</v>
      </c>
      <c r="F4201">
        <f t="shared" si="65"/>
        <v>5.7705300000000008</v>
      </c>
      <c r="G4201" t="s">
        <v>16</v>
      </c>
      <c r="I4201" t="s">
        <v>34</v>
      </c>
      <c r="J4201" t="str">
        <f>"03/31/1997 23:00"</f>
        <v>03/31/1997 23:00</v>
      </c>
    </row>
    <row r="4202" spans="1:10" x14ac:dyDescent="0.3">
      <c r="A4202" t="s">
        <v>6</v>
      </c>
      <c r="B4202" t="str">
        <f>"04/01/1997 00:00"</f>
        <v>04/01/1997 00:00</v>
      </c>
      <c r="C4202">
        <v>2.91</v>
      </c>
      <c r="D4202" t="s">
        <v>7</v>
      </c>
      <c r="E4202" s="2" t="s">
        <v>12</v>
      </c>
      <c r="F4202">
        <f t="shared" si="65"/>
        <v>5.7705300000000008</v>
      </c>
      <c r="G4202" t="s">
        <v>16</v>
      </c>
      <c r="I4202" t="s">
        <v>34</v>
      </c>
      <c r="J4202" t="str">
        <f>"04/01/1997 23:00"</f>
        <v>04/01/1997 23:00</v>
      </c>
    </row>
    <row r="4203" spans="1:10" x14ac:dyDescent="0.3">
      <c r="A4203" t="s">
        <v>6</v>
      </c>
      <c r="B4203" t="str">
        <f>"04/02/1997 00:00"</f>
        <v>04/02/1997 00:00</v>
      </c>
      <c r="C4203">
        <v>2.91</v>
      </c>
      <c r="D4203" t="s">
        <v>7</v>
      </c>
      <c r="E4203" s="2" t="s">
        <v>12</v>
      </c>
      <c r="F4203">
        <f t="shared" si="65"/>
        <v>5.7705300000000008</v>
      </c>
      <c r="G4203" t="s">
        <v>16</v>
      </c>
      <c r="I4203" t="s">
        <v>34</v>
      </c>
      <c r="J4203" t="str">
        <f>"04/02/1997 23:00"</f>
        <v>04/02/1997 23:00</v>
      </c>
    </row>
    <row r="4204" spans="1:10" x14ac:dyDescent="0.3">
      <c r="A4204" t="s">
        <v>6</v>
      </c>
      <c r="B4204" t="str">
        <f>"04/03/1997 00:00"</f>
        <v>04/03/1997 00:00</v>
      </c>
      <c r="C4204">
        <v>3.12</v>
      </c>
      <c r="D4204" t="s">
        <v>7</v>
      </c>
      <c r="E4204" s="2" t="s">
        <v>12</v>
      </c>
      <c r="F4204">
        <f t="shared" si="65"/>
        <v>6.1869600000000009</v>
      </c>
      <c r="G4204" t="s">
        <v>16</v>
      </c>
      <c r="I4204" t="s">
        <v>8</v>
      </c>
      <c r="J4204" t="str">
        <f>"04/03/1997 23:00"</f>
        <v>04/03/1997 23:00</v>
      </c>
    </row>
    <row r="4205" spans="1:10" x14ac:dyDescent="0.3">
      <c r="A4205" t="s">
        <v>6</v>
      </c>
      <c r="B4205" t="str">
        <f>"04/04/1997 00:00"</f>
        <v>04/04/1997 00:00</v>
      </c>
      <c r="C4205">
        <v>3.28</v>
      </c>
      <c r="D4205" t="s">
        <v>7</v>
      </c>
      <c r="E4205" s="2" t="s">
        <v>12</v>
      </c>
      <c r="F4205">
        <f t="shared" si="65"/>
        <v>6.5042400000000002</v>
      </c>
      <c r="G4205" t="s">
        <v>16</v>
      </c>
      <c r="I4205" t="s">
        <v>8</v>
      </c>
      <c r="J4205" t="str">
        <f>"04/04/1997 23:00"</f>
        <v>04/04/1997 23:00</v>
      </c>
    </row>
    <row r="4206" spans="1:10" x14ac:dyDescent="0.3">
      <c r="A4206" t="s">
        <v>6</v>
      </c>
      <c r="B4206" t="str">
        <f>"04/05/1997 00:00"</f>
        <v>04/05/1997 00:00</v>
      </c>
      <c r="C4206">
        <v>3.28</v>
      </c>
      <c r="D4206" t="s">
        <v>7</v>
      </c>
      <c r="E4206" s="2" t="s">
        <v>12</v>
      </c>
      <c r="F4206">
        <f t="shared" si="65"/>
        <v>6.5042400000000002</v>
      </c>
      <c r="G4206" t="s">
        <v>16</v>
      </c>
      <c r="I4206" t="s">
        <v>35</v>
      </c>
      <c r="J4206" t="str">
        <f>"04/05/1997 23:00"</f>
        <v>04/05/1997 23:00</v>
      </c>
    </row>
    <row r="4207" spans="1:10" x14ac:dyDescent="0.3">
      <c r="A4207" t="s">
        <v>6</v>
      </c>
      <c r="B4207" t="str">
        <f>"04/06/1997 00:00"</f>
        <v>04/06/1997 00:00</v>
      </c>
      <c r="C4207">
        <v>3.28</v>
      </c>
      <c r="D4207" t="s">
        <v>7</v>
      </c>
      <c r="E4207" s="2" t="s">
        <v>12</v>
      </c>
      <c r="F4207">
        <f t="shared" si="65"/>
        <v>6.5042400000000002</v>
      </c>
      <c r="G4207" t="s">
        <v>16</v>
      </c>
      <c r="I4207" t="s">
        <v>8</v>
      </c>
      <c r="J4207" t="str">
        <f>"04/06/1997 23:00"</f>
        <v>04/06/1997 23:00</v>
      </c>
    </row>
    <row r="4208" spans="1:10" x14ac:dyDescent="0.3">
      <c r="A4208" t="s">
        <v>6</v>
      </c>
      <c r="B4208" t="str">
        <f>"04/07/1997 00:00"</f>
        <v>04/07/1997 00:00</v>
      </c>
      <c r="C4208">
        <v>3.28</v>
      </c>
      <c r="D4208" t="s">
        <v>7</v>
      </c>
      <c r="E4208" s="2" t="s">
        <v>12</v>
      </c>
      <c r="F4208">
        <f t="shared" si="65"/>
        <v>6.5042400000000002</v>
      </c>
      <c r="G4208" t="s">
        <v>16</v>
      </c>
      <c r="J4208" t="str">
        <f>"04/07/1997 23:00"</f>
        <v>04/07/1997 23:00</v>
      </c>
    </row>
    <row r="4209" spans="1:10" x14ac:dyDescent="0.3">
      <c r="A4209" t="s">
        <v>6</v>
      </c>
      <c r="B4209" t="str">
        <f>"04/08/1997 00:00"</f>
        <v>04/08/1997 00:00</v>
      </c>
      <c r="C4209">
        <v>11.9</v>
      </c>
      <c r="D4209" t="s">
        <v>7</v>
      </c>
      <c r="E4209" s="2" t="s">
        <v>12</v>
      </c>
      <c r="F4209">
        <f t="shared" si="65"/>
        <v>23.597700000000003</v>
      </c>
      <c r="G4209" t="s">
        <v>16</v>
      </c>
      <c r="J4209" t="str">
        <f>"04/08/1997 23:00"</f>
        <v>04/08/1997 23:00</v>
      </c>
    </row>
    <row r="4210" spans="1:10" x14ac:dyDescent="0.3">
      <c r="A4210" t="s">
        <v>6</v>
      </c>
      <c r="B4210" t="str">
        <f>"04/09/1997 00:00"</f>
        <v>04/09/1997 00:00</v>
      </c>
      <c r="C4210">
        <v>104</v>
      </c>
      <c r="D4210" t="s">
        <v>7</v>
      </c>
      <c r="E4210" s="2" t="s">
        <v>12</v>
      </c>
      <c r="F4210">
        <f t="shared" si="65"/>
        <v>206.232</v>
      </c>
      <c r="G4210" t="s">
        <v>16</v>
      </c>
      <c r="I4210" t="s">
        <v>8</v>
      </c>
      <c r="J4210" t="str">
        <f>"04/09/1997 23:00"</f>
        <v>04/09/1997 23:00</v>
      </c>
    </row>
    <row r="4211" spans="1:10" x14ac:dyDescent="0.3">
      <c r="A4211" t="s">
        <v>6</v>
      </c>
      <c r="B4211" t="str">
        <f>"04/10/1997 00:00"</f>
        <v>04/10/1997 00:00</v>
      </c>
      <c r="C4211">
        <v>90.8</v>
      </c>
      <c r="D4211" t="s">
        <v>7</v>
      </c>
      <c r="E4211" s="2" t="s">
        <v>12</v>
      </c>
      <c r="F4211">
        <f t="shared" si="65"/>
        <v>180.0564</v>
      </c>
      <c r="G4211" t="s">
        <v>16</v>
      </c>
      <c r="I4211" t="s">
        <v>8</v>
      </c>
      <c r="J4211" t="str">
        <f>"04/10/1997 23:00"</f>
        <v>04/10/1997 23:00</v>
      </c>
    </row>
    <row r="4212" spans="1:10" x14ac:dyDescent="0.3">
      <c r="A4212" t="s">
        <v>6</v>
      </c>
      <c r="B4212" t="str">
        <f>"04/11/1997 00:00"</f>
        <v>04/11/1997 00:00</v>
      </c>
      <c r="C4212">
        <v>35.5</v>
      </c>
      <c r="D4212" t="s">
        <v>7</v>
      </c>
      <c r="E4212" s="2" t="s">
        <v>12</v>
      </c>
      <c r="F4212">
        <f t="shared" si="65"/>
        <v>70.396500000000003</v>
      </c>
      <c r="G4212" t="s">
        <v>16</v>
      </c>
      <c r="J4212" t="str">
        <f>"04/11/1997 23:00"</f>
        <v>04/11/1997 23:00</v>
      </c>
    </row>
    <row r="4213" spans="1:10" x14ac:dyDescent="0.3">
      <c r="A4213" t="s">
        <v>6</v>
      </c>
      <c r="B4213" t="str">
        <f>"04/12/1997 00:00"</f>
        <v>04/12/1997 00:00</v>
      </c>
      <c r="C4213">
        <v>40.700000000000003</v>
      </c>
      <c r="D4213" t="s">
        <v>7</v>
      </c>
      <c r="E4213" s="2" t="s">
        <v>12</v>
      </c>
      <c r="F4213">
        <f t="shared" si="65"/>
        <v>80.708100000000016</v>
      </c>
      <c r="G4213" t="s">
        <v>16</v>
      </c>
      <c r="J4213" t="str">
        <f>"04/12/1997 23:00"</f>
        <v>04/12/1997 23:00</v>
      </c>
    </row>
    <row r="4214" spans="1:10" x14ac:dyDescent="0.3">
      <c r="A4214" t="s">
        <v>6</v>
      </c>
      <c r="B4214" t="str">
        <f>"04/13/1997 00:00"</f>
        <v>04/13/1997 00:00</v>
      </c>
      <c r="C4214">
        <v>40.5</v>
      </c>
      <c r="D4214" t="s">
        <v>7</v>
      </c>
      <c r="E4214" s="2" t="s">
        <v>12</v>
      </c>
      <c r="F4214">
        <f t="shared" si="65"/>
        <v>80.311500000000009</v>
      </c>
      <c r="G4214" t="s">
        <v>16</v>
      </c>
      <c r="I4214" t="s">
        <v>8</v>
      </c>
      <c r="J4214" t="str">
        <f>"04/13/1997 23:00"</f>
        <v>04/13/1997 23:00</v>
      </c>
    </row>
    <row r="4215" spans="1:10" x14ac:dyDescent="0.3">
      <c r="A4215" t="s">
        <v>6</v>
      </c>
      <c r="B4215" t="str">
        <f>"04/14/1997 00:00"</f>
        <v>04/14/1997 00:00</v>
      </c>
      <c r="C4215">
        <v>123</v>
      </c>
      <c r="D4215" t="s">
        <v>7</v>
      </c>
      <c r="E4215" s="2" t="s">
        <v>12</v>
      </c>
      <c r="F4215">
        <f t="shared" si="65"/>
        <v>243.90900000000002</v>
      </c>
      <c r="G4215" t="s">
        <v>16</v>
      </c>
      <c r="I4215" t="s">
        <v>8</v>
      </c>
      <c r="J4215" t="str">
        <f>"04/14/1997 23:00"</f>
        <v>04/14/1997 23:00</v>
      </c>
    </row>
    <row r="4216" spans="1:10" x14ac:dyDescent="0.3">
      <c r="A4216" t="s">
        <v>6</v>
      </c>
      <c r="B4216" t="str">
        <f>"04/15/1997 00:00"</f>
        <v>04/15/1997 00:00</v>
      </c>
      <c r="C4216">
        <v>126</v>
      </c>
      <c r="D4216" t="s">
        <v>7</v>
      </c>
      <c r="E4216" s="2" t="s">
        <v>12</v>
      </c>
      <c r="F4216">
        <f t="shared" si="65"/>
        <v>249.858</v>
      </c>
      <c r="G4216" t="s">
        <v>16</v>
      </c>
      <c r="J4216" t="str">
        <f>"04/15/1997 23:00"</f>
        <v>04/15/1997 23:00</v>
      </c>
    </row>
    <row r="4217" spans="1:10" x14ac:dyDescent="0.3">
      <c r="A4217" t="s">
        <v>6</v>
      </c>
      <c r="B4217" t="str">
        <f>"04/16/1997 00:00"</f>
        <v>04/16/1997 00:00</v>
      </c>
      <c r="C4217">
        <v>136</v>
      </c>
      <c r="D4217" t="s">
        <v>7</v>
      </c>
      <c r="E4217" s="2" t="s">
        <v>12</v>
      </c>
      <c r="F4217">
        <f t="shared" si="65"/>
        <v>269.68799999999999</v>
      </c>
      <c r="G4217" t="s">
        <v>16</v>
      </c>
      <c r="J4217" t="str">
        <f>"04/16/1997 23:00"</f>
        <v>04/16/1997 23:00</v>
      </c>
    </row>
    <row r="4218" spans="1:10" x14ac:dyDescent="0.3">
      <c r="A4218" t="s">
        <v>6</v>
      </c>
      <c r="B4218" t="str">
        <f>"04/17/1997 00:00"</f>
        <v>04/17/1997 00:00</v>
      </c>
      <c r="C4218">
        <v>137</v>
      </c>
      <c r="D4218" t="s">
        <v>7</v>
      </c>
      <c r="E4218" s="2" t="s">
        <v>12</v>
      </c>
      <c r="F4218">
        <f t="shared" si="65"/>
        <v>271.67099999999999</v>
      </c>
      <c r="G4218" t="s">
        <v>16</v>
      </c>
      <c r="J4218" t="str">
        <f>"04/17/1997 23:00"</f>
        <v>04/17/1997 23:00</v>
      </c>
    </row>
    <row r="4219" spans="1:10" x14ac:dyDescent="0.3">
      <c r="A4219" t="s">
        <v>6</v>
      </c>
      <c r="B4219" t="str">
        <f>"04/18/1997 00:00"</f>
        <v>04/18/1997 00:00</v>
      </c>
      <c r="C4219">
        <v>157</v>
      </c>
      <c r="D4219" t="s">
        <v>7</v>
      </c>
      <c r="E4219" s="2" t="s">
        <v>12</v>
      </c>
      <c r="F4219">
        <f t="shared" si="65"/>
        <v>311.33100000000002</v>
      </c>
      <c r="G4219" t="s">
        <v>16</v>
      </c>
      <c r="J4219" t="str">
        <f>"04/18/1997 23:00"</f>
        <v>04/18/1997 23:00</v>
      </c>
    </row>
    <row r="4220" spans="1:10" x14ac:dyDescent="0.3">
      <c r="A4220" t="s">
        <v>6</v>
      </c>
      <c r="B4220" t="str">
        <f>"04/19/1997 00:00"</f>
        <v>04/19/1997 00:00</v>
      </c>
      <c r="C4220">
        <v>194</v>
      </c>
      <c r="D4220" t="s">
        <v>7</v>
      </c>
      <c r="E4220" s="2" t="s">
        <v>12</v>
      </c>
      <c r="F4220">
        <f t="shared" si="65"/>
        <v>384.702</v>
      </c>
      <c r="G4220" t="s">
        <v>16</v>
      </c>
      <c r="J4220" t="str">
        <f>"04/19/1997 23:00"</f>
        <v>04/19/1997 23:00</v>
      </c>
    </row>
    <row r="4221" spans="1:10" x14ac:dyDescent="0.3">
      <c r="A4221" t="s">
        <v>6</v>
      </c>
      <c r="B4221" t="str">
        <f>"04/20/1997 00:00"</f>
        <v>04/20/1997 00:00</v>
      </c>
      <c r="C4221">
        <v>200</v>
      </c>
      <c r="D4221" t="s">
        <v>7</v>
      </c>
      <c r="E4221" s="2" t="s">
        <v>12</v>
      </c>
      <c r="F4221">
        <f t="shared" si="65"/>
        <v>396.6</v>
      </c>
      <c r="G4221" t="s">
        <v>16</v>
      </c>
      <c r="J4221" t="str">
        <f>"04/20/1997 23:00"</f>
        <v>04/20/1997 23:00</v>
      </c>
    </row>
    <row r="4222" spans="1:10" x14ac:dyDescent="0.3">
      <c r="A4222" t="s">
        <v>6</v>
      </c>
      <c r="B4222" t="str">
        <f>"04/21/1997 00:00"</f>
        <v>04/21/1997 00:00</v>
      </c>
      <c r="C4222">
        <v>182</v>
      </c>
      <c r="D4222" t="s">
        <v>7</v>
      </c>
      <c r="E4222" s="2" t="s">
        <v>12</v>
      </c>
      <c r="F4222">
        <f t="shared" si="65"/>
        <v>360.90600000000001</v>
      </c>
      <c r="G4222" t="s">
        <v>16</v>
      </c>
      <c r="J4222" t="str">
        <f>"04/21/1997 23:00"</f>
        <v>04/21/1997 23:00</v>
      </c>
    </row>
    <row r="4223" spans="1:10" x14ac:dyDescent="0.3">
      <c r="A4223" t="s">
        <v>6</v>
      </c>
      <c r="B4223" t="str">
        <f>"04/22/1997 00:00"</f>
        <v>04/22/1997 00:00</v>
      </c>
      <c r="C4223">
        <v>132</v>
      </c>
      <c r="D4223" t="s">
        <v>7</v>
      </c>
      <c r="E4223" s="2" t="s">
        <v>12</v>
      </c>
      <c r="F4223">
        <f t="shared" si="65"/>
        <v>261.75600000000003</v>
      </c>
      <c r="G4223" t="s">
        <v>16</v>
      </c>
      <c r="J4223" t="str">
        <f>"04/22/1997 23:00"</f>
        <v>04/22/1997 23:00</v>
      </c>
    </row>
    <row r="4224" spans="1:10" x14ac:dyDescent="0.3">
      <c r="A4224" t="s">
        <v>6</v>
      </c>
      <c r="B4224" t="str">
        <f>"04/23/1997 00:00"</f>
        <v>04/23/1997 00:00</v>
      </c>
      <c r="C4224">
        <v>141</v>
      </c>
      <c r="D4224" t="s">
        <v>7</v>
      </c>
      <c r="E4224" s="2" t="s">
        <v>12</v>
      </c>
      <c r="F4224">
        <f t="shared" si="65"/>
        <v>279.60300000000001</v>
      </c>
      <c r="G4224" t="s">
        <v>16</v>
      </c>
      <c r="J4224" t="str">
        <f>"04/23/1997 23:00"</f>
        <v>04/23/1997 23:00</v>
      </c>
    </row>
    <row r="4225" spans="1:10" x14ac:dyDescent="0.3">
      <c r="A4225" t="s">
        <v>6</v>
      </c>
      <c r="B4225" t="str">
        <f>"04/24/1997 00:00"</f>
        <v>04/24/1997 00:00</v>
      </c>
      <c r="C4225">
        <v>236</v>
      </c>
      <c r="D4225" t="s">
        <v>7</v>
      </c>
      <c r="E4225" s="2" t="s">
        <v>12</v>
      </c>
      <c r="F4225">
        <f t="shared" si="65"/>
        <v>467.988</v>
      </c>
      <c r="G4225" t="s">
        <v>16</v>
      </c>
      <c r="J4225" t="str">
        <f>"04/24/1997 23:00"</f>
        <v>04/24/1997 23:00</v>
      </c>
    </row>
    <row r="4226" spans="1:10" x14ac:dyDescent="0.3">
      <c r="A4226" t="s">
        <v>6</v>
      </c>
      <c r="B4226" t="str">
        <f>"04/25/1997 00:00"</f>
        <v>04/25/1997 00:00</v>
      </c>
      <c r="C4226">
        <v>238</v>
      </c>
      <c r="D4226" t="s">
        <v>7</v>
      </c>
      <c r="E4226" s="2" t="s">
        <v>12</v>
      </c>
      <c r="F4226">
        <f t="shared" si="65"/>
        <v>471.95400000000001</v>
      </c>
      <c r="G4226" t="s">
        <v>16</v>
      </c>
      <c r="J4226" t="str">
        <f>"04/25/1997 23:00"</f>
        <v>04/25/1997 23:00</v>
      </c>
    </row>
    <row r="4227" spans="1:10" x14ac:dyDescent="0.3">
      <c r="A4227" t="s">
        <v>6</v>
      </c>
      <c r="B4227" t="str">
        <f>"04/26/1997 00:00"</f>
        <v>04/26/1997 00:00</v>
      </c>
      <c r="C4227">
        <v>237</v>
      </c>
      <c r="D4227" t="s">
        <v>7</v>
      </c>
      <c r="E4227" s="2" t="s">
        <v>12</v>
      </c>
      <c r="F4227">
        <f t="shared" ref="F4227:F4290" si="66">C4227*1.983</f>
        <v>469.971</v>
      </c>
      <c r="G4227" t="s">
        <v>16</v>
      </c>
      <c r="I4227" t="s">
        <v>8</v>
      </c>
      <c r="J4227" t="str">
        <f>"04/26/1997 23:00"</f>
        <v>04/26/1997 23:00</v>
      </c>
    </row>
    <row r="4228" spans="1:10" x14ac:dyDescent="0.3">
      <c r="A4228" t="s">
        <v>6</v>
      </c>
      <c r="B4228" t="str">
        <f>"04/27/1997 00:00"</f>
        <v>04/27/1997 00:00</v>
      </c>
      <c r="C4228">
        <v>236</v>
      </c>
      <c r="D4228" t="s">
        <v>7</v>
      </c>
      <c r="E4228" s="2" t="s">
        <v>12</v>
      </c>
      <c r="F4228">
        <f t="shared" si="66"/>
        <v>467.988</v>
      </c>
      <c r="G4228" t="s">
        <v>16</v>
      </c>
      <c r="J4228" t="str">
        <f>"04/27/1997 23:00"</f>
        <v>04/27/1997 23:00</v>
      </c>
    </row>
    <row r="4229" spans="1:10" x14ac:dyDescent="0.3">
      <c r="A4229" t="s">
        <v>6</v>
      </c>
      <c r="B4229" t="str">
        <f>"04/28/1997 00:00"</f>
        <v>04/28/1997 00:00</v>
      </c>
      <c r="C4229">
        <v>143</v>
      </c>
      <c r="D4229" t="s">
        <v>7</v>
      </c>
      <c r="E4229" s="2" t="s">
        <v>12</v>
      </c>
      <c r="F4229">
        <f t="shared" si="66"/>
        <v>283.56900000000002</v>
      </c>
      <c r="G4229" t="s">
        <v>16</v>
      </c>
      <c r="J4229" t="str">
        <f>"04/28/1997 23:00"</f>
        <v>04/28/1997 23:00</v>
      </c>
    </row>
    <row r="4230" spans="1:10" x14ac:dyDescent="0.3">
      <c r="A4230" t="s">
        <v>6</v>
      </c>
      <c r="B4230" t="str">
        <f>"04/29/1997 00:00"</f>
        <v>04/29/1997 00:00</v>
      </c>
      <c r="C4230">
        <v>239</v>
      </c>
      <c r="D4230" t="s">
        <v>7</v>
      </c>
      <c r="E4230" s="2" t="s">
        <v>12</v>
      </c>
      <c r="F4230">
        <f t="shared" si="66"/>
        <v>473.93700000000001</v>
      </c>
      <c r="G4230" t="s">
        <v>16</v>
      </c>
      <c r="J4230" t="str">
        <f>"04/29/1997 23:00"</f>
        <v>04/29/1997 23:00</v>
      </c>
    </row>
    <row r="4231" spans="1:10" x14ac:dyDescent="0.3">
      <c r="A4231" t="s">
        <v>6</v>
      </c>
      <c r="B4231" t="str">
        <f>"04/30/1997 00:00"</f>
        <v>04/30/1997 00:00</v>
      </c>
      <c r="C4231">
        <v>239</v>
      </c>
      <c r="D4231" t="s">
        <v>7</v>
      </c>
      <c r="E4231" s="2" t="s">
        <v>12</v>
      </c>
      <c r="F4231">
        <f t="shared" si="66"/>
        <v>473.93700000000001</v>
      </c>
      <c r="G4231" t="s">
        <v>16</v>
      </c>
      <c r="J4231" t="str">
        <f>"04/30/1997 23:00"</f>
        <v>04/30/1997 23:00</v>
      </c>
    </row>
    <row r="4232" spans="1:10" x14ac:dyDescent="0.3">
      <c r="A4232" t="s">
        <v>6</v>
      </c>
      <c r="B4232" t="str">
        <f>"05/01/1997 00:00"</f>
        <v>05/01/1997 00:00</v>
      </c>
      <c r="C4232">
        <v>97.5</v>
      </c>
      <c r="D4232" t="s">
        <v>7</v>
      </c>
      <c r="E4232" s="2" t="s">
        <v>12</v>
      </c>
      <c r="F4232">
        <f t="shared" si="66"/>
        <v>193.3425</v>
      </c>
      <c r="G4232" t="s">
        <v>16</v>
      </c>
      <c r="I4232" t="s">
        <v>8</v>
      </c>
      <c r="J4232" t="str">
        <f>"05/01/1997 23:00"</f>
        <v>05/01/1997 23:00</v>
      </c>
    </row>
    <row r="4233" spans="1:10" x14ac:dyDescent="0.3">
      <c r="A4233" t="s">
        <v>6</v>
      </c>
      <c r="B4233" t="str">
        <f>"05/02/1997 00:00"</f>
        <v>05/02/1997 00:00</v>
      </c>
      <c r="C4233">
        <v>1.92</v>
      </c>
      <c r="D4233" t="s">
        <v>7</v>
      </c>
      <c r="E4233" s="2" t="s">
        <v>12</v>
      </c>
      <c r="F4233">
        <f t="shared" si="66"/>
        <v>3.8073600000000001</v>
      </c>
      <c r="G4233" t="s">
        <v>16</v>
      </c>
      <c r="I4233" t="s">
        <v>34</v>
      </c>
      <c r="J4233" t="str">
        <f>"05/02/1997 23:00"</f>
        <v>05/02/1997 23:00</v>
      </c>
    </row>
    <row r="4234" spans="1:10" x14ac:dyDescent="0.3">
      <c r="A4234" t="s">
        <v>6</v>
      </c>
      <c r="B4234" t="str">
        <f>"05/03/1997 00:00"</f>
        <v>05/03/1997 00:00</v>
      </c>
      <c r="C4234">
        <v>1.92</v>
      </c>
      <c r="D4234" t="s">
        <v>7</v>
      </c>
      <c r="E4234" s="2" t="s">
        <v>12</v>
      </c>
      <c r="F4234">
        <f t="shared" si="66"/>
        <v>3.8073600000000001</v>
      </c>
      <c r="G4234" t="s">
        <v>16</v>
      </c>
      <c r="I4234" t="s">
        <v>34</v>
      </c>
      <c r="J4234" t="str">
        <f>"05/03/1997 23:00"</f>
        <v>05/03/1997 23:00</v>
      </c>
    </row>
    <row r="4235" spans="1:10" x14ac:dyDescent="0.3">
      <c r="A4235" t="s">
        <v>6</v>
      </c>
      <c r="B4235" t="str">
        <f>"05/04/1997 00:00"</f>
        <v>05/04/1997 00:00</v>
      </c>
      <c r="C4235">
        <v>1.92</v>
      </c>
      <c r="D4235" t="s">
        <v>7</v>
      </c>
      <c r="E4235" s="2" t="s">
        <v>12</v>
      </c>
      <c r="F4235">
        <f t="shared" si="66"/>
        <v>3.8073600000000001</v>
      </c>
      <c r="G4235" t="s">
        <v>16</v>
      </c>
      <c r="I4235" t="s">
        <v>34</v>
      </c>
      <c r="J4235" t="str">
        <f>"05/04/1997 23:00"</f>
        <v>05/04/1997 23:00</v>
      </c>
    </row>
    <row r="4236" spans="1:10" x14ac:dyDescent="0.3">
      <c r="A4236" t="s">
        <v>6</v>
      </c>
      <c r="B4236" t="str">
        <f>"05/05/1997 00:00"</f>
        <v>05/05/1997 00:00</v>
      </c>
      <c r="C4236">
        <v>69.5</v>
      </c>
      <c r="D4236" t="s">
        <v>7</v>
      </c>
      <c r="E4236" s="2" t="s">
        <v>12</v>
      </c>
      <c r="F4236">
        <f t="shared" si="66"/>
        <v>137.8185</v>
      </c>
      <c r="G4236" t="s">
        <v>16</v>
      </c>
      <c r="I4236" t="s">
        <v>8</v>
      </c>
      <c r="J4236" t="str">
        <f>"05/05/1997 23:00"</f>
        <v>05/05/1997 23:00</v>
      </c>
    </row>
    <row r="4237" spans="1:10" x14ac:dyDescent="0.3">
      <c r="A4237" t="s">
        <v>6</v>
      </c>
      <c r="B4237" t="str">
        <f>"05/06/1997 00:00"</f>
        <v>05/06/1997 00:00</v>
      </c>
      <c r="C4237">
        <v>125</v>
      </c>
      <c r="D4237" t="s">
        <v>7</v>
      </c>
      <c r="E4237" s="2" t="s">
        <v>12</v>
      </c>
      <c r="F4237">
        <f t="shared" si="66"/>
        <v>247.875</v>
      </c>
      <c r="G4237" t="s">
        <v>16</v>
      </c>
      <c r="J4237" t="str">
        <f>"05/06/1997 23:00"</f>
        <v>05/06/1997 23:00</v>
      </c>
    </row>
    <row r="4238" spans="1:10" x14ac:dyDescent="0.3">
      <c r="A4238" t="s">
        <v>6</v>
      </c>
      <c r="B4238" t="str">
        <f>"05/07/1997 00:00"</f>
        <v>05/07/1997 00:00</v>
      </c>
      <c r="C4238">
        <v>125</v>
      </c>
      <c r="D4238" t="s">
        <v>7</v>
      </c>
      <c r="E4238" s="2" t="s">
        <v>12</v>
      </c>
      <c r="F4238">
        <f t="shared" si="66"/>
        <v>247.875</v>
      </c>
      <c r="G4238" t="s">
        <v>16</v>
      </c>
      <c r="J4238" t="str">
        <f>"05/07/1997 23:00"</f>
        <v>05/07/1997 23:00</v>
      </c>
    </row>
    <row r="4239" spans="1:10" x14ac:dyDescent="0.3">
      <c r="A4239" t="s">
        <v>6</v>
      </c>
      <c r="B4239" t="str">
        <f>"05/08/1997 00:00"</f>
        <v>05/08/1997 00:00</v>
      </c>
      <c r="C4239">
        <v>125</v>
      </c>
      <c r="D4239" t="s">
        <v>7</v>
      </c>
      <c r="E4239" s="2" t="s">
        <v>12</v>
      </c>
      <c r="F4239">
        <f t="shared" si="66"/>
        <v>247.875</v>
      </c>
      <c r="G4239" t="s">
        <v>16</v>
      </c>
      <c r="I4239" t="s">
        <v>8</v>
      </c>
      <c r="J4239" t="str">
        <f>"05/08/1997 23:00"</f>
        <v>05/08/1997 23:00</v>
      </c>
    </row>
    <row r="4240" spans="1:10" x14ac:dyDescent="0.3">
      <c r="A4240" t="s">
        <v>6</v>
      </c>
      <c r="B4240" t="str">
        <f>"05/09/1997 00:00"</f>
        <v>05/09/1997 00:00</v>
      </c>
      <c r="C4240">
        <v>53.5</v>
      </c>
      <c r="D4240" t="s">
        <v>7</v>
      </c>
      <c r="E4240" s="2" t="s">
        <v>12</v>
      </c>
      <c r="F4240">
        <f t="shared" si="66"/>
        <v>106.09050000000001</v>
      </c>
      <c r="G4240" t="s">
        <v>16</v>
      </c>
      <c r="I4240" t="s">
        <v>8</v>
      </c>
      <c r="J4240" t="str">
        <f>"05/09/1997 23:00"</f>
        <v>05/09/1997 23:00</v>
      </c>
    </row>
    <row r="4241" spans="1:10" x14ac:dyDescent="0.3">
      <c r="A4241" t="s">
        <v>6</v>
      </c>
      <c r="B4241" t="str">
        <f>"05/10/1997 00:00"</f>
        <v>05/10/1997 00:00</v>
      </c>
      <c r="C4241">
        <v>1.92</v>
      </c>
      <c r="D4241" t="s">
        <v>7</v>
      </c>
      <c r="E4241" s="2" t="s">
        <v>12</v>
      </c>
      <c r="F4241">
        <f t="shared" si="66"/>
        <v>3.8073600000000001</v>
      </c>
      <c r="G4241" t="s">
        <v>16</v>
      </c>
      <c r="I4241" t="s">
        <v>34</v>
      </c>
      <c r="J4241" t="str">
        <f>"05/10/1997 23:00"</f>
        <v>05/10/1997 23:00</v>
      </c>
    </row>
    <row r="4242" spans="1:10" x14ac:dyDescent="0.3">
      <c r="A4242" t="s">
        <v>6</v>
      </c>
      <c r="B4242" t="str">
        <f>"05/11/1997 00:00"</f>
        <v>05/11/1997 00:00</v>
      </c>
      <c r="C4242">
        <v>1.92</v>
      </c>
      <c r="D4242" t="s">
        <v>7</v>
      </c>
      <c r="E4242" s="2" t="s">
        <v>12</v>
      </c>
      <c r="F4242">
        <f t="shared" si="66"/>
        <v>3.8073600000000001</v>
      </c>
      <c r="G4242" t="s">
        <v>16</v>
      </c>
      <c r="I4242" t="s">
        <v>34</v>
      </c>
      <c r="J4242" t="str">
        <f>"05/11/1997 23:00"</f>
        <v>05/11/1997 23:00</v>
      </c>
    </row>
    <row r="4243" spans="1:10" x14ac:dyDescent="0.3">
      <c r="A4243" t="s">
        <v>6</v>
      </c>
      <c r="B4243" t="str">
        <f>"05/12/1997 00:00"</f>
        <v>05/12/1997 00:00</v>
      </c>
      <c r="C4243">
        <v>1.95</v>
      </c>
      <c r="D4243" t="s">
        <v>7</v>
      </c>
      <c r="E4243" s="2" t="s">
        <v>12</v>
      </c>
      <c r="F4243">
        <f t="shared" si="66"/>
        <v>3.8668499999999999</v>
      </c>
      <c r="G4243" t="s">
        <v>16</v>
      </c>
      <c r="I4243" t="s">
        <v>34</v>
      </c>
      <c r="J4243" t="str">
        <f>"05/12/1997 23:00"</f>
        <v>05/12/1997 23:00</v>
      </c>
    </row>
    <row r="4244" spans="1:10" x14ac:dyDescent="0.3">
      <c r="A4244" t="s">
        <v>6</v>
      </c>
      <c r="B4244" t="str">
        <f>"05/13/1997 00:00"</f>
        <v>05/13/1997 00:00</v>
      </c>
      <c r="C4244">
        <v>1.89</v>
      </c>
      <c r="D4244" t="s">
        <v>7</v>
      </c>
      <c r="E4244" s="2" t="s">
        <v>12</v>
      </c>
      <c r="F4244">
        <f t="shared" si="66"/>
        <v>3.7478699999999998</v>
      </c>
      <c r="G4244" t="s">
        <v>16</v>
      </c>
      <c r="I4244" t="s">
        <v>34</v>
      </c>
      <c r="J4244" t="str">
        <f>"05/13/1997 23:00"</f>
        <v>05/13/1997 23:00</v>
      </c>
    </row>
    <row r="4245" spans="1:10" x14ac:dyDescent="0.3">
      <c r="A4245" t="s">
        <v>6</v>
      </c>
      <c r="B4245" t="str">
        <f>"05/14/1997 00:00"</f>
        <v>05/14/1997 00:00</v>
      </c>
      <c r="C4245">
        <v>11.3</v>
      </c>
      <c r="D4245" t="s">
        <v>7</v>
      </c>
      <c r="E4245" s="2" t="s">
        <v>12</v>
      </c>
      <c r="F4245">
        <f t="shared" si="66"/>
        <v>22.407900000000001</v>
      </c>
      <c r="G4245" t="s">
        <v>16</v>
      </c>
      <c r="I4245" t="s">
        <v>8</v>
      </c>
      <c r="J4245" t="str">
        <f>"05/14/1997 23:00"</f>
        <v>05/14/1997 23:00</v>
      </c>
    </row>
    <row r="4246" spans="1:10" x14ac:dyDescent="0.3">
      <c r="A4246" t="s">
        <v>6</v>
      </c>
      <c r="B4246" t="str">
        <f>"05/15/1997 00:00"</f>
        <v>05/15/1997 00:00</v>
      </c>
      <c r="C4246">
        <v>2.23</v>
      </c>
      <c r="D4246" t="s">
        <v>7</v>
      </c>
      <c r="E4246" s="2" t="s">
        <v>12</v>
      </c>
      <c r="F4246">
        <f t="shared" si="66"/>
        <v>4.4220899999999999</v>
      </c>
      <c r="G4246" t="s">
        <v>16</v>
      </c>
      <c r="I4246" t="s">
        <v>34</v>
      </c>
      <c r="J4246" t="str">
        <f>"05/15/1997 23:00"</f>
        <v>05/15/1997 23:00</v>
      </c>
    </row>
    <row r="4247" spans="1:10" x14ac:dyDescent="0.3">
      <c r="A4247" t="s">
        <v>6</v>
      </c>
      <c r="B4247" t="str">
        <f>"05/16/1997 00:00"</f>
        <v>05/16/1997 00:00</v>
      </c>
      <c r="C4247">
        <v>5020</v>
      </c>
      <c r="D4247" t="s">
        <v>7</v>
      </c>
      <c r="E4247" s="2" t="s">
        <v>12</v>
      </c>
      <c r="F4247">
        <f t="shared" si="66"/>
        <v>9954.66</v>
      </c>
      <c r="G4247" t="s">
        <v>16</v>
      </c>
      <c r="I4247" t="s">
        <v>8</v>
      </c>
      <c r="J4247" t="str">
        <f>"05/16/1997 23:00"</f>
        <v>05/16/1997 23:00</v>
      </c>
    </row>
    <row r="4248" spans="1:10" x14ac:dyDescent="0.3">
      <c r="A4248" t="s">
        <v>6</v>
      </c>
      <c r="B4248" t="str">
        <f>"05/17/1997 00:00"</f>
        <v>05/17/1997 00:00</v>
      </c>
      <c r="C4248">
        <v>2.23</v>
      </c>
      <c r="D4248" t="s">
        <v>7</v>
      </c>
      <c r="E4248" s="2" t="s">
        <v>12</v>
      </c>
      <c r="F4248">
        <f t="shared" si="66"/>
        <v>4.4220899999999999</v>
      </c>
      <c r="G4248" t="s">
        <v>16</v>
      </c>
      <c r="I4248" t="s">
        <v>34</v>
      </c>
      <c r="J4248" t="str">
        <f>"05/17/1997 23:00"</f>
        <v>05/17/1997 23:00</v>
      </c>
    </row>
    <row r="4249" spans="1:10" x14ac:dyDescent="0.3">
      <c r="A4249" t="s">
        <v>6</v>
      </c>
      <c r="B4249" t="str">
        <f>"05/18/1997 00:00"</f>
        <v>05/18/1997 00:00</v>
      </c>
      <c r="C4249">
        <v>2.23</v>
      </c>
      <c r="D4249" t="s">
        <v>7</v>
      </c>
      <c r="E4249" s="2" t="s">
        <v>12</v>
      </c>
      <c r="F4249">
        <f t="shared" si="66"/>
        <v>4.4220899999999999</v>
      </c>
      <c r="G4249" t="s">
        <v>16</v>
      </c>
      <c r="I4249" t="s">
        <v>34</v>
      </c>
      <c r="J4249" t="str">
        <f>"05/18/1997 23:00"</f>
        <v>05/18/1997 23:00</v>
      </c>
    </row>
    <row r="4250" spans="1:10" x14ac:dyDescent="0.3">
      <c r="A4250" t="s">
        <v>6</v>
      </c>
      <c r="B4250" t="str">
        <f>"05/19/1997 00:00"</f>
        <v>05/19/1997 00:00</v>
      </c>
      <c r="C4250">
        <v>2.23</v>
      </c>
      <c r="D4250" t="s">
        <v>7</v>
      </c>
      <c r="E4250" s="2" t="s">
        <v>12</v>
      </c>
      <c r="F4250">
        <f t="shared" si="66"/>
        <v>4.4220899999999999</v>
      </c>
      <c r="G4250" t="s">
        <v>16</v>
      </c>
      <c r="I4250" t="s">
        <v>34</v>
      </c>
      <c r="J4250" t="str">
        <f>"05/19/1997 23:00"</f>
        <v>05/19/1997 23:00</v>
      </c>
    </row>
    <row r="4251" spans="1:10" x14ac:dyDescent="0.3">
      <c r="A4251" t="s">
        <v>6</v>
      </c>
      <c r="B4251" t="str">
        <f>"05/20/1997 00:00"</f>
        <v>05/20/1997 00:00</v>
      </c>
      <c r="C4251">
        <v>2.23</v>
      </c>
      <c r="D4251" t="s">
        <v>7</v>
      </c>
      <c r="E4251" s="2" t="s">
        <v>12</v>
      </c>
      <c r="F4251">
        <f t="shared" si="66"/>
        <v>4.4220899999999999</v>
      </c>
      <c r="G4251" t="s">
        <v>16</v>
      </c>
      <c r="I4251" t="s">
        <v>34</v>
      </c>
      <c r="J4251" t="str">
        <f>"05/20/1997 23:00"</f>
        <v>05/20/1997 23:00</v>
      </c>
    </row>
    <row r="4252" spans="1:10" x14ac:dyDescent="0.3">
      <c r="A4252" t="s">
        <v>6</v>
      </c>
      <c r="B4252" t="str">
        <f>"05/21/1997 00:00"</f>
        <v>05/21/1997 00:00</v>
      </c>
      <c r="C4252">
        <v>2.0499999999999998</v>
      </c>
      <c r="D4252" t="s">
        <v>7</v>
      </c>
      <c r="E4252" s="2" t="s">
        <v>12</v>
      </c>
      <c r="F4252">
        <f t="shared" si="66"/>
        <v>4.06515</v>
      </c>
      <c r="G4252" t="s">
        <v>16</v>
      </c>
      <c r="I4252" t="s">
        <v>34</v>
      </c>
      <c r="J4252" t="str">
        <f>"05/21/1997 23:00"</f>
        <v>05/21/1997 23:00</v>
      </c>
    </row>
    <row r="4253" spans="1:10" x14ac:dyDescent="0.3">
      <c r="A4253" t="s">
        <v>6</v>
      </c>
      <c r="B4253" t="str">
        <f>"05/22/1997 00:00"</f>
        <v>05/22/1997 00:00</v>
      </c>
      <c r="C4253">
        <v>1.92</v>
      </c>
      <c r="D4253" t="s">
        <v>7</v>
      </c>
      <c r="E4253" s="2" t="s">
        <v>12</v>
      </c>
      <c r="F4253">
        <f t="shared" si="66"/>
        <v>3.8073600000000001</v>
      </c>
      <c r="G4253" t="s">
        <v>16</v>
      </c>
      <c r="I4253" t="s">
        <v>8</v>
      </c>
      <c r="J4253" t="str">
        <f>"05/22/1997 23:00"</f>
        <v>05/22/1997 23:00</v>
      </c>
    </row>
    <row r="4254" spans="1:10" x14ac:dyDescent="0.3">
      <c r="A4254" t="s">
        <v>6</v>
      </c>
      <c r="B4254" t="str">
        <f>"05/23/1997 00:00"</f>
        <v>05/23/1997 00:00</v>
      </c>
      <c r="C4254">
        <v>1.77</v>
      </c>
      <c r="D4254" t="s">
        <v>7</v>
      </c>
      <c r="E4254" s="2" t="s">
        <v>12</v>
      </c>
      <c r="F4254">
        <f t="shared" si="66"/>
        <v>3.5099100000000001</v>
      </c>
      <c r="G4254" t="s">
        <v>16</v>
      </c>
      <c r="I4254" t="s">
        <v>34</v>
      </c>
      <c r="J4254" t="str">
        <f>"05/23/1997 23:00"</f>
        <v>05/23/1997 23:00</v>
      </c>
    </row>
    <row r="4255" spans="1:10" x14ac:dyDescent="0.3">
      <c r="A4255" t="s">
        <v>6</v>
      </c>
      <c r="B4255" t="str">
        <f>"05/24/1997 00:00"</f>
        <v>05/24/1997 00:00</v>
      </c>
      <c r="C4255">
        <v>1.62</v>
      </c>
      <c r="D4255" t="s">
        <v>7</v>
      </c>
      <c r="E4255" s="2" t="s">
        <v>12</v>
      </c>
      <c r="F4255">
        <f t="shared" si="66"/>
        <v>3.2124600000000005</v>
      </c>
      <c r="G4255" t="s">
        <v>16</v>
      </c>
      <c r="I4255" t="s">
        <v>34</v>
      </c>
      <c r="J4255" t="str">
        <f>"05/24/1997 23:00"</f>
        <v>05/24/1997 23:00</v>
      </c>
    </row>
    <row r="4256" spans="1:10" x14ac:dyDescent="0.3">
      <c r="A4256" t="s">
        <v>6</v>
      </c>
      <c r="B4256" t="str">
        <f>"05/25/1997 00:00"</f>
        <v>05/25/1997 00:00</v>
      </c>
      <c r="C4256">
        <v>1.62</v>
      </c>
      <c r="D4256" t="s">
        <v>7</v>
      </c>
      <c r="E4256" s="2" t="s">
        <v>12</v>
      </c>
      <c r="F4256">
        <f t="shared" si="66"/>
        <v>3.2124600000000005</v>
      </c>
      <c r="G4256" t="s">
        <v>16</v>
      </c>
      <c r="I4256" t="s">
        <v>34</v>
      </c>
      <c r="J4256" t="str">
        <f>"05/25/1997 23:00"</f>
        <v>05/25/1997 23:00</v>
      </c>
    </row>
    <row r="4257" spans="1:10" x14ac:dyDescent="0.3">
      <c r="A4257" t="s">
        <v>6</v>
      </c>
      <c r="B4257" t="str">
        <f>"05/26/1997 00:00"</f>
        <v>05/26/1997 00:00</v>
      </c>
      <c r="C4257">
        <v>1.62</v>
      </c>
      <c r="D4257" t="s">
        <v>7</v>
      </c>
      <c r="E4257" s="2" t="s">
        <v>12</v>
      </c>
      <c r="F4257">
        <f t="shared" si="66"/>
        <v>3.2124600000000005</v>
      </c>
      <c r="G4257" t="s">
        <v>16</v>
      </c>
      <c r="I4257" t="s">
        <v>34</v>
      </c>
      <c r="J4257" t="str">
        <f>"05/26/1997 23:00"</f>
        <v>05/26/1997 23:00</v>
      </c>
    </row>
    <row r="4258" spans="1:10" x14ac:dyDescent="0.3">
      <c r="A4258" t="s">
        <v>6</v>
      </c>
      <c r="B4258" t="str">
        <f>"05/27/1997 00:00"</f>
        <v>05/27/1997 00:00</v>
      </c>
      <c r="C4258">
        <v>1.62</v>
      </c>
      <c r="D4258" t="s">
        <v>7</v>
      </c>
      <c r="E4258" s="2" t="s">
        <v>12</v>
      </c>
      <c r="F4258">
        <f t="shared" si="66"/>
        <v>3.2124600000000005</v>
      </c>
      <c r="G4258" t="s">
        <v>16</v>
      </c>
      <c r="I4258" t="s">
        <v>34</v>
      </c>
      <c r="J4258" t="str">
        <f>"05/27/1997 23:00"</f>
        <v>05/27/1997 23:00</v>
      </c>
    </row>
    <row r="4259" spans="1:10" x14ac:dyDescent="0.3">
      <c r="A4259" t="s">
        <v>6</v>
      </c>
      <c r="B4259" t="str">
        <f>"05/28/1997 00:00"</f>
        <v>05/28/1997 00:00</v>
      </c>
      <c r="C4259">
        <v>4.1900000000000004</v>
      </c>
      <c r="D4259" t="s">
        <v>7</v>
      </c>
      <c r="E4259" s="2" t="s">
        <v>12</v>
      </c>
      <c r="F4259">
        <f t="shared" si="66"/>
        <v>8.3087700000000009</v>
      </c>
      <c r="G4259" t="s">
        <v>16</v>
      </c>
      <c r="I4259" t="s">
        <v>8</v>
      </c>
      <c r="J4259" t="str">
        <f>"05/28/1997 23:00"</f>
        <v>05/28/1997 23:00</v>
      </c>
    </row>
    <row r="4260" spans="1:10" x14ac:dyDescent="0.3">
      <c r="A4260" t="s">
        <v>6</v>
      </c>
      <c r="B4260" t="str">
        <f>"05/29/1997 00:00"</f>
        <v>05/29/1997 00:00</v>
      </c>
      <c r="C4260">
        <v>1.62</v>
      </c>
      <c r="D4260" t="s">
        <v>7</v>
      </c>
      <c r="E4260" s="2" t="s">
        <v>12</v>
      </c>
      <c r="F4260">
        <f t="shared" si="66"/>
        <v>3.2124600000000005</v>
      </c>
      <c r="G4260" t="s">
        <v>16</v>
      </c>
      <c r="I4260" t="s">
        <v>34</v>
      </c>
      <c r="J4260" t="str">
        <f>"05/29/1997 23:00"</f>
        <v>05/29/1997 23:00</v>
      </c>
    </row>
    <row r="4261" spans="1:10" x14ac:dyDescent="0.3">
      <c r="A4261" t="s">
        <v>6</v>
      </c>
      <c r="B4261" t="str">
        <f>"05/30/1997 00:00"</f>
        <v>05/30/1997 00:00</v>
      </c>
      <c r="C4261">
        <v>1.62</v>
      </c>
      <c r="D4261" t="s">
        <v>7</v>
      </c>
      <c r="E4261" s="2" t="s">
        <v>12</v>
      </c>
      <c r="F4261">
        <f t="shared" si="66"/>
        <v>3.2124600000000005</v>
      </c>
      <c r="G4261" t="s">
        <v>16</v>
      </c>
      <c r="I4261" t="s">
        <v>34</v>
      </c>
      <c r="J4261" t="str">
        <f>"05/30/1997 23:00"</f>
        <v>05/30/1997 23:00</v>
      </c>
    </row>
    <row r="4262" spans="1:10" x14ac:dyDescent="0.3">
      <c r="A4262" t="s">
        <v>6</v>
      </c>
      <c r="B4262" t="str">
        <f>"05/31/1997 00:00"</f>
        <v>05/31/1997 00:00</v>
      </c>
      <c r="C4262">
        <v>1.62</v>
      </c>
      <c r="D4262" t="s">
        <v>7</v>
      </c>
      <c r="E4262" s="2" t="s">
        <v>12</v>
      </c>
      <c r="F4262">
        <f t="shared" si="66"/>
        <v>3.2124600000000005</v>
      </c>
      <c r="G4262" t="s">
        <v>16</v>
      </c>
      <c r="I4262" t="s">
        <v>34</v>
      </c>
      <c r="J4262" t="str">
        <f>"05/31/1997 23:00"</f>
        <v>05/31/1997 23:00</v>
      </c>
    </row>
    <row r="4263" spans="1:10" x14ac:dyDescent="0.3">
      <c r="A4263" t="s">
        <v>6</v>
      </c>
      <c r="B4263" t="str">
        <f>"06/01/1997 00:00"</f>
        <v>06/01/1997 00:00</v>
      </c>
      <c r="C4263">
        <v>1.62</v>
      </c>
      <c r="D4263" t="s">
        <v>7</v>
      </c>
      <c r="E4263" s="2" t="s">
        <v>12</v>
      </c>
      <c r="F4263">
        <f t="shared" si="66"/>
        <v>3.2124600000000005</v>
      </c>
      <c r="G4263" t="s">
        <v>16</v>
      </c>
      <c r="I4263" t="s">
        <v>34</v>
      </c>
      <c r="J4263" t="str">
        <f>"06/01/1997 23:00"</f>
        <v>06/01/1997 23:00</v>
      </c>
    </row>
    <row r="4264" spans="1:10" x14ac:dyDescent="0.3">
      <c r="A4264" t="s">
        <v>6</v>
      </c>
      <c r="B4264" t="str">
        <f>"06/02/1997 00:00"</f>
        <v>06/02/1997 00:00</v>
      </c>
      <c r="C4264">
        <v>1.62</v>
      </c>
      <c r="D4264" t="s">
        <v>7</v>
      </c>
      <c r="E4264" s="2" t="s">
        <v>12</v>
      </c>
      <c r="F4264">
        <f t="shared" si="66"/>
        <v>3.2124600000000005</v>
      </c>
      <c r="G4264" t="s">
        <v>16</v>
      </c>
      <c r="I4264" t="s">
        <v>34</v>
      </c>
      <c r="J4264" t="str">
        <f>"06/02/1997 23:00"</f>
        <v>06/02/1997 23:00</v>
      </c>
    </row>
    <row r="4265" spans="1:10" x14ac:dyDescent="0.3">
      <c r="A4265" t="s">
        <v>6</v>
      </c>
      <c r="B4265" t="str">
        <f>"06/03/1997 00:00"</f>
        <v>06/03/1997 00:00</v>
      </c>
      <c r="C4265">
        <v>1.62</v>
      </c>
      <c r="D4265" t="s">
        <v>7</v>
      </c>
      <c r="E4265" s="2" t="s">
        <v>12</v>
      </c>
      <c r="F4265">
        <f t="shared" si="66"/>
        <v>3.2124600000000005</v>
      </c>
      <c r="G4265" t="s">
        <v>16</v>
      </c>
      <c r="I4265" t="s">
        <v>34</v>
      </c>
      <c r="J4265" t="str">
        <f>"06/03/1997 23:00"</f>
        <v>06/03/1997 23:00</v>
      </c>
    </row>
    <row r="4266" spans="1:10" x14ac:dyDescent="0.3">
      <c r="A4266" t="s">
        <v>6</v>
      </c>
      <c r="B4266" t="str">
        <f>"06/04/1997 00:00"</f>
        <v>06/04/1997 00:00</v>
      </c>
      <c r="C4266">
        <v>1.62</v>
      </c>
      <c r="D4266" t="s">
        <v>7</v>
      </c>
      <c r="E4266" s="2" t="s">
        <v>12</v>
      </c>
      <c r="F4266">
        <f t="shared" si="66"/>
        <v>3.2124600000000005</v>
      </c>
      <c r="G4266" t="s">
        <v>16</v>
      </c>
      <c r="I4266" t="s">
        <v>34</v>
      </c>
      <c r="J4266" t="str">
        <f>"06/04/1997 23:00"</f>
        <v>06/04/1997 23:00</v>
      </c>
    </row>
    <row r="4267" spans="1:10" x14ac:dyDescent="0.3">
      <c r="A4267" t="s">
        <v>6</v>
      </c>
      <c r="B4267" t="str">
        <f>"06/05/1997 00:00"</f>
        <v>06/05/1997 00:00</v>
      </c>
      <c r="C4267">
        <v>1.62</v>
      </c>
      <c r="D4267" t="s">
        <v>7</v>
      </c>
      <c r="E4267" s="2" t="s">
        <v>12</v>
      </c>
      <c r="F4267">
        <f t="shared" si="66"/>
        <v>3.2124600000000005</v>
      </c>
      <c r="G4267" t="s">
        <v>16</v>
      </c>
      <c r="I4267" t="s">
        <v>34</v>
      </c>
      <c r="J4267" t="str">
        <f>"06/05/1997 23:00"</f>
        <v>06/05/1997 23:00</v>
      </c>
    </row>
    <row r="4268" spans="1:10" x14ac:dyDescent="0.3">
      <c r="A4268" t="s">
        <v>6</v>
      </c>
      <c r="B4268" t="str">
        <f>"06/06/1997 00:00"</f>
        <v>06/06/1997 00:00</v>
      </c>
      <c r="C4268">
        <v>1.63</v>
      </c>
      <c r="D4268" t="s">
        <v>7</v>
      </c>
      <c r="E4268" s="2" t="s">
        <v>12</v>
      </c>
      <c r="F4268">
        <f t="shared" si="66"/>
        <v>3.2322899999999999</v>
      </c>
      <c r="G4268" t="s">
        <v>16</v>
      </c>
      <c r="I4268" t="s">
        <v>34</v>
      </c>
      <c r="J4268" t="str">
        <f>"06/06/1997 23:00"</f>
        <v>06/06/1997 23:00</v>
      </c>
    </row>
    <row r="4269" spans="1:10" x14ac:dyDescent="0.3">
      <c r="A4269" t="s">
        <v>6</v>
      </c>
      <c r="B4269" t="str">
        <f>"06/07/1997 00:00"</f>
        <v>06/07/1997 00:00</v>
      </c>
      <c r="C4269">
        <v>1.62</v>
      </c>
      <c r="D4269" t="s">
        <v>7</v>
      </c>
      <c r="E4269" s="2" t="s">
        <v>12</v>
      </c>
      <c r="F4269">
        <f t="shared" si="66"/>
        <v>3.2124600000000005</v>
      </c>
      <c r="G4269" t="s">
        <v>16</v>
      </c>
      <c r="I4269" t="s">
        <v>34</v>
      </c>
      <c r="J4269" t="str">
        <f>"06/07/1997 23:00"</f>
        <v>06/07/1997 23:00</v>
      </c>
    </row>
    <row r="4270" spans="1:10" x14ac:dyDescent="0.3">
      <c r="A4270" t="s">
        <v>6</v>
      </c>
      <c r="B4270" t="str">
        <f>"06/08/1997 00:00"</f>
        <v>06/08/1997 00:00</v>
      </c>
      <c r="C4270">
        <v>1.66</v>
      </c>
      <c r="D4270" t="s">
        <v>7</v>
      </c>
      <c r="E4270" s="2" t="s">
        <v>12</v>
      </c>
      <c r="F4270">
        <f t="shared" si="66"/>
        <v>3.2917800000000002</v>
      </c>
      <c r="G4270" t="s">
        <v>16</v>
      </c>
      <c r="I4270" t="s">
        <v>34</v>
      </c>
      <c r="J4270" t="str">
        <f>"06/08/1997 23:00"</f>
        <v>06/08/1997 23:00</v>
      </c>
    </row>
    <row r="4271" spans="1:10" x14ac:dyDescent="0.3">
      <c r="A4271" t="s">
        <v>6</v>
      </c>
      <c r="B4271" t="str">
        <f>"06/09/1997 00:00"</f>
        <v>06/09/1997 00:00</v>
      </c>
      <c r="C4271">
        <v>1.62</v>
      </c>
      <c r="D4271" t="s">
        <v>7</v>
      </c>
      <c r="E4271" s="2" t="s">
        <v>12</v>
      </c>
      <c r="F4271">
        <f t="shared" si="66"/>
        <v>3.2124600000000005</v>
      </c>
      <c r="G4271" t="s">
        <v>16</v>
      </c>
      <c r="I4271" t="s">
        <v>34</v>
      </c>
      <c r="J4271" t="str">
        <f>"06/09/1997 23:00"</f>
        <v>06/09/1997 23:00</v>
      </c>
    </row>
    <row r="4272" spans="1:10" x14ac:dyDescent="0.3">
      <c r="A4272" t="s">
        <v>6</v>
      </c>
      <c r="B4272" t="str">
        <f>"06/10/1997 00:00"</f>
        <v>06/10/1997 00:00</v>
      </c>
      <c r="C4272">
        <v>1.62</v>
      </c>
      <c r="D4272" t="s">
        <v>7</v>
      </c>
      <c r="E4272" s="2" t="s">
        <v>12</v>
      </c>
      <c r="F4272">
        <f t="shared" si="66"/>
        <v>3.2124600000000005</v>
      </c>
      <c r="G4272" t="s">
        <v>16</v>
      </c>
      <c r="I4272" t="s">
        <v>34</v>
      </c>
      <c r="J4272" t="str">
        <f>"06/10/1997 23:00"</f>
        <v>06/10/1997 23:00</v>
      </c>
    </row>
    <row r="4273" spans="1:10" x14ac:dyDescent="0.3">
      <c r="A4273" t="s">
        <v>6</v>
      </c>
      <c r="B4273" t="str">
        <f>"06/11/1997 00:00"</f>
        <v>06/11/1997 00:00</v>
      </c>
      <c r="C4273">
        <v>1.62</v>
      </c>
      <c r="D4273" t="s">
        <v>7</v>
      </c>
      <c r="E4273" s="2" t="s">
        <v>12</v>
      </c>
      <c r="F4273">
        <f t="shared" si="66"/>
        <v>3.2124600000000005</v>
      </c>
      <c r="G4273" t="s">
        <v>16</v>
      </c>
      <c r="I4273" t="s">
        <v>34</v>
      </c>
      <c r="J4273" t="str">
        <f>"06/11/1997 23:00"</f>
        <v>06/11/1997 23:00</v>
      </c>
    </row>
    <row r="4274" spans="1:10" x14ac:dyDescent="0.3">
      <c r="A4274" t="s">
        <v>6</v>
      </c>
      <c r="B4274" t="str">
        <f>"06/12/1997 00:00"</f>
        <v>06/12/1997 00:00</v>
      </c>
      <c r="C4274">
        <v>1.62</v>
      </c>
      <c r="D4274" t="s">
        <v>7</v>
      </c>
      <c r="E4274" s="2" t="s">
        <v>12</v>
      </c>
      <c r="F4274">
        <f t="shared" si="66"/>
        <v>3.2124600000000005</v>
      </c>
      <c r="G4274" t="s">
        <v>16</v>
      </c>
      <c r="I4274" t="s">
        <v>34</v>
      </c>
      <c r="J4274" t="str">
        <f>"06/12/1997 23:00"</f>
        <v>06/12/1997 23:00</v>
      </c>
    </row>
    <row r="4275" spans="1:10" x14ac:dyDescent="0.3">
      <c r="A4275" t="s">
        <v>6</v>
      </c>
      <c r="B4275" t="str">
        <f>"06/13/1997 00:00"</f>
        <v>06/13/1997 00:00</v>
      </c>
      <c r="C4275">
        <v>1.63</v>
      </c>
      <c r="D4275" t="s">
        <v>7</v>
      </c>
      <c r="E4275" s="2" t="s">
        <v>12</v>
      </c>
      <c r="F4275">
        <f t="shared" si="66"/>
        <v>3.2322899999999999</v>
      </c>
      <c r="G4275" t="s">
        <v>16</v>
      </c>
      <c r="I4275" t="s">
        <v>34</v>
      </c>
      <c r="J4275" t="str">
        <f>"06/13/1997 23:00"</f>
        <v>06/13/1997 23:00</v>
      </c>
    </row>
    <row r="4276" spans="1:10" x14ac:dyDescent="0.3">
      <c r="A4276" t="s">
        <v>6</v>
      </c>
      <c r="B4276" t="str">
        <f>"06/14/1997 00:00"</f>
        <v>06/14/1997 00:00</v>
      </c>
      <c r="C4276">
        <v>1.62</v>
      </c>
      <c r="D4276" t="s">
        <v>7</v>
      </c>
      <c r="E4276" s="2" t="s">
        <v>12</v>
      </c>
      <c r="F4276">
        <f t="shared" si="66"/>
        <v>3.2124600000000005</v>
      </c>
      <c r="G4276" t="s">
        <v>16</v>
      </c>
      <c r="I4276" t="s">
        <v>34</v>
      </c>
      <c r="J4276" t="str">
        <f>"06/14/1997 23:00"</f>
        <v>06/14/1997 23:00</v>
      </c>
    </row>
    <row r="4277" spans="1:10" x14ac:dyDescent="0.3">
      <c r="A4277" t="s">
        <v>6</v>
      </c>
      <c r="B4277" t="str">
        <f>"06/15/1997 00:00"</f>
        <v>06/15/1997 00:00</v>
      </c>
      <c r="C4277">
        <v>1.62</v>
      </c>
      <c r="D4277" t="s">
        <v>7</v>
      </c>
      <c r="E4277" s="2" t="s">
        <v>12</v>
      </c>
      <c r="F4277">
        <f t="shared" si="66"/>
        <v>3.2124600000000005</v>
      </c>
      <c r="G4277" t="s">
        <v>16</v>
      </c>
      <c r="I4277" t="s">
        <v>34</v>
      </c>
      <c r="J4277" t="str">
        <f>"06/15/1997 23:00"</f>
        <v>06/15/1997 23:00</v>
      </c>
    </row>
    <row r="4278" spans="1:10" x14ac:dyDescent="0.3">
      <c r="A4278" t="s">
        <v>6</v>
      </c>
      <c r="B4278" t="str">
        <f>"06/16/1997 00:00"</f>
        <v>06/16/1997 00:00</v>
      </c>
      <c r="C4278">
        <v>1.62</v>
      </c>
      <c r="D4278" t="s">
        <v>7</v>
      </c>
      <c r="E4278" s="2" t="s">
        <v>12</v>
      </c>
      <c r="F4278">
        <f t="shared" si="66"/>
        <v>3.2124600000000005</v>
      </c>
      <c r="G4278" t="s">
        <v>16</v>
      </c>
      <c r="I4278" t="s">
        <v>34</v>
      </c>
      <c r="J4278" t="str">
        <f>"06/16/1997 23:00"</f>
        <v>06/16/1997 23:00</v>
      </c>
    </row>
    <row r="4279" spans="1:10" x14ac:dyDescent="0.3">
      <c r="A4279" t="s">
        <v>6</v>
      </c>
      <c r="B4279" t="str">
        <f>"06/17/1997 00:00"</f>
        <v>06/17/1997 00:00</v>
      </c>
      <c r="C4279">
        <v>1.62</v>
      </c>
      <c r="D4279" t="s">
        <v>7</v>
      </c>
      <c r="E4279" s="2" t="s">
        <v>12</v>
      </c>
      <c r="F4279">
        <f t="shared" si="66"/>
        <v>3.2124600000000005</v>
      </c>
      <c r="G4279" t="s">
        <v>16</v>
      </c>
      <c r="I4279" t="s">
        <v>34</v>
      </c>
      <c r="J4279" t="str">
        <f>"06/17/1997 23:00"</f>
        <v>06/17/1997 23:00</v>
      </c>
    </row>
    <row r="4280" spans="1:10" x14ac:dyDescent="0.3">
      <c r="A4280" t="s">
        <v>6</v>
      </c>
      <c r="B4280" t="str">
        <f>"06/18/1997 00:00"</f>
        <v>06/18/1997 00:00</v>
      </c>
      <c r="C4280">
        <v>1.62</v>
      </c>
      <c r="D4280" t="s">
        <v>7</v>
      </c>
      <c r="E4280" s="2" t="s">
        <v>12</v>
      </c>
      <c r="F4280">
        <f t="shared" si="66"/>
        <v>3.2124600000000005</v>
      </c>
      <c r="G4280" t="s">
        <v>16</v>
      </c>
      <c r="I4280" t="s">
        <v>34</v>
      </c>
      <c r="J4280" t="str">
        <f>"06/18/1997 23:00"</f>
        <v>06/18/1997 23:00</v>
      </c>
    </row>
    <row r="4281" spans="1:10" x14ac:dyDescent="0.3">
      <c r="A4281" t="s">
        <v>6</v>
      </c>
      <c r="B4281" t="str">
        <f>"06/19/1997 00:00"</f>
        <v>06/19/1997 00:00</v>
      </c>
      <c r="C4281">
        <v>1.62</v>
      </c>
      <c r="D4281" t="s">
        <v>7</v>
      </c>
      <c r="E4281" s="2" t="s">
        <v>12</v>
      </c>
      <c r="F4281">
        <f t="shared" si="66"/>
        <v>3.2124600000000005</v>
      </c>
      <c r="G4281" t="s">
        <v>16</v>
      </c>
      <c r="I4281" t="s">
        <v>34</v>
      </c>
      <c r="J4281" t="str">
        <f>"06/19/1997 23:00"</f>
        <v>06/19/1997 23:00</v>
      </c>
    </row>
    <row r="4282" spans="1:10" x14ac:dyDescent="0.3">
      <c r="A4282" t="s">
        <v>6</v>
      </c>
      <c r="B4282" t="str">
        <f>"06/20/1997 00:00"</f>
        <v>06/20/1997 00:00</v>
      </c>
      <c r="C4282">
        <v>1.62</v>
      </c>
      <c r="D4282" t="s">
        <v>7</v>
      </c>
      <c r="E4282" s="2" t="s">
        <v>12</v>
      </c>
      <c r="F4282">
        <f t="shared" si="66"/>
        <v>3.2124600000000005</v>
      </c>
      <c r="G4282" t="s">
        <v>16</v>
      </c>
      <c r="I4282" t="s">
        <v>34</v>
      </c>
      <c r="J4282" t="str">
        <f>"06/20/1997 23:00"</f>
        <v>06/20/1997 23:00</v>
      </c>
    </row>
    <row r="4283" spans="1:10" x14ac:dyDescent="0.3">
      <c r="A4283" t="s">
        <v>6</v>
      </c>
      <c r="B4283" t="str">
        <f>"06/21/1997 00:00"</f>
        <v>06/21/1997 00:00</v>
      </c>
      <c r="C4283">
        <v>1.65</v>
      </c>
      <c r="D4283" t="s">
        <v>7</v>
      </c>
      <c r="E4283" s="2" t="s">
        <v>12</v>
      </c>
      <c r="F4283">
        <f t="shared" si="66"/>
        <v>3.2719499999999999</v>
      </c>
      <c r="G4283" t="s">
        <v>16</v>
      </c>
      <c r="I4283" t="s">
        <v>34</v>
      </c>
      <c r="J4283" t="str">
        <f>"06/21/1997 23:00"</f>
        <v>06/21/1997 23:00</v>
      </c>
    </row>
    <row r="4284" spans="1:10" x14ac:dyDescent="0.3">
      <c r="A4284" t="s">
        <v>6</v>
      </c>
      <c r="B4284" t="str">
        <f>"06/22/1997 00:00"</f>
        <v>06/22/1997 00:00</v>
      </c>
      <c r="C4284">
        <v>1.63</v>
      </c>
      <c r="D4284" t="s">
        <v>7</v>
      </c>
      <c r="E4284" s="2" t="s">
        <v>12</v>
      </c>
      <c r="F4284">
        <f t="shared" si="66"/>
        <v>3.2322899999999999</v>
      </c>
      <c r="G4284" t="s">
        <v>16</v>
      </c>
      <c r="I4284" t="s">
        <v>34</v>
      </c>
      <c r="J4284" t="str">
        <f>"06/22/1997 23:00"</f>
        <v>06/22/1997 23:00</v>
      </c>
    </row>
    <row r="4285" spans="1:10" x14ac:dyDescent="0.3">
      <c r="A4285" t="s">
        <v>6</v>
      </c>
      <c r="B4285" t="str">
        <f>"06/23/1997 00:00"</f>
        <v>06/23/1997 00:00</v>
      </c>
      <c r="C4285">
        <v>1.71</v>
      </c>
      <c r="D4285" t="s">
        <v>7</v>
      </c>
      <c r="E4285" s="2" t="s">
        <v>12</v>
      </c>
      <c r="F4285">
        <f t="shared" si="66"/>
        <v>3.39093</v>
      </c>
      <c r="G4285" t="s">
        <v>16</v>
      </c>
      <c r="I4285" t="s">
        <v>34</v>
      </c>
      <c r="J4285" t="str">
        <f>"06/23/1997 23:00"</f>
        <v>06/23/1997 23:00</v>
      </c>
    </row>
    <row r="4286" spans="1:10" x14ac:dyDescent="0.3">
      <c r="A4286" t="s">
        <v>6</v>
      </c>
      <c r="B4286" t="str">
        <f>"06/24/1997 00:00"</f>
        <v>06/24/1997 00:00</v>
      </c>
      <c r="C4286">
        <v>1.63</v>
      </c>
      <c r="D4286" t="s">
        <v>7</v>
      </c>
      <c r="E4286" s="2" t="s">
        <v>12</v>
      </c>
      <c r="F4286">
        <f t="shared" si="66"/>
        <v>3.2322899999999999</v>
      </c>
      <c r="G4286" t="s">
        <v>16</v>
      </c>
      <c r="I4286" t="s">
        <v>34</v>
      </c>
      <c r="J4286" t="str">
        <f>"06/24/1997 23:00"</f>
        <v>06/24/1997 23:00</v>
      </c>
    </row>
    <row r="4287" spans="1:10" x14ac:dyDescent="0.3">
      <c r="A4287" t="s">
        <v>6</v>
      </c>
      <c r="B4287" t="str">
        <f>"06/25/1997 00:00"</f>
        <v>06/25/1997 00:00</v>
      </c>
      <c r="C4287">
        <v>1.66</v>
      </c>
      <c r="D4287" t="s">
        <v>7</v>
      </c>
      <c r="E4287" s="2" t="s">
        <v>12</v>
      </c>
      <c r="F4287">
        <f t="shared" si="66"/>
        <v>3.2917800000000002</v>
      </c>
      <c r="G4287" t="s">
        <v>16</v>
      </c>
      <c r="I4287" t="s">
        <v>34</v>
      </c>
      <c r="J4287" t="str">
        <f>"06/25/1997 23:00"</f>
        <v>06/25/1997 23:00</v>
      </c>
    </row>
    <row r="4288" spans="1:10" x14ac:dyDescent="0.3">
      <c r="A4288" t="s">
        <v>6</v>
      </c>
      <c r="B4288" t="str">
        <f>"06/26/1997 00:00"</f>
        <v>06/26/1997 00:00</v>
      </c>
      <c r="C4288">
        <v>1.81</v>
      </c>
      <c r="D4288" t="s">
        <v>7</v>
      </c>
      <c r="E4288" s="2" t="s">
        <v>12</v>
      </c>
      <c r="F4288">
        <f t="shared" si="66"/>
        <v>3.5892300000000001</v>
      </c>
      <c r="G4288" t="s">
        <v>16</v>
      </c>
      <c r="I4288" t="s">
        <v>34</v>
      </c>
      <c r="J4288" t="str">
        <f>"06/26/1997 23:00"</f>
        <v>06/26/1997 23:00</v>
      </c>
    </row>
    <row r="4289" spans="1:10" x14ac:dyDescent="0.3">
      <c r="A4289" t="s">
        <v>6</v>
      </c>
      <c r="B4289" t="str">
        <f>"06/27/1997 00:00"</f>
        <v>06/27/1997 00:00</v>
      </c>
      <c r="C4289">
        <v>1.83</v>
      </c>
      <c r="D4289" t="s">
        <v>7</v>
      </c>
      <c r="E4289" s="2" t="s">
        <v>12</v>
      </c>
      <c r="F4289">
        <f t="shared" si="66"/>
        <v>3.6288900000000002</v>
      </c>
      <c r="G4289" t="s">
        <v>16</v>
      </c>
      <c r="I4289" t="s">
        <v>34</v>
      </c>
      <c r="J4289" t="str">
        <f>"06/27/1997 23:00"</f>
        <v>06/27/1997 23:00</v>
      </c>
    </row>
    <row r="4290" spans="1:10" x14ac:dyDescent="0.3">
      <c r="A4290" t="s">
        <v>6</v>
      </c>
      <c r="B4290" t="str">
        <f>"06/28/1997 00:00"</f>
        <v>06/28/1997 00:00</v>
      </c>
      <c r="C4290">
        <v>1.9</v>
      </c>
      <c r="D4290" t="s">
        <v>7</v>
      </c>
      <c r="E4290" s="2" t="s">
        <v>12</v>
      </c>
      <c r="F4290">
        <f t="shared" si="66"/>
        <v>3.7677</v>
      </c>
      <c r="G4290" t="s">
        <v>16</v>
      </c>
      <c r="I4290" t="s">
        <v>34</v>
      </c>
      <c r="J4290" t="str">
        <f>"06/28/1997 23:00"</f>
        <v>06/28/1997 23:00</v>
      </c>
    </row>
    <row r="4291" spans="1:10" x14ac:dyDescent="0.3">
      <c r="A4291" t="s">
        <v>6</v>
      </c>
      <c r="B4291" t="str">
        <f>"06/29/1997 00:00"</f>
        <v>06/29/1997 00:00</v>
      </c>
      <c r="C4291">
        <v>1.92</v>
      </c>
      <c r="D4291" t="s">
        <v>7</v>
      </c>
      <c r="E4291" s="2" t="s">
        <v>12</v>
      </c>
      <c r="F4291">
        <f t="shared" ref="F4291:F4354" si="67">C4291*1.983</f>
        <v>3.8073600000000001</v>
      </c>
      <c r="G4291" t="s">
        <v>16</v>
      </c>
      <c r="I4291" t="s">
        <v>34</v>
      </c>
      <c r="J4291" t="str">
        <f>"06/29/1997 23:00"</f>
        <v>06/29/1997 23:00</v>
      </c>
    </row>
    <row r="4292" spans="1:10" x14ac:dyDescent="0.3">
      <c r="A4292" t="s">
        <v>6</v>
      </c>
      <c r="B4292" t="str">
        <f>"06/30/1997 00:00"</f>
        <v>06/30/1997 00:00</v>
      </c>
      <c r="C4292">
        <v>1.92</v>
      </c>
      <c r="D4292" t="s">
        <v>7</v>
      </c>
      <c r="E4292" s="2" t="s">
        <v>12</v>
      </c>
      <c r="F4292">
        <f t="shared" si="67"/>
        <v>3.8073600000000001</v>
      </c>
      <c r="G4292" t="s">
        <v>16</v>
      </c>
      <c r="I4292" t="s">
        <v>34</v>
      </c>
      <c r="J4292" t="str">
        <f>"06/30/1997 23:00"</f>
        <v>06/30/1997 23:00</v>
      </c>
    </row>
    <row r="4293" spans="1:10" x14ac:dyDescent="0.3">
      <c r="A4293" t="s">
        <v>6</v>
      </c>
      <c r="B4293" t="str">
        <f>"07/01/1997 00:00"</f>
        <v>07/01/1997 00:00</v>
      </c>
      <c r="C4293">
        <v>1.83</v>
      </c>
      <c r="D4293" t="s">
        <v>7</v>
      </c>
      <c r="E4293" s="2" t="s">
        <v>12</v>
      </c>
      <c r="F4293">
        <f t="shared" si="67"/>
        <v>3.6288900000000002</v>
      </c>
      <c r="G4293" t="s">
        <v>16</v>
      </c>
      <c r="I4293" t="s">
        <v>34</v>
      </c>
      <c r="J4293" t="str">
        <f>"07/01/1997 23:00"</f>
        <v>07/01/1997 23:00</v>
      </c>
    </row>
    <row r="4294" spans="1:10" x14ac:dyDescent="0.3">
      <c r="A4294" t="s">
        <v>6</v>
      </c>
      <c r="B4294" t="str">
        <f>"07/02/1997 00:00"</f>
        <v>07/02/1997 00:00</v>
      </c>
      <c r="C4294">
        <v>1.91</v>
      </c>
      <c r="D4294" t="s">
        <v>7</v>
      </c>
      <c r="E4294" s="2" t="s">
        <v>12</v>
      </c>
      <c r="F4294">
        <f t="shared" si="67"/>
        <v>3.7875299999999998</v>
      </c>
      <c r="G4294" t="s">
        <v>16</v>
      </c>
      <c r="I4294" t="s">
        <v>34</v>
      </c>
      <c r="J4294" t="str">
        <f>"07/02/1997 23:00"</f>
        <v>07/02/1997 23:00</v>
      </c>
    </row>
    <row r="4295" spans="1:10" x14ac:dyDescent="0.3">
      <c r="A4295" t="s">
        <v>6</v>
      </c>
      <c r="B4295" t="str">
        <f>"07/03/1997 00:00"</f>
        <v>07/03/1997 00:00</v>
      </c>
      <c r="C4295">
        <v>1.92</v>
      </c>
      <c r="D4295" t="s">
        <v>7</v>
      </c>
      <c r="E4295" s="2" t="s">
        <v>12</v>
      </c>
      <c r="F4295">
        <f t="shared" si="67"/>
        <v>3.8073600000000001</v>
      </c>
      <c r="G4295" t="s">
        <v>16</v>
      </c>
      <c r="I4295" t="s">
        <v>34</v>
      </c>
      <c r="J4295" t="str">
        <f>"07/03/1997 23:00"</f>
        <v>07/03/1997 23:00</v>
      </c>
    </row>
    <row r="4296" spans="1:10" x14ac:dyDescent="0.3">
      <c r="A4296" t="s">
        <v>6</v>
      </c>
      <c r="B4296" t="str">
        <f>"07/04/1997 00:00"</f>
        <v>07/04/1997 00:00</v>
      </c>
      <c r="C4296">
        <v>1.92</v>
      </c>
      <c r="D4296" t="s">
        <v>7</v>
      </c>
      <c r="E4296" s="2" t="s">
        <v>12</v>
      </c>
      <c r="F4296">
        <f t="shared" si="67"/>
        <v>3.8073600000000001</v>
      </c>
      <c r="G4296" t="s">
        <v>16</v>
      </c>
      <c r="I4296" t="s">
        <v>34</v>
      </c>
      <c r="J4296" t="str">
        <f>"07/04/1997 23:00"</f>
        <v>07/04/1997 23:00</v>
      </c>
    </row>
    <row r="4297" spans="1:10" x14ac:dyDescent="0.3">
      <c r="A4297" t="s">
        <v>6</v>
      </c>
      <c r="B4297" t="str">
        <f>"07/05/1997 00:00"</f>
        <v>07/05/1997 00:00</v>
      </c>
      <c r="C4297">
        <v>1.92</v>
      </c>
      <c r="D4297" t="s">
        <v>7</v>
      </c>
      <c r="E4297" s="2" t="s">
        <v>12</v>
      </c>
      <c r="F4297">
        <f t="shared" si="67"/>
        <v>3.8073600000000001</v>
      </c>
      <c r="G4297" t="s">
        <v>16</v>
      </c>
      <c r="I4297" t="s">
        <v>34</v>
      </c>
      <c r="J4297" t="str">
        <f>"07/05/1997 23:00"</f>
        <v>07/05/1997 23:00</v>
      </c>
    </row>
    <row r="4298" spans="1:10" x14ac:dyDescent="0.3">
      <c r="A4298" t="s">
        <v>6</v>
      </c>
      <c r="B4298" t="str">
        <f>"07/06/1997 00:00"</f>
        <v>07/06/1997 00:00</v>
      </c>
      <c r="C4298">
        <v>1.92</v>
      </c>
      <c r="D4298" t="s">
        <v>7</v>
      </c>
      <c r="E4298" s="2" t="s">
        <v>12</v>
      </c>
      <c r="F4298">
        <f t="shared" si="67"/>
        <v>3.8073600000000001</v>
      </c>
      <c r="G4298" t="s">
        <v>16</v>
      </c>
      <c r="I4298" t="s">
        <v>34</v>
      </c>
      <c r="J4298" t="str">
        <f>"07/06/1997 23:00"</f>
        <v>07/06/1997 23:00</v>
      </c>
    </row>
    <row r="4299" spans="1:10" x14ac:dyDescent="0.3">
      <c r="A4299" t="s">
        <v>6</v>
      </c>
      <c r="B4299" t="str">
        <f>"07/07/1997 00:00"</f>
        <v>07/07/1997 00:00</v>
      </c>
      <c r="C4299">
        <v>1.92</v>
      </c>
      <c r="D4299" t="s">
        <v>7</v>
      </c>
      <c r="E4299" s="2" t="s">
        <v>12</v>
      </c>
      <c r="F4299">
        <f t="shared" si="67"/>
        <v>3.8073600000000001</v>
      </c>
      <c r="G4299" t="s">
        <v>16</v>
      </c>
      <c r="I4299" t="s">
        <v>34</v>
      </c>
      <c r="J4299" t="str">
        <f>"07/07/1997 23:00"</f>
        <v>07/07/1997 23:00</v>
      </c>
    </row>
    <row r="4300" spans="1:10" x14ac:dyDescent="0.3">
      <c r="A4300" t="s">
        <v>6</v>
      </c>
      <c r="B4300" t="str">
        <f>"07/08/1997 00:00"</f>
        <v>07/08/1997 00:00</v>
      </c>
      <c r="C4300">
        <v>1.92</v>
      </c>
      <c r="D4300" t="s">
        <v>7</v>
      </c>
      <c r="E4300" s="2" t="s">
        <v>12</v>
      </c>
      <c r="F4300">
        <f t="shared" si="67"/>
        <v>3.8073600000000001</v>
      </c>
      <c r="G4300" t="s">
        <v>16</v>
      </c>
      <c r="I4300" t="s">
        <v>34</v>
      </c>
      <c r="J4300" t="str">
        <f>"07/08/1997 23:00"</f>
        <v>07/08/1997 23:00</v>
      </c>
    </row>
    <row r="4301" spans="1:10" x14ac:dyDescent="0.3">
      <c r="A4301" t="s">
        <v>6</v>
      </c>
      <c r="B4301" t="str">
        <f>"07/09/1997 00:00"</f>
        <v>07/09/1997 00:00</v>
      </c>
      <c r="C4301">
        <v>1.92</v>
      </c>
      <c r="D4301" t="s">
        <v>7</v>
      </c>
      <c r="E4301" s="2" t="s">
        <v>12</v>
      </c>
      <c r="F4301">
        <f t="shared" si="67"/>
        <v>3.8073600000000001</v>
      </c>
      <c r="G4301" t="s">
        <v>16</v>
      </c>
      <c r="I4301" t="s">
        <v>34</v>
      </c>
      <c r="J4301" t="str">
        <f>"07/09/1997 23:00"</f>
        <v>07/09/1997 23:00</v>
      </c>
    </row>
    <row r="4302" spans="1:10" x14ac:dyDescent="0.3">
      <c r="A4302" t="s">
        <v>6</v>
      </c>
      <c r="B4302" t="str">
        <f>"07/10/1997 00:00"</f>
        <v>07/10/1997 00:00</v>
      </c>
      <c r="C4302">
        <v>57</v>
      </c>
      <c r="D4302" t="s">
        <v>7</v>
      </c>
      <c r="E4302" s="2" t="s">
        <v>12</v>
      </c>
      <c r="F4302">
        <f t="shared" si="67"/>
        <v>113.03100000000001</v>
      </c>
      <c r="G4302" t="s">
        <v>16</v>
      </c>
      <c r="I4302" t="s">
        <v>8</v>
      </c>
      <c r="J4302" t="str">
        <f>"07/10/1997 23:00"</f>
        <v>07/10/1997 23:00</v>
      </c>
    </row>
    <row r="4303" spans="1:10" x14ac:dyDescent="0.3">
      <c r="A4303" t="s">
        <v>6</v>
      </c>
      <c r="B4303" t="str">
        <f>"07/11/1997 00:00"</f>
        <v>07/11/1997 00:00</v>
      </c>
      <c r="C4303">
        <v>164</v>
      </c>
      <c r="D4303" t="s">
        <v>7</v>
      </c>
      <c r="E4303" s="2" t="s">
        <v>12</v>
      </c>
      <c r="F4303">
        <f t="shared" si="67"/>
        <v>325.21199999999999</v>
      </c>
      <c r="G4303" t="s">
        <v>16</v>
      </c>
      <c r="J4303" t="str">
        <f>"07/11/1997 23:00"</f>
        <v>07/11/1997 23:00</v>
      </c>
    </row>
    <row r="4304" spans="1:10" x14ac:dyDescent="0.3">
      <c r="A4304" t="s">
        <v>6</v>
      </c>
      <c r="B4304" t="str">
        <f>"07/12/1997 00:00"</f>
        <v>07/12/1997 00:00</v>
      </c>
      <c r="C4304">
        <v>221</v>
      </c>
      <c r="D4304" t="s">
        <v>7</v>
      </c>
      <c r="E4304" s="2" t="s">
        <v>12</v>
      </c>
      <c r="F4304">
        <f t="shared" si="67"/>
        <v>438.24299999999999</v>
      </c>
      <c r="G4304" t="s">
        <v>16</v>
      </c>
      <c r="J4304" t="str">
        <f>"07/12/1997 23:00"</f>
        <v>07/12/1997 23:00</v>
      </c>
    </row>
    <row r="4305" spans="1:10" x14ac:dyDescent="0.3">
      <c r="A4305" t="s">
        <v>6</v>
      </c>
      <c r="B4305" t="str">
        <f>"07/13/1997 00:00"</f>
        <v>07/13/1997 00:00</v>
      </c>
      <c r="C4305">
        <v>273</v>
      </c>
      <c r="D4305" t="s">
        <v>7</v>
      </c>
      <c r="E4305" s="2" t="s">
        <v>12</v>
      </c>
      <c r="F4305">
        <f t="shared" si="67"/>
        <v>541.35900000000004</v>
      </c>
      <c r="G4305" t="s">
        <v>16</v>
      </c>
      <c r="J4305" t="str">
        <f>"07/13/1997 23:00"</f>
        <v>07/13/1997 23:00</v>
      </c>
    </row>
    <row r="4306" spans="1:10" x14ac:dyDescent="0.3">
      <c r="A4306" t="s">
        <v>6</v>
      </c>
      <c r="B4306" t="str">
        <f>"07/14/1997 00:00"</f>
        <v>07/14/1997 00:00</v>
      </c>
      <c r="C4306">
        <v>324</v>
      </c>
      <c r="D4306" t="s">
        <v>7</v>
      </c>
      <c r="E4306" s="2" t="s">
        <v>12</v>
      </c>
      <c r="F4306">
        <f t="shared" si="67"/>
        <v>642.49200000000008</v>
      </c>
      <c r="G4306" t="s">
        <v>16</v>
      </c>
      <c r="J4306" t="str">
        <f>"07/14/1997 23:00"</f>
        <v>07/14/1997 23:00</v>
      </c>
    </row>
    <row r="4307" spans="1:10" x14ac:dyDescent="0.3">
      <c r="A4307" t="s">
        <v>6</v>
      </c>
      <c r="B4307" t="str">
        <f>"07/15/1997 00:00"</f>
        <v>07/15/1997 00:00</v>
      </c>
      <c r="C4307">
        <v>437</v>
      </c>
      <c r="D4307" t="s">
        <v>7</v>
      </c>
      <c r="E4307" s="2" t="s">
        <v>12</v>
      </c>
      <c r="F4307">
        <f t="shared" si="67"/>
        <v>866.57100000000003</v>
      </c>
      <c r="G4307" t="s">
        <v>16</v>
      </c>
      <c r="J4307" t="str">
        <f>"07/15/1997 23:00"</f>
        <v>07/15/1997 23:00</v>
      </c>
    </row>
    <row r="4308" spans="1:10" x14ac:dyDescent="0.3">
      <c r="A4308" t="s">
        <v>6</v>
      </c>
      <c r="B4308" t="str">
        <f>"07/16/1997 00:00"</f>
        <v>07/16/1997 00:00</v>
      </c>
      <c r="C4308">
        <v>382</v>
      </c>
      <c r="D4308" t="s">
        <v>7</v>
      </c>
      <c r="E4308" s="2" t="s">
        <v>12</v>
      </c>
      <c r="F4308">
        <f t="shared" si="67"/>
        <v>757.50600000000009</v>
      </c>
      <c r="G4308" t="s">
        <v>16</v>
      </c>
      <c r="J4308" t="str">
        <f>"07/16/1997 23:00"</f>
        <v>07/16/1997 23:00</v>
      </c>
    </row>
    <row r="4309" spans="1:10" x14ac:dyDescent="0.3">
      <c r="A4309" t="s">
        <v>6</v>
      </c>
      <c r="B4309" t="str">
        <f>"07/17/1997 00:00"</f>
        <v>07/17/1997 00:00</v>
      </c>
      <c r="C4309">
        <v>471</v>
      </c>
      <c r="D4309" t="s">
        <v>7</v>
      </c>
      <c r="E4309" s="2" t="s">
        <v>12</v>
      </c>
      <c r="F4309">
        <f t="shared" si="67"/>
        <v>933.99300000000005</v>
      </c>
      <c r="G4309" t="s">
        <v>16</v>
      </c>
      <c r="J4309" t="str">
        <f>"07/17/1997 23:00"</f>
        <v>07/17/1997 23:00</v>
      </c>
    </row>
    <row r="4310" spans="1:10" x14ac:dyDescent="0.3">
      <c r="A4310" t="s">
        <v>6</v>
      </c>
      <c r="B4310" t="str">
        <f>"07/18/1997 00:00"</f>
        <v>07/18/1997 00:00</v>
      </c>
      <c r="C4310">
        <v>477</v>
      </c>
      <c r="D4310" t="s">
        <v>7</v>
      </c>
      <c r="E4310" s="2" t="s">
        <v>12</v>
      </c>
      <c r="F4310">
        <f t="shared" si="67"/>
        <v>945.89100000000008</v>
      </c>
      <c r="G4310" t="s">
        <v>16</v>
      </c>
      <c r="J4310" t="str">
        <f>"07/18/1997 23:00"</f>
        <v>07/18/1997 23:00</v>
      </c>
    </row>
    <row r="4311" spans="1:10" x14ac:dyDescent="0.3">
      <c r="A4311" t="s">
        <v>6</v>
      </c>
      <c r="B4311" t="str">
        <f>"07/19/1997 00:00"</f>
        <v>07/19/1997 00:00</v>
      </c>
      <c r="C4311">
        <v>476</v>
      </c>
      <c r="D4311" t="s">
        <v>7</v>
      </c>
      <c r="E4311" s="2" t="s">
        <v>12</v>
      </c>
      <c r="F4311">
        <f t="shared" si="67"/>
        <v>943.90800000000002</v>
      </c>
      <c r="G4311" t="s">
        <v>16</v>
      </c>
      <c r="J4311" t="str">
        <f>"07/19/1997 23:00"</f>
        <v>07/19/1997 23:00</v>
      </c>
    </row>
    <row r="4312" spans="1:10" x14ac:dyDescent="0.3">
      <c r="A4312" t="s">
        <v>6</v>
      </c>
      <c r="B4312" t="str">
        <f>"07/20/1997 00:00"</f>
        <v>07/20/1997 00:00</v>
      </c>
      <c r="C4312">
        <v>476</v>
      </c>
      <c r="D4312" t="s">
        <v>7</v>
      </c>
      <c r="E4312" s="2" t="s">
        <v>12</v>
      </c>
      <c r="F4312">
        <f t="shared" si="67"/>
        <v>943.90800000000002</v>
      </c>
      <c r="G4312" t="s">
        <v>16</v>
      </c>
      <c r="J4312" t="str">
        <f>"07/20/1997 23:00"</f>
        <v>07/20/1997 23:00</v>
      </c>
    </row>
    <row r="4313" spans="1:10" x14ac:dyDescent="0.3">
      <c r="A4313" t="s">
        <v>6</v>
      </c>
      <c r="B4313" t="str">
        <f>"07/21/1997 00:00"</f>
        <v>07/21/1997 00:00</v>
      </c>
      <c r="C4313">
        <v>488</v>
      </c>
      <c r="D4313" t="s">
        <v>7</v>
      </c>
      <c r="E4313" s="2" t="s">
        <v>12</v>
      </c>
      <c r="F4313">
        <f t="shared" si="67"/>
        <v>967.70400000000006</v>
      </c>
      <c r="G4313" t="s">
        <v>16</v>
      </c>
      <c r="J4313" t="str">
        <f>"07/21/1997 23:00"</f>
        <v>07/21/1997 23:00</v>
      </c>
    </row>
    <row r="4314" spans="1:10" x14ac:dyDescent="0.3">
      <c r="A4314" t="s">
        <v>6</v>
      </c>
      <c r="B4314" t="str">
        <f>"07/22/1997 00:00"</f>
        <v>07/22/1997 00:00</v>
      </c>
      <c r="C4314">
        <v>506</v>
      </c>
      <c r="D4314" t="s">
        <v>7</v>
      </c>
      <c r="E4314" s="2" t="s">
        <v>12</v>
      </c>
      <c r="F4314">
        <f t="shared" si="67"/>
        <v>1003.398</v>
      </c>
      <c r="G4314" t="s">
        <v>16</v>
      </c>
      <c r="J4314" t="str">
        <f>"07/22/1997 23:00"</f>
        <v>07/22/1997 23:00</v>
      </c>
    </row>
    <row r="4315" spans="1:10" x14ac:dyDescent="0.3">
      <c r="A4315" t="s">
        <v>6</v>
      </c>
      <c r="B4315" t="str">
        <f>"07/23/1997 00:00"</f>
        <v>07/23/1997 00:00</v>
      </c>
      <c r="C4315">
        <v>351</v>
      </c>
      <c r="D4315" t="s">
        <v>7</v>
      </c>
      <c r="E4315" s="2" t="s">
        <v>12</v>
      </c>
      <c r="F4315">
        <f t="shared" si="67"/>
        <v>696.03300000000002</v>
      </c>
      <c r="G4315" t="s">
        <v>16</v>
      </c>
      <c r="J4315" t="str">
        <f>"07/23/1997 23:00"</f>
        <v>07/23/1997 23:00</v>
      </c>
    </row>
    <row r="4316" spans="1:10" x14ac:dyDescent="0.3">
      <c r="A4316" t="s">
        <v>6</v>
      </c>
      <c r="B4316" t="str">
        <f>"07/24/1997 00:00"</f>
        <v>07/24/1997 00:00</v>
      </c>
      <c r="C4316">
        <v>469</v>
      </c>
      <c r="D4316" t="s">
        <v>7</v>
      </c>
      <c r="E4316" s="2" t="s">
        <v>12</v>
      </c>
      <c r="F4316">
        <f t="shared" si="67"/>
        <v>930.02700000000004</v>
      </c>
      <c r="G4316" t="s">
        <v>16</v>
      </c>
      <c r="J4316" t="str">
        <f>"07/24/1997 23:00"</f>
        <v>07/24/1997 23:00</v>
      </c>
    </row>
    <row r="4317" spans="1:10" x14ac:dyDescent="0.3">
      <c r="A4317" t="s">
        <v>6</v>
      </c>
      <c r="B4317" t="str">
        <f>"07/25/1997 00:00"</f>
        <v>07/25/1997 00:00</v>
      </c>
      <c r="C4317">
        <v>494</v>
      </c>
      <c r="D4317" t="s">
        <v>7</v>
      </c>
      <c r="E4317" s="2" t="s">
        <v>12</v>
      </c>
      <c r="F4317">
        <f t="shared" si="67"/>
        <v>979.60200000000009</v>
      </c>
      <c r="G4317" t="s">
        <v>16</v>
      </c>
      <c r="J4317" t="str">
        <f>"07/25/1997 23:00"</f>
        <v>07/25/1997 23:00</v>
      </c>
    </row>
    <row r="4318" spans="1:10" x14ac:dyDescent="0.3">
      <c r="A4318" t="s">
        <v>6</v>
      </c>
      <c r="B4318" t="str">
        <f>"07/26/1997 00:00"</f>
        <v>07/26/1997 00:00</v>
      </c>
      <c r="C4318">
        <v>495</v>
      </c>
      <c r="D4318" t="s">
        <v>7</v>
      </c>
      <c r="E4318" s="2" t="s">
        <v>12</v>
      </c>
      <c r="F4318">
        <f t="shared" si="67"/>
        <v>981.58500000000004</v>
      </c>
      <c r="G4318" t="s">
        <v>16</v>
      </c>
      <c r="J4318" t="str">
        <f>"07/26/1997 23:00"</f>
        <v>07/26/1997 23:00</v>
      </c>
    </row>
    <row r="4319" spans="1:10" x14ac:dyDescent="0.3">
      <c r="A4319" t="s">
        <v>6</v>
      </c>
      <c r="B4319" t="str">
        <f>"07/27/1997 00:00"</f>
        <v>07/27/1997 00:00</v>
      </c>
      <c r="C4319">
        <v>497</v>
      </c>
      <c r="D4319" t="s">
        <v>7</v>
      </c>
      <c r="E4319" s="2" t="s">
        <v>12</v>
      </c>
      <c r="F4319">
        <f t="shared" si="67"/>
        <v>985.55100000000004</v>
      </c>
      <c r="G4319" t="s">
        <v>16</v>
      </c>
      <c r="J4319" t="str">
        <f>"07/27/1997 23:00"</f>
        <v>07/27/1997 23:00</v>
      </c>
    </row>
    <row r="4320" spans="1:10" x14ac:dyDescent="0.3">
      <c r="A4320" t="s">
        <v>6</v>
      </c>
      <c r="B4320" t="str">
        <f>"07/28/1997 00:00"</f>
        <v>07/28/1997 00:00</v>
      </c>
      <c r="C4320">
        <v>449</v>
      </c>
      <c r="D4320" t="s">
        <v>7</v>
      </c>
      <c r="E4320" s="2" t="s">
        <v>12</v>
      </c>
      <c r="F4320">
        <f t="shared" si="67"/>
        <v>890.36700000000008</v>
      </c>
      <c r="G4320" t="s">
        <v>16</v>
      </c>
      <c r="J4320" t="str">
        <f>"07/28/1997 23:00"</f>
        <v>07/28/1997 23:00</v>
      </c>
    </row>
    <row r="4321" spans="1:10" x14ac:dyDescent="0.3">
      <c r="A4321" t="s">
        <v>6</v>
      </c>
      <c r="B4321" t="str">
        <f>"07/29/1997 00:00"</f>
        <v>07/29/1997 00:00</v>
      </c>
      <c r="C4321">
        <v>118</v>
      </c>
      <c r="D4321" t="s">
        <v>7</v>
      </c>
      <c r="E4321" s="2" t="s">
        <v>12</v>
      </c>
      <c r="F4321">
        <f t="shared" si="67"/>
        <v>233.994</v>
      </c>
      <c r="G4321" t="s">
        <v>16</v>
      </c>
      <c r="I4321" t="s">
        <v>8</v>
      </c>
      <c r="J4321" t="str">
        <f>"07/29/1997 23:00"</f>
        <v>07/29/1997 23:00</v>
      </c>
    </row>
    <row r="4322" spans="1:10" x14ac:dyDescent="0.3">
      <c r="A4322" t="s">
        <v>6</v>
      </c>
      <c r="B4322" t="str">
        <f>"07/30/1997 00:00"</f>
        <v>07/30/1997 00:00</v>
      </c>
      <c r="C4322">
        <v>1.34</v>
      </c>
      <c r="D4322" t="s">
        <v>7</v>
      </c>
      <c r="E4322" s="2" t="s">
        <v>12</v>
      </c>
      <c r="F4322">
        <f t="shared" si="67"/>
        <v>2.6572200000000001</v>
      </c>
      <c r="G4322" t="s">
        <v>16</v>
      </c>
      <c r="I4322" t="s">
        <v>34</v>
      </c>
      <c r="J4322" t="str">
        <f>"07/30/1997 23:00"</f>
        <v>07/30/1997 23:00</v>
      </c>
    </row>
    <row r="4323" spans="1:10" x14ac:dyDescent="0.3">
      <c r="A4323" t="s">
        <v>6</v>
      </c>
      <c r="B4323" t="str">
        <f>"07/31/1997 00:00"</f>
        <v>07/31/1997 00:00</v>
      </c>
      <c r="C4323">
        <v>46.6</v>
      </c>
      <c r="D4323" t="s">
        <v>7</v>
      </c>
      <c r="E4323" s="2" t="s">
        <v>12</v>
      </c>
      <c r="F4323">
        <f t="shared" si="67"/>
        <v>92.407800000000009</v>
      </c>
      <c r="G4323" t="s">
        <v>16</v>
      </c>
      <c r="I4323" t="s">
        <v>8</v>
      </c>
      <c r="J4323" t="str">
        <f>"07/31/1997 23:00"</f>
        <v>07/31/1997 23:00</v>
      </c>
    </row>
    <row r="4324" spans="1:10" x14ac:dyDescent="0.3">
      <c r="A4324" t="s">
        <v>6</v>
      </c>
      <c r="B4324" t="str">
        <f>"08/01/1997 00:00"</f>
        <v>08/01/1997 00:00</v>
      </c>
      <c r="C4324">
        <v>1.34</v>
      </c>
      <c r="D4324" t="s">
        <v>7</v>
      </c>
      <c r="E4324" s="2" t="s">
        <v>12</v>
      </c>
      <c r="F4324">
        <f t="shared" si="67"/>
        <v>2.6572200000000001</v>
      </c>
      <c r="G4324" t="s">
        <v>16</v>
      </c>
      <c r="I4324" t="s">
        <v>34</v>
      </c>
      <c r="J4324" t="str">
        <f>"08/01/1997 23:00"</f>
        <v>08/01/1997 23:00</v>
      </c>
    </row>
    <row r="4325" spans="1:10" x14ac:dyDescent="0.3">
      <c r="A4325" t="s">
        <v>6</v>
      </c>
      <c r="B4325" t="str">
        <f>"08/02/1997 00:00"</f>
        <v>08/02/1997 00:00</v>
      </c>
      <c r="C4325">
        <v>1.34</v>
      </c>
      <c r="D4325" t="s">
        <v>7</v>
      </c>
      <c r="E4325" s="2" t="s">
        <v>12</v>
      </c>
      <c r="F4325">
        <f t="shared" si="67"/>
        <v>2.6572200000000001</v>
      </c>
      <c r="G4325" t="s">
        <v>16</v>
      </c>
      <c r="I4325" t="s">
        <v>34</v>
      </c>
      <c r="J4325" t="str">
        <f>"08/02/1997 23:00"</f>
        <v>08/02/1997 23:00</v>
      </c>
    </row>
    <row r="4326" spans="1:10" x14ac:dyDescent="0.3">
      <c r="A4326" t="s">
        <v>6</v>
      </c>
      <c r="B4326" t="str">
        <f>"08/03/1997 00:00"</f>
        <v>08/03/1997 00:00</v>
      </c>
      <c r="C4326">
        <v>1.34</v>
      </c>
      <c r="D4326" t="s">
        <v>7</v>
      </c>
      <c r="E4326" s="2" t="s">
        <v>12</v>
      </c>
      <c r="F4326">
        <f t="shared" si="67"/>
        <v>2.6572200000000001</v>
      </c>
      <c r="G4326" t="s">
        <v>16</v>
      </c>
      <c r="I4326" t="s">
        <v>34</v>
      </c>
      <c r="J4326" t="str">
        <f>"08/03/1997 23:00"</f>
        <v>08/03/1997 23:00</v>
      </c>
    </row>
    <row r="4327" spans="1:10" x14ac:dyDescent="0.3">
      <c r="A4327" t="s">
        <v>6</v>
      </c>
      <c r="B4327" t="str">
        <f>"08/04/1997 00:00"</f>
        <v>08/04/1997 00:00</v>
      </c>
      <c r="C4327">
        <v>1.35</v>
      </c>
      <c r="D4327" t="s">
        <v>7</v>
      </c>
      <c r="E4327" s="2" t="s">
        <v>12</v>
      </c>
      <c r="F4327">
        <f t="shared" si="67"/>
        <v>2.6770500000000004</v>
      </c>
      <c r="G4327" t="s">
        <v>16</v>
      </c>
      <c r="I4327" t="s">
        <v>34</v>
      </c>
      <c r="J4327" t="str">
        <f>"08/04/1997 23:00"</f>
        <v>08/04/1997 23:00</v>
      </c>
    </row>
    <row r="4328" spans="1:10" x14ac:dyDescent="0.3">
      <c r="A4328" t="s">
        <v>6</v>
      </c>
      <c r="B4328" t="str">
        <f>"08/05/1997 00:00"</f>
        <v>08/05/1997 00:00</v>
      </c>
      <c r="C4328">
        <v>1.34</v>
      </c>
      <c r="D4328" t="s">
        <v>7</v>
      </c>
      <c r="E4328" s="2" t="s">
        <v>12</v>
      </c>
      <c r="F4328">
        <f t="shared" si="67"/>
        <v>2.6572200000000001</v>
      </c>
      <c r="G4328" t="s">
        <v>16</v>
      </c>
      <c r="I4328" t="s">
        <v>34</v>
      </c>
      <c r="J4328" t="str">
        <f>"08/05/1997 23:00"</f>
        <v>08/05/1997 23:00</v>
      </c>
    </row>
    <row r="4329" spans="1:10" x14ac:dyDescent="0.3">
      <c r="A4329" t="s">
        <v>6</v>
      </c>
      <c r="B4329" t="str">
        <f>"08/06/1997 00:00"</f>
        <v>08/06/1997 00:00</v>
      </c>
      <c r="C4329">
        <v>1.34</v>
      </c>
      <c r="D4329" t="s">
        <v>7</v>
      </c>
      <c r="E4329" s="2" t="s">
        <v>12</v>
      </c>
      <c r="F4329">
        <f t="shared" si="67"/>
        <v>2.6572200000000001</v>
      </c>
      <c r="G4329" t="s">
        <v>16</v>
      </c>
      <c r="I4329" t="s">
        <v>34</v>
      </c>
      <c r="J4329" t="str">
        <f>"08/06/1997 23:00"</f>
        <v>08/06/1997 23:00</v>
      </c>
    </row>
    <row r="4330" spans="1:10" x14ac:dyDescent="0.3">
      <c r="A4330" t="s">
        <v>6</v>
      </c>
      <c r="B4330" t="str">
        <f>"08/07/1997 00:00"</f>
        <v>08/07/1997 00:00</v>
      </c>
      <c r="C4330">
        <v>1.46</v>
      </c>
      <c r="D4330" t="s">
        <v>7</v>
      </c>
      <c r="E4330" s="2" t="s">
        <v>12</v>
      </c>
      <c r="F4330">
        <f t="shared" si="67"/>
        <v>2.8951799999999999</v>
      </c>
      <c r="G4330" t="s">
        <v>16</v>
      </c>
      <c r="I4330" t="s">
        <v>34</v>
      </c>
      <c r="J4330" t="str">
        <f>"08/07/1997 23:00"</f>
        <v>08/07/1997 23:00</v>
      </c>
    </row>
    <row r="4331" spans="1:10" x14ac:dyDescent="0.3">
      <c r="A4331" t="s">
        <v>6</v>
      </c>
      <c r="B4331" t="str">
        <f>"08/08/1997 00:00"</f>
        <v>08/08/1997 00:00</v>
      </c>
      <c r="C4331">
        <v>1.34</v>
      </c>
      <c r="D4331" t="s">
        <v>7</v>
      </c>
      <c r="E4331" s="2" t="s">
        <v>12</v>
      </c>
      <c r="F4331">
        <f t="shared" si="67"/>
        <v>2.6572200000000001</v>
      </c>
      <c r="G4331" t="s">
        <v>16</v>
      </c>
      <c r="I4331" t="s">
        <v>34</v>
      </c>
      <c r="J4331" t="str">
        <f>"08/08/1997 23:00"</f>
        <v>08/08/1997 23:00</v>
      </c>
    </row>
    <row r="4332" spans="1:10" x14ac:dyDescent="0.3">
      <c r="A4332" t="s">
        <v>6</v>
      </c>
      <c r="B4332" t="str">
        <f>"08/09/1997 00:00"</f>
        <v>08/09/1997 00:00</v>
      </c>
      <c r="C4332">
        <v>1.36</v>
      </c>
      <c r="D4332" t="s">
        <v>7</v>
      </c>
      <c r="E4332" s="2" t="s">
        <v>12</v>
      </c>
      <c r="F4332">
        <f t="shared" si="67"/>
        <v>2.6968800000000002</v>
      </c>
      <c r="G4332" t="s">
        <v>16</v>
      </c>
      <c r="I4332" t="s">
        <v>34</v>
      </c>
      <c r="J4332" t="str">
        <f>"08/09/1997 23:00"</f>
        <v>08/09/1997 23:00</v>
      </c>
    </row>
    <row r="4333" spans="1:10" x14ac:dyDescent="0.3">
      <c r="A4333" t="s">
        <v>6</v>
      </c>
      <c r="B4333" t="str">
        <f>"08/10/1997 00:00"</f>
        <v>08/10/1997 00:00</v>
      </c>
      <c r="C4333">
        <v>1.34</v>
      </c>
      <c r="D4333" t="s">
        <v>7</v>
      </c>
      <c r="E4333" s="2" t="s">
        <v>12</v>
      </c>
      <c r="F4333">
        <f t="shared" si="67"/>
        <v>2.6572200000000001</v>
      </c>
      <c r="G4333" t="s">
        <v>16</v>
      </c>
      <c r="I4333" t="s">
        <v>34</v>
      </c>
      <c r="J4333" t="str">
        <f>"08/10/1997 23:00"</f>
        <v>08/10/1997 23:00</v>
      </c>
    </row>
    <row r="4334" spans="1:10" x14ac:dyDescent="0.3">
      <c r="A4334" t="s">
        <v>6</v>
      </c>
      <c r="B4334" t="str">
        <f>"08/11/1997 00:00"</f>
        <v>08/11/1997 00:00</v>
      </c>
      <c r="C4334">
        <v>1.34</v>
      </c>
      <c r="D4334" t="s">
        <v>7</v>
      </c>
      <c r="E4334" s="2" t="s">
        <v>12</v>
      </c>
      <c r="F4334">
        <f t="shared" si="67"/>
        <v>2.6572200000000001</v>
      </c>
      <c r="G4334" t="s">
        <v>16</v>
      </c>
      <c r="I4334" t="s">
        <v>34</v>
      </c>
      <c r="J4334" t="str">
        <f>"08/11/1997 23:00"</f>
        <v>08/11/1997 23:00</v>
      </c>
    </row>
    <row r="4335" spans="1:10" x14ac:dyDescent="0.3">
      <c r="A4335" t="s">
        <v>6</v>
      </c>
      <c r="B4335" t="str">
        <f>"08/12/1997 00:00"</f>
        <v>08/12/1997 00:00</v>
      </c>
      <c r="C4335">
        <v>1.66</v>
      </c>
      <c r="D4335" t="s">
        <v>7</v>
      </c>
      <c r="E4335" s="2" t="s">
        <v>12</v>
      </c>
      <c r="F4335">
        <f t="shared" si="67"/>
        <v>3.2917800000000002</v>
      </c>
      <c r="G4335" t="s">
        <v>16</v>
      </c>
      <c r="I4335" t="s">
        <v>34</v>
      </c>
      <c r="J4335" t="str">
        <f>"08/12/1997 23:00"</f>
        <v>08/12/1997 23:00</v>
      </c>
    </row>
    <row r="4336" spans="1:10" x14ac:dyDescent="0.3">
      <c r="A4336" t="s">
        <v>6</v>
      </c>
      <c r="B4336" t="str">
        <f>"08/13/1997 00:00"</f>
        <v>08/13/1997 00:00</v>
      </c>
      <c r="C4336">
        <v>2.13</v>
      </c>
      <c r="D4336" t="s">
        <v>7</v>
      </c>
      <c r="E4336" s="2" t="s">
        <v>12</v>
      </c>
      <c r="F4336">
        <f t="shared" si="67"/>
        <v>4.2237900000000002</v>
      </c>
      <c r="G4336" t="s">
        <v>16</v>
      </c>
      <c r="I4336" t="s">
        <v>34</v>
      </c>
      <c r="J4336" t="str">
        <f>"08/13/1997 23:00"</f>
        <v>08/13/1997 23:00</v>
      </c>
    </row>
    <row r="4337" spans="1:10" x14ac:dyDescent="0.3">
      <c r="A4337" t="s">
        <v>6</v>
      </c>
      <c r="B4337" t="str">
        <f>"08/14/1997 00:00"</f>
        <v>08/14/1997 00:00</v>
      </c>
      <c r="C4337">
        <v>2.23</v>
      </c>
      <c r="D4337" t="s">
        <v>7</v>
      </c>
      <c r="E4337" s="2" t="s">
        <v>12</v>
      </c>
      <c r="F4337">
        <f t="shared" si="67"/>
        <v>4.4220899999999999</v>
      </c>
      <c r="G4337" t="s">
        <v>16</v>
      </c>
      <c r="I4337" t="s">
        <v>34</v>
      </c>
      <c r="J4337" t="str">
        <f>"08/14/1997 23:00"</f>
        <v>08/14/1997 23:00</v>
      </c>
    </row>
    <row r="4338" spans="1:10" x14ac:dyDescent="0.3">
      <c r="A4338" t="s">
        <v>6</v>
      </c>
      <c r="B4338" t="str">
        <f>"08/15/1997 00:00"</f>
        <v>08/15/1997 00:00</v>
      </c>
      <c r="C4338">
        <v>2.14</v>
      </c>
      <c r="D4338" t="s">
        <v>7</v>
      </c>
      <c r="E4338" s="2" t="s">
        <v>12</v>
      </c>
      <c r="F4338">
        <f t="shared" si="67"/>
        <v>4.2436200000000008</v>
      </c>
      <c r="G4338" t="s">
        <v>16</v>
      </c>
      <c r="I4338" t="s">
        <v>34</v>
      </c>
      <c r="J4338" t="str">
        <f>"08/15/1997 23:00"</f>
        <v>08/15/1997 23:00</v>
      </c>
    </row>
    <row r="4339" spans="1:10" x14ac:dyDescent="0.3">
      <c r="A4339" t="s">
        <v>6</v>
      </c>
      <c r="B4339" t="str">
        <f>"08/16/1997 00:00"</f>
        <v>08/16/1997 00:00</v>
      </c>
      <c r="C4339">
        <v>2.09</v>
      </c>
      <c r="D4339" t="s">
        <v>7</v>
      </c>
      <c r="E4339" s="2" t="s">
        <v>12</v>
      </c>
      <c r="F4339">
        <f t="shared" si="67"/>
        <v>4.1444700000000001</v>
      </c>
      <c r="G4339" t="s">
        <v>16</v>
      </c>
      <c r="I4339" t="s">
        <v>34</v>
      </c>
      <c r="J4339" t="str">
        <f>"08/16/1997 23:00"</f>
        <v>08/16/1997 23:00</v>
      </c>
    </row>
    <row r="4340" spans="1:10" x14ac:dyDescent="0.3">
      <c r="A4340" t="s">
        <v>6</v>
      </c>
      <c r="B4340" t="str">
        <f>"08/17/1997 00:00"</f>
        <v>08/17/1997 00:00</v>
      </c>
      <c r="C4340">
        <v>1.83</v>
      </c>
      <c r="D4340" t="s">
        <v>7</v>
      </c>
      <c r="E4340" s="2" t="s">
        <v>12</v>
      </c>
      <c r="F4340">
        <f t="shared" si="67"/>
        <v>3.6288900000000002</v>
      </c>
      <c r="G4340" t="s">
        <v>16</v>
      </c>
      <c r="I4340" t="s">
        <v>34</v>
      </c>
      <c r="J4340" t="str">
        <f>"08/17/1997 23:00"</f>
        <v>08/17/1997 23:00</v>
      </c>
    </row>
    <row r="4341" spans="1:10" x14ac:dyDescent="0.3">
      <c r="A4341" t="s">
        <v>6</v>
      </c>
      <c r="B4341" t="str">
        <f>"08/18/1997 00:00"</f>
        <v>08/18/1997 00:00</v>
      </c>
      <c r="C4341">
        <v>1.62</v>
      </c>
      <c r="D4341" t="s">
        <v>7</v>
      </c>
      <c r="E4341" s="2" t="s">
        <v>12</v>
      </c>
      <c r="F4341">
        <f t="shared" si="67"/>
        <v>3.2124600000000005</v>
      </c>
      <c r="G4341" t="s">
        <v>16</v>
      </c>
      <c r="I4341" t="s">
        <v>34</v>
      </c>
      <c r="J4341" t="str">
        <f>"08/18/1997 23:00"</f>
        <v>08/18/1997 23:00</v>
      </c>
    </row>
    <row r="4342" spans="1:10" x14ac:dyDescent="0.3">
      <c r="A4342" t="s">
        <v>6</v>
      </c>
      <c r="B4342" t="str">
        <f>"08/19/1997 00:00"</f>
        <v>08/19/1997 00:00</v>
      </c>
      <c r="C4342">
        <v>1.86</v>
      </c>
      <c r="D4342" t="s">
        <v>7</v>
      </c>
      <c r="E4342" s="2" t="s">
        <v>12</v>
      </c>
      <c r="F4342">
        <f t="shared" si="67"/>
        <v>3.6883800000000004</v>
      </c>
      <c r="G4342" t="s">
        <v>16</v>
      </c>
      <c r="I4342" t="s">
        <v>34</v>
      </c>
      <c r="J4342" t="str">
        <f>"08/19/1997 23:00"</f>
        <v>08/19/1997 23:00</v>
      </c>
    </row>
    <row r="4343" spans="1:10" x14ac:dyDescent="0.3">
      <c r="A4343" t="s">
        <v>6</v>
      </c>
      <c r="B4343" t="str">
        <f>"08/20/1997 00:00"</f>
        <v>08/20/1997 00:00</v>
      </c>
      <c r="C4343">
        <v>1.97</v>
      </c>
      <c r="D4343" t="s">
        <v>7</v>
      </c>
      <c r="E4343" s="2" t="s">
        <v>12</v>
      </c>
      <c r="F4343">
        <f t="shared" si="67"/>
        <v>3.9065099999999999</v>
      </c>
      <c r="G4343" t="s">
        <v>16</v>
      </c>
      <c r="I4343" t="s">
        <v>34</v>
      </c>
      <c r="J4343" t="str">
        <f>"08/20/1997 23:00"</f>
        <v>08/20/1997 23:00</v>
      </c>
    </row>
    <row r="4344" spans="1:10" x14ac:dyDescent="0.3">
      <c r="A4344" t="s">
        <v>6</v>
      </c>
      <c r="B4344" t="str">
        <f>"08/21/1997 00:00"</f>
        <v>08/21/1997 00:00</v>
      </c>
      <c r="C4344">
        <v>1.62</v>
      </c>
      <c r="D4344" t="s">
        <v>7</v>
      </c>
      <c r="E4344" s="2" t="s">
        <v>12</v>
      </c>
      <c r="F4344">
        <f t="shared" si="67"/>
        <v>3.2124600000000005</v>
      </c>
      <c r="G4344" t="s">
        <v>16</v>
      </c>
      <c r="I4344" t="s">
        <v>34</v>
      </c>
      <c r="J4344" t="str">
        <f>"08/21/1997 23:00"</f>
        <v>08/21/1997 23:00</v>
      </c>
    </row>
    <row r="4345" spans="1:10" x14ac:dyDescent="0.3">
      <c r="A4345" t="s">
        <v>6</v>
      </c>
      <c r="B4345" t="str">
        <f>"08/22/1997 00:00"</f>
        <v>08/22/1997 00:00</v>
      </c>
      <c r="C4345">
        <v>1.76</v>
      </c>
      <c r="D4345" t="s">
        <v>7</v>
      </c>
      <c r="E4345" s="2" t="s">
        <v>12</v>
      </c>
      <c r="F4345">
        <f t="shared" si="67"/>
        <v>3.4900800000000003</v>
      </c>
      <c r="G4345" t="s">
        <v>16</v>
      </c>
      <c r="I4345" t="s">
        <v>34</v>
      </c>
      <c r="J4345" t="str">
        <f>"08/22/1997 23:00"</f>
        <v>08/22/1997 23:00</v>
      </c>
    </row>
    <row r="4346" spans="1:10" x14ac:dyDescent="0.3">
      <c r="A4346" t="s">
        <v>6</v>
      </c>
      <c r="B4346" t="str">
        <f>"08/23/1997 00:00"</f>
        <v>08/23/1997 00:00</v>
      </c>
      <c r="C4346">
        <v>1.54</v>
      </c>
      <c r="D4346" t="s">
        <v>7</v>
      </c>
      <c r="E4346" s="2" t="s">
        <v>12</v>
      </c>
      <c r="F4346">
        <f t="shared" si="67"/>
        <v>3.0538200000000004</v>
      </c>
      <c r="G4346" t="s">
        <v>16</v>
      </c>
      <c r="I4346" t="s">
        <v>34</v>
      </c>
      <c r="J4346" t="str">
        <f>"08/23/1997 23:00"</f>
        <v>08/23/1997 23:00</v>
      </c>
    </row>
    <row r="4347" spans="1:10" x14ac:dyDescent="0.3">
      <c r="A4347" t="s">
        <v>6</v>
      </c>
      <c r="B4347" t="str">
        <f>"08/24/1997 00:00"</f>
        <v>08/24/1997 00:00</v>
      </c>
      <c r="C4347">
        <v>1.34</v>
      </c>
      <c r="D4347" t="s">
        <v>7</v>
      </c>
      <c r="E4347" s="2" t="s">
        <v>12</v>
      </c>
      <c r="F4347">
        <f t="shared" si="67"/>
        <v>2.6572200000000001</v>
      </c>
      <c r="G4347" t="s">
        <v>16</v>
      </c>
      <c r="I4347" t="s">
        <v>34</v>
      </c>
      <c r="J4347" t="str">
        <f>"08/24/1997 23:00"</f>
        <v>08/24/1997 23:00</v>
      </c>
    </row>
    <row r="4348" spans="1:10" x14ac:dyDescent="0.3">
      <c r="A4348" t="s">
        <v>6</v>
      </c>
      <c r="B4348" t="str">
        <f>"08/25/1997 00:00"</f>
        <v>08/25/1997 00:00</v>
      </c>
      <c r="C4348">
        <v>1.34</v>
      </c>
      <c r="D4348" t="s">
        <v>7</v>
      </c>
      <c r="E4348" s="2" t="s">
        <v>12</v>
      </c>
      <c r="F4348">
        <f t="shared" si="67"/>
        <v>2.6572200000000001</v>
      </c>
      <c r="G4348" t="s">
        <v>16</v>
      </c>
      <c r="I4348" t="s">
        <v>34</v>
      </c>
      <c r="J4348" t="str">
        <f>"08/25/1997 23:00"</f>
        <v>08/25/1997 23:00</v>
      </c>
    </row>
    <row r="4349" spans="1:10" x14ac:dyDescent="0.3">
      <c r="A4349" t="s">
        <v>6</v>
      </c>
      <c r="B4349" t="str">
        <f>"08/26/1997 00:00"</f>
        <v>08/26/1997 00:00</v>
      </c>
      <c r="C4349">
        <v>1.34</v>
      </c>
      <c r="D4349" t="s">
        <v>7</v>
      </c>
      <c r="E4349" s="2" t="s">
        <v>12</v>
      </c>
      <c r="F4349">
        <f t="shared" si="67"/>
        <v>2.6572200000000001</v>
      </c>
      <c r="G4349" t="s">
        <v>16</v>
      </c>
      <c r="I4349" t="s">
        <v>34</v>
      </c>
      <c r="J4349" t="str">
        <f>"08/26/1997 23:00"</f>
        <v>08/26/1997 23:00</v>
      </c>
    </row>
    <row r="4350" spans="1:10" x14ac:dyDescent="0.3">
      <c r="A4350" t="s">
        <v>6</v>
      </c>
      <c r="B4350" t="str">
        <f>"08/27/1997 00:00"</f>
        <v>08/27/1997 00:00</v>
      </c>
      <c r="C4350">
        <v>1.34</v>
      </c>
      <c r="D4350" t="s">
        <v>7</v>
      </c>
      <c r="E4350" s="2" t="s">
        <v>12</v>
      </c>
      <c r="F4350">
        <f t="shared" si="67"/>
        <v>2.6572200000000001</v>
      </c>
      <c r="G4350" t="s">
        <v>16</v>
      </c>
      <c r="I4350" t="s">
        <v>34</v>
      </c>
      <c r="J4350" t="str">
        <f>"08/27/1997 23:00"</f>
        <v>08/27/1997 23:00</v>
      </c>
    </row>
    <row r="4351" spans="1:10" x14ac:dyDescent="0.3">
      <c r="A4351" t="s">
        <v>6</v>
      </c>
      <c r="B4351" t="str">
        <f>"08/28/1997 00:00"</f>
        <v>08/28/1997 00:00</v>
      </c>
      <c r="C4351">
        <v>1.34</v>
      </c>
      <c r="D4351" t="s">
        <v>7</v>
      </c>
      <c r="E4351" s="2" t="s">
        <v>12</v>
      </c>
      <c r="F4351">
        <f t="shared" si="67"/>
        <v>2.6572200000000001</v>
      </c>
      <c r="G4351" t="s">
        <v>16</v>
      </c>
      <c r="I4351" t="s">
        <v>34</v>
      </c>
      <c r="J4351" t="str">
        <f>"08/28/1997 23:00"</f>
        <v>08/28/1997 23:00</v>
      </c>
    </row>
    <row r="4352" spans="1:10" x14ac:dyDescent="0.3">
      <c r="A4352" t="s">
        <v>6</v>
      </c>
      <c r="B4352" t="str">
        <f>"08/29/1997 00:00"</f>
        <v>08/29/1997 00:00</v>
      </c>
      <c r="C4352">
        <v>35.9</v>
      </c>
      <c r="D4352" t="s">
        <v>7</v>
      </c>
      <c r="E4352" s="2" t="s">
        <v>12</v>
      </c>
      <c r="F4352">
        <f t="shared" si="67"/>
        <v>71.189700000000002</v>
      </c>
      <c r="G4352" t="s">
        <v>16</v>
      </c>
      <c r="I4352" t="s">
        <v>8</v>
      </c>
      <c r="J4352" t="str">
        <f>"08/29/1997 23:00"</f>
        <v>08/29/1997 23:00</v>
      </c>
    </row>
    <row r="4353" spans="1:10" x14ac:dyDescent="0.3">
      <c r="A4353" t="s">
        <v>6</v>
      </c>
      <c r="B4353" t="str">
        <f>"08/30/1997 00:00"</f>
        <v>08/30/1997 00:00</v>
      </c>
      <c r="C4353">
        <v>91.4</v>
      </c>
      <c r="D4353" t="s">
        <v>7</v>
      </c>
      <c r="E4353" s="2" t="s">
        <v>12</v>
      </c>
      <c r="F4353">
        <f t="shared" si="67"/>
        <v>181.24620000000002</v>
      </c>
      <c r="G4353" t="s">
        <v>16</v>
      </c>
      <c r="J4353" t="str">
        <f>"08/30/1997 23:00"</f>
        <v>08/30/1997 23:00</v>
      </c>
    </row>
    <row r="4354" spans="1:10" x14ac:dyDescent="0.3">
      <c r="A4354" t="s">
        <v>6</v>
      </c>
      <c r="B4354" t="str">
        <f>"08/31/1997 00:00"</f>
        <v>08/31/1997 00:00</v>
      </c>
      <c r="C4354">
        <v>107</v>
      </c>
      <c r="D4354" t="s">
        <v>7</v>
      </c>
      <c r="E4354" s="2" t="s">
        <v>12</v>
      </c>
      <c r="F4354">
        <f t="shared" si="67"/>
        <v>212.18100000000001</v>
      </c>
      <c r="G4354" t="s">
        <v>16</v>
      </c>
      <c r="J4354" t="str">
        <f>"08/31/1997 23:00"</f>
        <v>08/31/1997 23:00</v>
      </c>
    </row>
    <row r="4355" spans="1:10" x14ac:dyDescent="0.3">
      <c r="A4355" t="s">
        <v>6</v>
      </c>
      <c r="B4355" t="str">
        <f>"09/01/1997 00:00"</f>
        <v>09/01/1997 00:00</v>
      </c>
      <c r="C4355">
        <v>63.5</v>
      </c>
      <c r="D4355" t="s">
        <v>7</v>
      </c>
      <c r="E4355" s="2" t="s">
        <v>12</v>
      </c>
      <c r="F4355">
        <f t="shared" ref="F4355:F4418" si="68">C4355*1.983</f>
        <v>125.9205</v>
      </c>
      <c r="G4355" t="s">
        <v>16</v>
      </c>
      <c r="J4355" t="str">
        <f>"09/01/1997 23:00"</f>
        <v>09/01/1997 23:00</v>
      </c>
    </row>
    <row r="4356" spans="1:10" x14ac:dyDescent="0.3">
      <c r="A4356" t="s">
        <v>6</v>
      </c>
      <c r="B4356" t="str">
        <f>"09/02/1997 00:00"</f>
        <v>09/02/1997 00:00</v>
      </c>
      <c r="C4356">
        <v>36.799999999999997</v>
      </c>
      <c r="D4356" t="s">
        <v>7</v>
      </c>
      <c r="E4356" s="2" t="s">
        <v>12</v>
      </c>
      <c r="F4356">
        <f t="shared" si="68"/>
        <v>72.974400000000003</v>
      </c>
      <c r="G4356" t="s">
        <v>16</v>
      </c>
      <c r="I4356" t="s">
        <v>8</v>
      </c>
      <c r="J4356" t="str">
        <f>"09/02/1997 23:00"</f>
        <v>09/02/1997 23:00</v>
      </c>
    </row>
    <row r="4357" spans="1:10" x14ac:dyDescent="0.3">
      <c r="A4357" t="s">
        <v>6</v>
      </c>
      <c r="B4357" t="str">
        <f>"09/03/1997 00:00"</f>
        <v>09/03/1997 00:00</v>
      </c>
      <c r="C4357">
        <v>83.9</v>
      </c>
      <c r="D4357" t="s">
        <v>7</v>
      </c>
      <c r="E4357" s="2" t="s">
        <v>12</v>
      </c>
      <c r="F4357">
        <f t="shared" si="68"/>
        <v>166.37370000000001</v>
      </c>
      <c r="G4357" t="s">
        <v>16</v>
      </c>
      <c r="I4357" t="s">
        <v>8</v>
      </c>
      <c r="J4357" t="str">
        <f>"09/03/1997 23:00"</f>
        <v>09/03/1997 23:00</v>
      </c>
    </row>
    <row r="4358" spans="1:10" x14ac:dyDescent="0.3">
      <c r="A4358" t="s">
        <v>6</v>
      </c>
      <c r="B4358" t="str">
        <f>"09/04/1997 00:00"</f>
        <v>09/04/1997 00:00</v>
      </c>
      <c r="C4358">
        <v>101</v>
      </c>
      <c r="D4358" t="s">
        <v>7</v>
      </c>
      <c r="E4358" s="2" t="s">
        <v>12</v>
      </c>
      <c r="F4358">
        <f t="shared" si="68"/>
        <v>200.28300000000002</v>
      </c>
      <c r="G4358" t="s">
        <v>16</v>
      </c>
      <c r="J4358" t="str">
        <f>"09/04/1997 23:00"</f>
        <v>09/04/1997 23:00</v>
      </c>
    </row>
    <row r="4359" spans="1:10" x14ac:dyDescent="0.3">
      <c r="A4359" t="s">
        <v>6</v>
      </c>
      <c r="B4359" t="str">
        <f>"09/05/1997 00:00"</f>
        <v>09/05/1997 00:00</v>
      </c>
      <c r="C4359">
        <v>51</v>
      </c>
      <c r="D4359" t="s">
        <v>7</v>
      </c>
      <c r="E4359" s="2" t="s">
        <v>12</v>
      </c>
      <c r="F4359">
        <f t="shared" si="68"/>
        <v>101.13300000000001</v>
      </c>
      <c r="G4359" t="s">
        <v>16</v>
      </c>
      <c r="J4359" t="str">
        <f>"09/05/1997 23:00"</f>
        <v>09/05/1997 23:00</v>
      </c>
    </row>
    <row r="4360" spans="1:10" x14ac:dyDescent="0.3">
      <c r="A4360" t="s">
        <v>6</v>
      </c>
      <c r="B4360" t="str">
        <f>"09/06/1997 00:00"</f>
        <v>09/06/1997 00:00</v>
      </c>
      <c r="C4360">
        <v>3.66</v>
      </c>
      <c r="D4360" t="s">
        <v>7</v>
      </c>
      <c r="E4360" s="2" t="s">
        <v>12</v>
      </c>
      <c r="F4360">
        <f t="shared" si="68"/>
        <v>7.2577800000000003</v>
      </c>
      <c r="G4360" t="s">
        <v>16</v>
      </c>
      <c r="J4360" t="str">
        <f>"09/06/1997 23:00"</f>
        <v>09/06/1997 23:00</v>
      </c>
    </row>
    <row r="4361" spans="1:10" x14ac:dyDescent="0.3">
      <c r="A4361" t="s">
        <v>6</v>
      </c>
      <c r="B4361" t="str">
        <f>"09/07/1997 00:00"</f>
        <v>09/07/1997 00:00</v>
      </c>
      <c r="C4361">
        <v>4.03</v>
      </c>
      <c r="D4361" t="s">
        <v>7</v>
      </c>
      <c r="E4361" s="2" t="s">
        <v>12</v>
      </c>
      <c r="F4361">
        <f t="shared" si="68"/>
        <v>7.9914900000000006</v>
      </c>
      <c r="G4361" t="s">
        <v>16</v>
      </c>
      <c r="J4361" t="str">
        <f>"09/07/1997 23:00"</f>
        <v>09/07/1997 23:00</v>
      </c>
    </row>
    <row r="4362" spans="1:10" x14ac:dyDescent="0.3">
      <c r="A4362" t="s">
        <v>6</v>
      </c>
      <c r="B4362" t="str">
        <f>"09/08/1997 00:00"</f>
        <v>09/08/1997 00:00</v>
      </c>
      <c r="C4362">
        <v>4.0599999999999996</v>
      </c>
      <c r="D4362" t="s">
        <v>7</v>
      </c>
      <c r="E4362" s="2" t="s">
        <v>12</v>
      </c>
      <c r="F4362">
        <f t="shared" si="68"/>
        <v>8.0509799999999991</v>
      </c>
      <c r="G4362" t="s">
        <v>16</v>
      </c>
      <c r="J4362" t="str">
        <f>"09/08/1997 23:00"</f>
        <v>09/08/1997 23:00</v>
      </c>
    </row>
    <row r="4363" spans="1:10" x14ac:dyDescent="0.3">
      <c r="A4363" t="s">
        <v>6</v>
      </c>
      <c r="B4363" t="str">
        <f>"09/09/1997 00:00"</f>
        <v>09/09/1997 00:00</v>
      </c>
      <c r="C4363">
        <v>3.91</v>
      </c>
      <c r="D4363" t="s">
        <v>7</v>
      </c>
      <c r="E4363" s="2" t="s">
        <v>12</v>
      </c>
      <c r="F4363">
        <f t="shared" si="68"/>
        <v>7.7535300000000005</v>
      </c>
      <c r="G4363" t="s">
        <v>16</v>
      </c>
      <c r="J4363" t="str">
        <f>"09/09/1997 23:00"</f>
        <v>09/09/1997 23:00</v>
      </c>
    </row>
    <row r="4364" spans="1:10" x14ac:dyDescent="0.3">
      <c r="A4364" t="s">
        <v>6</v>
      </c>
      <c r="B4364" t="str">
        <f>"09/10/1997 00:00"</f>
        <v>09/10/1997 00:00</v>
      </c>
      <c r="C4364">
        <v>3.89</v>
      </c>
      <c r="D4364" t="s">
        <v>7</v>
      </c>
      <c r="E4364" s="2" t="s">
        <v>12</v>
      </c>
      <c r="F4364">
        <f t="shared" si="68"/>
        <v>7.7138700000000009</v>
      </c>
      <c r="G4364" t="s">
        <v>16</v>
      </c>
      <c r="J4364" t="str">
        <f>"09/10/1997 23:00"</f>
        <v>09/10/1997 23:00</v>
      </c>
    </row>
    <row r="4365" spans="1:10" x14ac:dyDescent="0.3">
      <c r="A4365" t="s">
        <v>6</v>
      </c>
      <c r="B4365" t="str">
        <f>"09/11/1997 00:00"</f>
        <v>09/11/1997 00:00</v>
      </c>
      <c r="C4365">
        <v>3.66</v>
      </c>
      <c r="D4365" t="s">
        <v>7</v>
      </c>
      <c r="E4365" s="2" t="s">
        <v>12</v>
      </c>
      <c r="F4365">
        <f t="shared" si="68"/>
        <v>7.2577800000000003</v>
      </c>
      <c r="G4365" t="s">
        <v>16</v>
      </c>
      <c r="J4365" t="str">
        <f>"09/11/1997 23:00"</f>
        <v>09/11/1997 23:00</v>
      </c>
    </row>
    <row r="4366" spans="1:10" x14ac:dyDescent="0.3">
      <c r="A4366" t="s">
        <v>6</v>
      </c>
      <c r="B4366" t="str">
        <f>"09/12/1997 00:00"</f>
        <v>09/12/1997 00:00</v>
      </c>
      <c r="C4366">
        <v>3.73</v>
      </c>
      <c r="D4366" t="s">
        <v>7</v>
      </c>
      <c r="E4366" s="2" t="s">
        <v>12</v>
      </c>
      <c r="F4366">
        <f t="shared" si="68"/>
        <v>7.3965900000000007</v>
      </c>
      <c r="G4366" t="s">
        <v>16</v>
      </c>
      <c r="J4366" t="str">
        <f>"09/12/1997 23:00"</f>
        <v>09/12/1997 23:00</v>
      </c>
    </row>
    <row r="4367" spans="1:10" x14ac:dyDescent="0.3">
      <c r="A4367" t="s">
        <v>6</v>
      </c>
      <c r="B4367" t="str">
        <f>"09/13/1997 00:00"</f>
        <v>09/13/1997 00:00</v>
      </c>
      <c r="C4367">
        <v>4.0599999999999996</v>
      </c>
      <c r="D4367" t="s">
        <v>7</v>
      </c>
      <c r="E4367" s="2" t="s">
        <v>12</v>
      </c>
      <c r="F4367">
        <f t="shared" si="68"/>
        <v>8.0509799999999991</v>
      </c>
      <c r="G4367" t="s">
        <v>16</v>
      </c>
      <c r="J4367" t="str">
        <f>"09/13/1997 23:00"</f>
        <v>09/13/1997 23:00</v>
      </c>
    </row>
    <row r="4368" spans="1:10" x14ac:dyDescent="0.3">
      <c r="A4368" t="s">
        <v>6</v>
      </c>
      <c r="B4368" t="str">
        <f>"09/14/1997 00:00"</f>
        <v>09/14/1997 00:00</v>
      </c>
      <c r="C4368">
        <v>3.91</v>
      </c>
      <c r="D4368" t="s">
        <v>7</v>
      </c>
      <c r="E4368" s="2" t="s">
        <v>12</v>
      </c>
      <c r="F4368">
        <f t="shared" si="68"/>
        <v>7.7535300000000005</v>
      </c>
      <c r="G4368" t="s">
        <v>16</v>
      </c>
      <c r="J4368" t="str">
        <f>"09/14/1997 23:00"</f>
        <v>09/14/1997 23:00</v>
      </c>
    </row>
    <row r="4369" spans="1:10" x14ac:dyDescent="0.3">
      <c r="A4369" t="s">
        <v>6</v>
      </c>
      <c r="B4369" t="str">
        <f>"09/15/1997 00:00"</f>
        <v>09/15/1997 00:00</v>
      </c>
      <c r="C4369">
        <v>3.53</v>
      </c>
      <c r="D4369" t="s">
        <v>7</v>
      </c>
      <c r="E4369" s="2" t="s">
        <v>12</v>
      </c>
      <c r="F4369">
        <f t="shared" si="68"/>
        <v>6.9999900000000004</v>
      </c>
      <c r="G4369" t="s">
        <v>16</v>
      </c>
      <c r="J4369" t="str">
        <f>"09/15/1997 23:00"</f>
        <v>09/15/1997 23:00</v>
      </c>
    </row>
    <row r="4370" spans="1:10" x14ac:dyDescent="0.3">
      <c r="A4370" t="s">
        <v>6</v>
      </c>
      <c r="B4370" t="str">
        <f>"09/16/1997 00:00"</f>
        <v>09/16/1997 00:00</v>
      </c>
      <c r="C4370">
        <v>48.1</v>
      </c>
      <c r="D4370" t="s">
        <v>7</v>
      </c>
      <c r="E4370" s="2" t="s">
        <v>12</v>
      </c>
      <c r="F4370">
        <f t="shared" si="68"/>
        <v>95.382300000000001</v>
      </c>
      <c r="G4370" t="s">
        <v>16</v>
      </c>
      <c r="J4370" t="str">
        <f>"09/16/1997 23:00"</f>
        <v>09/16/1997 23:00</v>
      </c>
    </row>
    <row r="4371" spans="1:10" x14ac:dyDescent="0.3">
      <c r="A4371" t="s">
        <v>6</v>
      </c>
      <c r="B4371" t="str">
        <f>"09/17/1997 00:00"</f>
        <v>09/17/1997 00:00</v>
      </c>
      <c r="C4371">
        <v>151</v>
      </c>
      <c r="D4371" t="s">
        <v>7</v>
      </c>
      <c r="E4371" s="2" t="s">
        <v>12</v>
      </c>
      <c r="F4371">
        <f t="shared" si="68"/>
        <v>299.43299999999999</v>
      </c>
      <c r="G4371" t="s">
        <v>16</v>
      </c>
      <c r="J4371" t="str">
        <f>"09/17/1997 23:00"</f>
        <v>09/17/1997 23:00</v>
      </c>
    </row>
    <row r="4372" spans="1:10" x14ac:dyDescent="0.3">
      <c r="A4372" t="s">
        <v>6</v>
      </c>
      <c r="B4372" t="str">
        <f>"09/18/1997 00:00"</f>
        <v>09/18/1997 00:00</v>
      </c>
      <c r="C4372">
        <v>207</v>
      </c>
      <c r="D4372" t="s">
        <v>7</v>
      </c>
      <c r="E4372" s="2" t="s">
        <v>12</v>
      </c>
      <c r="F4372">
        <f t="shared" si="68"/>
        <v>410.48099999999999</v>
      </c>
      <c r="G4372" t="s">
        <v>16</v>
      </c>
      <c r="J4372" t="str">
        <f>"09/18/1997 23:00"</f>
        <v>09/18/1997 23:00</v>
      </c>
    </row>
    <row r="4373" spans="1:10" x14ac:dyDescent="0.3">
      <c r="A4373" t="s">
        <v>6</v>
      </c>
      <c r="B4373" t="str">
        <f>"09/19/1997 00:00"</f>
        <v>09/19/1997 00:00</v>
      </c>
      <c r="C4373">
        <v>226</v>
      </c>
      <c r="D4373" t="s">
        <v>7</v>
      </c>
      <c r="E4373" s="2" t="s">
        <v>12</v>
      </c>
      <c r="F4373">
        <f t="shared" si="68"/>
        <v>448.15800000000002</v>
      </c>
      <c r="G4373" t="s">
        <v>16</v>
      </c>
      <c r="J4373" t="str">
        <f>"09/19/1997 23:00"</f>
        <v>09/19/1997 23:00</v>
      </c>
    </row>
    <row r="4374" spans="1:10" x14ac:dyDescent="0.3">
      <c r="A4374" t="s">
        <v>6</v>
      </c>
      <c r="B4374" t="str">
        <f>"09/20/1997 00:00"</f>
        <v>09/20/1997 00:00</v>
      </c>
      <c r="C4374">
        <v>225</v>
      </c>
      <c r="D4374" t="s">
        <v>7</v>
      </c>
      <c r="E4374" s="2" t="s">
        <v>12</v>
      </c>
      <c r="F4374">
        <f t="shared" si="68"/>
        <v>446.17500000000001</v>
      </c>
      <c r="G4374" t="s">
        <v>16</v>
      </c>
      <c r="J4374" t="str">
        <f>"09/20/1997 23:00"</f>
        <v>09/20/1997 23:00</v>
      </c>
    </row>
    <row r="4375" spans="1:10" x14ac:dyDescent="0.3">
      <c r="A4375" t="s">
        <v>6</v>
      </c>
      <c r="B4375" t="str">
        <f>"09/21/1997 00:00"</f>
        <v>09/21/1997 00:00</v>
      </c>
      <c r="C4375">
        <v>224</v>
      </c>
      <c r="D4375" t="s">
        <v>7</v>
      </c>
      <c r="E4375" s="2" t="s">
        <v>12</v>
      </c>
      <c r="F4375">
        <f t="shared" si="68"/>
        <v>444.19200000000001</v>
      </c>
      <c r="G4375" t="s">
        <v>16</v>
      </c>
      <c r="J4375" t="str">
        <f>"09/21/1997 23:00"</f>
        <v>09/21/1997 23:00</v>
      </c>
    </row>
    <row r="4376" spans="1:10" x14ac:dyDescent="0.3">
      <c r="A4376" t="s">
        <v>6</v>
      </c>
      <c r="B4376" t="str">
        <f>"09/22/1997 00:00"</f>
        <v>09/22/1997 00:00</v>
      </c>
      <c r="C4376">
        <v>197</v>
      </c>
      <c r="D4376" t="s">
        <v>7</v>
      </c>
      <c r="E4376" s="2" t="s">
        <v>12</v>
      </c>
      <c r="F4376">
        <f t="shared" si="68"/>
        <v>390.65100000000001</v>
      </c>
      <c r="G4376" t="s">
        <v>16</v>
      </c>
      <c r="J4376" t="str">
        <f>"09/22/1997 23:00"</f>
        <v>09/22/1997 23:00</v>
      </c>
    </row>
    <row r="4377" spans="1:10" x14ac:dyDescent="0.3">
      <c r="A4377" t="s">
        <v>6</v>
      </c>
      <c r="B4377" t="str">
        <f>"09/23/1997 00:00"</f>
        <v>09/23/1997 00:00</v>
      </c>
      <c r="C4377">
        <v>163</v>
      </c>
      <c r="D4377" t="s">
        <v>7</v>
      </c>
      <c r="E4377" s="2" t="s">
        <v>12</v>
      </c>
      <c r="F4377">
        <f t="shared" si="68"/>
        <v>323.22900000000004</v>
      </c>
      <c r="G4377" t="s">
        <v>16</v>
      </c>
      <c r="J4377" t="str">
        <f>"09/23/1997 23:00"</f>
        <v>09/23/1997 23:00</v>
      </c>
    </row>
    <row r="4378" spans="1:10" x14ac:dyDescent="0.3">
      <c r="A4378" t="s">
        <v>6</v>
      </c>
      <c r="B4378" t="str">
        <f>"09/24/1997 00:00"</f>
        <v>09/24/1997 00:00</v>
      </c>
      <c r="C4378">
        <v>54.7</v>
      </c>
      <c r="D4378" t="s">
        <v>7</v>
      </c>
      <c r="E4378" s="2" t="s">
        <v>12</v>
      </c>
      <c r="F4378">
        <f t="shared" si="68"/>
        <v>108.47010000000002</v>
      </c>
      <c r="G4378" t="s">
        <v>16</v>
      </c>
      <c r="J4378" t="str">
        <f>"09/24/1997 23:00"</f>
        <v>09/24/1997 23:00</v>
      </c>
    </row>
    <row r="4379" spans="1:10" x14ac:dyDescent="0.3">
      <c r="A4379" t="s">
        <v>6</v>
      </c>
      <c r="B4379" t="str">
        <f>"09/25/1997 00:00"</f>
        <v>09/25/1997 00:00</v>
      </c>
      <c r="C4379">
        <v>4.6100000000000003</v>
      </c>
      <c r="D4379" t="s">
        <v>7</v>
      </c>
      <c r="E4379" s="2" t="s">
        <v>12</v>
      </c>
      <c r="F4379">
        <f t="shared" si="68"/>
        <v>9.141630000000001</v>
      </c>
      <c r="G4379" t="s">
        <v>16</v>
      </c>
      <c r="J4379" t="str">
        <f>"09/25/1997 23:00"</f>
        <v>09/25/1997 23:00</v>
      </c>
    </row>
    <row r="4380" spans="1:10" x14ac:dyDescent="0.3">
      <c r="A4380" t="s">
        <v>6</v>
      </c>
      <c r="B4380" t="str">
        <f>"09/26/1997 00:00"</f>
        <v>09/26/1997 00:00</v>
      </c>
      <c r="C4380">
        <v>4.4800000000000004</v>
      </c>
      <c r="D4380" t="s">
        <v>7</v>
      </c>
      <c r="E4380" s="2" t="s">
        <v>12</v>
      </c>
      <c r="F4380">
        <f t="shared" si="68"/>
        <v>8.8838400000000011</v>
      </c>
      <c r="G4380" t="s">
        <v>16</v>
      </c>
      <c r="J4380" t="str">
        <f>"09/26/1997 23:00"</f>
        <v>09/26/1997 23:00</v>
      </c>
    </row>
    <row r="4381" spans="1:10" x14ac:dyDescent="0.3">
      <c r="A4381" t="s">
        <v>6</v>
      </c>
      <c r="B4381" t="str">
        <f>"09/27/1997 00:00"</f>
        <v>09/27/1997 00:00</v>
      </c>
      <c r="C4381">
        <v>4.4800000000000004</v>
      </c>
      <c r="D4381" t="s">
        <v>7</v>
      </c>
      <c r="E4381" s="2" t="s">
        <v>12</v>
      </c>
      <c r="F4381">
        <f t="shared" si="68"/>
        <v>8.8838400000000011</v>
      </c>
      <c r="G4381" t="s">
        <v>16</v>
      </c>
      <c r="J4381" t="str">
        <f>"09/27/1997 23:00"</f>
        <v>09/27/1997 23:00</v>
      </c>
    </row>
    <row r="4382" spans="1:10" x14ac:dyDescent="0.3">
      <c r="A4382" t="s">
        <v>6</v>
      </c>
      <c r="B4382" t="str">
        <f>"09/28/1997 00:00"</f>
        <v>09/28/1997 00:00</v>
      </c>
      <c r="C4382">
        <v>4.8</v>
      </c>
      <c r="D4382" t="s">
        <v>7</v>
      </c>
      <c r="E4382" s="2" t="s">
        <v>12</v>
      </c>
      <c r="F4382">
        <f t="shared" si="68"/>
        <v>9.5183999999999997</v>
      </c>
      <c r="G4382" t="s">
        <v>16</v>
      </c>
      <c r="J4382" t="str">
        <f>"09/28/1997 23:00"</f>
        <v>09/28/1997 23:00</v>
      </c>
    </row>
    <row r="4383" spans="1:10" x14ac:dyDescent="0.3">
      <c r="A4383" t="s">
        <v>6</v>
      </c>
      <c r="B4383" t="str">
        <f>"09/29/1997 00:00"</f>
        <v>09/29/1997 00:00</v>
      </c>
      <c r="C4383">
        <v>26.5</v>
      </c>
      <c r="D4383" t="s">
        <v>7</v>
      </c>
      <c r="E4383" s="2" t="s">
        <v>12</v>
      </c>
      <c r="F4383">
        <f t="shared" si="68"/>
        <v>52.549500000000002</v>
      </c>
      <c r="G4383" t="s">
        <v>16</v>
      </c>
      <c r="J4383" t="str">
        <f>"09/29/1997 23:00"</f>
        <v>09/29/1997 23:00</v>
      </c>
    </row>
    <row r="4384" spans="1:10" x14ac:dyDescent="0.3">
      <c r="A4384" t="s">
        <v>6</v>
      </c>
      <c r="B4384" t="str">
        <f>"09/30/1997 00:00"</f>
        <v>09/30/1997 00:00</v>
      </c>
      <c r="C4384">
        <v>65.3</v>
      </c>
      <c r="D4384" t="s">
        <v>7</v>
      </c>
      <c r="E4384" s="2" t="s">
        <v>12</v>
      </c>
      <c r="F4384">
        <f t="shared" si="68"/>
        <v>129.48990000000001</v>
      </c>
      <c r="G4384" t="s">
        <v>16</v>
      </c>
      <c r="J4384" t="str">
        <f>"09/30/1997 23:00"</f>
        <v>09/30/1997 23:00</v>
      </c>
    </row>
    <row r="4385" spans="1:10" x14ac:dyDescent="0.3">
      <c r="A4385" t="s">
        <v>6</v>
      </c>
      <c r="B4385" t="str">
        <f>"10/01/1997 00:00"</f>
        <v>10/01/1997 00:00</v>
      </c>
      <c r="C4385">
        <v>158</v>
      </c>
      <c r="D4385" t="s">
        <v>7</v>
      </c>
      <c r="E4385" s="2" t="s">
        <v>12</v>
      </c>
      <c r="F4385">
        <f t="shared" si="68"/>
        <v>313.31400000000002</v>
      </c>
      <c r="G4385" t="s">
        <v>16</v>
      </c>
      <c r="J4385" t="str">
        <f>"10/01/1997 23:00"</f>
        <v>10/01/1997 23:00</v>
      </c>
    </row>
    <row r="4386" spans="1:10" x14ac:dyDescent="0.3">
      <c r="A4386" t="s">
        <v>6</v>
      </c>
      <c r="B4386" t="str">
        <f>"10/02/1997 00:00"</f>
        <v>10/02/1997 00:00</v>
      </c>
      <c r="C4386">
        <v>224</v>
      </c>
      <c r="D4386" t="s">
        <v>7</v>
      </c>
      <c r="E4386" s="2" t="s">
        <v>12</v>
      </c>
      <c r="F4386">
        <f t="shared" si="68"/>
        <v>444.19200000000001</v>
      </c>
      <c r="G4386" t="s">
        <v>16</v>
      </c>
      <c r="J4386" t="str">
        <f>"10/02/1997 23:00"</f>
        <v>10/02/1997 23:00</v>
      </c>
    </row>
    <row r="4387" spans="1:10" x14ac:dyDescent="0.3">
      <c r="A4387" t="s">
        <v>6</v>
      </c>
      <c r="B4387" t="str">
        <f>"10/03/1997 00:00"</f>
        <v>10/03/1997 00:00</v>
      </c>
      <c r="C4387">
        <v>226</v>
      </c>
      <c r="D4387" t="s">
        <v>7</v>
      </c>
      <c r="E4387" s="2" t="s">
        <v>12</v>
      </c>
      <c r="F4387">
        <f t="shared" si="68"/>
        <v>448.15800000000002</v>
      </c>
      <c r="G4387" t="s">
        <v>16</v>
      </c>
      <c r="J4387" t="str">
        <f>"10/03/1997 23:00"</f>
        <v>10/03/1997 23:00</v>
      </c>
    </row>
    <row r="4388" spans="1:10" x14ac:dyDescent="0.3">
      <c r="A4388" t="s">
        <v>6</v>
      </c>
      <c r="B4388" t="str">
        <f>"10/04/1997 00:00"</f>
        <v>10/04/1997 00:00</v>
      </c>
      <c r="C4388">
        <v>226</v>
      </c>
      <c r="D4388" t="s">
        <v>7</v>
      </c>
      <c r="E4388" s="2" t="s">
        <v>12</v>
      </c>
      <c r="F4388">
        <f t="shared" si="68"/>
        <v>448.15800000000002</v>
      </c>
      <c r="G4388" t="s">
        <v>16</v>
      </c>
      <c r="I4388" t="s">
        <v>8</v>
      </c>
      <c r="J4388" t="str">
        <f>"10/04/1997 23:00"</f>
        <v>10/04/1997 23:00</v>
      </c>
    </row>
    <row r="4389" spans="1:10" x14ac:dyDescent="0.3">
      <c r="A4389" t="s">
        <v>6</v>
      </c>
      <c r="B4389" t="str">
        <f>"10/05/1997 00:00"</f>
        <v>10/05/1997 00:00</v>
      </c>
      <c r="C4389">
        <v>226</v>
      </c>
      <c r="D4389" t="s">
        <v>7</v>
      </c>
      <c r="E4389" s="2" t="s">
        <v>12</v>
      </c>
      <c r="F4389">
        <f t="shared" si="68"/>
        <v>448.15800000000002</v>
      </c>
      <c r="G4389" t="s">
        <v>16</v>
      </c>
      <c r="J4389" t="str">
        <f>"10/05/1997 23:00"</f>
        <v>10/05/1997 23:00</v>
      </c>
    </row>
    <row r="4390" spans="1:10" x14ac:dyDescent="0.3">
      <c r="A4390" t="s">
        <v>6</v>
      </c>
      <c r="B4390" t="str">
        <f>"10/06/1997 00:00"</f>
        <v>10/06/1997 00:00</v>
      </c>
      <c r="C4390">
        <v>224</v>
      </c>
      <c r="D4390" t="s">
        <v>7</v>
      </c>
      <c r="E4390" s="2" t="s">
        <v>12</v>
      </c>
      <c r="F4390">
        <f t="shared" si="68"/>
        <v>444.19200000000001</v>
      </c>
      <c r="G4390" t="s">
        <v>16</v>
      </c>
      <c r="J4390" t="str">
        <f>"10/06/1997 23:00"</f>
        <v>10/06/1997 23:00</v>
      </c>
    </row>
    <row r="4391" spans="1:10" x14ac:dyDescent="0.3">
      <c r="A4391" t="s">
        <v>6</v>
      </c>
      <c r="B4391" t="str">
        <f>"10/07/1997 00:00"</f>
        <v>10/07/1997 00:00</v>
      </c>
      <c r="C4391">
        <v>222</v>
      </c>
      <c r="D4391" t="s">
        <v>7</v>
      </c>
      <c r="E4391" s="2" t="s">
        <v>12</v>
      </c>
      <c r="F4391">
        <f t="shared" si="68"/>
        <v>440.226</v>
      </c>
      <c r="G4391" t="s">
        <v>16</v>
      </c>
      <c r="J4391" t="str">
        <f>"10/07/1997 23:00"</f>
        <v>10/07/1997 23:00</v>
      </c>
    </row>
    <row r="4392" spans="1:10" x14ac:dyDescent="0.3">
      <c r="A4392" t="s">
        <v>6</v>
      </c>
      <c r="B4392" t="str">
        <f>"10/08/1997 00:00"</f>
        <v>10/08/1997 00:00</v>
      </c>
      <c r="C4392">
        <v>222</v>
      </c>
      <c r="D4392" t="s">
        <v>7</v>
      </c>
      <c r="E4392" s="2" t="s">
        <v>12</v>
      </c>
      <c r="F4392">
        <f t="shared" si="68"/>
        <v>440.226</v>
      </c>
      <c r="G4392" t="s">
        <v>16</v>
      </c>
      <c r="J4392" t="str">
        <f>"10/08/1997 23:00"</f>
        <v>10/08/1997 23:00</v>
      </c>
    </row>
    <row r="4393" spans="1:10" x14ac:dyDescent="0.3">
      <c r="A4393" t="s">
        <v>6</v>
      </c>
      <c r="B4393" t="str">
        <f>"10/09/1997 00:00"</f>
        <v>10/09/1997 00:00</v>
      </c>
      <c r="C4393">
        <v>195</v>
      </c>
      <c r="D4393" t="s">
        <v>7</v>
      </c>
      <c r="E4393" s="2" t="s">
        <v>12</v>
      </c>
      <c r="F4393">
        <f t="shared" si="68"/>
        <v>386.685</v>
      </c>
      <c r="G4393" t="s">
        <v>16</v>
      </c>
      <c r="J4393" t="str">
        <f>"10/09/1997 23:00"</f>
        <v>10/09/1997 23:00</v>
      </c>
    </row>
    <row r="4394" spans="1:10" x14ac:dyDescent="0.3">
      <c r="A4394" t="s">
        <v>6</v>
      </c>
      <c r="B4394" t="str">
        <f>"10/10/1997 00:00"</f>
        <v>10/10/1997 00:00</v>
      </c>
      <c r="C4394">
        <v>167</v>
      </c>
      <c r="D4394" t="s">
        <v>7</v>
      </c>
      <c r="E4394" s="2" t="s">
        <v>12</v>
      </c>
      <c r="F4394">
        <f t="shared" si="68"/>
        <v>331.161</v>
      </c>
      <c r="G4394" t="s">
        <v>16</v>
      </c>
      <c r="J4394" t="str">
        <f>"10/10/1997 23:00"</f>
        <v>10/10/1997 23:00</v>
      </c>
    </row>
    <row r="4395" spans="1:10" x14ac:dyDescent="0.3">
      <c r="A4395" t="s">
        <v>6</v>
      </c>
      <c r="B4395" t="str">
        <f>"10/11/1997 00:00"</f>
        <v>10/11/1997 00:00</v>
      </c>
      <c r="C4395">
        <v>169</v>
      </c>
      <c r="D4395" t="s">
        <v>7</v>
      </c>
      <c r="E4395" s="2" t="s">
        <v>12</v>
      </c>
      <c r="F4395">
        <f t="shared" si="68"/>
        <v>335.12700000000001</v>
      </c>
      <c r="G4395" t="s">
        <v>16</v>
      </c>
      <c r="J4395" t="str">
        <f>"10/11/1997 23:00"</f>
        <v>10/11/1997 23:00</v>
      </c>
    </row>
    <row r="4396" spans="1:10" x14ac:dyDescent="0.3">
      <c r="A4396" t="s">
        <v>6</v>
      </c>
      <c r="B4396" t="str">
        <f>"10/12/1997 00:00"</f>
        <v>10/12/1997 00:00</v>
      </c>
      <c r="C4396">
        <v>158</v>
      </c>
      <c r="D4396" t="s">
        <v>7</v>
      </c>
      <c r="E4396" s="2" t="s">
        <v>12</v>
      </c>
      <c r="F4396">
        <f t="shared" si="68"/>
        <v>313.31400000000002</v>
      </c>
      <c r="G4396" t="s">
        <v>16</v>
      </c>
      <c r="J4396" t="str">
        <f>"10/12/1997 23:00"</f>
        <v>10/12/1997 23:00</v>
      </c>
    </row>
    <row r="4397" spans="1:10" x14ac:dyDescent="0.3">
      <c r="A4397" t="s">
        <v>6</v>
      </c>
      <c r="B4397" t="str">
        <f>"10/13/1997 00:00"</f>
        <v>10/13/1997 00:00</v>
      </c>
      <c r="C4397">
        <v>138</v>
      </c>
      <c r="D4397" t="s">
        <v>7</v>
      </c>
      <c r="E4397" s="2" t="s">
        <v>12</v>
      </c>
      <c r="F4397">
        <f t="shared" si="68"/>
        <v>273.654</v>
      </c>
      <c r="G4397" t="s">
        <v>16</v>
      </c>
      <c r="J4397" t="str">
        <f>"10/13/1997 23:00"</f>
        <v>10/13/1997 23:00</v>
      </c>
    </row>
    <row r="4398" spans="1:10" x14ac:dyDescent="0.3">
      <c r="A4398" t="s">
        <v>6</v>
      </c>
      <c r="B4398" t="str">
        <f>"10/14/1997 00:00"</f>
        <v>10/14/1997 00:00</v>
      </c>
      <c r="C4398">
        <v>128</v>
      </c>
      <c r="D4398" t="s">
        <v>7</v>
      </c>
      <c r="E4398" s="2" t="s">
        <v>12</v>
      </c>
      <c r="F4398">
        <f t="shared" si="68"/>
        <v>253.82400000000001</v>
      </c>
      <c r="G4398" t="s">
        <v>16</v>
      </c>
      <c r="J4398" t="str">
        <f>"10/14/1997 23:00"</f>
        <v>10/14/1997 23:00</v>
      </c>
    </row>
    <row r="4399" spans="1:10" x14ac:dyDescent="0.3">
      <c r="A4399" t="s">
        <v>6</v>
      </c>
      <c r="B4399" t="str">
        <f>"10/15/1997 00:00"</f>
        <v>10/15/1997 00:00</v>
      </c>
      <c r="C4399">
        <v>43.8</v>
      </c>
      <c r="D4399" t="s">
        <v>7</v>
      </c>
      <c r="E4399" s="2" t="s">
        <v>12</v>
      </c>
      <c r="F4399">
        <f t="shared" si="68"/>
        <v>86.855400000000003</v>
      </c>
      <c r="G4399" t="s">
        <v>16</v>
      </c>
      <c r="J4399" t="str">
        <f>"10/15/1997 23:00"</f>
        <v>10/15/1997 23:00</v>
      </c>
    </row>
    <row r="4400" spans="1:10" x14ac:dyDescent="0.3">
      <c r="A4400" t="s">
        <v>6</v>
      </c>
      <c r="B4400" t="str">
        <f>"10/16/1997 00:00"</f>
        <v>10/16/1997 00:00</v>
      </c>
      <c r="C4400">
        <v>2.56</v>
      </c>
      <c r="D4400" t="s">
        <v>7</v>
      </c>
      <c r="E4400" s="2" t="s">
        <v>12</v>
      </c>
      <c r="F4400">
        <f t="shared" si="68"/>
        <v>5.0764800000000001</v>
      </c>
      <c r="G4400" t="s">
        <v>16</v>
      </c>
      <c r="J4400" t="str">
        <f>"10/16/1997 23:00"</f>
        <v>10/16/1997 23:00</v>
      </c>
    </row>
    <row r="4401" spans="1:10" x14ac:dyDescent="0.3">
      <c r="A4401" t="s">
        <v>6</v>
      </c>
      <c r="B4401" t="str">
        <f>"10/17/1997 00:00"</f>
        <v>10/17/1997 00:00</v>
      </c>
      <c r="C4401">
        <v>2.6</v>
      </c>
      <c r="D4401" t="s">
        <v>7</v>
      </c>
      <c r="E4401" s="2" t="s">
        <v>12</v>
      </c>
      <c r="F4401">
        <f t="shared" si="68"/>
        <v>5.1558000000000002</v>
      </c>
      <c r="G4401" t="s">
        <v>16</v>
      </c>
      <c r="J4401" t="str">
        <f>"10/17/1997 23:00"</f>
        <v>10/17/1997 23:00</v>
      </c>
    </row>
    <row r="4402" spans="1:10" x14ac:dyDescent="0.3">
      <c r="A4402" t="s">
        <v>6</v>
      </c>
      <c r="B4402" t="str">
        <f>"10/18/1997 00:00"</f>
        <v>10/18/1997 00:00</v>
      </c>
      <c r="C4402">
        <v>2.69</v>
      </c>
      <c r="D4402" t="s">
        <v>7</v>
      </c>
      <c r="E4402" s="2" t="s">
        <v>12</v>
      </c>
      <c r="F4402">
        <f t="shared" si="68"/>
        <v>5.3342700000000001</v>
      </c>
      <c r="G4402" t="s">
        <v>16</v>
      </c>
      <c r="J4402" t="str">
        <f>"10/18/1997 23:00"</f>
        <v>10/18/1997 23:00</v>
      </c>
    </row>
    <row r="4403" spans="1:10" x14ac:dyDescent="0.3">
      <c r="A4403" t="s">
        <v>6</v>
      </c>
      <c r="B4403" t="str">
        <f>"10/19/1997 00:00"</f>
        <v>10/19/1997 00:00</v>
      </c>
      <c r="C4403">
        <v>3.05</v>
      </c>
      <c r="D4403" t="s">
        <v>7</v>
      </c>
      <c r="E4403" s="2" t="s">
        <v>12</v>
      </c>
      <c r="F4403">
        <f t="shared" si="68"/>
        <v>6.0481499999999997</v>
      </c>
      <c r="G4403" t="s">
        <v>16</v>
      </c>
      <c r="J4403" t="str">
        <f>"10/19/1997 23:00"</f>
        <v>10/19/1997 23:00</v>
      </c>
    </row>
    <row r="4404" spans="1:10" x14ac:dyDescent="0.3">
      <c r="A4404" t="s">
        <v>6</v>
      </c>
      <c r="B4404" t="str">
        <f>"10/20/1997 00:00"</f>
        <v>10/20/1997 00:00</v>
      </c>
      <c r="C4404">
        <v>2.91</v>
      </c>
      <c r="D4404" t="s">
        <v>7</v>
      </c>
      <c r="E4404" s="2" t="s">
        <v>12</v>
      </c>
      <c r="F4404">
        <f t="shared" si="68"/>
        <v>5.7705300000000008</v>
      </c>
      <c r="G4404" t="s">
        <v>16</v>
      </c>
      <c r="J4404" t="str">
        <f>"10/20/1997 23:00"</f>
        <v>10/20/1997 23:00</v>
      </c>
    </row>
    <row r="4405" spans="1:10" x14ac:dyDescent="0.3">
      <c r="A4405" t="s">
        <v>6</v>
      </c>
      <c r="B4405" t="str">
        <f>"10/21/1997 00:00"</f>
        <v>10/21/1997 00:00</v>
      </c>
      <c r="C4405">
        <v>2.91</v>
      </c>
      <c r="D4405" t="s">
        <v>7</v>
      </c>
      <c r="E4405" s="2" t="s">
        <v>12</v>
      </c>
      <c r="F4405">
        <f t="shared" si="68"/>
        <v>5.7705300000000008</v>
      </c>
      <c r="G4405" t="s">
        <v>16</v>
      </c>
      <c r="J4405" t="str">
        <f>"10/21/1997 23:00"</f>
        <v>10/21/1997 23:00</v>
      </c>
    </row>
    <row r="4406" spans="1:10" x14ac:dyDescent="0.3">
      <c r="A4406" t="s">
        <v>6</v>
      </c>
      <c r="B4406" t="str">
        <f>"10/22/1997 00:00"</f>
        <v>10/22/1997 00:00</v>
      </c>
      <c r="C4406">
        <v>2.61</v>
      </c>
      <c r="D4406" t="s">
        <v>7</v>
      </c>
      <c r="E4406" s="2" t="s">
        <v>12</v>
      </c>
      <c r="F4406">
        <f t="shared" si="68"/>
        <v>5.17563</v>
      </c>
      <c r="G4406" t="s">
        <v>16</v>
      </c>
      <c r="I4406" t="s">
        <v>8</v>
      </c>
      <c r="J4406" t="str">
        <f>"10/22/1997 23:00"</f>
        <v>10/22/1997 23:00</v>
      </c>
    </row>
    <row r="4407" spans="1:10" x14ac:dyDescent="0.3">
      <c r="A4407" t="s">
        <v>6</v>
      </c>
      <c r="B4407" t="str">
        <f>"10/23/1997 00:00"</f>
        <v>10/23/1997 00:00</v>
      </c>
      <c r="C4407">
        <v>1.75</v>
      </c>
      <c r="D4407" t="s">
        <v>7</v>
      </c>
      <c r="E4407" s="2" t="s">
        <v>12</v>
      </c>
      <c r="F4407">
        <f t="shared" si="68"/>
        <v>3.4702500000000001</v>
      </c>
      <c r="G4407" t="s">
        <v>16</v>
      </c>
      <c r="I4407" t="s">
        <v>34</v>
      </c>
      <c r="J4407" t="str">
        <f>"10/23/1997 23:00"</f>
        <v>10/23/1997 23:00</v>
      </c>
    </row>
    <row r="4408" spans="1:10" x14ac:dyDescent="0.3">
      <c r="A4408" t="s">
        <v>6</v>
      </c>
      <c r="B4408" t="str">
        <f>"10/24/1997 00:00"</f>
        <v>10/24/1997 00:00</v>
      </c>
      <c r="C4408">
        <v>7.06</v>
      </c>
      <c r="D4408" t="s">
        <v>7</v>
      </c>
      <c r="E4408" s="2" t="s">
        <v>12</v>
      </c>
      <c r="F4408">
        <f t="shared" si="68"/>
        <v>13.999980000000001</v>
      </c>
      <c r="G4408" t="s">
        <v>16</v>
      </c>
      <c r="I4408" t="s">
        <v>8</v>
      </c>
      <c r="J4408" t="str">
        <f>"10/24/1997 23:00"</f>
        <v>10/24/1997 23:00</v>
      </c>
    </row>
    <row r="4409" spans="1:10" x14ac:dyDescent="0.3">
      <c r="A4409" t="s">
        <v>6</v>
      </c>
      <c r="B4409" t="str">
        <f>"10/25/1997 00:00"</f>
        <v>10/25/1997 00:00</v>
      </c>
      <c r="C4409">
        <v>5.56</v>
      </c>
      <c r="D4409" t="s">
        <v>7</v>
      </c>
      <c r="E4409" s="2" t="s">
        <v>12</v>
      </c>
      <c r="F4409">
        <f t="shared" si="68"/>
        <v>11.02548</v>
      </c>
      <c r="G4409" t="s">
        <v>16</v>
      </c>
      <c r="J4409" t="str">
        <f>"10/25/1997 23:00"</f>
        <v>10/25/1997 23:00</v>
      </c>
    </row>
    <row r="4410" spans="1:10" x14ac:dyDescent="0.3">
      <c r="A4410" t="s">
        <v>6</v>
      </c>
      <c r="B4410" t="str">
        <f>"10/26/1997 00:00"</f>
        <v>10/26/1997 00:00</v>
      </c>
      <c r="C4410">
        <v>4.29</v>
      </c>
      <c r="D4410" t="s">
        <v>7</v>
      </c>
      <c r="E4410" s="2" t="s">
        <v>12</v>
      </c>
      <c r="F4410">
        <f t="shared" si="68"/>
        <v>8.5070700000000006</v>
      </c>
      <c r="G4410" t="s">
        <v>16</v>
      </c>
      <c r="I4410" t="s">
        <v>8</v>
      </c>
      <c r="J4410" t="str">
        <f>"10/26/1997 23:00"</f>
        <v>10/26/1997 23:00</v>
      </c>
    </row>
    <row r="4411" spans="1:10" x14ac:dyDescent="0.3">
      <c r="A4411" t="s">
        <v>6</v>
      </c>
      <c r="B4411" t="str">
        <f>"10/27/1997 00:00"</f>
        <v>10/27/1997 00:00</v>
      </c>
      <c r="C4411">
        <v>2.06</v>
      </c>
      <c r="D4411" t="s">
        <v>7</v>
      </c>
      <c r="E4411" s="2" t="s">
        <v>12</v>
      </c>
      <c r="F4411">
        <f t="shared" si="68"/>
        <v>4.0849800000000007</v>
      </c>
      <c r="G4411" t="s">
        <v>16</v>
      </c>
      <c r="I4411" t="s">
        <v>34</v>
      </c>
      <c r="J4411" t="str">
        <f>"10/27/1997 23:00"</f>
        <v>10/27/1997 23:00</v>
      </c>
    </row>
    <row r="4412" spans="1:10" x14ac:dyDescent="0.3">
      <c r="A4412" t="s">
        <v>6</v>
      </c>
      <c r="B4412" t="str">
        <f>"10/28/1997 00:00"</f>
        <v>10/28/1997 00:00</v>
      </c>
      <c r="C4412">
        <v>1.59</v>
      </c>
      <c r="D4412" t="s">
        <v>7</v>
      </c>
      <c r="E4412" s="2" t="s">
        <v>12</v>
      </c>
      <c r="F4412">
        <f t="shared" si="68"/>
        <v>3.1529700000000003</v>
      </c>
      <c r="G4412" t="s">
        <v>16</v>
      </c>
      <c r="I4412" t="s">
        <v>8</v>
      </c>
      <c r="J4412" t="str">
        <f>"10/28/1997 23:00"</f>
        <v>10/28/1997 23:00</v>
      </c>
    </row>
    <row r="4413" spans="1:10" x14ac:dyDescent="0.3">
      <c r="A4413" t="s">
        <v>6</v>
      </c>
      <c r="B4413" t="str">
        <f>"10/29/1997 00:00"</f>
        <v>10/29/1997 00:00</v>
      </c>
      <c r="C4413">
        <v>1.05</v>
      </c>
      <c r="D4413" t="s">
        <v>7</v>
      </c>
      <c r="E4413" s="2" t="s">
        <v>12</v>
      </c>
      <c r="F4413">
        <f t="shared" si="68"/>
        <v>2.0821500000000004</v>
      </c>
      <c r="G4413" t="s">
        <v>16</v>
      </c>
      <c r="I4413" t="s">
        <v>34</v>
      </c>
      <c r="J4413" t="str">
        <f>"10/29/1997 23:00"</f>
        <v>10/29/1997 23:00</v>
      </c>
    </row>
    <row r="4414" spans="1:10" x14ac:dyDescent="0.3">
      <c r="A4414" t="s">
        <v>6</v>
      </c>
      <c r="B4414" t="str">
        <f>"10/30/1997 00:00"</f>
        <v>10/30/1997 00:00</v>
      </c>
      <c r="C4414">
        <v>1.08</v>
      </c>
      <c r="D4414" t="s">
        <v>7</v>
      </c>
      <c r="E4414" s="2" t="s">
        <v>12</v>
      </c>
      <c r="F4414">
        <f t="shared" si="68"/>
        <v>2.1416400000000002</v>
      </c>
      <c r="G4414" t="s">
        <v>16</v>
      </c>
      <c r="I4414" t="s">
        <v>34</v>
      </c>
      <c r="J4414" t="str">
        <f>"10/30/1997 23:00"</f>
        <v>10/30/1997 23:00</v>
      </c>
    </row>
    <row r="4415" spans="1:10" x14ac:dyDescent="0.3">
      <c r="A4415" t="s">
        <v>6</v>
      </c>
      <c r="B4415" t="str">
        <f>"10/31/1997 00:00"</f>
        <v>10/31/1997 00:00</v>
      </c>
      <c r="C4415">
        <v>1.08</v>
      </c>
      <c r="D4415" t="s">
        <v>7</v>
      </c>
      <c r="E4415" s="2" t="s">
        <v>12</v>
      </c>
      <c r="F4415">
        <f t="shared" si="68"/>
        <v>2.1416400000000002</v>
      </c>
      <c r="G4415" t="s">
        <v>16</v>
      </c>
      <c r="I4415" t="s">
        <v>34</v>
      </c>
      <c r="J4415" t="str">
        <f>"10/31/1997 23:00"</f>
        <v>10/31/1997 23:00</v>
      </c>
    </row>
    <row r="4416" spans="1:10" x14ac:dyDescent="0.3">
      <c r="A4416" t="s">
        <v>6</v>
      </c>
      <c r="B4416" t="str">
        <f>"11/01/1997 00:00"</f>
        <v>11/01/1997 00:00</v>
      </c>
      <c r="C4416">
        <v>1.08</v>
      </c>
      <c r="D4416" t="s">
        <v>7</v>
      </c>
      <c r="E4416" s="2" t="s">
        <v>12</v>
      </c>
      <c r="F4416">
        <f t="shared" si="68"/>
        <v>2.1416400000000002</v>
      </c>
      <c r="G4416" t="s">
        <v>16</v>
      </c>
      <c r="I4416" t="s">
        <v>34</v>
      </c>
      <c r="J4416" t="str">
        <f>"11/01/1997 23:00"</f>
        <v>11/01/1997 23:00</v>
      </c>
    </row>
    <row r="4417" spans="1:10" x14ac:dyDescent="0.3">
      <c r="A4417" t="s">
        <v>6</v>
      </c>
      <c r="B4417" t="str">
        <f>"11/02/1997 00:00"</f>
        <v>11/02/1997 00:00</v>
      </c>
      <c r="C4417">
        <v>1.1200000000000001</v>
      </c>
      <c r="D4417" t="s">
        <v>7</v>
      </c>
      <c r="E4417" s="2" t="s">
        <v>12</v>
      </c>
      <c r="F4417">
        <f t="shared" si="68"/>
        <v>2.2209600000000003</v>
      </c>
      <c r="G4417" t="s">
        <v>16</v>
      </c>
      <c r="I4417" t="s">
        <v>34</v>
      </c>
      <c r="J4417" t="str">
        <f>"11/02/1997 23:00"</f>
        <v>11/02/1997 23:00</v>
      </c>
    </row>
    <row r="4418" spans="1:10" x14ac:dyDescent="0.3">
      <c r="A4418" t="s">
        <v>6</v>
      </c>
      <c r="B4418" t="str">
        <f>"11/03/1997 00:00"</f>
        <v>11/03/1997 00:00</v>
      </c>
      <c r="C4418">
        <v>1.34</v>
      </c>
      <c r="D4418" t="s">
        <v>7</v>
      </c>
      <c r="E4418" s="2" t="s">
        <v>12</v>
      </c>
      <c r="F4418">
        <f t="shared" si="68"/>
        <v>2.6572200000000001</v>
      </c>
      <c r="G4418" t="s">
        <v>16</v>
      </c>
      <c r="I4418" t="s">
        <v>34</v>
      </c>
      <c r="J4418" t="str">
        <f>"11/03/1997 23:00"</f>
        <v>11/03/1997 23:00</v>
      </c>
    </row>
    <row r="4419" spans="1:10" x14ac:dyDescent="0.3">
      <c r="A4419" t="s">
        <v>6</v>
      </c>
      <c r="B4419" t="str">
        <f>"11/04/1997 00:00"</f>
        <v>11/04/1997 00:00</v>
      </c>
      <c r="C4419">
        <v>1.25</v>
      </c>
      <c r="D4419" t="s">
        <v>7</v>
      </c>
      <c r="E4419" s="2" t="s">
        <v>12</v>
      </c>
      <c r="F4419">
        <f t="shared" ref="F4419:F4482" si="69">C4419*1.983</f>
        <v>2.4787500000000002</v>
      </c>
      <c r="G4419" t="s">
        <v>16</v>
      </c>
      <c r="I4419" t="s">
        <v>34</v>
      </c>
      <c r="J4419" t="str">
        <f>"11/04/1997 23:00"</f>
        <v>11/04/1997 23:00</v>
      </c>
    </row>
    <row r="4420" spans="1:10" x14ac:dyDescent="0.3">
      <c r="A4420" t="s">
        <v>6</v>
      </c>
      <c r="B4420" t="str">
        <f>"11/05/1997 00:00"</f>
        <v>11/05/1997 00:00</v>
      </c>
      <c r="C4420">
        <v>1.23</v>
      </c>
      <c r="D4420" t="s">
        <v>7</v>
      </c>
      <c r="E4420" s="2" t="s">
        <v>12</v>
      </c>
      <c r="F4420">
        <f t="shared" si="69"/>
        <v>2.4390900000000002</v>
      </c>
      <c r="G4420" t="s">
        <v>16</v>
      </c>
      <c r="I4420" t="s">
        <v>34</v>
      </c>
      <c r="J4420" t="str">
        <f>"11/05/1997 23:00"</f>
        <v>11/05/1997 23:00</v>
      </c>
    </row>
    <row r="4421" spans="1:10" x14ac:dyDescent="0.3">
      <c r="A4421" t="s">
        <v>6</v>
      </c>
      <c r="B4421" t="str">
        <f>"11/06/1997 00:00"</f>
        <v>11/06/1997 00:00</v>
      </c>
      <c r="C4421">
        <v>1.2</v>
      </c>
      <c r="D4421" t="s">
        <v>7</v>
      </c>
      <c r="E4421" s="2" t="s">
        <v>12</v>
      </c>
      <c r="F4421">
        <f t="shared" si="69"/>
        <v>2.3795999999999999</v>
      </c>
      <c r="G4421" t="s">
        <v>16</v>
      </c>
      <c r="I4421" t="s">
        <v>34</v>
      </c>
      <c r="J4421" t="str">
        <f>"11/06/1997 23:00"</f>
        <v>11/06/1997 23:00</v>
      </c>
    </row>
    <row r="4422" spans="1:10" x14ac:dyDescent="0.3">
      <c r="A4422" t="s">
        <v>6</v>
      </c>
      <c r="B4422" t="str">
        <f>"11/07/1997 00:00"</f>
        <v>11/07/1997 00:00</v>
      </c>
      <c r="C4422">
        <v>1.08</v>
      </c>
      <c r="D4422" t="s">
        <v>7</v>
      </c>
      <c r="E4422" s="2" t="s">
        <v>12</v>
      </c>
      <c r="F4422">
        <f t="shared" si="69"/>
        <v>2.1416400000000002</v>
      </c>
      <c r="G4422" t="s">
        <v>16</v>
      </c>
      <c r="I4422" t="s">
        <v>34</v>
      </c>
      <c r="J4422" t="str">
        <f>"11/07/1997 23:00"</f>
        <v>11/07/1997 23:00</v>
      </c>
    </row>
    <row r="4423" spans="1:10" x14ac:dyDescent="0.3">
      <c r="A4423" t="s">
        <v>6</v>
      </c>
      <c r="B4423" t="str">
        <f>"11/08/1997 00:00"</f>
        <v>11/08/1997 00:00</v>
      </c>
      <c r="C4423">
        <v>1.31</v>
      </c>
      <c r="D4423" t="s">
        <v>7</v>
      </c>
      <c r="E4423" s="2" t="s">
        <v>12</v>
      </c>
      <c r="F4423">
        <f t="shared" si="69"/>
        <v>2.5977300000000003</v>
      </c>
      <c r="G4423" t="s">
        <v>16</v>
      </c>
      <c r="I4423" t="s">
        <v>34</v>
      </c>
      <c r="J4423" t="str">
        <f>"11/08/1997 23:00"</f>
        <v>11/08/1997 23:00</v>
      </c>
    </row>
    <row r="4424" spans="1:10" x14ac:dyDescent="0.3">
      <c r="A4424" t="s">
        <v>6</v>
      </c>
      <c r="B4424" t="str">
        <f>"11/09/1997 00:00"</f>
        <v>11/09/1997 00:00</v>
      </c>
      <c r="C4424">
        <v>1.34</v>
      </c>
      <c r="D4424" t="s">
        <v>7</v>
      </c>
      <c r="E4424" s="2" t="s">
        <v>12</v>
      </c>
      <c r="F4424">
        <f t="shared" si="69"/>
        <v>2.6572200000000001</v>
      </c>
      <c r="G4424" t="s">
        <v>16</v>
      </c>
      <c r="I4424" t="s">
        <v>34</v>
      </c>
      <c r="J4424" t="str">
        <f>"11/09/1997 23:00"</f>
        <v>11/09/1997 23:00</v>
      </c>
    </row>
    <row r="4425" spans="1:10" x14ac:dyDescent="0.3">
      <c r="A4425" t="s">
        <v>6</v>
      </c>
      <c r="B4425" t="str">
        <f>"11/10/1997 00:00"</f>
        <v>11/10/1997 00:00</v>
      </c>
      <c r="C4425">
        <v>1.42</v>
      </c>
      <c r="D4425" t="s">
        <v>7</v>
      </c>
      <c r="E4425" s="2" t="s">
        <v>12</v>
      </c>
      <c r="F4425">
        <f t="shared" si="69"/>
        <v>2.8158599999999998</v>
      </c>
      <c r="G4425" t="s">
        <v>16</v>
      </c>
      <c r="I4425" t="s">
        <v>34</v>
      </c>
      <c r="J4425" t="str">
        <f>"11/10/1997 23:00"</f>
        <v>11/10/1997 23:00</v>
      </c>
    </row>
    <row r="4426" spans="1:10" x14ac:dyDescent="0.3">
      <c r="A4426" t="s">
        <v>6</v>
      </c>
      <c r="B4426" t="str">
        <f>"11/11/1997 00:00"</f>
        <v>11/11/1997 00:00</v>
      </c>
      <c r="C4426">
        <v>1.42</v>
      </c>
      <c r="D4426" t="s">
        <v>7</v>
      </c>
      <c r="E4426" s="2" t="s">
        <v>12</v>
      </c>
      <c r="F4426">
        <f t="shared" si="69"/>
        <v>2.8158599999999998</v>
      </c>
      <c r="G4426" t="s">
        <v>16</v>
      </c>
      <c r="I4426" t="s">
        <v>34</v>
      </c>
      <c r="J4426" t="str">
        <f>"11/11/1997 23:00"</f>
        <v>11/11/1997 23:00</v>
      </c>
    </row>
    <row r="4427" spans="1:10" x14ac:dyDescent="0.3">
      <c r="A4427" t="s">
        <v>6</v>
      </c>
      <c r="B4427" t="str">
        <f>"11/12/1997 00:00"</f>
        <v>11/12/1997 00:00</v>
      </c>
      <c r="C4427">
        <v>1.36</v>
      </c>
      <c r="D4427" t="s">
        <v>7</v>
      </c>
      <c r="E4427" s="2" t="s">
        <v>12</v>
      </c>
      <c r="F4427">
        <f t="shared" si="69"/>
        <v>2.6968800000000002</v>
      </c>
      <c r="G4427" t="s">
        <v>16</v>
      </c>
      <c r="I4427" t="s">
        <v>34</v>
      </c>
      <c r="J4427" t="str">
        <f>"11/12/1997 23:00"</f>
        <v>11/12/1997 23:00</v>
      </c>
    </row>
    <row r="4428" spans="1:10" x14ac:dyDescent="0.3">
      <c r="A4428" t="s">
        <v>6</v>
      </c>
      <c r="B4428" t="str">
        <f>"11/13/1997 00:00"</f>
        <v>11/13/1997 00:00</v>
      </c>
      <c r="C4428">
        <v>1.35</v>
      </c>
      <c r="D4428" t="s">
        <v>7</v>
      </c>
      <c r="E4428" s="2" t="s">
        <v>12</v>
      </c>
      <c r="F4428">
        <f t="shared" si="69"/>
        <v>2.6770500000000004</v>
      </c>
      <c r="G4428" t="s">
        <v>16</v>
      </c>
      <c r="I4428" t="s">
        <v>34</v>
      </c>
      <c r="J4428" t="str">
        <f>"11/13/1997 23:00"</f>
        <v>11/13/1997 23:00</v>
      </c>
    </row>
    <row r="4429" spans="1:10" x14ac:dyDescent="0.3">
      <c r="A4429" t="s">
        <v>6</v>
      </c>
      <c r="B4429" t="str">
        <f>"11/14/1997 00:00"</f>
        <v>11/14/1997 00:00</v>
      </c>
      <c r="C4429">
        <v>1.66</v>
      </c>
      <c r="D4429" t="s">
        <v>7</v>
      </c>
      <c r="E4429" s="2" t="s">
        <v>12</v>
      </c>
      <c r="F4429">
        <f t="shared" si="69"/>
        <v>3.2917800000000002</v>
      </c>
      <c r="G4429" t="s">
        <v>16</v>
      </c>
      <c r="I4429" t="s">
        <v>34</v>
      </c>
      <c r="J4429" t="str">
        <f>"11/14/1997 23:00"</f>
        <v>11/14/1997 23:00</v>
      </c>
    </row>
    <row r="4430" spans="1:10" x14ac:dyDescent="0.3">
      <c r="A4430" t="s">
        <v>6</v>
      </c>
      <c r="B4430" t="str">
        <f>"11/15/1997 00:00"</f>
        <v>11/15/1997 00:00</v>
      </c>
      <c r="C4430">
        <v>1.77</v>
      </c>
      <c r="D4430" t="s">
        <v>7</v>
      </c>
      <c r="E4430" s="2" t="s">
        <v>12</v>
      </c>
      <c r="F4430">
        <f t="shared" si="69"/>
        <v>3.5099100000000001</v>
      </c>
      <c r="G4430" t="s">
        <v>16</v>
      </c>
      <c r="I4430" t="s">
        <v>34</v>
      </c>
      <c r="J4430" t="str">
        <f>"11/15/1997 23:00"</f>
        <v>11/15/1997 23:00</v>
      </c>
    </row>
    <row r="4431" spans="1:10" x14ac:dyDescent="0.3">
      <c r="A4431" t="s">
        <v>6</v>
      </c>
      <c r="B4431" t="str">
        <f>"11/16/1997 00:00"</f>
        <v>11/16/1997 00:00</v>
      </c>
      <c r="C4431">
        <v>1.5</v>
      </c>
      <c r="D4431" t="s">
        <v>7</v>
      </c>
      <c r="E4431" s="2" t="s">
        <v>12</v>
      </c>
      <c r="F4431">
        <f t="shared" si="69"/>
        <v>2.9744999999999999</v>
      </c>
      <c r="G4431" t="s">
        <v>16</v>
      </c>
      <c r="I4431" t="s">
        <v>34</v>
      </c>
      <c r="J4431" t="str">
        <f>"11/16/1997 23:00"</f>
        <v>11/16/1997 23:00</v>
      </c>
    </row>
    <row r="4432" spans="1:10" x14ac:dyDescent="0.3">
      <c r="A4432" t="s">
        <v>6</v>
      </c>
      <c r="B4432" t="str">
        <f>"11/17/1997 00:00"</f>
        <v>11/17/1997 00:00</v>
      </c>
      <c r="C4432">
        <v>1.34</v>
      </c>
      <c r="D4432" t="s">
        <v>7</v>
      </c>
      <c r="E4432" s="2" t="s">
        <v>12</v>
      </c>
      <c r="F4432">
        <f t="shared" si="69"/>
        <v>2.6572200000000001</v>
      </c>
      <c r="G4432" t="s">
        <v>16</v>
      </c>
      <c r="I4432" t="s">
        <v>34</v>
      </c>
      <c r="J4432" t="str">
        <f>"11/17/1997 23:00"</f>
        <v>11/17/1997 23:00</v>
      </c>
    </row>
    <row r="4433" spans="1:10" x14ac:dyDescent="0.3">
      <c r="A4433" t="s">
        <v>6</v>
      </c>
      <c r="B4433" t="str">
        <f>"11/18/1997 00:00"</f>
        <v>11/18/1997 00:00</v>
      </c>
      <c r="C4433">
        <v>1.1000000000000001</v>
      </c>
      <c r="D4433" t="s">
        <v>7</v>
      </c>
      <c r="E4433" s="2" t="s">
        <v>12</v>
      </c>
      <c r="F4433">
        <f t="shared" si="69"/>
        <v>2.1813000000000002</v>
      </c>
      <c r="G4433" t="s">
        <v>16</v>
      </c>
      <c r="I4433" t="s">
        <v>34</v>
      </c>
      <c r="J4433" t="str">
        <f>"11/18/1997 23:00"</f>
        <v>11/18/1997 23:00</v>
      </c>
    </row>
    <row r="4434" spans="1:10" x14ac:dyDescent="0.3">
      <c r="A4434" t="s">
        <v>6</v>
      </c>
      <c r="B4434" t="str">
        <f>"11/19/1997 00:00"</f>
        <v>11/19/1997 00:00</v>
      </c>
      <c r="C4434">
        <v>1.03</v>
      </c>
      <c r="D4434" t="s">
        <v>7</v>
      </c>
      <c r="E4434" s="2" t="s">
        <v>12</v>
      </c>
      <c r="F4434">
        <f t="shared" si="69"/>
        <v>2.0424900000000004</v>
      </c>
      <c r="G4434" t="s">
        <v>16</v>
      </c>
      <c r="I4434" t="s">
        <v>34</v>
      </c>
      <c r="J4434" t="str">
        <f>"11/19/1997 23:00"</f>
        <v>11/19/1997 23:00</v>
      </c>
    </row>
    <row r="4435" spans="1:10" x14ac:dyDescent="0.3">
      <c r="A4435" t="s">
        <v>6</v>
      </c>
      <c r="B4435" t="str">
        <f>"11/20/1997 00:00"</f>
        <v>11/20/1997 00:00</v>
      </c>
      <c r="C4435">
        <v>0.86899999999999999</v>
      </c>
      <c r="D4435" t="s">
        <v>7</v>
      </c>
      <c r="E4435" s="2" t="s">
        <v>12</v>
      </c>
      <c r="F4435">
        <f t="shared" si="69"/>
        <v>1.7232270000000001</v>
      </c>
      <c r="G4435" t="s">
        <v>16</v>
      </c>
      <c r="I4435" t="s">
        <v>34</v>
      </c>
      <c r="J4435" t="str">
        <f>"11/20/1997 23:00"</f>
        <v>11/20/1997 23:00</v>
      </c>
    </row>
    <row r="4436" spans="1:10" x14ac:dyDescent="0.3">
      <c r="A4436" t="s">
        <v>6</v>
      </c>
      <c r="B4436" t="str">
        <f>"11/21/1997 00:00"</f>
        <v>11/21/1997 00:00</v>
      </c>
      <c r="C4436">
        <v>1.1299999999999999</v>
      </c>
      <c r="D4436" t="s">
        <v>7</v>
      </c>
      <c r="E4436" s="2" t="s">
        <v>12</v>
      </c>
      <c r="F4436">
        <f t="shared" si="69"/>
        <v>2.2407900000000001</v>
      </c>
      <c r="G4436" t="s">
        <v>16</v>
      </c>
      <c r="I4436" t="s">
        <v>34</v>
      </c>
      <c r="J4436" t="str">
        <f>"11/21/1997 23:00"</f>
        <v>11/21/1997 23:00</v>
      </c>
    </row>
    <row r="4437" spans="1:10" x14ac:dyDescent="0.3">
      <c r="A4437" t="s">
        <v>6</v>
      </c>
      <c r="B4437" t="str">
        <f>"11/22/1997 00:00"</f>
        <v>11/22/1997 00:00</v>
      </c>
      <c r="C4437">
        <v>1.1200000000000001</v>
      </c>
      <c r="D4437" t="s">
        <v>7</v>
      </c>
      <c r="E4437" s="2" t="s">
        <v>12</v>
      </c>
      <c r="F4437">
        <f t="shared" si="69"/>
        <v>2.2209600000000003</v>
      </c>
      <c r="G4437" t="s">
        <v>16</v>
      </c>
      <c r="I4437" t="s">
        <v>34</v>
      </c>
      <c r="J4437" t="str">
        <f>"11/22/1997 23:00"</f>
        <v>11/22/1997 23:00</v>
      </c>
    </row>
    <row r="4438" spans="1:10" x14ac:dyDescent="0.3">
      <c r="A4438" t="s">
        <v>6</v>
      </c>
      <c r="B4438" t="str">
        <f>"11/23/1997 00:00"</f>
        <v>11/23/1997 00:00</v>
      </c>
      <c r="C4438">
        <v>1.1599999999999999</v>
      </c>
      <c r="D4438" t="s">
        <v>7</v>
      </c>
      <c r="E4438" s="2" t="s">
        <v>12</v>
      </c>
      <c r="F4438">
        <f t="shared" si="69"/>
        <v>2.3002799999999999</v>
      </c>
      <c r="G4438" t="s">
        <v>16</v>
      </c>
      <c r="I4438" t="s">
        <v>34</v>
      </c>
      <c r="J4438" t="str">
        <f>"11/23/1997 23:00"</f>
        <v>11/23/1997 23:00</v>
      </c>
    </row>
    <row r="4439" spans="1:10" x14ac:dyDescent="0.3">
      <c r="A4439" t="s">
        <v>6</v>
      </c>
      <c r="B4439" t="str">
        <f>"11/24/1997 00:00"</f>
        <v>11/24/1997 00:00</v>
      </c>
      <c r="C4439">
        <v>1.08</v>
      </c>
      <c r="D4439" t="s">
        <v>7</v>
      </c>
      <c r="E4439" s="2" t="s">
        <v>12</v>
      </c>
      <c r="F4439">
        <f t="shared" si="69"/>
        <v>2.1416400000000002</v>
      </c>
      <c r="G4439" t="s">
        <v>16</v>
      </c>
      <c r="I4439" t="s">
        <v>34</v>
      </c>
      <c r="J4439" t="str">
        <f>"11/24/1997 23:00"</f>
        <v>11/24/1997 23:00</v>
      </c>
    </row>
    <row r="4440" spans="1:10" x14ac:dyDescent="0.3">
      <c r="A4440" t="s">
        <v>6</v>
      </c>
      <c r="B4440" t="str">
        <f>"11/25/1997 00:00"</f>
        <v>11/25/1997 00:00</v>
      </c>
      <c r="C4440">
        <v>0.96499999999999997</v>
      </c>
      <c r="D4440" t="s">
        <v>7</v>
      </c>
      <c r="E4440" s="2" t="s">
        <v>12</v>
      </c>
      <c r="F4440">
        <f t="shared" si="69"/>
        <v>1.9135949999999999</v>
      </c>
      <c r="G4440" t="s">
        <v>16</v>
      </c>
      <c r="I4440" t="s">
        <v>8</v>
      </c>
      <c r="J4440" t="str">
        <f>"11/25/1997 23:00"</f>
        <v>11/25/1997 23:00</v>
      </c>
    </row>
    <row r="4441" spans="1:10" x14ac:dyDescent="0.3">
      <c r="A4441" t="s">
        <v>6</v>
      </c>
      <c r="B4441" t="str">
        <f>"11/26/1997 00:00"</f>
        <v>11/26/1997 00:00</v>
      </c>
      <c r="C4441">
        <v>0.91700000000000004</v>
      </c>
      <c r="D4441" t="s">
        <v>7</v>
      </c>
      <c r="E4441" s="2" t="s">
        <v>12</v>
      </c>
      <c r="F4441">
        <f t="shared" si="69"/>
        <v>1.8184110000000002</v>
      </c>
      <c r="G4441" t="s">
        <v>16</v>
      </c>
      <c r="I4441" t="s">
        <v>34</v>
      </c>
      <c r="J4441" t="str">
        <f>"11/26/1997 23:00"</f>
        <v>11/26/1997 23:00</v>
      </c>
    </row>
    <row r="4442" spans="1:10" x14ac:dyDescent="0.3">
      <c r="A4442" t="s">
        <v>6</v>
      </c>
      <c r="B4442" t="str">
        <f>"11/27/1997 00:00"</f>
        <v>11/27/1997 00:00</v>
      </c>
      <c r="C4442">
        <v>0.67600000000000005</v>
      </c>
      <c r="D4442" t="s">
        <v>7</v>
      </c>
      <c r="E4442" s="2" t="s">
        <v>12</v>
      </c>
      <c r="F4442">
        <f t="shared" si="69"/>
        <v>1.3405080000000003</v>
      </c>
      <c r="G4442" t="s">
        <v>16</v>
      </c>
      <c r="I4442" t="s">
        <v>34</v>
      </c>
      <c r="J4442" t="str">
        <f>"11/27/1997 23:00"</f>
        <v>11/27/1997 23:00</v>
      </c>
    </row>
    <row r="4443" spans="1:10" x14ac:dyDescent="0.3">
      <c r="A4443" t="s">
        <v>6</v>
      </c>
      <c r="B4443" t="str">
        <f>"11/28/1997 00:00"</f>
        <v>11/28/1997 00:00</v>
      </c>
      <c r="C4443">
        <v>0.63</v>
      </c>
      <c r="D4443" t="s">
        <v>7</v>
      </c>
      <c r="E4443" s="2" t="s">
        <v>12</v>
      </c>
      <c r="F4443">
        <f t="shared" si="69"/>
        <v>1.24929</v>
      </c>
      <c r="G4443" t="s">
        <v>16</v>
      </c>
      <c r="I4443" t="s">
        <v>34</v>
      </c>
      <c r="J4443" t="str">
        <f>"11/28/1997 23:00"</f>
        <v>11/28/1997 23:00</v>
      </c>
    </row>
    <row r="4444" spans="1:10" x14ac:dyDescent="0.3">
      <c r="A4444" t="s">
        <v>6</v>
      </c>
      <c r="B4444" t="str">
        <f>"11/29/1997 00:00"</f>
        <v>11/29/1997 00:00</v>
      </c>
      <c r="C4444">
        <v>0.63</v>
      </c>
      <c r="D4444" t="s">
        <v>7</v>
      </c>
      <c r="E4444" s="2" t="s">
        <v>12</v>
      </c>
      <c r="F4444">
        <f t="shared" si="69"/>
        <v>1.24929</v>
      </c>
      <c r="G4444" t="s">
        <v>16</v>
      </c>
      <c r="I4444" t="s">
        <v>34</v>
      </c>
      <c r="J4444" t="str">
        <f>"11/29/1997 23:00"</f>
        <v>11/29/1997 23:00</v>
      </c>
    </row>
    <row r="4445" spans="1:10" x14ac:dyDescent="0.3">
      <c r="A4445" t="s">
        <v>6</v>
      </c>
      <c r="B4445" t="str">
        <f>"11/30/1997 00:00"</f>
        <v>11/30/1997 00:00</v>
      </c>
      <c r="C4445">
        <v>0.59</v>
      </c>
      <c r="D4445" t="s">
        <v>7</v>
      </c>
      <c r="E4445" s="2" t="s">
        <v>12</v>
      </c>
      <c r="F4445">
        <f t="shared" si="69"/>
        <v>1.16997</v>
      </c>
      <c r="G4445" t="s">
        <v>16</v>
      </c>
      <c r="I4445" t="s">
        <v>34</v>
      </c>
      <c r="J4445" t="str">
        <f>"11/30/1997 23:00"</f>
        <v>11/30/1997 23:00</v>
      </c>
    </row>
    <row r="4446" spans="1:10" x14ac:dyDescent="0.3">
      <c r="A4446" t="s">
        <v>6</v>
      </c>
      <c r="B4446" t="str">
        <f>"12/01/1997 00:00"</f>
        <v>12/01/1997 00:00</v>
      </c>
      <c r="C4446">
        <v>0.44</v>
      </c>
      <c r="D4446" t="s">
        <v>7</v>
      </c>
      <c r="E4446" s="2" t="s">
        <v>12</v>
      </c>
      <c r="F4446">
        <f t="shared" si="69"/>
        <v>0.87252000000000007</v>
      </c>
      <c r="G4446" t="s">
        <v>16</v>
      </c>
      <c r="I4446" t="s">
        <v>34</v>
      </c>
      <c r="J4446" t="str">
        <f>"12/01/1997 23:00"</f>
        <v>12/01/1997 23:00</v>
      </c>
    </row>
    <row r="4447" spans="1:10" x14ac:dyDescent="0.3">
      <c r="A4447" t="s">
        <v>6</v>
      </c>
      <c r="B4447" t="str">
        <f>"12/02/1997 00:00"</f>
        <v>12/02/1997 00:00</v>
      </c>
      <c r="C4447">
        <v>0.64400000000000002</v>
      </c>
      <c r="D4447" t="s">
        <v>7</v>
      </c>
      <c r="E4447" s="2" t="s">
        <v>12</v>
      </c>
      <c r="F4447">
        <f t="shared" si="69"/>
        <v>1.2770520000000001</v>
      </c>
      <c r="G4447" t="s">
        <v>16</v>
      </c>
      <c r="I4447" t="s">
        <v>34</v>
      </c>
      <c r="J4447" t="str">
        <f>"12/02/1997 23:00"</f>
        <v>12/02/1997 23:00</v>
      </c>
    </row>
    <row r="4448" spans="1:10" x14ac:dyDescent="0.3">
      <c r="A4448" t="s">
        <v>6</v>
      </c>
      <c r="B4448" t="str">
        <f>"12/03/1997 00:00"</f>
        <v>12/03/1997 00:00</v>
      </c>
      <c r="C4448">
        <v>0.96499999999999997</v>
      </c>
      <c r="D4448" t="s">
        <v>7</v>
      </c>
      <c r="E4448" s="2" t="s">
        <v>12</v>
      </c>
      <c r="F4448">
        <f t="shared" si="69"/>
        <v>1.9135949999999999</v>
      </c>
      <c r="G4448" t="s">
        <v>16</v>
      </c>
      <c r="I4448" t="s">
        <v>34</v>
      </c>
      <c r="J4448" t="str">
        <f>"12/03/1997 23:00"</f>
        <v>12/03/1997 23:00</v>
      </c>
    </row>
    <row r="4449" spans="1:10" x14ac:dyDescent="0.3">
      <c r="A4449" t="s">
        <v>6</v>
      </c>
      <c r="B4449" t="str">
        <f>"12/04/1997 00:00"</f>
        <v>12/04/1997 00:00</v>
      </c>
      <c r="C4449">
        <v>0.85</v>
      </c>
      <c r="D4449" t="s">
        <v>7</v>
      </c>
      <c r="E4449" s="2" t="s">
        <v>12</v>
      </c>
      <c r="F4449">
        <f t="shared" si="69"/>
        <v>1.6855500000000001</v>
      </c>
      <c r="G4449" t="s">
        <v>16</v>
      </c>
      <c r="I4449" t="s">
        <v>34</v>
      </c>
      <c r="J4449" t="str">
        <f>"12/04/1997 23:00"</f>
        <v>12/04/1997 23:00</v>
      </c>
    </row>
    <row r="4450" spans="1:10" x14ac:dyDescent="0.3">
      <c r="A4450" t="s">
        <v>6</v>
      </c>
      <c r="B4450" t="str">
        <f>"12/05/1997 00:00"</f>
        <v>12/05/1997 00:00</v>
      </c>
      <c r="C4450">
        <v>0.85</v>
      </c>
      <c r="D4450" t="s">
        <v>7</v>
      </c>
      <c r="E4450" s="2" t="s">
        <v>12</v>
      </c>
      <c r="F4450">
        <f t="shared" si="69"/>
        <v>1.6855500000000001</v>
      </c>
      <c r="G4450" t="s">
        <v>16</v>
      </c>
      <c r="I4450" t="s">
        <v>34</v>
      </c>
      <c r="J4450" t="str">
        <f>"12/05/1997 23:00"</f>
        <v>12/05/1997 23:00</v>
      </c>
    </row>
    <row r="4451" spans="1:10" x14ac:dyDescent="0.3">
      <c r="A4451" t="s">
        <v>6</v>
      </c>
      <c r="B4451" t="str">
        <f>"12/06/1997 00:00"</f>
        <v>12/06/1997 00:00</v>
      </c>
      <c r="C4451">
        <v>0.78600000000000003</v>
      </c>
      <c r="D4451" t="s">
        <v>7</v>
      </c>
      <c r="E4451" s="2" t="s">
        <v>12</v>
      </c>
      <c r="F4451">
        <f t="shared" si="69"/>
        <v>1.5586380000000002</v>
      </c>
      <c r="G4451" t="s">
        <v>16</v>
      </c>
      <c r="I4451" t="s">
        <v>34</v>
      </c>
      <c r="J4451" t="str">
        <f>"12/06/1997 23:00"</f>
        <v>12/06/1997 23:00</v>
      </c>
    </row>
    <row r="4452" spans="1:10" x14ac:dyDescent="0.3">
      <c r="A4452" t="s">
        <v>6</v>
      </c>
      <c r="B4452" t="str">
        <f>"12/07/1997 00:00"</f>
        <v>12/07/1997 00:00</v>
      </c>
      <c r="C4452">
        <v>0.78600000000000003</v>
      </c>
      <c r="D4452" t="s">
        <v>7</v>
      </c>
      <c r="E4452" s="2" t="s">
        <v>12</v>
      </c>
      <c r="F4452">
        <f t="shared" si="69"/>
        <v>1.5586380000000002</v>
      </c>
      <c r="G4452" t="s">
        <v>16</v>
      </c>
      <c r="I4452" t="s">
        <v>34</v>
      </c>
      <c r="J4452" t="str">
        <f>"12/07/1997 23:00"</f>
        <v>12/07/1997 23:00</v>
      </c>
    </row>
    <row r="4453" spans="1:10" x14ac:dyDescent="0.3">
      <c r="A4453" t="s">
        <v>6</v>
      </c>
      <c r="B4453" t="str">
        <f>"12/08/1997 00:00"</f>
        <v>12/08/1997 00:00</v>
      </c>
      <c r="C4453">
        <v>0.74</v>
      </c>
      <c r="D4453" t="s">
        <v>7</v>
      </c>
      <c r="E4453" s="2" t="s">
        <v>12</v>
      </c>
      <c r="F4453">
        <f t="shared" si="69"/>
        <v>1.4674199999999999</v>
      </c>
      <c r="G4453" t="s">
        <v>16</v>
      </c>
      <c r="I4453" t="s">
        <v>34</v>
      </c>
      <c r="J4453" t="str">
        <f>"12/08/1997 23:00"</f>
        <v>12/08/1997 23:00</v>
      </c>
    </row>
    <row r="4454" spans="1:10" x14ac:dyDescent="0.3">
      <c r="A4454" t="s">
        <v>6</v>
      </c>
      <c r="B4454" t="str">
        <f>"12/09/1997 00:00"</f>
        <v>12/09/1997 00:00</v>
      </c>
      <c r="C4454">
        <v>0.80400000000000005</v>
      </c>
      <c r="D4454" t="s">
        <v>7</v>
      </c>
      <c r="E4454" s="2" t="s">
        <v>12</v>
      </c>
      <c r="F4454">
        <f t="shared" si="69"/>
        <v>1.5943320000000001</v>
      </c>
      <c r="G4454" t="s">
        <v>16</v>
      </c>
      <c r="I4454" t="s">
        <v>34</v>
      </c>
      <c r="J4454" t="str">
        <f>"12/09/1997 23:00"</f>
        <v>12/09/1997 23:00</v>
      </c>
    </row>
    <row r="4455" spans="1:10" x14ac:dyDescent="0.3">
      <c r="A4455" t="s">
        <v>6</v>
      </c>
      <c r="B4455" t="str">
        <f>"12/10/1997 00:00"</f>
        <v>12/10/1997 00:00</v>
      </c>
      <c r="C4455">
        <v>1.01</v>
      </c>
      <c r="D4455" t="s">
        <v>7</v>
      </c>
      <c r="E4455" s="2" t="s">
        <v>12</v>
      </c>
      <c r="F4455">
        <f t="shared" si="69"/>
        <v>2.0028300000000003</v>
      </c>
      <c r="G4455" t="s">
        <v>16</v>
      </c>
      <c r="I4455" t="s">
        <v>34</v>
      </c>
      <c r="J4455" t="str">
        <f>"12/10/1997 23:00"</f>
        <v>12/10/1997 23:00</v>
      </c>
    </row>
    <row r="4456" spans="1:10" x14ac:dyDescent="0.3">
      <c r="A4456" t="s">
        <v>6</v>
      </c>
      <c r="B4456" t="str">
        <f>"12/11/1997 00:00"</f>
        <v>12/11/1997 00:00</v>
      </c>
      <c r="C4456">
        <v>1.05</v>
      </c>
      <c r="D4456" t="s">
        <v>7</v>
      </c>
      <c r="E4456" s="2" t="s">
        <v>12</v>
      </c>
      <c r="F4456">
        <f t="shared" si="69"/>
        <v>2.0821500000000004</v>
      </c>
      <c r="G4456" t="s">
        <v>16</v>
      </c>
      <c r="I4456" t="s">
        <v>34</v>
      </c>
      <c r="J4456" t="str">
        <f>"12/11/1997 23:00"</f>
        <v>12/11/1997 23:00</v>
      </c>
    </row>
    <row r="4457" spans="1:10" x14ac:dyDescent="0.3">
      <c r="A4457" t="s">
        <v>6</v>
      </c>
      <c r="B4457" t="str">
        <f>"12/12/1997 00:00"</f>
        <v>12/12/1997 00:00</v>
      </c>
      <c r="C4457">
        <v>1.01</v>
      </c>
      <c r="D4457" t="s">
        <v>7</v>
      </c>
      <c r="E4457" s="2" t="s">
        <v>12</v>
      </c>
      <c r="F4457">
        <f t="shared" si="69"/>
        <v>2.0028300000000003</v>
      </c>
      <c r="G4457" t="s">
        <v>16</v>
      </c>
      <c r="I4457" t="s">
        <v>34</v>
      </c>
      <c r="J4457" t="str">
        <f>"12/12/1997 23:00"</f>
        <v>12/12/1997 23:00</v>
      </c>
    </row>
    <row r="4458" spans="1:10" x14ac:dyDescent="0.3">
      <c r="A4458" t="s">
        <v>6</v>
      </c>
      <c r="B4458" t="str">
        <f>"12/13/1997 00:00"</f>
        <v>12/13/1997 00:00</v>
      </c>
      <c r="C4458">
        <v>0.85</v>
      </c>
      <c r="D4458" t="s">
        <v>7</v>
      </c>
      <c r="E4458" s="2" t="s">
        <v>12</v>
      </c>
      <c r="F4458">
        <f t="shared" si="69"/>
        <v>1.6855500000000001</v>
      </c>
      <c r="G4458" t="s">
        <v>16</v>
      </c>
      <c r="I4458" t="s">
        <v>34</v>
      </c>
      <c r="J4458" t="str">
        <f>"12/13/1997 23:00"</f>
        <v>12/13/1997 23:00</v>
      </c>
    </row>
    <row r="4459" spans="1:10" x14ac:dyDescent="0.3">
      <c r="A4459" t="s">
        <v>6</v>
      </c>
      <c r="B4459" t="str">
        <f>"12/14/1997 00:00"</f>
        <v>12/14/1997 00:00</v>
      </c>
      <c r="C4459">
        <v>0.82299999999999995</v>
      </c>
      <c r="D4459" t="s">
        <v>7</v>
      </c>
      <c r="E4459" s="2" t="s">
        <v>12</v>
      </c>
      <c r="F4459">
        <f t="shared" si="69"/>
        <v>1.632009</v>
      </c>
      <c r="G4459" t="s">
        <v>16</v>
      </c>
      <c r="I4459" t="s">
        <v>34</v>
      </c>
      <c r="J4459" t="str">
        <f>"12/14/1997 23:00"</f>
        <v>12/14/1997 23:00</v>
      </c>
    </row>
    <row r="4460" spans="1:10" x14ac:dyDescent="0.3">
      <c r="A4460" t="s">
        <v>6</v>
      </c>
      <c r="B4460" t="str">
        <f>"12/15/1997 00:00"</f>
        <v>12/15/1997 00:00</v>
      </c>
      <c r="C4460">
        <v>0.63</v>
      </c>
      <c r="D4460" t="s">
        <v>7</v>
      </c>
      <c r="E4460" s="2" t="s">
        <v>12</v>
      </c>
      <c r="F4460">
        <f t="shared" si="69"/>
        <v>1.24929</v>
      </c>
      <c r="G4460" t="s">
        <v>16</v>
      </c>
      <c r="I4460" t="s">
        <v>34</v>
      </c>
      <c r="J4460" t="str">
        <f>"12/15/1997 23:00"</f>
        <v>12/15/1997 23:00</v>
      </c>
    </row>
    <row r="4461" spans="1:10" x14ac:dyDescent="0.3">
      <c r="A4461" t="s">
        <v>6</v>
      </c>
      <c r="B4461" t="str">
        <f>"12/16/1997 00:00"</f>
        <v>12/16/1997 00:00</v>
      </c>
      <c r="C4461">
        <v>0.63</v>
      </c>
      <c r="D4461" t="s">
        <v>7</v>
      </c>
      <c r="E4461" s="2" t="s">
        <v>12</v>
      </c>
      <c r="F4461">
        <f t="shared" si="69"/>
        <v>1.24929</v>
      </c>
      <c r="G4461" t="s">
        <v>16</v>
      </c>
      <c r="I4461" t="s">
        <v>34</v>
      </c>
      <c r="J4461" t="str">
        <f>"12/16/1997 23:00"</f>
        <v>12/16/1997 23:00</v>
      </c>
    </row>
    <row r="4462" spans="1:10" x14ac:dyDescent="0.3">
      <c r="A4462" t="s">
        <v>6</v>
      </c>
      <c r="B4462" t="str">
        <f>"12/17/1997 00:00"</f>
        <v>12/17/1997 00:00</v>
      </c>
      <c r="C4462">
        <v>0.63</v>
      </c>
      <c r="D4462" t="s">
        <v>7</v>
      </c>
      <c r="E4462" s="2" t="s">
        <v>12</v>
      </c>
      <c r="F4462">
        <f t="shared" si="69"/>
        <v>1.24929</v>
      </c>
      <c r="G4462" t="s">
        <v>16</v>
      </c>
      <c r="I4462" t="s">
        <v>34</v>
      </c>
      <c r="J4462" t="str">
        <f>"12/17/1997 23:00"</f>
        <v>12/17/1997 23:00</v>
      </c>
    </row>
    <row r="4463" spans="1:10" x14ac:dyDescent="0.3">
      <c r="A4463" t="s">
        <v>6</v>
      </c>
      <c r="B4463" t="str">
        <f>"12/18/1997 00:00"</f>
        <v>12/18/1997 00:00</v>
      </c>
      <c r="C4463">
        <v>0.65800000000000003</v>
      </c>
      <c r="D4463" t="s">
        <v>7</v>
      </c>
      <c r="E4463" s="2" t="s">
        <v>12</v>
      </c>
      <c r="F4463">
        <f t="shared" si="69"/>
        <v>1.3048140000000001</v>
      </c>
      <c r="G4463" t="s">
        <v>16</v>
      </c>
      <c r="I4463" t="s">
        <v>34</v>
      </c>
      <c r="J4463" t="str">
        <f>"12/18/1997 23:00"</f>
        <v>12/18/1997 23:00</v>
      </c>
    </row>
    <row r="4464" spans="1:10" x14ac:dyDescent="0.3">
      <c r="A4464" t="s">
        <v>6</v>
      </c>
      <c r="B4464" t="str">
        <f>"12/19/1997 00:00"</f>
        <v>12/19/1997 00:00</v>
      </c>
      <c r="C4464">
        <v>1.06</v>
      </c>
      <c r="D4464" t="s">
        <v>7</v>
      </c>
      <c r="E4464" s="2" t="s">
        <v>12</v>
      </c>
      <c r="F4464">
        <f t="shared" si="69"/>
        <v>2.1019800000000002</v>
      </c>
      <c r="G4464" t="s">
        <v>16</v>
      </c>
      <c r="I4464" t="s">
        <v>34</v>
      </c>
      <c r="J4464" t="str">
        <f>"12/19/1997 23:00"</f>
        <v>12/19/1997 23:00</v>
      </c>
    </row>
    <row r="4465" spans="1:10" x14ac:dyDescent="0.3">
      <c r="A4465" t="s">
        <v>6</v>
      </c>
      <c r="B4465" t="str">
        <f>"12/20/1997 00:00"</f>
        <v>12/20/1997 00:00</v>
      </c>
      <c r="C4465">
        <v>1.08</v>
      </c>
      <c r="D4465" t="s">
        <v>7</v>
      </c>
      <c r="E4465" s="2" t="s">
        <v>12</v>
      </c>
      <c r="F4465">
        <f t="shared" si="69"/>
        <v>2.1416400000000002</v>
      </c>
      <c r="G4465" t="s">
        <v>16</v>
      </c>
      <c r="I4465" t="s">
        <v>34</v>
      </c>
      <c r="J4465" t="str">
        <f>"12/20/1997 23:00"</f>
        <v>12/20/1997 23:00</v>
      </c>
    </row>
    <row r="4466" spans="1:10" x14ac:dyDescent="0.3">
      <c r="A4466" t="s">
        <v>6</v>
      </c>
      <c r="B4466" t="str">
        <f>"12/21/1997 00:00"</f>
        <v>12/21/1997 00:00</v>
      </c>
      <c r="C4466">
        <v>1.08</v>
      </c>
      <c r="D4466" t="s">
        <v>7</v>
      </c>
      <c r="E4466" s="2" t="s">
        <v>12</v>
      </c>
      <c r="F4466">
        <f t="shared" si="69"/>
        <v>2.1416400000000002</v>
      </c>
      <c r="G4466" t="s">
        <v>16</v>
      </c>
      <c r="I4466" t="s">
        <v>34</v>
      </c>
      <c r="J4466" t="str">
        <f>"12/21/1997 23:00"</f>
        <v>12/21/1997 23:00</v>
      </c>
    </row>
    <row r="4467" spans="1:10" x14ac:dyDescent="0.3">
      <c r="A4467" t="s">
        <v>6</v>
      </c>
      <c r="B4467" t="str">
        <f>"12/22/1997 00:00"</f>
        <v>12/22/1997 00:00</v>
      </c>
      <c r="C4467">
        <v>1.08</v>
      </c>
      <c r="D4467" t="s">
        <v>7</v>
      </c>
      <c r="E4467" s="2" t="s">
        <v>12</v>
      </c>
      <c r="F4467">
        <f t="shared" si="69"/>
        <v>2.1416400000000002</v>
      </c>
      <c r="G4467" t="s">
        <v>16</v>
      </c>
      <c r="I4467" t="s">
        <v>34</v>
      </c>
      <c r="J4467" t="str">
        <f>"12/22/1997 23:00"</f>
        <v>12/22/1997 23:00</v>
      </c>
    </row>
    <row r="4468" spans="1:10" x14ac:dyDescent="0.3">
      <c r="A4468" t="s">
        <v>6</v>
      </c>
      <c r="B4468" t="str">
        <f>"12/23/1997 00:00"</f>
        <v>12/23/1997 00:00</v>
      </c>
      <c r="C4468">
        <v>1.01</v>
      </c>
      <c r="D4468" t="s">
        <v>7</v>
      </c>
      <c r="E4468" s="2" t="s">
        <v>12</v>
      </c>
      <c r="F4468">
        <f t="shared" si="69"/>
        <v>2.0028300000000003</v>
      </c>
      <c r="G4468" t="s">
        <v>16</v>
      </c>
      <c r="I4468" t="s">
        <v>34</v>
      </c>
      <c r="J4468" t="str">
        <f>"12/23/1997 23:00"</f>
        <v>12/23/1997 23:00</v>
      </c>
    </row>
    <row r="4469" spans="1:10" x14ac:dyDescent="0.3">
      <c r="A4469" t="s">
        <v>6</v>
      </c>
      <c r="B4469" t="str">
        <f>"12/24/1997 00:00"</f>
        <v>12/24/1997 00:00</v>
      </c>
      <c r="C4469">
        <v>0.85</v>
      </c>
      <c r="D4469" t="s">
        <v>7</v>
      </c>
      <c r="E4469" s="2" t="s">
        <v>12</v>
      </c>
      <c r="F4469">
        <f t="shared" si="69"/>
        <v>1.6855500000000001</v>
      </c>
      <c r="G4469" t="s">
        <v>16</v>
      </c>
      <c r="I4469" t="s">
        <v>34</v>
      </c>
      <c r="J4469" t="str">
        <f>"12/24/1997 23:00"</f>
        <v>12/24/1997 23:00</v>
      </c>
    </row>
    <row r="4470" spans="1:10" x14ac:dyDescent="0.3">
      <c r="A4470" t="s">
        <v>6</v>
      </c>
      <c r="B4470" t="str">
        <f>"12/25/1997 00:00"</f>
        <v>12/25/1997 00:00</v>
      </c>
      <c r="C4470">
        <v>0.91700000000000004</v>
      </c>
      <c r="D4470" t="s">
        <v>7</v>
      </c>
      <c r="E4470" s="2" t="s">
        <v>12</v>
      </c>
      <c r="F4470">
        <f t="shared" si="69"/>
        <v>1.8184110000000002</v>
      </c>
      <c r="G4470" t="s">
        <v>16</v>
      </c>
      <c r="I4470" t="s">
        <v>34</v>
      </c>
      <c r="J4470" t="str">
        <f>"12/25/1997 23:00"</f>
        <v>12/25/1997 23:00</v>
      </c>
    </row>
    <row r="4471" spans="1:10" x14ac:dyDescent="0.3">
      <c r="A4471" t="s">
        <v>6</v>
      </c>
      <c r="B4471" t="str">
        <f>"12/26/1997 00:00"</f>
        <v>12/26/1997 00:00</v>
      </c>
      <c r="C4471">
        <v>1.08</v>
      </c>
      <c r="D4471" t="s">
        <v>7</v>
      </c>
      <c r="E4471" s="2" t="s">
        <v>12</v>
      </c>
      <c r="F4471">
        <f t="shared" si="69"/>
        <v>2.1416400000000002</v>
      </c>
      <c r="G4471" t="s">
        <v>16</v>
      </c>
      <c r="I4471" t="s">
        <v>34</v>
      </c>
      <c r="J4471" t="str">
        <f>"12/26/1997 23:00"</f>
        <v>12/26/1997 23:00</v>
      </c>
    </row>
    <row r="4472" spans="1:10" x14ac:dyDescent="0.3">
      <c r="A4472" t="s">
        <v>6</v>
      </c>
      <c r="B4472" t="str">
        <f>"12/27/1997 00:00"</f>
        <v>12/27/1997 00:00</v>
      </c>
      <c r="C4472">
        <v>1.06</v>
      </c>
      <c r="D4472" t="s">
        <v>7</v>
      </c>
      <c r="E4472" s="2" t="s">
        <v>12</v>
      </c>
      <c r="F4472">
        <f t="shared" si="69"/>
        <v>2.1019800000000002</v>
      </c>
      <c r="G4472" t="s">
        <v>16</v>
      </c>
      <c r="I4472" t="s">
        <v>34</v>
      </c>
      <c r="J4472" t="str">
        <f>"12/27/1997 23:00"</f>
        <v>12/27/1997 23:00</v>
      </c>
    </row>
    <row r="4473" spans="1:10" x14ac:dyDescent="0.3">
      <c r="A4473" t="s">
        <v>6</v>
      </c>
      <c r="B4473" t="str">
        <f>"12/28/1997 00:00"</f>
        <v>12/28/1997 00:00</v>
      </c>
      <c r="C4473">
        <v>1.08</v>
      </c>
      <c r="D4473" t="s">
        <v>7</v>
      </c>
      <c r="E4473" s="2" t="s">
        <v>12</v>
      </c>
      <c r="F4473">
        <f t="shared" si="69"/>
        <v>2.1416400000000002</v>
      </c>
      <c r="G4473" t="s">
        <v>16</v>
      </c>
      <c r="I4473" t="s">
        <v>34</v>
      </c>
      <c r="J4473" t="str">
        <f>"12/28/1997 23:00"</f>
        <v>12/28/1997 23:00</v>
      </c>
    </row>
    <row r="4474" spans="1:10" x14ac:dyDescent="0.3">
      <c r="A4474" t="s">
        <v>6</v>
      </c>
      <c r="B4474" t="str">
        <f>"12/29/1997 00:00"</f>
        <v>12/29/1997 00:00</v>
      </c>
      <c r="C4474">
        <v>0.95499999999999996</v>
      </c>
      <c r="D4474" t="s">
        <v>7</v>
      </c>
      <c r="E4474" s="2" t="s">
        <v>12</v>
      </c>
      <c r="F4474">
        <f t="shared" si="69"/>
        <v>1.8937649999999999</v>
      </c>
      <c r="G4474" t="s">
        <v>16</v>
      </c>
      <c r="I4474" t="s">
        <v>34</v>
      </c>
      <c r="J4474" t="str">
        <f>"12/29/1997 23:00"</f>
        <v>12/29/1997 23:00</v>
      </c>
    </row>
    <row r="4475" spans="1:10" x14ac:dyDescent="0.3">
      <c r="A4475" t="s">
        <v>6</v>
      </c>
      <c r="B4475" t="str">
        <f>"12/30/1997 00:00"</f>
        <v>12/30/1997 00:00</v>
      </c>
      <c r="C4475">
        <v>0.85</v>
      </c>
      <c r="D4475" t="s">
        <v>7</v>
      </c>
      <c r="E4475" s="2" t="s">
        <v>12</v>
      </c>
      <c r="F4475">
        <f t="shared" si="69"/>
        <v>1.6855500000000001</v>
      </c>
      <c r="G4475" t="s">
        <v>16</v>
      </c>
      <c r="I4475" t="s">
        <v>34</v>
      </c>
      <c r="J4475" t="str">
        <f>"12/30/1997 23:00"</f>
        <v>12/30/1997 23:00</v>
      </c>
    </row>
    <row r="4476" spans="1:10" x14ac:dyDescent="0.3">
      <c r="A4476" t="s">
        <v>6</v>
      </c>
      <c r="B4476" t="str">
        <f>"12/31/1997 00:00"</f>
        <v>12/31/1997 00:00</v>
      </c>
      <c r="C4476">
        <v>0.81299999999999994</v>
      </c>
      <c r="D4476" t="s">
        <v>7</v>
      </c>
      <c r="E4476" s="2" t="s">
        <v>12</v>
      </c>
      <c r="F4476">
        <f t="shared" si="69"/>
        <v>1.612179</v>
      </c>
      <c r="G4476" t="s">
        <v>16</v>
      </c>
      <c r="I4476" t="s">
        <v>34</v>
      </c>
      <c r="J4476" t="str">
        <f>"12/31/1997 23:00"</f>
        <v>12/31/1997 23:00</v>
      </c>
    </row>
    <row r="4477" spans="1:10" x14ac:dyDescent="0.3">
      <c r="A4477" t="s">
        <v>6</v>
      </c>
      <c r="B4477" t="str">
        <f>"01/01/1998 00:00"</f>
        <v>01/01/1998 00:00</v>
      </c>
      <c r="C4477">
        <v>0.63</v>
      </c>
      <c r="D4477" t="s">
        <v>7</v>
      </c>
      <c r="E4477" s="2" t="s">
        <v>12</v>
      </c>
      <c r="F4477">
        <f t="shared" si="69"/>
        <v>1.24929</v>
      </c>
      <c r="G4477" t="s">
        <v>16</v>
      </c>
      <c r="I4477" t="s">
        <v>34</v>
      </c>
      <c r="J4477" t="str">
        <f>"01/01/1998 23:00"</f>
        <v>01/01/1998 23:00</v>
      </c>
    </row>
    <row r="4478" spans="1:10" x14ac:dyDescent="0.3">
      <c r="A4478" t="s">
        <v>6</v>
      </c>
      <c r="B4478" t="str">
        <f>"01/02/1998 00:00"</f>
        <v>01/02/1998 00:00</v>
      </c>
      <c r="C4478">
        <v>0.63</v>
      </c>
      <c r="D4478" t="s">
        <v>7</v>
      </c>
      <c r="E4478" s="2" t="s">
        <v>12</v>
      </c>
      <c r="F4478">
        <f t="shared" si="69"/>
        <v>1.24929</v>
      </c>
      <c r="G4478" t="s">
        <v>16</v>
      </c>
      <c r="I4478" t="s">
        <v>34</v>
      </c>
      <c r="J4478" t="str">
        <f>"01/02/1998 23:00"</f>
        <v>01/02/1998 23:00</v>
      </c>
    </row>
    <row r="4479" spans="1:10" x14ac:dyDescent="0.3">
      <c r="A4479" t="s">
        <v>6</v>
      </c>
      <c r="B4479" t="str">
        <f>"01/03/1998 00:00"</f>
        <v>01/03/1998 00:00</v>
      </c>
      <c r="C4479">
        <v>0.63</v>
      </c>
      <c r="D4479" t="s">
        <v>7</v>
      </c>
      <c r="E4479" s="2" t="s">
        <v>12</v>
      </c>
      <c r="F4479">
        <f t="shared" si="69"/>
        <v>1.24929</v>
      </c>
      <c r="G4479" t="s">
        <v>16</v>
      </c>
      <c r="I4479" t="s">
        <v>34</v>
      </c>
      <c r="J4479" t="str">
        <f>"01/03/1998 23:00"</f>
        <v>01/03/1998 23:00</v>
      </c>
    </row>
    <row r="4480" spans="1:10" x14ac:dyDescent="0.3">
      <c r="A4480" t="s">
        <v>6</v>
      </c>
      <c r="B4480" t="str">
        <f>"01/04/1998 00:00"</f>
        <v>01/04/1998 00:00</v>
      </c>
      <c r="C4480">
        <v>0.81699999999999995</v>
      </c>
      <c r="D4480" t="s">
        <v>7</v>
      </c>
      <c r="E4480" s="2" t="s">
        <v>12</v>
      </c>
      <c r="F4480">
        <f t="shared" si="69"/>
        <v>1.6201110000000001</v>
      </c>
      <c r="G4480" t="s">
        <v>16</v>
      </c>
      <c r="I4480" t="s">
        <v>8</v>
      </c>
      <c r="J4480" t="str">
        <f>"01/04/1998 23:00"</f>
        <v>01/04/1998 23:00</v>
      </c>
    </row>
    <row r="4481" spans="1:10" x14ac:dyDescent="0.3">
      <c r="A4481" t="s">
        <v>6</v>
      </c>
      <c r="B4481" t="str">
        <f>"01/05/1998 00:00"</f>
        <v>01/05/1998 00:00</v>
      </c>
      <c r="C4481">
        <v>0.95499999999999996</v>
      </c>
      <c r="D4481" t="s">
        <v>7</v>
      </c>
      <c r="E4481" s="2" t="s">
        <v>12</v>
      </c>
      <c r="F4481">
        <f t="shared" si="69"/>
        <v>1.8937649999999999</v>
      </c>
      <c r="G4481" t="s">
        <v>16</v>
      </c>
      <c r="I4481" t="s">
        <v>34</v>
      </c>
      <c r="J4481" t="str">
        <f>"01/05/1998 23:00"</f>
        <v>01/05/1998 23:00</v>
      </c>
    </row>
    <row r="4482" spans="1:10" x14ac:dyDescent="0.3">
      <c r="A4482" t="s">
        <v>6</v>
      </c>
      <c r="B4482" t="str">
        <f>"01/06/1998 00:00"</f>
        <v>01/06/1998 00:00</v>
      </c>
      <c r="C4482">
        <v>0.85</v>
      </c>
      <c r="D4482" t="s">
        <v>7</v>
      </c>
      <c r="E4482" s="2" t="s">
        <v>12</v>
      </c>
      <c r="F4482">
        <f t="shared" si="69"/>
        <v>1.6855500000000001</v>
      </c>
      <c r="G4482" t="s">
        <v>16</v>
      </c>
      <c r="I4482" t="s">
        <v>34</v>
      </c>
      <c r="J4482" t="str">
        <f>"01/06/1998 23:00"</f>
        <v>01/06/1998 23:00</v>
      </c>
    </row>
    <row r="4483" spans="1:10" x14ac:dyDescent="0.3">
      <c r="A4483" t="s">
        <v>6</v>
      </c>
      <c r="B4483" t="str">
        <f>"01/07/1998 00:00"</f>
        <v>01/07/1998 00:00</v>
      </c>
      <c r="C4483">
        <v>0.85</v>
      </c>
      <c r="D4483" t="s">
        <v>7</v>
      </c>
      <c r="E4483" s="2" t="s">
        <v>12</v>
      </c>
      <c r="F4483">
        <f t="shared" ref="F4483:F4546" si="70">C4483*1.983</f>
        <v>1.6855500000000001</v>
      </c>
      <c r="G4483" t="s">
        <v>16</v>
      </c>
      <c r="I4483" t="s">
        <v>34</v>
      </c>
      <c r="J4483" t="str">
        <f>"01/07/1998 23:00"</f>
        <v>01/07/1998 23:00</v>
      </c>
    </row>
    <row r="4484" spans="1:10" x14ac:dyDescent="0.3">
      <c r="A4484" t="s">
        <v>6</v>
      </c>
      <c r="B4484" t="str">
        <f>"01/08/1998 00:00"</f>
        <v>01/08/1998 00:00</v>
      </c>
      <c r="C4484">
        <v>0.85</v>
      </c>
      <c r="D4484" t="s">
        <v>7</v>
      </c>
      <c r="E4484" s="2" t="s">
        <v>12</v>
      </c>
      <c r="F4484">
        <f t="shared" si="70"/>
        <v>1.6855500000000001</v>
      </c>
      <c r="G4484" t="s">
        <v>16</v>
      </c>
      <c r="I4484" t="s">
        <v>8</v>
      </c>
      <c r="J4484" t="str">
        <f>"01/08/1998 23:00"</f>
        <v>01/08/1998 23:00</v>
      </c>
    </row>
    <row r="4485" spans="1:10" x14ac:dyDescent="0.3">
      <c r="A4485" t="s">
        <v>6</v>
      </c>
      <c r="B4485" t="str">
        <f>"01/09/1998 00:00"</f>
        <v>01/09/1998 00:00</v>
      </c>
      <c r="C4485">
        <v>0.85</v>
      </c>
      <c r="D4485" t="s">
        <v>7</v>
      </c>
      <c r="E4485" s="2" t="s">
        <v>12</v>
      </c>
      <c r="F4485">
        <f t="shared" si="70"/>
        <v>1.6855500000000001</v>
      </c>
      <c r="G4485" t="s">
        <v>16</v>
      </c>
      <c r="I4485" t="s">
        <v>8</v>
      </c>
      <c r="J4485" t="str">
        <f>"01/09/1998 23:00"</f>
        <v>01/09/1998 23:00</v>
      </c>
    </row>
    <row r="4486" spans="1:10" x14ac:dyDescent="0.3">
      <c r="A4486" t="s">
        <v>6</v>
      </c>
      <c r="B4486" t="str">
        <f>"01/10/1998 00:00"</f>
        <v>01/10/1998 00:00</v>
      </c>
      <c r="C4486">
        <v>0.85</v>
      </c>
      <c r="D4486" t="s">
        <v>7</v>
      </c>
      <c r="E4486" s="2" t="s">
        <v>12</v>
      </c>
      <c r="F4486">
        <f t="shared" si="70"/>
        <v>1.6855500000000001</v>
      </c>
      <c r="G4486" t="s">
        <v>16</v>
      </c>
      <c r="I4486" t="s">
        <v>34</v>
      </c>
      <c r="J4486" t="str">
        <f>"01/10/1998 23:00"</f>
        <v>01/10/1998 23:00</v>
      </c>
    </row>
    <row r="4487" spans="1:10" x14ac:dyDescent="0.3">
      <c r="A4487" t="s">
        <v>6</v>
      </c>
      <c r="B4487" t="str">
        <f>"01/11/1998 00:00"</f>
        <v>01/11/1998 00:00</v>
      </c>
      <c r="C4487">
        <v>0.85</v>
      </c>
      <c r="D4487" t="s">
        <v>7</v>
      </c>
      <c r="E4487" s="2" t="s">
        <v>12</v>
      </c>
      <c r="F4487">
        <f t="shared" si="70"/>
        <v>1.6855500000000001</v>
      </c>
      <c r="G4487" t="s">
        <v>16</v>
      </c>
      <c r="I4487" t="s">
        <v>34</v>
      </c>
      <c r="J4487" t="str">
        <f>"01/11/1998 23:00"</f>
        <v>01/11/1998 23:00</v>
      </c>
    </row>
    <row r="4488" spans="1:10" x14ac:dyDescent="0.3">
      <c r="A4488" t="s">
        <v>6</v>
      </c>
      <c r="B4488" t="str">
        <f>"01/12/1998 00:00"</f>
        <v>01/12/1998 00:00</v>
      </c>
      <c r="C4488">
        <v>0.85</v>
      </c>
      <c r="D4488" t="s">
        <v>7</v>
      </c>
      <c r="E4488" s="2" t="s">
        <v>12</v>
      </c>
      <c r="F4488">
        <f t="shared" si="70"/>
        <v>1.6855500000000001</v>
      </c>
      <c r="G4488" t="s">
        <v>16</v>
      </c>
      <c r="I4488" t="s">
        <v>34</v>
      </c>
      <c r="J4488" t="str">
        <f>"01/12/1998 23:00"</f>
        <v>01/12/1998 23:00</v>
      </c>
    </row>
    <row r="4489" spans="1:10" x14ac:dyDescent="0.3">
      <c r="A4489" t="s">
        <v>6</v>
      </c>
      <c r="B4489" t="str">
        <f>"01/13/1998 00:00"</f>
        <v>01/13/1998 00:00</v>
      </c>
      <c r="C4489">
        <v>0.85</v>
      </c>
      <c r="D4489" t="s">
        <v>7</v>
      </c>
      <c r="E4489" s="2" t="s">
        <v>12</v>
      </c>
      <c r="F4489">
        <f t="shared" si="70"/>
        <v>1.6855500000000001</v>
      </c>
      <c r="G4489" t="s">
        <v>16</v>
      </c>
      <c r="I4489" t="s">
        <v>34</v>
      </c>
      <c r="J4489" t="str">
        <f>"01/13/1998 23:00"</f>
        <v>01/13/1998 23:00</v>
      </c>
    </row>
    <row r="4490" spans="1:10" x14ac:dyDescent="0.3">
      <c r="A4490" t="s">
        <v>6</v>
      </c>
      <c r="B4490" t="str">
        <f>"01/14/1998 00:00"</f>
        <v>01/14/1998 00:00</v>
      </c>
      <c r="C4490">
        <v>0.85</v>
      </c>
      <c r="D4490" t="s">
        <v>7</v>
      </c>
      <c r="E4490" s="2" t="s">
        <v>12</v>
      </c>
      <c r="F4490">
        <f t="shared" si="70"/>
        <v>1.6855500000000001</v>
      </c>
      <c r="G4490" t="s">
        <v>16</v>
      </c>
      <c r="I4490" t="s">
        <v>34</v>
      </c>
      <c r="J4490" t="str">
        <f>"01/14/1998 23:00"</f>
        <v>01/14/1998 23:00</v>
      </c>
    </row>
    <row r="4491" spans="1:10" x14ac:dyDescent="0.3">
      <c r="A4491" t="s">
        <v>6</v>
      </c>
      <c r="B4491" t="str">
        <f>"01/15/1998 00:00"</f>
        <v>01/15/1998 00:00</v>
      </c>
      <c r="C4491">
        <v>0.85</v>
      </c>
      <c r="D4491" t="s">
        <v>7</v>
      </c>
      <c r="E4491" s="2" t="s">
        <v>12</v>
      </c>
      <c r="F4491">
        <f t="shared" si="70"/>
        <v>1.6855500000000001</v>
      </c>
      <c r="G4491" t="s">
        <v>16</v>
      </c>
      <c r="I4491" t="s">
        <v>34</v>
      </c>
      <c r="J4491" t="str">
        <f>"01/15/1998 23:00"</f>
        <v>01/15/1998 23:00</v>
      </c>
    </row>
    <row r="4492" spans="1:10" x14ac:dyDescent="0.3">
      <c r="A4492" t="s">
        <v>6</v>
      </c>
      <c r="B4492" t="str">
        <f>"01/16/1998 00:00"</f>
        <v>01/16/1998 00:00</v>
      </c>
      <c r="C4492">
        <v>0.85</v>
      </c>
      <c r="D4492" t="s">
        <v>7</v>
      </c>
      <c r="E4492" s="2" t="s">
        <v>12</v>
      </c>
      <c r="F4492">
        <f t="shared" si="70"/>
        <v>1.6855500000000001</v>
      </c>
      <c r="G4492" t="s">
        <v>16</v>
      </c>
      <c r="I4492" t="s">
        <v>34</v>
      </c>
      <c r="J4492" t="str">
        <f>"01/16/1998 23:00"</f>
        <v>01/16/1998 23:00</v>
      </c>
    </row>
    <row r="4493" spans="1:10" x14ac:dyDescent="0.3">
      <c r="A4493" t="s">
        <v>6</v>
      </c>
      <c r="B4493" t="str">
        <f>"01/17/1998 00:00"</f>
        <v>01/17/1998 00:00</v>
      </c>
      <c r="C4493">
        <v>0.79500000000000004</v>
      </c>
      <c r="D4493" t="s">
        <v>7</v>
      </c>
      <c r="E4493" s="2" t="s">
        <v>12</v>
      </c>
      <c r="F4493">
        <f t="shared" si="70"/>
        <v>1.5764850000000001</v>
      </c>
      <c r="G4493" t="s">
        <v>16</v>
      </c>
      <c r="I4493" t="s">
        <v>34</v>
      </c>
      <c r="J4493" t="str">
        <f>"01/17/1998 23:00"</f>
        <v>01/17/1998 23:00</v>
      </c>
    </row>
    <row r="4494" spans="1:10" x14ac:dyDescent="0.3">
      <c r="A4494" t="s">
        <v>6</v>
      </c>
      <c r="B4494" t="str">
        <f>"01/18/1998 00:00"</f>
        <v>01/18/1998 00:00</v>
      </c>
      <c r="C4494">
        <v>0.63</v>
      </c>
      <c r="D4494" t="s">
        <v>7</v>
      </c>
      <c r="E4494" s="2" t="s">
        <v>12</v>
      </c>
      <c r="F4494">
        <f t="shared" si="70"/>
        <v>1.24929</v>
      </c>
      <c r="G4494" t="s">
        <v>16</v>
      </c>
      <c r="I4494" t="s">
        <v>8</v>
      </c>
      <c r="J4494" t="str">
        <f>"01/18/1998 23:00"</f>
        <v>01/18/1998 23:00</v>
      </c>
    </row>
    <row r="4495" spans="1:10" x14ac:dyDescent="0.3">
      <c r="A4495" t="s">
        <v>6</v>
      </c>
      <c r="B4495" t="str">
        <f>"01/19/1998 00:00"</f>
        <v>01/19/1998 00:00</v>
      </c>
      <c r="C4495">
        <v>0.63</v>
      </c>
      <c r="D4495" t="s">
        <v>7</v>
      </c>
      <c r="E4495" s="2" t="s">
        <v>12</v>
      </c>
      <c r="F4495">
        <f t="shared" si="70"/>
        <v>1.24929</v>
      </c>
      <c r="G4495" t="s">
        <v>16</v>
      </c>
      <c r="I4495" t="s">
        <v>34</v>
      </c>
      <c r="J4495" t="str">
        <f>"01/19/1998 23:00"</f>
        <v>01/19/1998 23:00</v>
      </c>
    </row>
    <row r="4496" spans="1:10" x14ac:dyDescent="0.3">
      <c r="A4496" t="s">
        <v>6</v>
      </c>
      <c r="B4496" t="str">
        <f>"01/20/1998 00:00"</f>
        <v>01/20/1998 00:00</v>
      </c>
      <c r="C4496">
        <v>0.63</v>
      </c>
      <c r="D4496" t="s">
        <v>7</v>
      </c>
      <c r="E4496" s="2" t="s">
        <v>12</v>
      </c>
      <c r="F4496">
        <f t="shared" si="70"/>
        <v>1.24929</v>
      </c>
      <c r="G4496" t="s">
        <v>16</v>
      </c>
      <c r="I4496" t="s">
        <v>34</v>
      </c>
      <c r="J4496" t="str">
        <f>"01/20/1998 23:00"</f>
        <v>01/20/1998 23:00</v>
      </c>
    </row>
    <row r="4497" spans="1:10" x14ac:dyDescent="0.3">
      <c r="A4497" t="s">
        <v>6</v>
      </c>
      <c r="B4497" t="str">
        <f>"01/21/1998 00:00"</f>
        <v>01/21/1998 00:00</v>
      </c>
      <c r="C4497">
        <v>0.63</v>
      </c>
      <c r="D4497" t="s">
        <v>7</v>
      </c>
      <c r="E4497" s="2" t="s">
        <v>12</v>
      </c>
      <c r="F4497">
        <f t="shared" si="70"/>
        <v>1.24929</v>
      </c>
      <c r="G4497" t="s">
        <v>16</v>
      </c>
      <c r="I4497" t="s">
        <v>8</v>
      </c>
      <c r="J4497" t="str">
        <f>"01/21/1998 23:00"</f>
        <v>01/21/1998 23:00</v>
      </c>
    </row>
    <row r="4498" spans="1:10" x14ac:dyDescent="0.3">
      <c r="A4498" t="s">
        <v>6</v>
      </c>
      <c r="B4498" t="str">
        <f>"01/22/1998 00:00"</f>
        <v>01/22/1998 00:00</v>
      </c>
      <c r="C4498">
        <v>0.63</v>
      </c>
      <c r="D4498" t="s">
        <v>7</v>
      </c>
      <c r="E4498" s="2" t="s">
        <v>12</v>
      </c>
      <c r="F4498">
        <f t="shared" si="70"/>
        <v>1.24929</v>
      </c>
      <c r="G4498" t="s">
        <v>16</v>
      </c>
      <c r="I4498" t="s">
        <v>34</v>
      </c>
      <c r="J4498" t="str">
        <f>"01/22/1998 23:00"</f>
        <v>01/22/1998 23:00</v>
      </c>
    </row>
    <row r="4499" spans="1:10" x14ac:dyDescent="0.3">
      <c r="A4499" t="s">
        <v>6</v>
      </c>
      <c r="B4499" t="str">
        <f>"01/23/1998 00:00"</f>
        <v>01/23/1998 00:00</v>
      </c>
      <c r="C4499">
        <v>0.58299999999999996</v>
      </c>
      <c r="D4499" t="s">
        <v>7</v>
      </c>
      <c r="E4499" s="2" t="s">
        <v>12</v>
      </c>
      <c r="F4499">
        <f t="shared" si="70"/>
        <v>1.1560889999999999</v>
      </c>
      <c r="G4499" t="s">
        <v>16</v>
      </c>
      <c r="I4499" t="s">
        <v>8</v>
      </c>
      <c r="J4499" t="str">
        <f>"01/23/1998 23:00"</f>
        <v>01/23/1998 23:00</v>
      </c>
    </row>
    <row r="4500" spans="1:10" x14ac:dyDescent="0.3">
      <c r="A4500" t="s">
        <v>6</v>
      </c>
      <c r="B4500" t="str">
        <f>"01/24/1998 00:00"</f>
        <v>01/24/1998 00:00</v>
      </c>
      <c r="C4500">
        <v>0.44</v>
      </c>
      <c r="D4500" t="s">
        <v>7</v>
      </c>
      <c r="E4500" s="2" t="s">
        <v>12</v>
      </c>
      <c r="F4500">
        <f t="shared" si="70"/>
        <v>0.87252000000000007</v>
      </c>
      <c r="G4500" t="s">
        <v>16</v>
      </c>
      <c r="I4500" t="s">
        <v>8</v>
      </c>
      <c r="J4500" t="str">
        <f>"01/24/1998 23:00"</f>
        <v>01/24/1998 23:00</v>
      </c>
    </row>
    <row r="4501" spans="1:10" x14ac:dyDescent="0.3">
      <c r="A4501" t="s">
        <v>6</v>
      </c>
      <c r="B4501" t="str">
        <f>"01/25/1998 00:00"</f>
        <v>01/25/1998 00:00</v>
      </c>
      <c r="C4501">
        <v>0.44</v>
      </c>
      <c r="D4501" t="s">
        <v>7</v>
      </c>
      <c r="E4501" s="2" t="s">
        <v>12</v>
      </c>
      <c r="F4501">
        <f t="shared" si="70"/>
        <v>0.87252000000000007</v>
      </c>
      <c r="G4501" t="s">
        <v>16</v>
      </c>
      <c r="I4501" t="s">
        <v>8</v>
      </c>
      <c r="J4501" t="str">
        <f>"01/25/1998 23:00"</f>
        <v>01/25/1998 23:00</v>
      </c>
    </row>
    <row r="4502" spans="1:10" x14ac:dyDescent="0.3">
      <c r="A4502" t="s">
        <v>6</v>
      </c>
      <c r="B4502" t="str">
        <f>"01/26/1998 00:00"</f>
        <v>01/26/1998 00:00</v>
      </c>
      <c r="C4502">
        <v>0.44</v>
      </c>
      <c r="D4502" t="s">
        <v>7</v>
      </c>
      <c r="E4502" s="2" t="s">
        <v>12</v>
      </c>
      <c r="F4502">
        <f t="shared" si="70"/>
        <v>0.87252000000000007</v>
      </c>
      <c r="G4502" t="s">
        <v>16</v>
      </c>
      <c r="I4502" t="s">
        <v>34</v>
      </c>
      <c r="J4502" t="str">
        <f>"01/26/1998 23:00"</f>
        <v>01/26/1998 23:00</v>
      </c>
    </row>
    <row r="4503" spans="1:10" x14ac:dyDescent="0.3">
      <c r="A4503" t="s">
        <v>6</v>
      </c>
      <c r="B4503" t="str">
        <f>"01/27/1998 00:00"</f>
        <v>01/27/1998 00:00</v>
      </c>
      <c r="C4503">
        <v>0.44</v>
      </c>
      <c r="D4503" t="s">
        <v>7</v>
      </c>
      <c r="E4503" s="2" t="s">
        <v>12</v>
      </c>
      <c r="F4503">
        <f t="shared" si="70"/>
        <v>0.87252000000000007</v>
      </c>
      <c r="G4503" t="s">
        <v>16</v>
      </c>
      <c r="I4503" t="s">
        <v>34</v>
      </c>
      <c r="J4503" t="str">
        <f>"01/27/1998 23:00"</f>
        <v>01/27/1998 23:00</v>
      </c>
    </row>
    <row r="4504" spans="1:10" x14ac:dyDescent="0.3">
      <c r="A4504" t="s">
        <v>6</v>
      </c>
      <c r="B4504" t="str">
        <f>"01/28/1998 00:00"</f>
        <v>01/28/1998 00:00</v>
      </c>
      <c r="C4504">
        <v>0.44</v>
      </c>
      <c r="D4504" t="s">
        <v>7</v>
      </c>
      <c r="E4504" s="2" t="s">
        <v>12</v>
      </c>
      <c r="F4504">
        <f t="shared" si="70"/>
        <v>0.87252000000000007</v>
      </c>
      <c r="G4504" t="s">
        <v>16</v>
      </c>
      <c r="I4504" t="s">
        <v>8</v>
      </c>
      <c r="J4504" t="str">
        <f>"01/28/1998 23:00"</f>
        <v>01/28/1998 23:00</v>
      </c>
    </row>
    <row r="4505" spans="1:10" x14ac:dyDescent="0.3">
      <c r="A4505" t="s">
        <v>6</v>
      </c>
      <c r="B4505" t="str">
        <f>"01/29/1998 00:00"</f>
        <v>01/29/1998 00:00</v>
      </c>
      <c r="C4505">
        <v>0.44</v>
      </c>
      <c r="D4505" t="s">
        <v>7</v>
      </c>
      <c r="E4505" s="2" t="s">
        <v>12</v>
      </c>
      <c r="F4505">
        <f t="shared" si="70"/>
        <v>0.87252000000000007</v>
      </c>
      <c r="G4505" t="s">
        <v>16</v>
      </c>
      <c r="I4505" t="s">
        <v>8</v>
      </c>
      <c r="J4505" t="str">
        <f>"01/29/1998 23:00"</f>
        <v>01/29/1998 23:00</v>
      </c>
    </row>
    <row r="4506" spans="1:10" x14ac:dyDescent="0.3">
      <c r="A4506" t="s">
        <v>6</v>
      </c>
      <c r="B4506" t="str">
        <f>"01/30/1998 00:00"</f>
        <v>01/30/1998 00:00</v>
      </c>
      <c r="C4506">
        <v>0.44</v>
      </c>
      <c r="D4506" t="s">
        <v>7</v>
      </c>
      <c r="E4506" s="2" t="s">
        <v>12</v>
      </c>
      <c r="F4506">
        <f t="shared" si="70"/>
        <v>0.87252000000000007</v>
      </c>
      <c r="G4506" t="s">
        <v>16</v>
      </c>
      <c r="I4506" t="s">
        <v>8</v>
      </c>
      <c r="J4506" t="str">
        <f>"01/30/1998 23:00"</f>
        <v>01/30/1998 23:00</v>
      </c>
    </row>
    <row r="4507" spans="1:10" x14ac:dyDescent="0.3">
      <c r="A4507" t="s">
        <v>6</v>
      </c>
      <c r="B4507" t="str">
        <f>"01/31/1998 00:00"</f>
        <v>01/31/1998 00:00</v>
      </c>
      <c r="C4507">
        <v>0.44</v>
      </c>
      <c r="D4507" t="s">
        <v>7</v>
      </c>
      <c r="E4507" s="2" t="s">
        <v>12</v>
      </c>
      <c r="F4507">
        <f t="shared" si="70"/>
        <v>0.87252000000000007</v>
      </c>
      <c r="G4507" t="s">
        <v>16</v>
      </c>
      <c r="I4507" t="s">
        <v>34</v>
      </c>
      <c r="J4507" t="str">
        <f>"01/31/1998 23:00"</f>
        <v>01/31/1998 23:00</v>
      </c>
    </row>
    <row r="4508" spans="1:10" x14ac:dyDescent="0.3">
      <c r="A4508" t="s">
        <v>6</v>
      </c>
      <c r="B4508" t="str">
        <f>"02/01/1998 00:00"</f>
        <v>02/01/1998 00:00</v>
      </c>
      <c r="C4508">
        <v>0.44</v>
      </c>
      <c r="D4508" t="s">
        <v>7</v>
      </c>
      <c r="E4508" s="2" t="s">
        <v>12</v>
      </c>
      <c r="F4508">
        <f t="shared" si="70"/>
        <v>0.87252000000000007</v>
      </c>
      <c r="G4508" t="s">
        <v>16</v>
      </c>
      <c r="I4508" t="s">
        <v>34</v>
      </c>
      <c r="J4508" t="str">
        <f>"02/01/1998 23:00"</f>
        <v>02/01/1998 23:00</v>
      </c>
    </row>
    <row r="4509" spans="1:10" x14ac:dyDescent="0.3">
      <c r="A4509" t="s">
        <v>6</v>
      </c>
      <c r="B4509" t="str">
        <f>"02/02/1998 00:00"</f>
        <v>02/02/1998 00:00</v>
      </c>
      <c r="C4509">
        <v>0.44</v>
      </c>
      <c r="D4509" t="s">
        <v>7</v>
      </c>
      <c r="E4509" s="2" t="s">
        <v>12</v>
      </c>
      <c r="F4509">
        <f t="shared" si="70"/>
        <v>0.87252000000000007</v>
      </c>
      <c r="G4509" t="s">
        <v>16</v>
      </c>
      <c r="I4509" t="s">
        <v>34</v>
      </c>
      <c r="J4509" t="str">
        <f>"02/02/1998 23:00"</f>
        <v>02/02/1998 23:00</v>
      </c>
    </row>
    <row r="4510" spans="1:10" x14ac:dyDescent="0.3">
      <c r="A4510" t="s">
        <v>6</v>
      </c>
      <c r="B4510" t="str">
        <f>"02/03/1998 00:00"</f>
        <v>02/03/1998 00:00</v>
      </c>
      <c r="C4510">
        <v>0.44</v>
      </c>
      <c r="D4510" t="s">
        <v>7</v>
      </c>
      <c r="E4510" s="2" t="s">
        <v>12</v>
      </c>
      <c r="F4510">
        <f t="shared" si="70"/>
        <v>0.87252000000000007</v>
      </c>
      <c r="G4510" t="s">
        <v>16</v>
      </c>
      <c r="I4510" t="s">
        <v>34</v>
      </c>
      <c r="J4510" t="str">
        <f>"02/03/1998 23:00"</f>
        <v>02/03/1998 23:00</v>
      </c>
    </row>
    <row r="4511" spans="1:10" x14ac:dyDescent="0.3">
      <c r="A4511" t="s">
        <v>6</v>
      </c>
      <c r="B4511" t="str">
        <f>"02/04/1998 00:00"</f>
        <v>02/04/1998 00:00</v>
      </c>
      <c r="C4511">
        <v>3.17</v>
      </c>
      <c r="D4511" t="s">
        <v>7</v>
      </c>
      <c r="E4511" s="2" t="s">
        <v>12</v>
      </c>
      <c r="F4511">
        <f t="shared" si="70"/>
        <v>6.2861099999999999</v>
      </c>
      <c r="G4511" t="s">
        <v>16</v>
      </c>
      <c r="I4511" t="s">
        <v>8</v>
      </c>
      <c r="J4511" t="str">
        <f>"02/04/1998 23:00"</f>
        <v>02/04/1998 23:00</v>
      </c>
    </row>
    <row r="4512" spans="1:10" x14ac:dyDescent="0.3">
      <c r="A4512" t="s">
        <v>6</v>
      </c>
      <c r="B4512" t="str">
        <f>"02/05/1998 00:00"</f>
        <v>02/05/1998 00:00</v>
      </c>
      <c r="C4512">
        <v>0.44</v>
      </c>
      <c r="D4512" t="s">
        <v>7</v>
      </c>
      <c r="E4512" s="2" t="s">
        <v>12</v>
      </c>
      <c r="F4512">
        <f t="shared" si="70"/>
        <v>0.87252000000000007</v>
      </c>
      <c r="G4512" t="s">
        <v>16</v>
      </c>
      <c r="I4512" t="s">
        <v>34</v>
      </c>
      <c r="J4512" t="str">
        <f>"02/05/1998 23:00"</f>
        <v>02/05/1998 23:00</v>
      </c>
    </row>
    <row r="4513" spans="1:10" x14ac:dyDescent="0.3">
      <c r="A4513" t="s">
        <v>6</v>
      </c>
      <c r="B4513" t="str">
        <f>"02/06/1998 00:00"</f>
        <v>02/06/1998 00:00</v>
      </c>
      <c r="C4513">
        <v>0.44</v>
      </c>
      <c r="D4513" t="s">
        <v>7</v>
      </c>
      <c r="E4513" s="2" t="s">
        <v>12</v>
      </c>
      <c r="F4513">
        <f t="shared" si="70"/>
        <v>0.87252000000000007</v>
      </c>
      <c r="G4513" t="s">
        <v>16</v>
      </c>
      <c r="I4513" t="s">
        <v>34</v>
      </c>
      <c r="J4513" t="str">
        <f>"02/06/1998 23:00"</f>
        <v>02/06/1998 23:00</v>
      </c>
    </row>
    <row r="4514" spans="1:10" x14ac:dyDescent="0.3">
      <c r="A4514" t="s">
        <v>6</v>
      </c>
      <c r="B4514" t="str">
        <f>"02/07/1998 00:00"</f>
        <v>02/07/1998 00:00</v>
      </c>
      <c r="C4514">
        <v>0.44</v>
      </c>
      <c r="D4514" t="s">
        <v>7</v>
      </c>
      <c r="E4514" s="2" t="s">
        <v>12</v>
      </c>
      <c r="F4514">
        <f t="shared" si="70"/>
        <v>0.87252000000000007</v>
      </c>
      <c r="G4514" t="s">
        <v>16</v>
      </c>
      <c r="I4514" t="s">
        <v>34</v>
      </c>
      <c r="J4514" t="str">
        <f>"02/07/1998 23:00"</f>
        <v>02/07/1998 23:00</v>
      </c>
    </row>
    <row r="4515" spans="1:10" x14ac:dyDescent="0.3">
      <c r="A4515" t="s">
        <v>6</v>
      </c>
      <c r="B4515" t="str">
        <f>"02/08/1998 00:00"</f>
        <v>02/08/1998 00:00</v>
      </c>
      <c r="C4515">
        <v>2.83</v>
      </c>
      <c r="D4515" t="s">
        <v>7</v>
      </c>
      <c r="E4515" s="2" t="s">
        <v>12</v>
      </c>
      <c r="F4515">
        <f t="shared" si="70"/>
        <v>5.6118900000000007</v>
      </c>
      <c r="G4515" t="s">
        <v>16</v>
      </c>
      <c r="I4515" t="s">
        <v>8</v>
      </c>
      <c r="J4515" t="str">
        <f>"02/08/1998 23:00"</f>
        <v>02/08/1998 23:00</v>
      </c>
    </row>
    <row r="4516" spans="1:10" x14ac:dyDescent="0.3">
      <c r="A4516" t="s">
        <v>6</v>
      </c>
      <c r="B4516" t="str">
        <f>"02/09/1998 00:00"</f>
        <v>02/09/1998 00:00</v>
      </c>
      <c r="C4516">
        <v>0.44</v>
      </c>
      <c r="D4516" t="s">
        <v>7</v>
      </c>
      <c r="E4516" s="2" t="s">
        <v>12</v>
      </c>
      <c r="F4516">
        <f t="shared" si="70"/>
        <v>0.87252000000000007</v>
      </c>
      <c r="G4516" t="s">
        <v>16</v>
      </c>
      <c r="I4516" t="s">
        <v>34</v>
      </c>
      <c r="J4516" t="str">
        <f>"02/09/1998 23:00"</f>
        <v>02/09/1998 23:00</v>
      </c>
    </row>
    <row r="4517" spans="1:10" x14ac:dyDescent="0.3">
      <c r="A4517" t="s">
        <v>6</v>
      </c>
      <c r="B4517" t="str">
        <f>"02/10/1998 00:00"</f>
        <v>02/10/1998 00:00</v>
      </c>
      <c r="C4517">
        <v>0.44</v>
      </c>
      <c r="D4517" t="s">
        <v>7</v>
      </c>
      <c r="E4517" s="2" t="s">
        <v>12</v>
      </c>
      <c r="F4517">
        <f t="shared" si="70"/>
        <v>0.87252000000000007</v>
      </c>
      <c r="G4517" t="s">
        <v>16</v>
      </c>
      <c r="I4517" t="s">
        <v>34</v>
      </c>
      <c r="J4517" t="str">
        <f>"02/10/1998 23:00"</f>
        <v>02/10/1998 23:00</v>
      </c>
    </row>
    <row r="4518" spans="1:10" x14ac:dyDescent="0.3">
      <c r="A4518" t="s">
        <v>6</v>
      </c>
      <c r="B4518" t="str">
        <f>"02/11/1998 00:00"</f>
        <v>02/11/1998 00:00</v>
      </c>
      <c r="C4518">
        <v>0.44</v>
      </c>
      <c r="D4518" t="s">
        <v>7</v>
      </c>
      <c r="E4518" s="2" t="s">
        <v>12</v>
      </c>
      <c r="F4518">
        <f t="shared" si="70"/>
        <v>0.87252000000000007</v>
      </c>
      <c r="G4518" t="s">
        <v>16</v>
      </c>
      <c r="I4518" t="s">
        <v>34</v>
      </c>
      <c r="J4518" t="str">
        <f>"02/11/1998 23:00"</f>
        <v>02/11/1998 23:00</v>
      </c>
    </row>
    <row r="4519" spans="1:10" x14ac:dyDescent="0.3">
      <c r="A4519" t="s">
        <v>6</v>
      </c>
      <c r="B4519" t="str">
        <f>"02/12/1998 00:00"</f>
        <v>02/12/1998 00:00</v>
      </c>
      <c r="C4519">
        <v>0.44</v>
      </c>
      <c r="D4519" t="s">
        <v>7</v>
      </c>
      <c r="E4519" s="2" t="s">
        <v>12</v>
      </c>
      <c r="F4519">
        <f t="shared" si="70"/>
        <v>0.87252000000000007</v>
      </c>
      <c r="G4519" t="s">
        <v>16</v>
      </c>
      <c r="I4519" t="s">
        <v>34</v>
      </c>
      <c r="J4519" t="str">
        <f>"02/12/1998 23:00"</f>
        <v>02/12/1998 23:00</v>
      </c>
    </row>
    <row r="4520" spans="1:10" x14ac:dyDescent="0.3">
      <c r="A4520" t="s">
        <v>6</v>
      </c>
      <c r="B4520" t="str">
        <f>"02/13/1998 00:00"</f>
        <v>02/13/1998 00:00</v>
      </c>
      <c r="C4520">
        <v>0.44</v>
      </c>
      <c r="D4520" t="s">
        <v>7</v>
      </c>
      <c r="E4520" s="2" t="s">
        <v>12</v>
      </c>
      <c r="F4520">
        <f t="shared" si="70"/>
        <v>0.87252000000000007</v>
      </c>
      <c r="G4520" t="s">
        <v>16</v>
      </c>
      <c r="I4520" t="s">
        <v>8</v>
      </c>
      <c r="J4520" t="str">
        <f>"02/13/1998 23:00"</f>
        <v>02/13/1998 23:00</v>
      </c>
    </row>
    <row r="4521" spans="1:10" x14ac:dyDescent="0.3">
      <c r="A4521" t="s">
        <v>6</v>
      </c>
      <c r="B4521" t="str">
        <f>"02/14/1998 00:00"</f>
        <v>02/14/1998 00:00</v>
      </c>
      <c r="C4521">
        <v>0.44</v>
      </c>
      <c r="D4521" t="s">
        <v>7</v>
      </c>
      <c r="E4521" s="2" t="s">
        <v>12</v>
      </c>
      <c r="F4521">
        <f t="shared" si="70"/>
        <v>0.87252000000000007</v>
      </c>
      <c r="G4521" t="s">
        <v>16</v>
      </c>
      <c r="I4521" t="s">
        <v>34</v>
      </c>
      <c r="J4521" t="str">
        <f>"02/14/1998 23:00"</f>
        <v>02/14/1998 23:00</v>
      </c>
    </row>
    <row r="4522" spans="1:10" x14ac:dyDescent="0.3">
      <c r="A4522" t="s">
        <v>6</v>
      </c>
      <c r="B4522" t="str">
        <f>"02/15/1998 00:00"</f>
        <v>02/15/1998 00:00</v>
      </c>
      <c r="C4522">
        <v>0.44</v>
      </c>
      <c r="D4522" t="s">
        <v>7</v>
      </c>
      <c r="E4522" s="2" t="s">
        <v>12</v>
      </c>
      <c r="F4522">
        <f t="shared" si="70"/>
        <v>0.87252000000000007</v>
      </c>
      <c r="G4522" t="s">
        <v>16</v>
      </c>
      <c r="I4522" t="s">
        <v>8</v>
      </c>
      <c r="J4522" t="str">
        <f>"02/15/1998 23:00"</f>
        <v>02/15/1998 23:00</v>
      </c>
    </row>
    <row r="4523" spans="1:10" x14ac:dyDescent="0.3">
      <c r="A4523" t="s">
        <v>6</v>
      </c>
      <c r="B4523" t="str">
        <f>"02/16/1998 00:00"</f>
        <v>02/16/1998 00:00</v>
      </c>
      <c r="C4523">
        <v>0.44</v>
      </c>
      <c r="D4523" t="s">
        <v>7</v>
      </c>
      <c r="E4523" s="2" t="s">
        <v>12</v>
      </c>
      <c r="F4523">
        <f t="shared" si="70"/>
        <v>0.87252000000000007</v>
      </c>
      <c r="G4523" t="s">
        <v>16</v>
      </c>
      <c r="I4523" t="s">
        <v>34</v>
      </c>
      <c r="J4523" t="str">
        <f>"02/16/1998 23:00"</f>
        <v>02/16/1998 23:00</v>
      </c>
    </row>
    <row r="4524" spans="1:10" x14ac:dyDescent="0.3">
      <c r="A4524" t="s">
        <v>6</v>
      </c>
      <c r="B4524" t="str">
        <f>"02/17/1998 00:00"</f>
        <v>02/17/1998 00:00</v>
      </c>
      <c r="C4524">
        <v>0.628</v>
      </c>
      <c r="D4524" t="s">
        <v>7</v>
      </c>
      <c r="E4524" s="2" t="s">
        <v>12</v>
      </c>
      <c r="F4524">
        <f t="shared" si="70"/>
        <v>1.2453240000000001</v>
      </c>
      <c r="G4524" t="s">
        <v>16</v>
      </c>
      <c r="I4524" t="s">
        <v>34</v>
      </c>
      <c r="J4524" t="str">
        <f>"02/17/1998 23:00"</f>
        <v>02/17/1998 23:00</v>
      </c>
    </row>
    <row r="4525" spans="1:10" x14ac:dyDescent="0.3">
      <c r="A4525" t="s">
        <v>6</v>
      </c>
      <c r="B4525" t="str">
        <f>"02/18/1998 00:00"</f>
        <v>02/18/1998 00:00</v>
      </c>
      <c r="C4525">
        <v>0.36799999999999999</v>
      </c>
      <c r="D4525" t="s">
        <v>7</v>
      </c>
      <c r="E4525" s="2" t="s">
        <v>12</v>
      </c>
      <c r="F4525">
        <f t="shared" si="70"/>
        <v>0.72974400000000006</v>
      </c>
      <c r="G4525" t="s">
        <v>16</v>
      </c>
      <c r="I4525" t="s">
        <v>34</v>
      </c>
      <c r="J4525" t="str">
        <f>"02/18/1998 23:00"</f>
        <v>02/18/1998 23:00</v>
      </c>
    </row>
    <row r="4526" spans="1:10" x14ac:dyDescent="0.3">
      <c r="A4526" t="s">
        <v>6</v>
      </c>
      <c r="B4526" t="str">
        <f>"02/19/1998 00:00"</f>
        <v>02/19/1998 00:00</v>
      </c>
      <c r="C4526">
        <v>0.28000000000000003</v>
      </c>
      <c r="D4526" t="s">
        <v>7</v>
      </c>
      <c r="E4526" s="2" t="s">
        <v>12</v>
      </c>
      <c r="F4526">
        <f t="shared" si="70"/>
        <v>0.55524000000000007</v>
      </c>
      <c r="G4526" t="s">
        <v>16</v>
      </c>
      <c r="I4526" t="s">
        <v>34</v>
      </c>
      <c r="J4526" t="str">
        <f>"02/19/1998 23:00"</f>
        <v>02/19/1998 23:00</v>
      </c>
    </row>
    <row r="4527" spans="1:10" x14ac:dyDescent="0.3">
      <c r="A4527" t="s">
        <v>6</v>
      </c>
      <c r="B4527" t="str">
        <f>"02/20/1998 00:00"</f>
        <v>02/20/1998 00:00</v>
      </c>
      <c r="C4527">
        <v>0.28000000000000003</v>
      </c>
      <c r="D4527" t="s">
        <v>7</v>
      </c>
      <c r="E4527" s="2" t="s">
        <v>12</v>
      </c>
      <c r="F4527">
        <f t="shared" si="70"/>
        <v>0.55524000000000007</v>
      </c>
      <c r="G4527" t="s">
        <v>16</v>
      </c>
      <c r="I4527" t="s">
        <v>34</v>
      </c>
      <c r="J4527" t="str">
        <f>"02/20/1998 23:00"</f>
        <v>02/20/1998 23:00</v>
      </c>
    </row>
    <row r="4528" spans="1:10" x14ac:dyDescent="0.3">
      <c r="A4528" t="s">
        <v>6</v>
      </c>
      <c r="B4528" t="str">
        <f>"02/21/1998 00:00"</f>
        <v>02/21/1998 00:00</v>
      </c>
      <c r="C4528">
        <v>0.34699999999999998</v>
      </c>
      <c r="D4528" t="s">
        <v>7</v>
      </c>
      <c r="E4528" s="2" t="s">
        <v>12</v>
      </c>
      <c r="F4528">
        <f t="shared" si="70"/>
        <v>0.68810099999999996</v>
      </c>
      <c r="G4528" t="s">
        <v>16</v>
      </c>
      <c r="I4528" t="s">
        <v>34</v>
      </c>
      <c r="J4528" t="str">
        <f>"02/21/1998 23:00"</f>
        <v>02/21/1998 23:00</v>
      </c>
    </row>
    <row r="4529" spans="1:10" x14ac:dyDescent="0.3">
      <c r="A4529" t="s">
        <v>6</v>
      </c>
      <c r="B4529" t="str">
        <f>"02/22/1998 00:00"</f>
        <v>02/22/1998 00:00</v>
      </c>
      <c r="C4529">
        <v>0.41299999999999998</v>
      </c>
      <c r="D4529" t="s">
        <v>7</v>
      </c>
      <c r="E4529" s="2" t="s">
        <v>12</v>
      </c>
      <c r="F4529">
        <f t="shared" si="70"/>
        <v>0.81897900000000001</v>
      </c>
      <c r="G4529" t="s">
        <v>16</v>
      </c>
      <c r="I4529" t="s">
        <v>34</v>
      </c>
      <c r="J4529" t="str">
        <f>"02/22/1998 23:00"</f>
        <v>02/22/1998 23:00</v>
      </c>
    </row>
    <row r="4530" spans="1:10" x14ac:dyDescent="0.3">
      <c r="A4530" t="s">
        <v>6</v>
      </c>
      <c r="B4530" t="str">
        <f>"02/23/1998 00:00"</f>
        <v>02/23/1998 00:00</v>
      </c>
      <c r="C4530">
        <v>0.28000000000000003</v>
      </c>
      <c r="D4530" t="s">
        <v>7</v>
      </c>
      <c r="E4530" s="2" t="s">
        <v>12</v>
      </c>
      <c r="F4530">
        <f t="shared" si="70"/>
        <v>0.55524000000000007</v>
      </c>
      <c r="G4530" t="s">
        <v>16</v>
      </c>
      <c r="I4530" t="s">
        <v>34</v>
      </c>
      <c r="J4530" t="str">
        <f>"02/23/1998 23:00"</f>
        <v>02/23/1998 23:00</v>
      </c>
    </row>
    <row r="4531" spans="1:10" x14ac:dyDescent="0.3">
      <c r="A4531" t="s">
        <v>6</v>
      </c>
      <c r="B4531" t="str">
        <f>"02/24/1998 00:00"</f>
        <v>02/24/1998 00:00</v>
      </c>
      <c r="C4531">
        <v>0.28000000000000003</v>
      </c>
      <c r="D4531" t="s">
        <v>7</v>
      </c>
      <c r="E4531" s="2" t="s">
        <v>12</v>
      </c>
      <c r="F4531">
        <f t="shared" si="70"/>
        <v>0.55524000000000007</v>
      </c>
      <c r="G4531" t="s">
        <v>16</v>
      </c>
      <c r="I4531" t="s">
        <v>34</v>
      </c>
      <c r="J4531" t="str">
        <f>"02/24/1998 23:00"</f>
        <v>02/24/1998 23:00</v>
      </c>
    </row>
    <row r="4532" spans="1:10" x14ac:dyDescent="0.3">
      <c r="A4532" t="s">
        <v>6</v>
      </c>
      <c r="B4532" t="str">
        <f>"02/25/1998 00:00"</f>
        <v>02/25/1998 00:00</v>
      </c>
      <c r="C4532">
        <v>0.315</v>
      </c>
      <c r="D4532" t="s">
        <v>7</v>
      </c>
      <c r="E4532" s="2" t="s">
        <v>12</v>
      </c>
      <c r="F4532">
        <f t="shared" si="70"/>
        <v>0.62464500000000001</v>
      </c>
      <c r="G4532" t="s">
        <v>16</v>
      </c>
      <c r="I4532" t="s">
        <v>34</v>
      </c>
      <c r="J4532" t="str">
        <f>"02/25/1998 23:00"</f>
        <v>02/25/1998 23:00</v>
      </c>
    </row>
    <row r="4533" spans="1:10" x14ac:dyDescent="0.3">
      <c r="A4533" t="s">
        <v>6</v>
      </c>
      <c r="B4533" t="str">
        <f>"02/26/1998 00:00"</f>
        <v>02/26/1998 00:00</v>
      </c>
      <c r="C4533">
        <v>0.63</v>
      </c>
      <c r="D4533" t="s">
        <v>7</v>
      </c>
      <c r="E4533" s="2" t="s">
        <v>12</v>
      </c>
      <c r="F4533">
        <f t="shared" si="70"/>
        <v>1.24929</v>
      </c>
      <c r="G4533" t="s">
        <v>16</v>
      </c>
      <c r="I4533" t="s">
        <v>34</v>
      </c>
      <c r="J4533" t="str">
        <f>"02/26/1998 23:00"</f>
        <v>02/26/1998 23:00</v>
      </c>
    </row>
    <row r="4534" spans="1:10" x14ac:dyDescent="0.3">
      <c r="A4534" t="s">
        <v>6</v>
      </c>
      <c r="B4534" t="str">
        <f>"02/27/1998 00:00"</f>
        <v>02/27/1998 00:00</v>
      </c>
      <c r="C4534">
        <v>0.63</v>
      </c>
      <c r="D4534" t="s">
        <v>7</v>
      </c>
      <c r="E4534" s="2" t="s">
        <v>12</v>
      </c>
      <c r="F4534">
        <f t="shared" si="70"/>
        <v>1.24929</v>
      </c>
      <c r="G4534" t="s">
        <v>16</v>
      </c>
      <c r="I4534" t="s">
        <v>34</v>
      </c>
      <c r="J4534" t="str">
        <f>"02/27/1998 23:00"</f>
        <v>02/27/1998 23:00</v>
      </c>
    </row>
    <row r="4535" spans="1:10" x14ac:dyDescent="0.3">
      <c r="A4535" t="s">
        <v>6</v>
      </c>
      <c r="B4535" t="str">
        <f>"02/28/1998 00:00"</f>
        <v>02/28/1998 00:00</v>
      </c>
      <c r="C4535">
        <v>0.63</v>
      </c>
      <c r="D4535" t="s">
        <v>7</v>
      </c>
      <c r="E4535" s="2" t="s">
        <v>12</v>
      </c>
      <c r="F4535">
        <f t="shared" si="70"/>
        <v>1.24929</v>
      </c>
      <c r="G4535" t="s">
        <v>16</v>
      </c>
      <c r="I4535" t="s">
        <v>34</v>
      </c>
      <c r="J4535" t="str">
        <f>"02/28/1998 23:00"</f>
        <v>02/28/1998 23:00</v>
      </c>
    </row>
    <row r="4536" spans="1:10" x14ac:dyDescent="0.3">
      <c r="A4536" t="s">
        <v>6</v>
      </c>
      <c r="B4536" t="str">
        <f>"03/01/1998 00:00"</f>
        <v>03/01/1998 00:00</v>
      </c>
      <c r="C4536">
        <v>0.63</v>
      </c>
      <c r="D4536" t="s">
        <v>7</v>
      </c>
      <c r="E4536" s="2" t="s">
        <v>12</v>
      </c>
      <c r="F4536">
        <f t="shared" si="70"/>
        <v>1.24929</v>
      </c>
      <c r="G4536" t="s">
        <v>16</v>
      </c>
      <c r="I4536" t="s">
        <v>34</v>
      </c>
      <c r="J4536" t="str">
        <f>"03/01/1998 23:00"</f>
        <v>03/01/1998 23:00</v>
      </c>
    </row>
    <row r="4537" spans="1:10" x14ac:dyDescent="0.3">
      <c r="A4537" t="s">
        <v>6</v>
      </c>
      <c r="B4537" t="str">
        <f>"03/02/1998 00:00"</f>
        <v>03/02/1998 00:00</v>
      </c>
      <c r="C4537">
        <v>0.59</v>
      </c>
      <c r="D4537" t="s">
        <v>7</v>
      </c>
      <c r="E4537" s="2" t="s">
        <v>12</v>
      </c>
      <c r="F4537">
        <f t="shared" si="70"/>
        <v>1.16997</v>
      </c>
      <c r="G4537" t="s">
        <v>16</v>
      </c>
      <c r="I4537" t="s">
        <v>34</v>
      </c>
      <c r="J4537" t="str">
        <f>"03/02/1998 23:00"</f>
        <v>03/02/1998 23:00</v>
      </c>
    </row>
    <row r="4538" spans="1:10" x14ac:dyDescent="0.3">
      <c r="A4538" t="s">
        <v>6</v>
      </c>
      <c r="B4538" t="str">
        <f>"03/03/1998 00:00"</f>
        <v>03/03/1998 00:00</v>
      </c>
      <c r="C4538">
        <v>0.51100000000000001</v>
      </c>
      <c r="D4538" t="s">
        <v>7</v>
      </c>
      <c r="E4538" s="2" t="s">
        <v>12</v>
      </c>
      <c r="F4538">
        <f t="shared" si="70"/>
        <v>1.0133130000000001</v>
      </c>
      <c r="G4538" t="s">
        <v>16</v>
      </c>
      <c r="I4538" t="s">
        <v>34</v>
      </c>
      <c r="J4538" t="str">
        <f>"03/03/1998 23:00"</f>
        <v>03/03/1998 23:00</v>
      </c>
    </row>
    <row r="4539" spans="1:10" x14ac:dyDescent="0.3">
      <c r="A4539" t="s">
        <v>6</v>
      </c>
      <c r="B4539" t="str">
        <f>"03/04/1998 00:00"</f>
        <v>03/04/1998 00:00</v>
      </c>
      <c r="C4539">
        <v>0.42699999999999999</v>
      </c>
      <c r="D4539" t="s">
        <v>7</v>
      </c>
      <c r="E4539" s="2" t="s">
        <v>12</v>
      </c>
      <c r="F4539">
        <f t="shared" si="70"/>
        <v>0.84674100000000008</v>
      </c>
      <c r="G4539" t="s">
        <v>16</v>
      </c>
      <c r="I4539" t="s">
        <v>34</v>
      </c>
      <c r="J4539" t="str">
        <f>"03/04/1998 23:00"</f>
        <v>03/04/1998 23:00</v>
      </c>
    </row>
    <row r="4540" spans="1:10" x14ac:dyDescent="0.3">
      <c r="A4540" t="s">
        <v>6</v>
      </c>
      <c r="B4540" t="str">
        <f>"03/05/1998 00:00"</f>
        <v>03/05/1998 00:00</v>
      </c>
      <c r="C4540">
        <v>0.503</v>
      </c>
      <c r="D4540" t="s">
        <v>7</v>
      </c>
      <c r="E4540" s="2" t="s">
        <v>12</v>
      </c>
      <c r="F4540">
        <f t="shared" si="70"/>
        <v>0.99744900000000003</v>
      </c>
      <c r="G4540" t="s">
        <v>16</v>
      </c>
      <c r="I4540" t="s">
        <v>34</v>
      </c>
      <c r="J4540" t="str">
        <f>"03/05/1998 23:00"</f>
        <v>03/05/1998 23:00</v>
      </c>
    </row>
    <row r="4541" spans="1:10" x14ac:dyDescent="0.3">
      <c r="A4541" t="s">
        <v>6</v>
      </c>
      <c r="B4541" t="str">
        <f>"03/06/1998 00:00"</f>
        <v>03/06/1998 00:00</v>
      </c>
      <c r="C4541">
        <v>0.48299999999999998</v>
      </c>
      <c r="D4541" t="s">
        <v>7</v>
      </c>
      <c r="E4541" s="2" t="s">
        <v>12</v>
      </c>
      <c r="F4541">
        <f t="shared" si="70"/>
        <v>0.957789</v>
      </c>
      <c r="G4541" t="s">
        <v>16</v>
      </c>
      <c r="I4541" t="s">
        <v>34</v>
      </c>
      <c r="J4541" t="str">
        <f>"03/06/1998 23:00"</f>
        <v>03/06/1998 23:00</v>
      </c>
    </row>
    <row r="4542" spans="1:10" x14ac:dyDescent="0.3">
      <c r="A4542" t="s">
        <v>6</v>
      </c>
      <c r="B4542" t="str">
        <f>"03/07/1998 00:00"</f>
        <v>03/07/1998 00:00</v>
      </c>
      <c r="C4542">
        <v>0.48699999999999999</v>
      </c>
      <c r="D4542" t="s">
        <v>7</v>
      </c>
      <c r="E4542" s="2" t="s">
        <v>12</v>
      </c>
      <c r="F4542">
        <f t="shared" si="70"/>
        <v>0.96572100000000005</v>
      </c>
      <c r="G4542" t="s">
        <v>16</v>
      </c>
      <c r="I4542" t="s">
        <v>8</v>
      </c>
      <c r="J4542" t="str">
        <f>"03/07/1998 23:00"</f>
        <v>03/07/1998 23:00</v>
      </c>
    </row>
    <row r="4543" spans="1:10" x14ac:dyDescent="0.3">
      <c r="A4543" t="s">
        <v>6</v>
      </c>
      <c r="B4543" t="str">
        <f>"03/08/1998 00:00"</f>
        <v>03/08/1998 00:00</v>
      </c>
      <c r="C4543">
        <v>0.58299999999999996</v>
      </c>
      <c r="D4543" t="s">
        <v>7</v>
      </c>
      <c r="E4543" s="2" t="s">
        <v>12</v>
      </c>
      <c r="F4543">
        <f t="shared" si="70"/>
        <v>1.1560889999999999</v>
      </c>
      <c r="G4543" t="s">
        <v>16</v>
      </c>
      <c r="I4543" t="s">
        <v>34</v>
      </c>
      <c r="J4543" t="str">
        <f>"03/08/1998 23:00"</f>
        <v>03/08/1998 23:00</v>
      </c>
    </row>
    <row r="4544" spans="1:10" x14ac:dyDescent="0.3">
      <c r="A4544" t="s">
        <v>6</v>
      </c>
      <c r="B4544" t="str">
        <f>"03/09/1998 00:00"</f>
        <v>03/09/1998 00:00</v>
      </c>
      <c r="C4544">
        <v>0.63</v>
      </c>
      <c r="D4544" t="s">
        <v>7</v>
      </c>
      <c r="E4544" s="2" t="s">
        <v>12</v>
      </c>
      <c r="F4544">
        <f t="shared" si="70"/>
        <v>1.24929</v>
      </c>
      <c r="G4544" t="s">
        <v>16</v>
      </c>
      <c r="I4544" t="s">
        <v>8</v>
      </c>
      <c r="J4544" t="str">
        <f>"03/09/1998 23:00"</f>
        <v>03/09/1998 23:00</v>
      </c>
    </row>
    <row r="4545" spans="1:10" x14ac:dyDescent="0.3">
      <c r="A4545" t="s">
        <v>6</v>
      </c>
      <c r="B4545" t="str">
        <f>"03/10/1998 00:00"</f>
        <v>03/10/1998 00:00</v>
      </c>
      <c r="C4545">
        <v>0.60299999999999998</v>
      </c>
      <c r="D4545" t="s">
        <v>7</v>
      </c>
      <c r="E4545" s="2" t="s">
        <v>12</v>
      </c>
      <c r="F4545">
        <f t="shared" si="70"/>
        <v>1.195749</v>
      </c>
      <c r="G4545" t="s">
        <v>16</v>
      </c>
      <c r="I4545" t="s">
        <v>8</v>
      </c>
      <c r="J4545" t="str">
        <f>"03/10/1998 23:00"</f>
        <v>03/10/1998 23:00</v>
      </c>
    </row>
    <row r="4546" spans="1:10" x14ac:dyDescent="0.3">
      <c r="A4546" t="s">
        <v>6</v>
      </c>
      <c r="B4546" t="str">
        <f>"03/11/1998 00:00"</f>
        <v>03/11/1998 00:00</v>
      </c>
      <c r="C4546">
        <v>0.49299999999999999</v>
      </c>
      <c r="D4546" t="s">
        <v>7</v>
      </c>
      <c r="E4546" s="2" t="s">
        <v>12</v>
      </c>
      <c r="F4546">
        <f t="shared" si="70"/>
        <v>0.97761900000000002</v>
      </c>
      <c r="G4546" t="s">
        <v>16</v>
      </c>
      <c r="I4546" t="s">
        <v>8</v>
      </c>
      <c r="J4546" t="str">
        <f>"03/11/1998 23:00"</f>
        <v>03/11/1998 23:00</v>
      </c>
    </row>
    <row r="4547" spans="1:10" x14ac:dyDescent="0.3">
      <c r="A4547" t="s">
        <v>6</v>
      </c>
      <c r="B4547" t="str">
        <f>"03/12/1998 00:00"</f>
        <v>03/12/1998 00:00</v>
      </c>
      <c r="C4547">
        <v>0.4</v>
      </c>
      <c r="D4547" t="s">
        <v>7</v>
      </c>
      <c r="E4547" s="2" t="s">
        <v>12</v>
      </c>
      <c r="F4547">
        <f t="shared" ref="F4547:F4610" si="71">C4547*1.983</f>
        <v>0.79320000000000013</v>
      </c>
      <c r="G4547" t="s">
        <v>16</v>
      </c>
      <c r="I4547" t="s">
        <v>34</v>
      </c>
      <c r="J4547" t="str">
        <f>"03/12/1998 23:00"</f>
        <v>03/12/1998 23:00</v>
      </c>
    </row>
    <row r="4548" spans="1:10" x14ac:dyDescent="0.3">
      <c r="A4548" t="s">
        <v>6</v>
      </c>
      <c r="B4548" t="str">
        <f>"03/13/1998 00:00"</f>
        <v>03/13/1998 00:00</v>
      </c>
      <c r="C4548">
        <v>0.35099999999999998</v>
      </c>
      <c r="D4548" t="s">
        <v>7</v>
      </c>
      <c r="E4548" s="2" t="s">
        <v>12</v>
      </c>
      <c r="F4548">
        <f t="shared" si="71"/>
        <v>0.69603300000000001</v>
      </c>
      <c r="G4548" t="s">
        <v>16</v>
      </c>
      <c r="I4548" t="s">
        <v>8</v>
      </c>
      <c r="J4548" t="str">
        <f>"03/13/1998 23:00"</f>
        <v>03/13/1998 23:00</v>
      </c>
    </row>
    <row r="4549" spans="1:10" x14ac:dyDescent="0.3">
      <c r="A4549" t="s">
        <v>6</v>
      </c>
      <c r="B4549" t="str">
        <f>"03/14/1998 00:00"</f>
        <v>03/14/1998 00:00</v>
      </c>
      <c r="C4549">
        <v>0.28000000000000003</v>
      </c>
      <c r="D4549" t="s">
        <v>7</v>
      </c>
      <c r="E4549" s="2" t="s">
        <v>12</v>
      </c>
      <c r="F4549">
        <f t="shared" si="71"/>
        <v>0.55524000000000007</v>
      </c>
      <c r="G4549" t="s">
        <v>16</v>
      </c>
      <c r="I4549" t="s">
        <v>34</v>
      </c>
      <c r="J4549" t="str">
        <f>"03/14/1998 23:00"</f>
        <v>03/14/1998 23:00</v>
      </c>
    </row>
    <row r="4550" spans="1:10" x14ac:dyDescent="0.3">
      <c r="A4550" t="s">
        <v>6</v>
      </c>
      <c r="B4550" t="str">
        <f>"03/15/1998 00:00"</f>
        <v>03/15/1998 00:00</v>
      </c>
      <c r="C4550">
        <v>0.28000000000000003</v>
      </c>
      <c r="D4550" t="s">
        <v>7</v>
      </c>
      <c r="E4550" s="2" t="s">
        <v>12</v>
      </c>
      <c r="F4550">
        <f t="shared" si="71"/>
        <v>0.55524000000000007</v>
      </c>
      <c r="G4550" t="s">
        <v>16</v>
      </c>
      <c r="I4550" t="s">
        <v>34</v>
      </c>
      <c r="J4550" t="str">
        <f>"03/15/1998 23:00"</f>
        <v>03/15/1998 23:00</v>
      </c>
    </row>
    <row r="4551" spans="1:10" x14ac:dyDescent="0.3">
      <c r="A4551" t="s">
        <v>6</v>
      </c>
      <c r="B4551" t="str">
        <f>"03/16/1998 00:00"</f>
        <v>03/16/1998 00:00</v>
      </c>
      <c r="C4551">
        <v>0.28000000000000003</v>
      </c>
      <c r="D4551" t="s">
        <v>7</v>
      </c>
      <c r="E4551" s="2" t="s">
        <v>12</v>
      </c>
      <c r="F4551">
        <f t="shared" si="71"/>
        <v>0.55524000000000007</v>
      </c>
      <c r="G4551" t="s">
        <v>16</v>
      </c>
      <c r="I4551" t="s">
        <v>34</v>
      </c>
      <c r="J4551" t="str">
        <f>"03/16/1998 23:00"</f>
        <v>03/16/1998 23:00</v>
      </c>
    </row>
    <row r="4552" spans="1:10" x14ac:dyDescent="0.3">
      <c r="A4552" t="s">
        <v>6</v>
      </c>
      <c r="B4552" t="str">
        <f>"03/17/1998 00:00"</f>
        <v>03/17/1998 00:00</v>
      </c>
      <c r="C4552">
        <v>0.28000000000000003</v>
      </c>
      <c r="D4552" t="s">
        <v>7</v>
      </c>
      <c r="E4552" s="2" t="s">
        <v>12</v>
      </c>
      <c r="F4552">
        <f t="shared" si="71"/>
        <v>0.55524000000000007</v>
      </c>
      <c r="G4552" t="s">
        <v>16</v>
      </c>
      <c r="I4552" t="s">
        <v>34</v>
      </c>
      <c r="J4552" t="str">
        <f>"03/17/1998 23:00"</f>
        <v>03/17/1998 23:00</v>
      </c>
    </row>
    <row r="4553" spans="1:10" x14ac:dyDescent="0.3">
      <c r="A4553" t="s">
        <v>6</v>
      </c>
      <c r="B4553" t="str">
        <f>"03/18/1998 00:00"</f>
        <v>03/18/1998 00:00</v>
      </c>
      <c r="C4553">
        <v>0.36399999999999999</v>
      </c>
      <c r="D4553" t="s">
        <v>7</v>
      </c>
      <c r="E4553" s="2" t="s">
        <v>12</v>
      </c>
      <c r="F4553">
        <f t="shared" si="71"/>
        <v>0.72181200000000001</v>
      </c>
      <c r="G4553" t="s">
        <v>16</v>
      </c>
      <c r="I4553" t="s">
        <v>8</v>
      </c>
      <c r="J4553" t="str">
        <f>"03/18/1998 23:00"</f>
        <v>03/18/1998 23:00</v>
      </c>
    </row>
    <row r="4554" spans="1:10" x14ac:dyDescent="0.3">
      <c r="A4554" t="s">
        <v>6</v>
      </c>
      <c r="B4554" t="str">
        <f>"03/19/1998 00:00"</f>
        <v>03/19/1998 00:00</v>
      </c>
      <c r="C4554">
        <v>0.57799999999999996</v>
      </c>
      <c r="D4554" t="s">
        <v>7</v>
      </c>
      <c r="E4554" s="2" t="s">
        <v>12</v>
      </c>
      <c r="F4554">
        <f t="shared" si="71"/>
        <v>1.146174</v>
      </c>
      <c r="G4554" t="s">
        <v>16</v>
      </c>
      <c r="I4554" t="s">
        <v>34</v>
      </c>
      <c r="J4554" t="str">
        <f>"03/19/1998 23:00"</f>
        <v>03/19/1998 23:00</v>
      </c>
    </row>
    <row r="4555" spans="1:10" x14ac:dyDescent="0.3">
      <c r="A4555" t="s">
        <v>6</v>
      </c>
      <c r="B4555" t="str">
        <f>"03/20/1998 00:00"</f>
        <v>03/20/1998 00:00</v>
      </c>
      <c r="C4555">
        <v>0.49</v>
      </c>
      <c r="D4555" t="s">
        <v>7</v>
      </c>
      <c r="E4555" s="2" t="s">
        <v>12</v>
      </c>
      <c r="F4555">
        <f t="shared" si="71"/>
        <v>0.97167000000000003</v>
      </c>
      <c r="G4555" t="s">
        <v>16</v>
      </c>
      <c r="I4555" t="s">
        <v>34</v>
      </c>
      <c r="J4555" t="str">
        <f>"03/20/1998 23:00"</f>
        <v>03/20/1998 23:00</v>
      </c>
    </row>
    <row r="4556" spans="1:10" x14ac:dyDescent="0.3">
      <c r="A4556" t="s">
        <v>6</v>
      </c>
      <c r="B4556" t="str">
        <f>"03/21/1998 00:00"</f>
        <v>03/21/1998 00:00</v>
      </c>
      <c r="C4556">
        <v>0.36399999999999999</v>
      </c>
      <c r="D4556" t="s">
        <v>7</v>
      </c>
      <c r="E4556" s="2" t="s">
        <v>12</v>
      </c>
      <c r="F4556">
        <f t="shared" si="71"/>
        <v>0.72181200000000001</v>
      </c>
      <c r="G4556" t="s">
        <v>16</v>
      </c>
      <c r="I4556" t="s">
        <v>34</v>
      </c>
      <c r="J4556" t="str">
        <f>"03/21/1998 23:00"</f>
        <v>03/21/1998 23:00</v>
      </c>
    </row>
    <row r="4557" spans="1:10" x14ac:dyDescent="0.3">
      <c r="A4557" t="s">
        <v>6</v>
      </c>
      <c r="B4557" t="str">
        <f>"03/22/1998 00:00"</f>
        <v>03/22/1998 00:00</v>
      </c>
      <c r="C4557">
        <v>0.28000000000000003</v>
      </c>
      <c r="D4557" t="s">
        <v>7</v>
      </c>
      <c r="E4557" s="2" t="s">
        <v>12</v>
      </c>
      <c r="F4557">
        <f t="shared" si="71"/>
        <v>0.55524000000000007</v>
      </c>
      <c r="G4557" t="s">
        <v>16</v>
      </c>
      <c r="I4557" t="s">
        <v>34</v>
      </c>
      <c r="J4557" t="str">
        <f>"03/22/1998 23:00"</f>
        <v>03/22/1998 23:00</v>
      </c>
    </row>
    <row r="4558" spans="1:10" x14ac:dyDescent="0.3">
      <c r="A4558" t="s">
        <v>6</v>
      </c>
      <c r="B4558" t="str">
        <f>"03/23/1998 00:00"</f>
        <v>03/23/1998 00:00</v>
      </c>
      <c r="C4558">
        <v>8.11</v>
      </c>
      <c r="D4558" t="s">
        <v>7</v>
      </c>
      <c r="E4558" s="2" t="s">
        <v>12</v>
      </c>
      <c r="F4558">
        <f t="shared" si="71"/>
        <v>16.082129999999999</v>
      </c>
      <c r="G4558" t="s">
        <v>16</v>
      </c>
      <c r="I4558" t="s">
        <v>8</v>
      </c>
      <c r="J4558" t="str">
        <f>"03/23/1998 23:00"</f>
        <v>03/23/1998 23:00</v>
      </c>
    </row>
    <row r="4559" spans="1:10" x14ac:dyDescent="0.3">
      <c r="A4559" t="s">
        <v>6</v>
      </c>
      <c r="B4559" t="str">
        <f>"03/24/1998 00:00"</f>
        <v>03/24/1998 00:00</v>
      </c>
      <c r="C4559">
        <v>8.86</v>
      </c>
      <c r="D4559" t="s">
        <v>7</v>
      </c>
      <c r="E4559" s="2" t="s">
        <v>12</v>
      </c>
      <c r="F4559">
        <f t="shared" si="71"/>
        <v>17.569379999999999</v>
      </c>
      <c r="G4559" t="s">
        <v>16</v>
      </c>
      <c r="I4559" t="s">
        <v>8</v>
      </c>
      <c r="J4559" t="str">
        <f>"03/24/1998 23:00"</f>
        <v>03/24/1998 23:00</v>
      </c>
    </row>
    <row r="4560" spans="1:10" x14ac:dyDescent="0.3">
      <c r="A4560" t="s">
        <v>6</v>
      </c>
      <c r="B4560" t="str">
        <f>"03/25/1998 00:00"</f>
        <v>03/25/1998 00:00</v>
      </c>
      <c r="C4560">
        <v>0.44</v>
      </c>
      <c r="D4560" t="s">
        <v>7</v>
      </c>
      <c r="E4560" s="2" t="s">
        <v>12</v>
      </c>
      <c r="F4560">
        <f t="shared" si="71"/>
        <v>0.87252000000000007</v>
      </c>
      <c r="G4560" t="s">
        <v>16</v>
      </c>
      <c r="I4560" t="s">
        <v>34</v>
      </c>
      <c r="J4560" t="str">
        <f>"03/25/1998 23:00"</f>
        <v>03/25/1998 23:00</v>
      </c>
    </row>
    <row r="4561" spans="1:10" x14ac:dyDescent="0.3">
      <c r="A4561" t="s">
        <v>6</v>
      </c>
      <c r="B4561" t="str">
        <f>"03/26/1998 00:00"</f>
        <v>03/26/1998 00:00</v>
      </c>
      <c r="C4561">
        <v>1.38</v>
      </c>
      <c r="D4561" t="s">
        <v>7</v>
      </c>
      <c r="E4561" s="2" t="s">
        <v>12</v>
      </c>
      <c r="F4561">
        <f t="shared" si="71"/>
        <v>2.7365399999999998</v>
      </c>
      <c r="G4561" t="s">
        <v>16</v>
      </c>
      <c r="I4561" t="s">
        <v>8</v>
      </c>
      <c r="J4561" t="str">
        <f>"03/26/1998 23:00"</f>
        <v>03/26/1998 23:00</v>
      </c>
    </row>
    <row r="4562" spans="1:10" x14ac:dyDescent="0.3">
      <c r="A4562" t="s">
        <v>6</v>
      </c>
      <c r="B4562" t="str">
        <f>"03/27/1998 00:00"</f>
        <v>03/27/1998 00:00</v>
      </c>
      <c r="C4562">
        <v>9.27</v>
      </c>
      <c r="D4562" t="s">
        <v>7</v>
      </c>
      <c r="E4562" s="2" t="s">
        <v>12</v>
      </c>
      <c r="F4562">
        <f t="shared" si="71"/>
        <v>18.38241</v>
      </c>
      <c r="G4562" t="s">
        <v>16</v>
      </c>
      <c r="I4562" t="s">
        <v>8</v>
      </c>
      <c r="J4562" t="str">
        <f>"03/27/1998 23:00"</f>
        <v>03/27/1998 23:00</v>
      </c>
    </row>
    <row r="4563" spans="1:10" x14ac:dyDescent="0.3">
      <c r="A4563" t="s">
        <v>6</v>
      </c>
      <c r="B4563" t="str">
        <f>"03/28/1998 00:00"</f>
        <v>03/28/1998 00:00</v>
      </c>
      <c r="C4563">
        <v>0.28000000000000003</v>
      </c>
      <c r="D4563" t="s">
        <v>7</v>
      </c>
      <c r="E4563" s="2" t="s">
        <v>12</v>
      </c>
      <c r="F4563">
        <f t="shared" si="71"/>
        <v>0.55524000000000007</v>
      </c>
      <c r="G4563" t="s">
        <v>16</v>
      </c>
      <c r="I4563" t="s">
        <v>8</v>
      </c>
      <c r="J4563" t="str">
        <f>"03/28/1998 23:00"</f>
        <v>03/28/1998 23:00</v>
      </c>
    </row>
    <row r="4564" spans="1:10" x14ac:dyDescent="0.3">
      <c r="A4564" t="s">
        <v>6</v>
      </c>
      <c r="B4564" t="str">
        <f>"03/29/1998 00:00"</f>
        <v>03/29/1998 00:00</v>
      </c>
      <c r="C4564">
        <v>1.1000000000000001</v>
      </c>
      <c r="D4564" t="s">
        <v>7</v>
      </c>
      <c r="E4564" s="2" t="s">
        <v>12</v>
      </c>
      <c r="F4564">
        <f t="shared" si="71"/>
        <v>2.1813000000000002</v>
      </c>
      <c r="G4564" t="s">
        <v>16</v>
      </c>
      <c r="I4564" t="s">
        <v>8</v>
      </c>
      <c r="J4564" t="str">
        <f>"03/29/1998 23:00"</f>
        <v>03/29/1998 23:00</v>
      </c>
    </row>
    <row r="4565" spans="1:10" x14ac:dyDescent="0.3">
      <c r="A4565" t="s">
        <v>6</v>
      </c>
      <c r="B4565" t="str">
        <f>"03/30/1998 00:00"</f>
        <v>03/30/1998 00:00</v>
      </c>
      <c r="C4565">
        <v>1</v>
      </c>
      <c r="D4565" t="s">
        <v>7</v>
      </c>
      <c r="E4565" s="2" t="s">
        <v>12</v>
      </c>
      <c r="F4565">
        <f t="shared" si="71"/>
        <v>1.9830000000000001</v>
      </c>
      <c r="G4565" t="s">
        <v>16</v>
      </c>
      <c r="I4565" t="s">
        <v>8</v>
      </c>
      <c r="J4565" t="str">
        <f>"03/30/1998 23:00"</f>
        <v>03/30/1998 23:00</v>
      </c>
    </row>
    <row r="4566" spans="1:10" x14ac:dyDescent="0.3">
      <c r="A4566" t="s">
        <v>6</v>
      </c>
      <c r="B4566" t="str">
        <f>"03/31/1998 00:00"</f>
        <v>03/31/1998 00:00</v>
      </c>
      <c r="C4566">
        <v>0.51</v>
      </c>
      <c r="D4566" t="s">
        <v>7</v>
      </c>
      <c r="E4566" s="2" t="s">
        <v>12</v>
      </c>
      <c r="F4566">
        <f t="shared" si="71"/>
        <v>1.0113300000000001</v>
      </c>
      <c r="G4566" t="s">
        <v>16</v>
      </c>
      <c r="I4566" t="s">
        <v>8</v>
      </c>
      <c r="J4566" t="str">
        <f>"03/31/1998 23:00"</f>
        <v>03/31/1998 23:00</v>
      </c>
    </row>
    <row r="4567" spans="1:10" x14ac:dyDescent="0.3">
      <c r="A4567" t="s">
        <v>6</v>
      </c>
      <c r="B4567" t="str">
        <f>"04/01/1998 00:00"</f>
        <v>04/01/1998 00:00</v>
      </c>
      <c r="C4567">
        <v>0.39300000000000002</v>
      </c>
      <c r="D4567" t="s">
        <v>7</v>
      </c>
      <c r="E4567" s="2" t="s">
        <v>12</v>
      </c>
      <c r="F4567">
        <f t="shared" si="71"/>
        <v>0.77931900000000009</v>
      </c>
      <c r="G4567" t="s">
        <v>16</v>
      </c>
      <c r="I4567" t="s">
        <v>34</v>
      </c>
      <c r="J4567" t="str">
        <f>"04/01/1998 23:00"</f>
        <v>04/01/1998 23:00</v>
      </c>
    </row>
    <row r="4568" spans="1:10" x14ac:dyDescent="0.3">
      <c r="A4568" t="s">
        <v>6</v>
      </c>
      <c r="B4568" t="str">
        <f>"04/02/1998 00:00"</f>
        <v>04/02/1998 00:00</v>
      </c>
      <c r="C4568">
        <v>0.36</v>
      </c>
      <c r="D4568" t="s">
        <v>7</v>
      </c>
      <c r="E4568" s="2" t="s">
        <v>12</v>
      </c>
      <c r="F4568">
        <f t="shared" si="71"/>
        <v>0.71387999999999996</v>
      </c>
      <c r="G4568" t="s">
        <v>16</v>
      </c>
      <c r="I4568" t="s">
        <v>34</v>
      </c>
      <c r="J4568" t="str">
        <f>"04/02/1998 23:00"</f>
        <v>04/02/1998 23:00</v>
      </c>
    </row>
    <row r="4569" spans="1:10" x14ac:dyDescent="0.3">
      <c r="A4569" t="s">
        <v>6</v>
      </c>
      <c r="B4569" t="str">
        <f>"04/03/1998 00:00"</f>
        <v>04/03/1998 00:00</v>
      </c>
      <c r="C4569">
        <v>0.443</v>
      </c>
      <c r="D4569" t="s">
        <v>7</v>
      </c>
      <c r="E4569" s="2" t="s">
        <v>12</v>
      </c>
      <c r="F4569">
        <f t="shared" si="71"/>
        <v>0.87846900000000006</v>
      </c>
      <c r="G4569" t="s">
        <v>16</v>
      </c>
      <c r="I4569" t="s">
        <v>34</v>
      </c>
      <c r="J4569" t="str">
        <f>"04/03/1998 23:00"</f>
        <v>04/03/1998 23:00</v>
      </c>
    </row>
    <row r="4570" spans="1:10" x14ac:dyDescent="0.3">
      <c r="A4570" t="s">
        <v>6</v>
      </c>
      <c r="B4570" t="str">
        <f>"04/04/1998 00:00"</f>
        <v>04/04/1998 00:00</v>
      </c>
      <c r="C4570">
        <v>0.28000000000000003</v>
      </c>
      <c r="D4570" t="s">
        <v>7</v>
      </c>
      <c r="E4570" s="2" t="s">
        <v>12</v>
      </c>
      <c r="F4570">
        <f t="shared" si="71"/>
        <v>0.55524000000000007</v>
      </c>
      <c r="G4570" t="s">
        <v>16</v>
      </c>
      <c r="I4570" t="s">
        <v>8</v>
      </c>
      <c r="J4570" t="str">
        <f>"04/04/1998 23:00"</f>
        <v>04/04/1998 23:00</v>
      </c>
    </row>
    <row r="4571" spans="1:10" x14ac:dyDescent="0.3">
      <c r="A4571" t="s">
        <v>6</v>
      </c>
      <c r="B4571" t="str">
        <f>"04/05/1998 00:00"</f>
        <v>04/05/1998 00:00</v>
      </c>
      <c r="C4571">
        <v>0.28000000000000003</v>
      </c>
      <c r="D4571" t="s">
        <v>7</v>
      </c>
      <c r="E4571" s="2" t="s">
        <v>12</v>
      </c>
      <c r="F4571">
        <f t="shared" si="71"/>
        <v>0.55524000000000007</v>
      </c>
      <c r="G4571" t="s">
        <v>16</v>
      </c>
      <c r="I4571" t="s">
        <v>8</v>
      </c>
      <c r="J4571" t="str">
        <f>"04/05/1998 23:00"</f>
        <v>04/05/1998 23:00</v>
      </c>
    </row>
    <row r="4572" spans="1:10" x14ac:dyDescent="0.3">
      <c r="A4572" t="s">
        <v>6</v>
      </c>
      <c r="B4572" t="str">
        <f>"04/06/1998 00:00"</f>
        <v>04/06/1998 00:00</v>
      </c>
      <c r="C4572">
        <v>0.4</v>
      </c>
      <c r="D4572" t="s">
        <v>7</v>
      </c>
      <c r="E4572" s="2" t="s">
        <v>12</v>
      </c>
      <c r="F4572">
        <f t="shared" si="71"/>
        <v>0.79320000000000013</v>
      </c>
      <c r="G4572" t="s">
        <v>16</v>
      </c>
      <c r="I4572" t="s">
        <v>8</v>
      </c>
      <c r="J4572" t="str">
        <f>"04/06/1998 23:00"</f>
        <v>04/06/1998 23:00</v>
      </c>
    </row>
    <row r="4573" spans="1:10" x14ac:dyDescent="0.3">
      <c r="A4573" t="s">
        <v>6</v>
      </c>
      <c r="B4573" t="str">
        <f>"04/07/1998 00:00"</f>
        <v>04/07/1998 00:00</v>
      </c>
      <c r="C4573">
        <v>0.44</v>
      </c>
      <c r="D4573" t="s">
        <v>7</v>
      </c>
      <c r="E4573" s="2" t="s">
        <v>12</v>
      </c>
      <c r="F4573">
        <f t="shared" si="71"/>
        <v>0.87252000000000007</v>
      </c>
      <c r="G4573" t="s">
        <v>16</v>
      </c>
      <c r="I4573" t="s">
        <v>34</v>
      </c>
      <c r="J4573" t="str">
        <f>"04/07/1998 23:00"</f>
        <v>04/07/1998 23:00</v>
      </c>
    </row>
    <row r="4574" spans="1:10" x14ac:dyDescent="0.3">
      <c r="A4574" t="s">
        <v>6</v>
      </c>
      <c r="B4574" t="str">
        <f>"04/08/1998 00:00"</f>
        <v>04/08/1998 00:00</v>
      </c>
      <c r="C4574">
        <v>0.52600000000000002</v>
      </c>
      <c r="D4574" t="s">
        <v>7</v>
      </c>
      <c r="E4574" s="2" t="s">
        <v>12</v>
      </c>
      <c r="F4574">
        <f t="shared" si="71"/>
        <v>1.043058</v>
      </c>
      <c r="G4574" t="s">
        <v>16</v>
      </c>
      <c r="I4574" t="s">
        <v>8</v>
      </c>
      <c r="J4574" t="str">
        <f>"04/08/1998 23:00"</f>
        <v>04/08/1998 23:00</v>
      </c>
    </row>
    <row r="4575" spans="1:10" x14ac:dyDescent="0.3">
      <c r="A4575" t="s">
        <v>6</v>
      </c>
      <c r="B4575" t="str">
        <f>"04/09/1998 00:00"</f>
        <v>04/09/1998 00:00</v>
      </c>
      <c r="C4575">
        <v>0.53500000000000003</v>
      </c>
      <c r="D4575" t="s">
        <v>7</v>
      </c>
      <c r="E4575" s="2" t="s">
        <v>12</v>
      </c>
      <c r="F4575">
        <f t="shared" si="71"/>
        <v>1.0609050000000002</v>
      </c>
      <c r="G4575" t="s">
        <v>16</v>
      </c>
      <c r="I4575" t="s">
        <v>8</v>
      </c>
      <c r="J4575" t="str">
        <f>"04/09/1998 23:00"</f>
        <v>04/09/1998 23:00</v>
      </c>
    </row>
    <row r="4576" spans="1:10" x14ac:dyDescent="0.3">
      <c r="A4576" t="s">
        <v>6</v>
      </c>
      <c r="B4576" t="str">
        <f>"04/10/1998 00:00"</f>
        <v>04/10/1998 00:00</v>
      </c>
      <c r="C4576">
        <v>0.36</v>
      </c>
      <c r="D4576" t="s">
        <v>7</v>
      </c>
      <c r="E4576" s="2" t="s">
        <v>12</v>
      </c>
      <c r="F4576">
        <f t="shared" si="71"/>
        <v>0.71387999999999996</v>
      </c>
      <c r="G4576" t="s">
        <v>16</v>
      </c>
      <c r="I4576" t="s">
        <v>8</v>
      </c>
      <c r="J4576" t="str">
        <f>"04/10/1998 23:00"</f>
        <v>04/10/1998 23:00</v>
      </c>
    </row>
    <row r="4577" spans="1:10" x14ac:dyDescent="0.3">
      <c r="A4577" t="s">
        <v>6</v>
      </c>
      <c r="B4577" t="str">
        <f>"04/11/1998 00:00"</f>
        <v>04/11/1998 00:00</v>
      </c>
      <c r="C4577">
        <v>0.28000000000000003</v>
      </c>
      <c r="D4577" t="s">
        <v>7</v>
      </c>
      <c r="E4577" s="2" t="s">
        <v>12</v>
      </c>
      <c r="F4577">
        <f t="shared" si="71"/>
        <v>0.55524000000000007</v>
      </c>
      <c r="G4577" t="s">
        <v>16</v>
      </c>
      <c r="I4577" t="s">
        <v>34</v>
      </c>
      <c r="J4577" t="str">
        <f>"04/11/1998 23:00"</f>
        <v>04/11/1998 23:00</v>
      </c>
    </row>
    <row r="4578" spans="1:10" x14ac:dyDescent="0.3">
      <c r="A4578" t="s">
        <v>6</v>
      </c>
      <c r="B4578" t="str">
        <f>"04/12/1998 00:00"</f>
        <v>04/12/1998 00:00</v>
      </c>
      <c r="C4578">
        <v>0.28000000000000003</v>
      </c>
      <c r="D4578" t="s">
        <v>7</v>
      </c>
      <c r="E4578" s="2" t="s">
        <v>12</v>
      </c>
      <c r="F4578">
        <f t="shared" si="71"/>
        <v>0.55524000000000007</v>
      </c>
      <c r="G4578" t="s">
        <v>16</v>
      </c>
      <c r="I4578" t="s">
        <v>34</v>
      </c>
      <c r="J4578" t="str">
        <f>"04/12/1998 23:00"</f>
        <v>04/12/1998 23:00</v>
      </c>
    </row>
    <row r="4579" spans="1:10" x14ac:dyDescent="0.3">
      <c r="A4579" t="s">
        <v>6</v>
      </c>
      <c r="B4579" t="str">
        <f>"04/13/1998 00:00"</f>
        <v>04/13/1998 00:00</v>
      </c>
      <c r="C4579">
        <v>0.28000000000000003</v>
      </c>
      <c r="D4579" t="s">
        <v>7</v>
      </c>
      <c r="E4579" s="2" t="s">
        <v>12</v>
      </c>
      <c r="F4579">
        <f t="shared" si="71"/>
        <v>0.55524000000000007</v>
      </c>
      <c r="G4579" t="s">
        <v>16</v>
      </c>
      <c r="I4579" t="s">
        <v>34</v>
      </c>
      <c r="J4579" t="str">
        <f>"04/13/1998 23:00"</f>
        <v>04/13/1998 23:00</v>
      </c>
    </row>
    <row r="4580" spans="1:10" x14ac:dyDescent="0.3">
      <c r="A4580" t="s">
        <v>6</v>
      </c>
      <c r="B4580" t="str">
        <f>"04/14/1998 00:00"</f>
        <v>04/14/1998 00:00</v>
      </c>
      <c r="C4580">
        <v>0.28000000000000003</v>
      </c>
      <c r="D4580" t="s">
        <v>7</v>
      </c>
      <c r="E4580" s="2" t="s">
        <v>12</v>
      </c>
      <c r="F4580">
        <f t="shared" si="71"/>
        <v>0.55524000000000007</v>
      </c>
      <c r="G4580" t="s">
        <v>16</v>
      </c>
      <c r="I4580" t="s">
        <v>34</v>
      </c>
      <c r="J4580" t="str">
        <f>"04/14/1998 23:00"</f>
        <v>04/14/1998 23:00</v>
      </c>
    </row>
    <row r="4581" spans="1:10" x14ac:dyDescent="0.3">
      <c r="A4581" t="s">
        <v>6</v>
      </c>
      <c r="B4581" t="str">
        <f>"04/15/1998 00:00"</f>
        <v>04/15/1998 00:00</v>
      </c>
      <c r="C4581">
        <v>0.59199999999999997</v>
      </c>
      <c r="D4581" t="s">
        <v>7</v>
      </c>
      <c r="E4581" s="2" t="s">
        <v>12</v>
      </c>
      <c r="F4581">
        <f t="shared" si="71"/>
        <v>1.1739360000000001</v>
      </c>
      <c r="G4581" t="s">
        <v>16</v>
      </c>
      <c r="I4581" t="s">
        <v>34</v>
      </c>
      <c r="J4581" t="str">
        <f>"04/15/1998 23:00"</f>
        <v>04/15/1998 23:00</v>
      </c>
    </row>
    <row r="4582" spans="1:10" x14ac:dyDescent="0.3">
      <c r="A4582" t="s">
        <v>6</v>
      </c>
      <c r="B4582" t="str">
        <f>"04/16/1998 00:00"</f>
        <v>04/16/1998 00:00</v>
      </c>
      <c r="C4582">
        <v>0.63</v>
      </c>
      <c r="D4582" t="s">
        <v>7</v>
      </c>
      <c r="E4582" s="2" t="s">
        <v>12</v>
      </c>
      <c r="F4582">
        <f t="shared" si="71"/>
        <v>1.24929</v>
      </c>
      <c r="G4582" t="s">
        <v>16</v>
      </c>
      <c r="I4582" t="s">
        <v>34</v>
      </c>
      <c r="J4582" t="str">
        <f>"04/16/1998 23:00"</f>
        <v>04/16/1998 23:00</v>
      </c>
    </row>
    <row r="4583" spans="1:10" x14ac:dyDescent="0.3">
      <c r="A4583" t="s">
        <v>6</v>
      </c>
      <c r="B4583" t="str">
        <f>"04/17/1998 00:00"</f>
        <v>04/17/1998 00:00</v>
      </c>
      <c r="C4583">
        <v>0.63</v>
      </c>
      <c r="D4583" t="s">
        <v>7</v>
      </c>
      <c r="E4583" s="2" t="s">
        <v>12</v>
      </c>
      <c r="F4583">
        <f t="shared" si="71"/>
        <v>1.24929</v>
      </c>
      <c r="G4583" t="s">
        <v>16</v>
      </c>
      <c r="I4583" t="s">
        <v>34</v>
      </c>
      <c r="J4583" t="str">
        <f>"04/17/1998 23:00"</f>
        <v>04/17/1998 23:00</v>
      </c>
    </row>
    <row r="4584" spans="1:10" x14ac:dyDescent="0.3">
      <c r="A4584" t="s">
        <v>6</v>
      </c>
      <c r="B4584" t="str">
        <f>"04/18/1998 00:00"</f>
        <v>04/18/1998 00:00</v>
      </c>
      <c r="C4584">
        <v>0.63</v>
      </c>
      <c r="D4584" t="s">
        <v>7</v>
      </c>
      <c r="E4584" s="2" t="s">
        <v>12</v>
      </c>
      <c r="F4584">
        <f t="shared" si="71"/>
        <v>1.24929</v>
      </c>
      <c r="G4584" t="s">
        <v>16</v>
      </c>
      <c r="I4584" t="s">
        <v>34</v>
      </c>
      <c r="J4584" t="str">
        <f>"04/18/1998 23:00"</f>
        <v>04/18/1998 23:00</v>
      </c>
    </row>
    <row r="4585" spans="1:10" x14ac:dyDescent="0.3">
      <c r="A4585" t="s">
        <v>6</v>
      </c>
      <c r="B4585" t="str">
        <f>"04/19/1998 00:00"</f>
        <v>04/19/1998 00:00</v>
      </c>
      <c r="C4585">
        <v>0.57499999999999996</v>
      </c>
      <c r="D4585" t="s">
        <v>7</v>
      </c>
      <c r="E4585" s="2" t="s">
        <v>12</v>
      </c>
      <c r="F4585">
        <f t="shared" si="71"/>
        <v>1.140225</v>
      </c>
      <c r="G4585" t="s">
        <v>16</v>
      </c>
      <c r="I4585" t="s">
        <v>34</v>
      </c>
      <c r="J4585" t="str">
        <f>"04/19/1998 23:00"</f>
        <v>04/19/1998 23:00</v>
      </c>
    </row>
    <row r="4586" spans="1:10" x14ac:dyDescent="0.3">
      <c r="A4586" t="s">
        <v>6</v>
      </c>
      <c r="B4586" t="str">
        <f>"04/20/1998 00:00"</f>
        <v>04/20/1998 00:00</v>
      </c>
      <c r="C4586">
        <v>0.46400000000000002</v>
      </c>
      <c r="D4586" t="s">
        <v>7</v>
      </c>
      <c r="E4586" s="2" t="s">
        <v>12</v>
      </c>
      <c r="F4586">
        <f t="shared" si="71"/>
        <v>0.92011200000000004</v>
      </c>
      <c r="G4586" t="s">
        <v>16</v>
      </c>
      <c r="I4586" t="s">
        <v>34</v>
      </c>
      <c r="J4586" t="str">
        <f>"04/20/1998 23:00"</f>
        <v>04/20/1998 23:00</v>
      </c>
    </row>
    <row r="4587" spans="1:10" x14ac:dyDescent="0.3">
      <c r="A4587" t="s">
        <v>6</v>
      </c>
      <c r="B4587" t="str">
        <f>"04/21/1998 00:00"</f>
        <v>04/21/1998 00:00</v>
      </c>
      <c r="C4587">
        <v>0.503</v>
      </c>
      <c r="D4587" t="s">
        <v>7</v>
      </c>
      <c r="E4587" s="2" t="s">
        <v>12</v>
      </c>
      <c r="F4587">
        <f t="shared" si="71"/>
        <v>0.99744900000000003</v>
      </c>
      <c r="G4587" t="s">
        <v>16</v>
      </c>
      <c r="I4587" t="s">
        <v>34</v>
      </c>
      <c r="J4587" t="str">
        <f>"04/21/1998 23:00"</f>
        <v>04/21/1998 23:00</v>
      </c>
    </row>
    <row r="4588" spans="1:10" x14ac:dyDescent="0.3">
      <c r="A4588" t="s">
        <v>6</v>
      </c>
      <c r="B4588" t="str">
        <f>"04/22/1998 00:00"</f>
        <v>04/22/1998 00:00</v>
      </c>
      <c r="C4588">
        <v>0.44</v>
      </c>
      <c r="D4588" t="s">
        <v>7</v>
      </c>
      <c r="E4588" s="2" t="s">
        <v>12</v>
      </c>
      <c r="F4588">
        <f t="shared" si="71"/>
        <v>0.87252000000000007</v>
      </c>
      <c r="G4588" t="s">
        <v>16</v>
      </c>
      <c r="I4588" t="s">
        <v>34</v>
      </c>
      <c r="J4588" t="str">
        <f>"04/22/1998 23:00"</f>
        <v>04/22/1998 23:00</v>
      </c>
    </row>
    <row r="4589" spans="1:10" x14ac:dyDescent="0.3">
      <c r="A4589" t="s">
        <v>6</v>
      </c>
      <c r="B4589" t="str">
        <f>"04/23/1998 00:00"</f>
        <v>04/23/1998 00:00</v>
      </c>
      <c r="C4589">
        <v>0.3</v>
      </c>
      <c r="D4589" t="s">
        <v>7</v>
      </c>
      <c r="E4589" s="2" t="s">
        <v>12</v>
      </c>
      <c r="F4589">
        <f t="shared" si="71"/>
        <v>0.59489999999999998</v>
      </c>
      <c r="G4589" t="s">
        <v>16</v>
      </c>
      <c r="I4589" t="s">
        <v>34</v>
      </c>
      <c r="J4589" t="str">
        <f>"04/23/1998 23:00"</f>
        <v>04/23/1998 23:00</v>
      </c>
    </row>
    <row r="4590" spans="1:10" x14ac:dyDescent="0.3">
      <c r="A4590" t="s">
        <v>6</v>
      </c>
      <c r="B4590" t="str">
        <f>"04/24/1998 00:00"</f>
        <v>04/24/1998 00:00</v>
      </c>
      <c r="C4590">
        <v>0.28000000000000003</v>
      </c>
      <c r="D4590" t="s">
        <v>7</v>
      </c>
      <c r="E4590" s="2" t="s">
        <v>12</v>
      </c>
      <c r="F4590">
        <f t="shared" si="71"/>
        <v>0.55524000000000007</v>
      </c>
      <c r="G4590" t="s">
        <v>16</v>
      </c>
      <c r="I4590" t="s">
        <v>34</v>
      </c>
      <c r="J4590" t="str">
        <f>"04/24/1998 23:00"</f>
        <v>04/24/1998 23:00</v>
      </c>
    </row>
    <row r="4591" spans="1:10" x14ac:dyDescent="0.3">
      <c r="A4591" t="s">
        <v>6</v>
      </c>
      <c r="B4591" t="str">
        <f>"04/25/1998 00:00"</f>
        <v>04/25/1998 00:00</v>
      </c>
      <c r="C4591">
        <v>0.28699999999999998</v>
      </c>
      <c r="D4591" t="s">
        <v>7</v>
      </c>
      <c r="E4591" s="2" t="s">
        <v>12</v>
      </c>
      <c r="F4591">
        <f t="shared" si="71"/>
        <v>0.56912099999999999</v>
      </c>
      <c r="G4591" t="s">
        <v>16</v>
      </c>
      <c r="I4591" t="s">
        <v>34</v>
      </c>
      <c r="J4591" t="str">
        <f>"04/25/1998 23:00"</f>
        <v>04/25/1998 23:00</v>
      </c>
    </row>
    <row r="4592" spans="1:10" x14ac:dyDescent="0.3">
      <c r="A4592" t="s">
        <v>6</v>
      </c>
      <c r="B4592" t="str">
        <f>"04/26/1998 00:00"</f>
        <v>04/26/1998 00:00</v>
      </c>
      <c r="C4592">
        <v>0.44</v>
      </c>
      <c r="D4592" t="s">
        <v>7</v>
      </c>
      <c r="E4592" s="2" t="s">
        <v>12</v>
      </c>
      <c r="F4592">
        <f t="shared" si="71"/>
        <v>0.87252000000000007</v>
      </c>
      <c r="G4592" t="s">
        <v>16</v>
      </c>
      <c r="I4592" t="s">
        <v>34</v>
      </c>
      <c r="J4592" t="str">
        <f>"04/26/1998 23:00"</f>
        <v>04/26/1998 23:00</v>
      </c>
    </row>
    <row r="4593" spans="1:10" x14ac:dyDescent="0.3">
      <c r="A4593" t="s">
        <v>6</v>
      </c>
      <c r="B4593" t="str">
        <f>"04/27/1998 00:00"</f>
        <v>04/27/1998 00:00</v>
      </c>
      <c r="C4593">
        <v>0.51100000000000001</v>
      </c>
      <c r="D4593" t="s">
        <v>7</v>
      </c>
      <c r="E4593" s="2" t="s">
        <v>12</v>
      </c>
      <c r="F4593">
        <f t="shared" si="71"/>
        <v>1.0133130000000001</v>
      </c>
      <c r="G4593" t="s">
        <v>16</v>
      </c>
      <c r="I4593" t="s">
        <v>34</v>
      </c>
      <c r="J4593" t="str">
        <f>"04/27/1998 23:00"</f>
        <v>04/27/1998 23:00</v>
      </c>
    </row>
    <row r="4594" spans="1:10" x14ac:dyDescent="0.3">
      <c r="A4594" t="s">
        <v>6</v>
      </c>
      <c r="B4594" t="str">
        <f>"04/28/1998 00:00"</f>
        <v>04/28/1998 00:00</v>
      </c>
      <c r="C4594">
        <v>0.44</v>
      </c>
      <c r="D4594" t="s">
        <v>7</v>
      </c>
      <c r="E4594" s="2" t="s">
        <v>12</v>
      </c>
      <c r="F4594">
        <f t="shared" si="71"/>
        <v>0.87252000000000007</v>
      </c>
      <c r="G4594" t="s">
        <v>16</v>
      </c>
      <c r="I4594" t="s">
        <v>34</v>
      </c>
      <c r="J4594" t="str">
        <f>"04/28/1998 23:00"</f>
        <v>04/28/1998 23:00</v>
      </c>
    </row>
    <row r="4595" spans="1:10" x14ac:dyDescent="0.3">
      <c r="A4595" t="s">
        <v>6</v>
      </c>
      <c r="B4595" t="str">
        <f>"04/29/1998 00:00"</f>
        <v>04/29/1998 00:00</v>
      </c>
      <c r="C4595">
        <v>0.48799999999999999</v>
      </c>
      <c r="D4595" t="s">
        <v>7</v>
      </c>
      <c r="E4595" s="2" t="s">
        <v>12</v>
      </c>
      <c r="F4595">
        <f t="shared" si="71"/>
        <v>0.96770400000000001</v>
      </c>
      <c r="G4595" t="s">
        <v>16</v>
      </c>
      <c r="I4595" t="s">
        <v>34</v>
      </c>
      <c r="J4595" t="str">
        <f>"04/29/1998 23:00"</f>
        <v>04/29/1998 23:00</v>
      </c>
    </row>
    <row r="4596" spans="1:10" x14ac:dyDescent="0.3">
      <c r="A4596" t="s">
        <v>6</v>
      </c>
      <c r="B4596" t="str">
        <f>"04/30/1998 00:00"</f>
        <v>04/30/1998 00:00</v>
      </c>
      <c r="C4596">
        <v>0.44</v>
      </c>
      <c r="D4596" t="s">
        <v>7</v>
      </c>
      <c r="E4596" s="2" t="s">
        <v>12</v>
      </c>
      <c r="F4596">
        <f t="shared" si="71"/>
        <v>0.87252000000000007</v>
      </c>
      <c r="G4596" t="s">
        <v>16</v>
      </c>
      <c r="I4596" t="s">
        <v>34</v>
      </c>
      <c r="J4596" t="str">
        <f>"04/30/1998 23:00"</f>
        <v>04/30/1998 23:00</v>
      </c>
    </row>
    <row r="4597" spans="1:10" x14ac:dyDescent="0.3">
      <c r="A4597" t="s">
        <v>6</v>
      </c>
      <c r="B4597" t="str">
        <f>"05/01/1998 00:00"</f>
        <v>05/01/1998 00:00</v>
      </c>
      <c r="C4597">
        <v>0.34699999999999998</v>
      </c>
      <c r="D4597" t="s">
        <v>7</v>
      </c>
      <c r="E4597" s="2" t="s">
        <v>12</v>
      </c>
      <c r="F4597">
        <f t="shared" si="71"/>
        <v>0.68810099999999996</v>
      </c>
      <c r="G4597" t="s">
        <v>16</v>
      </c>
      <c r="I4597" t="s">
        <v>34</v>
      </c>
      <c r="J4597" t="str">
        <f>"05/01/1998 23:00"</f>
        <v>05/01/1998 23:00</v>
      </c>
    </row>
    <row r="4598" spans="1:10" x14ac:dyDescent="0.3">
      <c r="A4598" t="s">
        <v>6</v>
      </c>
      <c r="B4598" t="str">
        <f>"05/02/1998 00:00"</f>
        <v>05/02/1998 00:00</v>
      </c>
      <c r="C4598">
        <v>0.38</v>
      </c>
      <c r="D4598" t="s">
        <v>7</v>
      </c>
      <c r="E4598" s="2" t="s">
        <v>12</v>
      </c>
      <c r="F4598">
        <f t="shared" si="71"/>
        <v>0.7535400000000001</v>
      </c>
      <c r="G4598" t="s">
        <v>16</v>
      </c>
      <c r="I4598" t="s">
        <v>34</v>
      </c>
      <c r="J4598" t="str">
        <f>"05/02/1998 23:00"</f>
        <v>05/02/1998 23:00</v>
      </c>
    </row>
    <row r="4599" spans="1:10" x14ac:dyDescent="0.3">
      <c r="A4599" t="s">
        <v>6</v>
      </c>
      <c r="B4599" t="str">
        <f>"05/03/1998 00:00"</f>
        <v>05/03/1998 00:00</v>
      </c>
      <c r="C4599">
        <v>0.35299999999999998</v>
      </c>
      <c r="D4599" t="s">
        <v>7</v>
      </c>
      <c r="E4599" s="2" t="s">
        <v>12</v>
      </c>
      <c r="F4599">
        <f t="shared" si="71"/>
        <v>0.69999900000000004</v>
      </c>
      <c r="G4599" t="s">
        <v>16</v>
      </c>
      <c r="I4599" t="s">
        <v>34</v>
      </c>
      <c r="J4599" t="str">
        <f>"05/03/1998 23:00"</f>
        <v>05/03/1998 23:00</v>
      </c>
    </row>
    <row r="4600" spans="1:10" x14ac:dyDescent="0.3">
      <c r="A4600" t="s">
        <v>6</v>
      </c>
      <c r="B4600" t="str">
        <f>"05/04/1998 00:00"</f>
        <v>05/04/1998 00:00</v>
      </c>
      <c r="C4600">
        <v>0.36699999999999999</v>
      </c>
      <c r="D4600" t="s">
        <v>7</v>
      </c>
      <c r="E4600" s="2" t="s">
        <v>12</v>
      </c>
      <c r="F4600">
        <f t="shared" si="71"/>
        <v>0.72776099999999999</v>
      </c>
      <c r="G4600" t="s">
        <v>16</v>
      </c>
      <c r="I4600" t="s">
        <v>34</v>
      </c>
      <c r="J4600" t="str">
        <f>"05/04/1998 23:00"</f>
        <v>05/04/1998 23:00</v>
      </c>
    </row>
    <row r="4601" spans="1:10" x14ac:dyDescent="0.3">
      <c r="A4601" t="s">
        <v>6</v>
      </c>
      <c r="B4601" t="str">
        <f>"05/05/1998 00:00"</f>
        <v>05/05/1998 00:00</v>
      </c>
      <c r="C4601">
        <v>0.32700000000000001</v>
      </c>
      <c r="D4601" t="s">
        <v>7</v>
      </c>
      <c r="E4601" s="2" t="s">
        <v>12</v>
      </c>
      <c r="F4601">
        <f t="shared" si="71"/>
        <v>0.64844100000000005</v>
      </c>
      <c r="G4601" t="s">
        <v>16</v>
      </c>
      <c r="I4601" t="s">
        <v>34</v>
      </c>
      <c r="J4601" t="str">
        <f>"05/05/1998 23:00"</f>
        <v>05/05/1998 23:00</v>
      </c>
    </row>
    <row r="4602" spans="1:10" x14ac:dyDescent="0.3">
      <c r="A4602" t="s">
        <v>6</v>
      </c>
      <c r="B4602" t="str">
        <f>"05/06/1998 00:00"</f>
        <v>05/06/1998 00:00</v>
      </c>
      <c r="C4602">
        <v>0.28000000000000003</v>
      </c>
      <c r="D4602" t="s">
        <v>7</v>
      </c>
      <c r="E4602" s="2" t="s">
        <v>12</v>
      </c>
      <c r="F4602">
        <f t="shared" si="71"/>
        <v>0.55524000000000007</v>
      </c>
      <c r="G4602" t="s">
        <v>16</v>
      </c>
      <c r="I4602" t="s">
        <v>34</v>
      </c>
      <c r="J4602" t="str">
        <f>"05/06/1998 23:00"</f>
        <v>05/06/1998 23:00</v>
      </c>
    </row>
    <row r="4603" spans="1:10" x14ac:dyDescent="0.3">
      <c r="A4603" t="s">
        <v>6</v>
      </c>
      <c r="B4603" t="str">
        <f>"05/07/1998 00:00"</f>
        <v>05/07/1998 00:00</v>
      </c>
      <c r="C4603">
        <v>0.28000000000000003</v>
      </c>
      <c r="D4603" t="s">
        <v>7</v>
      </c>
      <c r="E4603" s="2" t="s">
        <v>12</v>
      </c>
      <c r="F4603">
        <f t="shared" si="71"/>
        <v>0.55524000000000007</v>
      </c>
      <c r="G4603" t="s">
        <v>16</v>
      </c>
      <c r="I4603" t="s">
        <v>34</v>
      </c>
      <c r="J4603" t="str">
        <f>"05/07/1998 23:00"</f>
        <v>05/07/1998 23:00</v>
      </c>
    </row>
    <row r="4604" spans="1:10" x14ac:dyDescent="0.3">
      <c r="A4604" t="s">
        <v>6</v>
      </c>
      <c r="B4604" t="str">
        <f>"05/08/1998 00:00"</f>
        <v>05/08/1998 00:00</v>
      </c>
      <c r="C4604">
        <v>0.32</v>
      </c>
      <c r="D4604" t="s">
        <v>7</v>
      </c>
      <c r="E4604" s="2" t="s">
        <v>12</v>
      </c>
      <c r="F4604">
        <f t="shared" si="71"/>
        <v>0.63456000000000001</v>
      </c>
      <c r="G4604" t="s">
        <v>16</v>
      </c>
      <c r="I4604" t="s">
        <v>34</v>
      </c>
      <c r="J4604" t="str">
        <f>"05/08/1998 23:00"</f>
        <v>05/08/1998 23:00</v>
      </c>
    </row>
    <row r="4605" spans="1:10" x14ac:dyDescent="0.3">
      <c r="A4605" t="s">
        <v>6</v>
      </c>
      <c r="B4605" t="str">
        <f>"05/09/1998 00:00"</f>
        <v>05/09/1998 00:00</v>
      </c>
      <c r="C4605">
        <v>0.307</v>
      </c>
      <c r="D4605" t="s">
        <v>7</v>
      </c>
      <c r="E4605" s="2" t="s">
        <v>12</v>
      </c>
      <c r="F4605">
        <f t="shared" si="71"/>
        <v>0.60878100000000002</v>
      </c>
      <c r="G4605" t="s">
        <v>16</v>
      </c>
      <c r="I4605" t="s">
        <v>34</v>
      </c>
      <c r="J4605" t="str">
        <f>"05/09/1998 23:00"</f>
        <v>05/09/1998 23:00</v>
      </c>
    </row>
    <row r="4606" spans="1:10" x14ac:dyDescent="0.3">
      <c r="A4606" t="s">
        <v>6</v>
      </c>
      <c r="B4606" t="str">
        <f>"05/10/1998 00:00"</f>
        <v>05/10/1998 00:00</v>
      </c>
      <c r="C4606">
        <v>0.28000000000000003</v>
      </c>
      <c r="D4606" t="s">
        <v>7</v>
      </c>
      <c r="E4606" s="2" t="s">
        <v>12</v>
      </c>
      <c r="F4606">
        <f t="shared" si="71"/>
        <v>0.55524000000000007</v>
      </c>
      <c r="G4606" t="s">
        <v>16</v>
      </c>
      <c r="I4606" t="s">
        <v>34</v>
      </c>
      <c r="J4606" t="str">
        <f>"05/10/1998 23:00"</f>
        <v>05/10/1998 23:00</v>
      </c>
    </row>
    <row r="4607" spans="1:10" x14ac:dyDescent="0.3">
      <c r="A4607" t="s">
        <v>6</v>
      </c>
      <c r="B4607" t="str">
        <f>"05/11/1998 00:00"</f>
        <v>05/11/1998 00:00</v>
      </c>
      <c r="C4607">
        <v>0.28000000000000003</v>
      </c>
      <c r="D4607" t="s">
        <v>7</v>
      </c>
      <c r="E4607" s="2" t="s">
        <v>12</v>
      </c>
      <c r="F4607">
        <f t="shared" si="71"/>
        <v>0.55524000000000007</v>
      </c>
      <c r="G4607" t="s">
        <v>16</v>
      </c>
      <c r="I4607" t="s">
        <v>34</v>
      </c>
      <c r="J4607" t="str">
        <f>"05/11/1998 23:00"</f>
        <v>05/11/1998 23:00</v>
      </c>
    </row>
    <row r="4608" spans="1:10" x14ac:dyDescent="0.3">
      <c r="A4608" t="s">
        <v>6</v>
      </c>
      <c r="B4608" t="str">
        <f>"05/12/1998 00:00"</f>
        <v>05/12/1998 00:00</v>
      </c>
      <c r="C4608">
        <v>0.28000000000000003</v>
      </c>
      <c r="D4608" t="s">
        <v>7</v>
      </c>
      <c r="E4608" s="2" t="s">
        <v>12</v>
      </c>
      <c r="F4608">
        <f t="shared" si="71"/>
        <v>0.55524000000000007</v>
      </c>
      <c r="G4608" t="s">
        <v>16</v>
      </c>
      <c r="I4608" t="s">
        <v>34</v>
      </c>
      <c r="J4608" t="str">
        <f>"05/12/1998 23:00"</f>
        <v>05/12/1998 23:00</v>
      </c>
    </row>
    <row r="4609" spans="1:10" x14ac:dyDescent="0.3">
      <c r="A4609" t="s">
        <v>6</v>
      </c>
      <c r="B4609" t="str">
        <f>"05/13/1998 00:00"</f>
        <v>05/13/1998 00:00</v>
      </c>
      <c r="C4609">
        <v>0.28000000000000003</v>
      </c>
      <c r="D4609" t="s">
        <v>7</v>
      </c>
      <c r="E4609" s="2" t="s">
        <v>12</v>
      </c>
      <c r="F4609">
        <f t="shared" si="71"/>
        <v>0.55524000000000007</v>
      </c>
      <c r="G4609" t="s">
        <v>16</v>
      </c>
      <c r="I4609" t="s">
        <v>34</v>
      </c>
      <c r="J4609" t="str">
        <f>"05/13/1998 23:00"</f>
        <v>05/13/1998 23:00</v>
      </c>
    </row>
    <row r="4610" spans="1:10" x14ac:dyDescent="0.3">
      <c r="A4610" t="s">
        <v>6</v>
      </c>
      <c r="B4610" t="str">
        <f>"05/14/1998 00:00"</f>
        <v>05/14/1998 00:00</v>
      </c>
      <c r="C4610">
        <v>0.28000000000000003</v>
      </c>
      <c r="D4610" t="s">
        <v>7</v>
      </c>
      <c r="E4610" s="2" t="s">
        <v>12</v>
      </c>
      <c r="F4610">
        <f t="shared" si="71"/>
        <v>0.55524000000000007</v>
      </c>
      <c r="G4610" t="s">
        <v>16</v>
      </c>
      <c r="I4610" t="s">
        <v>34</v>
      </c>
      <c r="J4610" t="str">
        <f>"05/14/1998 23:00"</f>
        <v>05/14/1998 23:00</v>
      </c>
    </row>
    <row r="4611" spans="1:10" x14ac:dyDescent="0.3">
      <c r="A4611" t="s">
        <v>6</v>
      </c>
      <c r="B4611" t="str">
        <f>"05/15/1998 00:00"</f>
        <v>05/15/1998 00:00</v>
      </c>
      <c r="C4611">
        <v>0.373</v>
      </c>
      <c r="D4611" t="s">
        <v>7</v>
      </c>
      <c r="E4611" s="2" t="s">
        <v>12</v>
      </c>
      <c r="F4611">
        <f t="shared" ref="F4611:F4674" si="72">C4611*1.983</f>
        <v>0.73965900000000007</v>
      </c>
      <c r="G4611" t="s">
        <v>16</v>
      </c>
      <c r="I4611" t="s">
        <v>34</v>
      </c>
      <c r="J4611" t="str">
        <f>"05/15/1998 23:00"</f>
        <v>05/15/1998 23:00</v>
      </c>
    </row>
    <row r="4612" spans="1:10" x14ac:dyDescent="0.3">
      <c r="A4612" t="s">
        <v>6</v>
      </c>
      <c r="B4612" t="str">
        <f>"05/16/1998 00:00"</f>
        <v>05/16/1998 00:00</v>
      </c>
      <c r="C4612">
        <v>0.39300000000000002</v>
      </c>
      <c r="D4612" t="s">
        <v>7</v>
      </c>
      <c r="E4612" s="2" t="s">
        <v>12</v>
      </c>
      <c r="F4612">
        <f t="shared" si="72"/>
        <v>0.77931900000000009</v>
      </c>
      <c r="G4612" t="s">
        <v>16</v>
      </c>
      <c r="I4612" t="s">
        <v>34</v>
      </c>
      <c r="J4612" t="str">
        <f>"05/16/1998 23:00"</f>
        <v>05/16/1998 23:00</v>
      </c>
    </row>
    <row r="4613" spans="1:10" x14ac:dyDescent="0.3">
      <c r="A4613" t="s">
        <v>6</v>
      </c>
      <c r="B4613" t="str">
        <f>"05/17/1998 00:00"</f>
        <v>05/17/1998 00:00</v>
      </c>
      <c r="C4613">
        <v>0.29299999999999998</v>
      </c>
      <c r="D4613" t="s">
        <v>7</v>
      </c>
      <c r="E4613" s="2" t="s">
        <v>12</v>
      </c>
      <c r="F4613">
        <f t="shared" si="72"/>
        <v>0.58101899999999995</v>
      </c>
      <c r="G4613" t="s">
        <v>16</v>
      </c>
      <c r="I4613" t="s">
        <v>34</v>
      </c>
      <c r="J4613" t="str">
        <f>"05/17/1998 23:00"</f>
        <v>05/17/1998 23:00</v>
      </c>
    </row>
    <row r="4614" spans="1:10" x14ac:dyDescent="0.3">
      <c r="A4614" t="s">
        <v>6</v>
      </c>
      <c r="B4614" t="str">
        <f>"05/18/1998 00:00"</f>
        <v>05/18/1998 00:00</v>
      </c>
      <c r="C4614">
        <v>0.28000000000000003</v>
      </c>
      <c r="D4614" t="s">
        <v>7</v>
      </c>
      <c r="E4614" s="2" t="s">
        <v>12</v>
      </c>
      <c r="F4614">
        <f t="shared" si="72"/>
        <v>0.55524000000000007</v>
      </c>
      <c r="G4614" t="s">
        <v>16</v>
      </c>
      <c r="I4614" t="s">
        <v>34</v>
      </c>
      <c r="J4614" t="str">
        <f>"05/18/1998 23:00"</f>
        <v>05/18/1998 23:00</v>
      </c>
    </row>
    <row r="4615" spans="1:10" x14ac:dyDescent="0.3">
      <c r="A4615" t="s">
        <v>6</v>
      </c>
      <c r="B4615" t="str">
        <f>"05/19/1998 00:00"</f>
        <v>05/19/1998 00:00</v>
      </c>
      <c r="C4615">
        <v>0.28000000000000003</v>
      </c>
      <c r="D4615" t="s">
        <v>7</v>
      </c>
      <c r="E4615" s="2" t="s">
        <v>12</v>
      </c>
      <c r="F4615">
        <f t="shared" si="72"/>
        <v>0.55524000000000007</v>
      </c>
      <c r="G4615" t="s">
        <v>16</v>
      </c>
      <c r="I4615" t="s">
        <v>34</v>
      </c>
      <c r="J4615" t="str">
        <f>"05/19/1998 23:00"</f>
        <v>05/19/1998 23:00</v>
      </c>
    </row>
    <row r="4616" spans="1:10" x14ac:dyDescent="0.3">
      <c r="A4616" t="s">
        <v>6</v>
      </c>
      <c r="B4616" t="str">
        <f>"05/20/1998 00:00"</f>
        <v>05/20/1998 00:00</v>
      </c>
      <c r="C4616">
        <v>0.28000000000000003</v>
      </c>
      <c r="D4616" t="s">
        <v>7</v>
      </c>
      <c r="E4616" s="2" t="s">
        <v>12</v>
      </c>
      <c r="F4616">
        <f t="shared" si="72"/>
        <v>0.55524000000000007</v>
      </c>
      <c r="G4616" t="s">
        <v>16</v>
      </c>
      <c r="I4616" t="s">
        <v>34</v>
      </c>
      <c r="J4616" t="str">
        <f>"05/20/1998 23:00"</f>
        <v>05/20/1998 23:00</v>
      </c>
    </row>
    <row r="4617" spans="1:10" x14ac:dyDescent="0.3">
      <c r="A4617" t="s">
        <v>6</v>
      </c>
      <c r="B4617" t="str">
        <f>"05/21/1998 00:00"</f>
        <v>05/21/1998 00:00</v>
      </c>
      <c r="C4617">
        <v>0.28000000000000003</v>
      </c>
      <c r="D4617" t="s">
        <v>7</v>
      </c>
      <c r="E4617" s="2" t="s">
        <v>12</v>
      </c>
      <c r="F4617">
        <f t="shared" si="72"/>
        <v>0.55524000000000007</v>
      </c>
      <c r="G4617" t="s">
        <v>16</v>
      </c>
      <c r="I4617" t="s">
        <v>34</v>
      </c>
      <c r="J4617" t="str">
        <f>"05/21/1998 23:00"</f>
        <v>05/21/1998 23:00</v>
      </c>
    </row>
    <row r="4618" spans="1:10" x14ac:dyDescent="0.3">
      <c r="A4618" t="s">
        <v>6</v>
      </c>
      <c r="B4618" t="str">
        <f>"05/22/1998 00:00"</f>
        <v>05/22/1998 00:00</v>
      </c>
      <c r="C4618">
        <v>0.28000000000000003</v>
      </c>
      <c r="D4618" t="s">
        <v>7</v>
      </c>
      <c r="E4618" s="2" t="s">
        <v>12</v>
      </c>
      <c r="F4618">
        <f t="shared" si="72"/>
        <v>0.55524000000000007</v>
      </c>
      <c r="G4618" t="s">
        <v>16</v>
      </c>
      <c r="I4618" t="s">
        <v>34</v>
      </c>
      <c r="J4618" t="str">
        <f>"05/22/1998 23:00"</f>
        <v>05/22/1998 23:00</v>
      </c>
    </row>
    <row r="4619" spans="1:10" x14ac:dyDescent="0.3">
      <c r="A4619" t="s">
        <v>6</v>
      </c>
      <c r="B4619" t="str">
        <f>"05/23/1998 00:00"</f>
        <v>05/23/1998 00:00</v>
      </c>
      <c r="C4619">
        <v>0.28000000000000003</v>
      </c>
      <c r="D4619" t="s">
        <v>7</v>
      </c>
      <c r="E4619" s="2" t="s">
        <v>12</v>
      </c>
      <c r="F4619">
        <f t="shared" si="72"/>
        <v>0.55524000000000007</v>
      </c>
      <c r="G4619" t="s">
        <v>16</v>
      </c>
      <c r="I4619" t="s">
        <v>34</v>
      </c>
      <c r="J4619" t="str">
        <f>"05/23/1998 23:00"</f>
        <v>05/23/1998 23:00</v>
      </c>
    </row>
    <row r="4620" spans="1:10" x14ac:dyDescent="0.3">
      <c r="A4620" t="s">
        <v>6</v>
      </c>
      <c r="B4620" t="str">
        <f>"05/24/1998 00:00"</f>
        <v>05/24/1998 00:00</v>
      </c>
      <c r="C4620">
        <v>0.28000000000000003</v>
      </c>
      <c r="D4620" t="s">
        <v>7</v>
      </c>
      <c r="E4620" s="2" t="s">
        <v>12</v>
      </c>
      <c r="F4620">
        <f t="shared" si="72"/>
        <v>0.55524000000000007</v>
      </c>
      <c r="G4620" t="s">
        <v>16</v>
      </c>
      <c r="I4620" t="s">
        <v>34</v>
      </c>
      <c r="J4620" t="str">
        <f>"05/24/1998 23:00"</f>
        <v>05/24/1998 23:00</v>
      </c>
    </row>
    <row r="4621" spans="1:10" x14ac:dyDescent="0.3">
      <c r="A4621" t="s">
        <v>6</v>
      </c>
      <c r="B4621" t="str">
        <f>"05/25/1998 00:00"</f>
        <v>05/25/1998 00:00</v>
      </c>
      <c r="C4621">
        <v>0.28699999999999998</v>
      </c>
      <c r="D4621" t="s">
        <v>7</v>
      </c>
      <c r="E4621" s="2" t="s">
        <v>12</v>
      </c>
      <c r="F4621">
        <f t="shared" si="72"/>
        <v>0.56912099999999999</v>
      </c>
      <c r="G4621" t="s">
        <v>16</v>
      </c>
      <c r="I4621" t="s">
        <v>34</v>
      </c>
      <c r="J4621" t="str">
        <f>"05/25/1998 23:00"</f>
        <v>05/25/1998 23:00</v>
      </c>
    </row>
    <row r="4622" spans="1:10" x14ac:dyDescent="0.3">
      <c r="A4622" t="s">
        <v>6</v>
      </c>
      <c r="B4622" t="str">
        <f>"05/26/1998 00:00"</f>
        <v>05/26/1998 00:00</v>
      </c>
      <c r="C4622">
        <v>0.28000000000000003</v>
      </c>
      <c r="D4622" t="s">
        <v>7</v>
      </c>
      <c r="E4622" s="2" t="s">
        <v>12</v>
      </c>
      <c r="F4622">
        <f t="shared" si="72"/>
        <v>0.55524000000000007</v>
      </c>
      <c r="G4622" t="s">
        <v>16</v>
      </c>
      <c r="I4622" t="s">
        <v>34</v>
      </c>
      <c r="J4622" t="str">
        <f>"05/26/1998 23:00"</f>
        <v>05/26/1998 23:00</v>
      </c>
    </row>
    <row r="4623" spans="1:10" x14ac:dyDescent="0.3">
      <c r="A4623" t="s">
        <v>6</v>
      </c>
      <c r="B4623" t="str">
        <f>"05/27/1998 00:00"</f>
        <v>05/27/1998 00:00</v>
      </c>
      <c r="C4623">
        <v>0.28000000000000003</v>
      </c>
      <c r="D4623" t="s">
        <v>7</v>
      </c>
      <c r="E4623" s="2" t="s">
        <v>12</v>
      </c>
      <c r="F4623">
        <f t="shared" si="72"/>
        <v>0.55524000000000007</v>
      </c>
      <c r="G4623" t="s">
        <v>16</v>
      </c>
      <c r="I4623" t="s">
        <v>34</v>
      </c>
      <c r="J4623" t="str">
        <f>"05/27/1998 23:00"</f>
        <v>05/27/1998 23:00</v>
      </c>
    </row>
    <row r="4624" spans="1:10" x14ac:dyDescent="0.3">
      <c r="A4624" t="s">
        <v>6</v>
      </c>
      <c r="B4624" t="str">
        <f>"05/28/1998 00:00"</f>
        <v>05/28/1998 00:00</v>
      </c>
      <c r="C4624">
        <v>0.28000000000000003</v>
      </c>
      <c r="D4624" t="s">
        <v>7</v>
      </c>
      <c r="E4624" s="2" t="s">
        <v>12</v>
      </c>
      <c r="F4624">
        <f t="shared" si="72"/>
        <v>0.55524000000000007</v>
      </c>
      <c r="G4624" t="s">
        <v>16</v>
      </c>
      <c r="I4624" t="s">
        <v>34</v>
      </c>
      <c r="J4624" t="str">
        <f>"05/28/1998 23:00"</f>
        <v>05/28/1998 23:00</v>
      </c>
    </row>
    <row r="4625" spans="1:10" x14ac:dyDescent="0.3">
      <c r="A4625" t="s">
        <v>6</v>
      </c>
      <c r="B4625" t="str">
        <f>"05/29/1998 00:00"</f>
        <v>05/29/1998 00:00</v>
      </c>
      <c r="C4625">
        <v>0.28000000000000003</v>
      </c>
      <c r="D4625" t="s">
        <v>7</v>
      </c>
      <c r="E4625" s="2" t="s">
        <v>12</v>
      </c>
      <c r="F4625">
        <f t="shared" si="72"/>
        <v>0.55524000000000007</v>
      </c>
      <c r="G4625" t="s">
        <v>16</v>
      </c>
      <c r="I4625" t="s">
        <v>34</v>
      </c>
      <c r="J4625" t="str">
        <f>"05/29/1998 23:00"</f>
        <v>05/29/1998 23:00</v>
      </c>
    </row>
    <row r="4626" spans="1:10" x14ac:dyDescent="0.3">
      <c r="A4626" t="s">
        <v>6</v>
      </c>
      <c r="B4626" t="str">
        <f>"05/30/1998 00:00"</f>
        <v>05/30/1998 00:00</v>
      </c>
      <c r="C4626">
        <v>0.28000000000000003</v>
      </c>
      <c r="D4626" t="s">
        <v>7</v>
      </c>
      <c r="E4626" s="2" t="s">
        <v>12</v>
      </c>
      <c r="F4626">
        <f t="shared" si="72"/>
        <v>0.55524000000000007</v>
      </c>
      <c r="G4626" t="s">
        <v>16</v>
      </c>
      <c r="I4626" t="s">
        <v>34</v>
      </c>
      <c r="J4626" t="str">
        <f>"05/30/1998 23:00"</f>
        <v>05/30/1998 23:00</v>
      </c>
    </row>
    <row r="4627" spans="1:10" x14ac:dyDescent="0.3">
      <c r="A4627" t="s">
        <v>6</v>
      </c>
      <c r="B4627" t="str">
        <f>"05/31/1998 00:00"</f>
        <v>05/31/1998 00:00</v>
      </c>
      <c r="C4627">
        <v>0.28000000000000003</v>
      </c>
      <c r="D4627" t="s">
        <v>7</v>
      </c>
      <c r="E4627" s="2" t="s">
        <v>12</v>
      </c>
      <c r="F4627">
        <f t="shared" si="72"/>
        <v>0.55524000000000007</v>
      </c>
      <c r="G4627" t="s">
        <v>16</v>
      </c>
      <c r="I4627" t="s">
        <v>34</v>
      </c>
      <c r="J4627" t="str">
        <f>"05/31/1998 23:00"</f>
        <v>05/31/1998 23:00</v>
      </c>
    </row>
    <row r="4628" spans="1:10" x14ac:dyDescent="0.3">
      <c r="A4628" t="s">
        <v>6</v>
      </c>
      <c r="B4628" t="str">
        <f>"06/01/1998 00:00"</f>
        <v>06/01/1998 00:00</v>
      </c>
      <c r="C4628">
        <v>0.28000000000000003</v>
      </c>
      <c r="D4628" t="s">
        <v>7</v>
      </c>
      <c r="E4628" s="2" t="s">
        <v>12</v>
      </c>
      <c r="F4628">
        <f t="shared" si="72"/>
        <v>0.55524000000000007</v>
      </c>
      <c r="G4628" t="s">
        <v>16</v>
      </c>
      <c r="I4628" t="s">
        <v>34</v>
      </c>
      <c r="J4628" t="str">
        <f>"06/01/1998 23:00"</f>
        <v>06/01/1998 23:00</v>
      </c>
    </row>
    <row r="4629" spans="1:10" x14ac:dyDescent="0.3">
      <c r="A4629" t="s">
        <v>6</v>
      </c>
      <c r="B4629" t="str">
        <f>"06/02/1998 00:00"</f>
        <v>06/02/1998 00:00</v>
      </c>
      <c r="C4629">
        <v>0.28000000000000003</v>
      </c>
      <c r="D4629" t="s">
        <v>7</v>
      </c>
      <c r="E4629" s="2" t="s">
        <v>12</v>
      </c>
      <c r="F4629">
        <f t="shared" si="72"/>
        <v>0.55524000000000007</v>
      </c>
      <c r="G4629" t="s">
        <v>16</v>
      </c>
      <c r="I4629" t="s">
        <v>34</v>
      </c>
      <c r="J4629" t="str">
        <f>"06/02/1998 23:00"</f>
        <v>06/02/1998 23:00</v>
      </c>
    </row>
    <row r="4630" spans="1:10" x14ac:dyDescent="0.3">
      <c r="A4630" t="s">
        <v>6</v>
      </c>
      <c r="B4630" t="str">
        <f>"06/03/1998 00:00"</f>
        <v>06/03/1998 00:00</v>
      </c>
      <c r="C4630">
        <v>0.28000000000000003</v>
      </c>
      <c r="D4630" t="s">
        <v>7</v>
      </c>
      <c r="E4630" s="2" t="s">
        <v>12</v>
      </c>
      <c r="F4630">
        <f t="shared" si="72"/>
        <v>0.55524000000000007</v>
      </c>
      <c r="G4630" t="s">
        <v>16</v>
      </c>
      <c r="I4630" t="s">
        <v>34</v>
      </c>
      <c r="J4630" t="str">
        <f>"06/03/1998 23:00"</f>
        <v>06/03/1998 23:00</v>
      </c>
    </row>
    <row r="4631" spans="1:10" x14ac:dyDescent="0.3">
      <c r="A4631" t="s">
        <v>6</v>
      </c>
      <c r="B4631" t="str">
        <f>"06/04/1998 00:00"</f>
        <v>06/04/1998 00:00</v>
      </c>
      <c r="C4631">
        <v>0.28000000000000003</v>
      </c>
      <c r="D4631" t="s">
        <v>7</v>
      </c>
      <c r="E4631" s="2" t="s">
        <v>12</v>
      </c>
      <c r="F4631">
        <f t="shared" si="72"/>
        <v>0.55524000000000007</v>
      </c>
      <c r="G4631" t="s">
        <v>16</v>
      </c>
      <c r="I4631" t="s">
        <v>34</v>
      </c>
      <c r="J4631" t="str">
        <f>"06/04/1998 23:00"</f>
        <v>06/04/1998 23:00</v>
      </c>
    </row>
    <row r="4632" spans="1:10" x14ac:dyDescent="0.3">
      <c r="A4632" t="s">
        <v>6</v>
      </c>
      <c r="B4632" t="str">
        <f>"06/05/1998 00:00"</f>
        <v>06/05/1998 00:00</v>
      </c>
      <c r="C4632">
        <v>0.38700000000000001</v>
      </c>
      <c r="D4632" t="s">
        <v>7</v>
      </c>
      <c r="E4632" s="2" t="s">
        <v>12</v>
      </c>
      <c r="F4632">
        <f t="shared" si="72"/>
        <v>0.76742100000000002</v>
      </c>
      <c r="G4632" t="s">
        <v>16</v>
      </c>
      <c r="I4632" t="s">
        <v>34</v>
      </c>
      <c r="J4632" t="str">
        <f>"06/05/1998 23:00"</f>
        <v>06/05/1998 23:00</v>
      </c>
    </row>
    <row r="4633" spans="1:10" x14ac:dyDescent="0.3">
      <c r="A4633" t="s">
        <v>6</v>
      </c>
      <c r="B4633" t="str">
        <f>"06/06/1998 00:00"</f>
        <v>06/06/1998 00:00</v>
      </c>
      <c r="C4633">
        <v>0.495</v>
      </c>
      <c r="D4633" t="s">
        <v>7</v>
      </c>
      <c r="E4633" s="2" t="s">
        <v>12</v>
      </c>
      <c r="F4633">
        <f t="shared" si="72"/>
        <v>0.98158500000000004</v>
      </c>
      <c r="G4633" t="s">
        <v>16</v>
      </c>
      <c r="I4633" t="s">
        <v>34</v>
      </c>
      <c r="J4633" t="str">
        <f>"06/06/1998 23:00"</f>
        <v>06/06/1998 23:00</v>
      </c>
    </row>
    <row r="4634" spans="1:10" x14ac:dyDescent="0.3">
      <c r="A4634" t="s">
        <v>6</v>
      </c>
      <c r="B4634" t="str">
        <f>"06/07/1998 00:00"</f>
        <v>06/07/1998 00:00</v>
      </c>
      <c r="C4634">
        <v>0.40699999999999997</v>
      </c>
      <c r="D4634" t="s">
        <v>7</v>
      </c>
      <c r="E4634" s="2" t="s">
        <v>12</v>
      </c>
      <c r="F4634">
        <f t="shared" si="72"/>
        <v>0.80708099999999994</v>
      </c>
      <c r="G4634" t="s">
        <v>16</v>
      </c>
      <c r="I4634" t="s">
        <v>34</v>
      </c>
      <c r="J4634" t="str">
        <f>"06/07/1998 23:00"</f>
        <v>06/07/1998 23:00</v>
      </c>
    </row>
    <row r="4635" spans="1:10" x14ac:dyDescent="0.3">
      <c r="A4635" t="s">
        <v>6</v>
      </c>
      <c r="B4635" t="str">
        <f>"06/08/1998 00:00"</f>
        <v>06/08/1998 00:00</v>
      </c>
      <c r="C4635">
        <v>0.35299999999999998</v>
      </c>
      <c r="D4635" t="s">
        <v>7</v>
      </c>
      <c r="E4635" s="2" t="s">
        <v>12</v>
      </c>
      <c r="F4635">
        <f t="shared" si="72"/>
        <v>0.69999900000000004</v>
      </c>
      <c r="G4635" t="s">
        <v>16</v>
      </c>
      <c r="I4635" t="s">
        <v>34</v>
      </c>
      <c r="J4635" t="str">
        <f>"06/08/1998 23:00"</f>
        <v>06/08/1998 23:00</v>
      </c>
    </row>
    <row r="4636" spans="1:10" x14ac:dyDescent="0.3">
      <c r="A4636" t="s">
        <v>6</v>
      </c>
      <c r="B4636" t="str">
        <f>"06/09/1998 00:00"</f>
        <v>06/09/1998 00:00</v>
      </c>
      <c r="C4636">
        <v>0.35299999999999998</v>
      </c>
      <c r="D4636" t="s">
        <v>7</v>
      </c>
      <c r="E4636" s="2" t="s">
        <v>12</v>
      </c>
      <c r="F4636">
        <f t="shared" si="72"/>
        <v>0.69999900000000004</v>
      </c>
      <c r="G4636" t="s">
        <v>16</v>
      </c>
      <c r="I4636" t="s">
        <v>34</v>
      </c>
      <c r="J4636" t="str">
        <f>"06/09/1998 23:00"</f>
        <v>06/09/1998 23:00</v>
      </c>
    </row>
    <row r="4637" spans="1:10" x14ac:dyDescent="0.3">
      <c r="A4637" t="s">
        <v>6</v>
      </c>
      <c r="B4637" t="str">
        <f>"06/10/1998 00:00"</f>
        <v>06/10/1998 00:00</v>
      </c>
      <c r="C4637">
        <v>0.44</v>
      </c>
      <c r="D4637" t="s">
        <v>7</v>
      </c>
      <c r="E4637" s="2" t="s">
        <v>12</v>
      </c>
      <c r="F4637">
        <f t="shared" si="72"/>
        <v>0.87252000000000007</v>
      </c>
      <c r="G4637" t="s">
        <v>16</v>
      </c>
      <c r="I4637" t="s">
        <v>34</v>
      </c>
      <c r="J4637" t="str">
        <f>"06/10/1998 23:00"</f>
        <v>06/10/1998 23:00</v>
      </c>
    </row>
    <row r="4638" spans="1:10" x14ac:dyDescent="0.3">
      <c r="A4638" t="s">
        <v>6</v>
      </c>
      <c r="B4638" t="str">
        <f>"06/11/1998 00:00"</f>
        <v>06/11/1998 00:00</v>
      </c>
      <c r="C4638">
        <v>0.433</v>
      </c>
      <c r="D4638" t="s">
        <v>7</v>
      </c>
      <c r="E4638" s="2" t="s">
        <v>12</v>
      </c>
      <c r="F4638">
        <f t="shared" si="72"/>
        <v>0.85863900000000004</v>
      </c>
      <c r="G4638" t="s">
        <v>16</v>
      </c>
      <c r="I4638" t="s">
        <v>34</v>
      </c>
      <c r="J4638" t="str">
        <f>"06/11/1998 23:00"</f>
        <v>06/11/1998 23:00</v>
      </c>
    </row>
    <row r="4639" spans="1:10" x14ac:dyDescent="0.3">
      <c r="A4639" t="s">
        <v>6</v>
      </c>
      <c r="B4639" t="str">
        <f>"06/12/1998 00:00"</f>
        <v>06/12/1998 00:00</v>
      </c>
      <c r="C4639">
        <v>70.400000000000006</v>
      </c>
      <c r="D4639" t="s">
        <v>7</v>
      </c>
      <c r="E4639" s="2" t="s">
        <v>12</v>
      </c>
      <c r="F4639">
        <f t="shared" si="72"/>
        <v>139.60320000000002</v>
      </c>
      <c r="G4639" t="s">
        <v>16</v>
      </c>
      <c r="I4639" t="s">
        <v>8</v>
      </c>
      <c r="J4639" t="str">
        <f>"06/12/1998 23:00"</f>
        <v>06/12/1998 23:00</v>
      </c>
    </row>
    <row r="4640" spans="1:10" x14ac:dyDescent="0.3">
      <c r="A4640" t="s">
        <v>6</v>
      </c>
      <c r="B4640" t="str">
        <f>"06/13/1998 00:00"</f>
        <v>06/13/1998 00:00</v>
      </c>
      <c r="C4640">
        <v>150</v>
      </c>
      <c r="D4640" t="s">
        <v>7</v>
      </c>
      <c r="E4640" s="2" t="s">
        <v>12</v>
      </c>
      <c r="F4640">
        <f t="shared" si="72"/>
        <v>297.45</v>
      </c>
      <c r="G4640" t="s">
        <v>16</v>
      </c>
      <c r="J4640" t="str">
        <f>"06/13/1998 23:00"</f>
        <v>06/13/1998 23:00</v>
      </c>
    </row>
    <row r="4641" spans="1:10" x14ac:dyDescent="0.3">
      <c r="A4641" t="s">
        <v>6</v>
      </c>
      <c r="B4641" t="str">
        <f>"06/14/1998 00:00"</f>
        <v>06/14/1998 00:00</v>
      </c>
      <c r="C4641">
        <v>150</v>
      </c>
      <c r="D4641" t="s">
        <v>7</v>
      </c>
      <c r="E4641" s="2" t="s">
        <v>12</v>
      </c>
      <c r="F4641">
        <f t="shared" si="72"/>
        <v>297.45</v>
      </c>
      <c r="G4641" t="s">
        <v>16</v>
      </c>
      <c r="J4641" t="str">
        <f>"06/14/1998 23:00"</f>
        <v>06/14/1998 23:00</v>
      </c>
    </row>
    <row r="4642" spans="1:10" x14ac:dyDescent="0.3">
      <c r="A4642" t="s">
        <v>6</v>
      </c>
      <c r="B4642" t="str">
        <f>"06/15/1998 00:00"</f>
        <v>06/15/1998 00:00</v>
      </c>
      <c r="C4642">
        <v>107</v>
      </c>
      <c r="D4642" t="s">
        <v>7</v>
      </c>
      <c r="E4642" s="2" t="s">
        <v>12</v>
      </c>
      <c r="F4642">
        <f t="shared" si="72"/>
        <v>212.18100000000001</v>
      </c>
      <c r="G4642" t="s">
        <v>16</v>
      </c>
      <c r="J4642" t="str">
        <f>"06/15/1998 23:00"</f>
        <v>06/15/1998 23:00</v>
      </c>
    </row>
    <row r="4643" spans="1:10" x14ac:dyDescent="0.3">
      <c r="A4643" t="s">
        <v>6</v>
      </c>
      <c r="B4643" t="str">
        <f>"06/16/1998 00:00"</f>
        <v>06/16/1998 00:00</v>
      </c>
      <c r="C4643">
        <v>37.700000000000003</v>
      </c>
      <c r="D4643" t="s">
        <v>7</v>
      </c>
      <c r="E4643" s="2" t="s">
        <v>12</v>
      </c>
      <c r="F4643">
        <f t="shared" si="72"/>
        <v>74.759100000000004</v>
      </c>
      <c r="G4643" t="s">
        <v>16</v>
      </c>
      <c r="I4643" t="s">
        <v>8</v>
      </c>
      <c r="J4643" t="str">
        <f>"06/16/1998 23:00"</f>
        <v>06/16/1998 23:00</v>
      </c>
    </row>
    <row r="4644" spans="1:10" x14ac:dyDescent="0.3">
      <c r="A4644" t="s">
        <v>6</v>
      </c>
      <c r="B4644" t="str">
        <f>"06/17/1998 00:00"</f>
        <v>06/17/1998 00:00</v>
      </c>
      <c r="C4644">
        <v>2.6</v>
      </c>
      <c r="D4644" t="s">
        <v>7</v>
      </c>
      <c r="E4644" s="2" t="s">
        <v>12</v>
      </c>
      <c r="F4644">
        <f t="shared" si="72"/>
        <v>5.1558000000000002</v>
      </c>
      <c r="G4644" t="s">
        <v>16</v>
      </c>
      <c r="I4644" t="s">
        <v>34</v>
      </c>
      <c r="J4644" t="str">
        <f>"06/17/1998 23:00"</f>
        <v>06/17/1998 23:00</v>
      </c>
    </row>
    <row r="4645" spans="1:10" x14ac:dyDescent="0.3">
      <c r="A4645" t="s">
        <v>6</v>
      </c>
      <c r="B4645" t="str">
        <f>"06/18/1998 00:00"</f>
        <v>06/18/1998 00:00</v>
      </c>
      <c r="C4645">
        <v>2.62</v>
      </c>
      <c r="D4645" t="s">
        <v>7</v>
      </c>
      <c r="E4645" s="2" t="s">
        <v>12</v>
      </c>
      <c r="F4645">
        <f t="shared" si="72"/>
        <v>5.1954600000000006</v>
      </c>
      <c r="G4645" t="s">
        <v>16</v>
      </c>
      <c r="I4645" t="s">
        <v>34</v>
      </c>
      <c r="J4645" t="str">
        <f>"06/18/1998 23:00"</f>
        <v>06/18/1998 23:00</v>
      </c>
    </row>
    <row r="4646" spans="1:10" x14ac:dyDescent="0.3">
      <c r="A4646" t="s">
        <v>6</v>
      </c>
      <c r="B4646" t="str">
        <f>"06/19/1998 00:00"</f>
        <v>06/19/1998 00:00</v>
      </c>
      <c r="C4646">
        <v>2.42</v>
      </c>
      <c r="D4646" t="s">
        <v>7</v>
      </c>
      <c r="E4646" s="2" t="s">
        <v>12</v>
      </c>
      <c r="F4646">
        <f t="shared" si="72"/>
        <v>4.7988600000000003</v>
      </c>
      <c r="G4646" t="s">
        <v>16</v>
      </c>
      <c r="I4646" t="s">
        <v>34</v>
      </c>
      <c r="J4646" t="str">
        <f>"06/19/1998 23:00"</f>
        <v>06/19/1998 23:00</v>
      </c>
    </row>
    <row r="4647" spans="1:10" x14ac:dyDescent="0.3">
      <c r="A4647" t="s">
        <v>6</v>
      </c>
      <c r="B4647" t="str">
        <f>"06/20/1998 00:00"</f>
        <v>06/20/1998 00:00</v>
      </c>
      <c r="C4647">
        <v>2.35</v>
      </c>
      <c r="D4647" t="s">
        <v>7</v>
      </c>
      <c r="E4647" s="2" t="s">
        <v>12</v>
      </c>
      <c r="F4647">
        <f t="shared" si="72"/>
        <v>4.66005</v>
      </c>
      <c r="G4647" t="s">
        <v>16</v>
      </c>
      <c r="I4647" t="s">
        <v>34</v>
      </c>
      <c r="J4647" t="str">
        <f>"06/20/1998 23:00"</f>
        <v>06/20/1998 23:00</v>
      </c>
    </row>
    <row r="4648" spans="1:10" x14ac:dyDescent="0.3">
      <c r="A4648" t="s">
        <v>6</v>
      </c>
      <c r="B4648" t="str">
        <f>"06/21/1998 00:00"</f>
        <v>06/21/1998 00:00</v>
      </c>
      <c r="C4648">
        <v>1.73</v>
      </c>
      <c r="D4648" t="s">
        <v>7</v>
      </c>
      <c r="E4648" s="2" t="s">
        <v>12</v>
      </c>
      <c r="F4648">
        <f t="shared" si="72"/>
        <v>3.43059</v>
      </c>
      <c r="G4648" t="s">
        <v>16</v>
      </c>
      <c r="I4648" t="s">
        <v>34</v>
      </c>
      <c r="J4648" t="str">
        <f>"06/21/1998 23:00"</f>
        <v>06/21/1998 23:00</v>
      </c>
    </row>
    <row r="4649" spans="1:10" x14ac:dyDescent="0.3">
      <c r="A4649" t="s">
        <v>6</v>
      </c>
      <c r="B4649" t="str">
        <f>"06/22/1998 00:00"</f>
        <v>06/22/1998 00:00</v>
      </c>
      <c r="C4649">
        <v>1.34</v>
      </c>
      <c r="D4649" t="s">
        <v>7</v>
      </c>
      <c r="E4649" s="2" t="s">
        <v>12</v>
      </c>
      <c r="F4649">
        <f t="shared" si="72"/>
        <v>2.6572200000000001</v>
      </c>
      <c r="G4649" t="s">
        <v>16</v>
      </c>
      <c r="I4649" t="s">
        <v>34</v>
      </c>
      <c r="J4649" t="str">
        <f>"06/22/1998 23:00"</f>
        <v>06/22/1998 23:00</v>
      </c>
    </row>
    <row r="4650" spans="1:10" x14ac:dyDescent="0.3">
      <c r="A4650" t="s">
        <v>6</v>
      </c>
      <c r="B4650" t="str">
        <f>"06/23/1998 00:00"</f>
        <v>06/23/1998 00:00</v>
      </c>
      <c r="C4650">
        <v>38.6</v>
      </c>
      <c r="D4650" t="s">
        <v>7</v>
      </c>
      <c r="E4650" s="2" t="s">
        <v>12</v>
      </c>
      <c r="F4650">
        <f t="shared" si="72"/>
        <v>76.543800000000005</v>
      </c>
      <c r="G4650" t="s">
        <v>16</v>
      </c>
      <c r="I4650" t="s">
        <v>8</v>
      </c>
      <c r="J4650" t="str">
        <f>"06/23/1998 23:00"</f>
        <v>06/23/1998 23:00</v>
      </c>
    </row>
    <row r="4651" spans="1:10" x14ac:dyDescent="0.3">
      <c r="A4651" t="s">
        <v>6</v>
      </c>
      <c r="B4651" t="str">
        <f>"06/24/1998 00:00"</f>
        <v>06/24/1998 00:00</v>
      </c>
      <c r="C4651">
        <v>146</v>
      </c>
      <c r="D4651" t="s">
        <v>7</v>
      </c>
      <c r="E4651" s="2" t="s">
        <v>12</v>
      </c>
      <c r="F4651">
        <f t="shared" si="72"/>
        <v>289.51800000000003</v>
      </c>
      <c r="G4651" t="s">
        <v>16</v>
      </c>
      <c r="J4651" t="str">
        <f>"06/24/1998 23:00"</f>
        <v>06/24/1998 23:00</v>
      </c>
    </row>
    <row r="4652" spans="1:10" x14ac:dyDescent="0.3">
      <c r="A4652" t="s">
        <v>6</v>
      </c>
      <c r="B4652" t="str">
        <f>"06/25/1998 00:00"</f>
        <v>06/25/1998 00:00</v>
      </c>
      <c r="C4652">
        <v>238</v>
      </c>
      <c r="D4652" t="s">
        <v>7</v>
      </c>
      <c r="E4652" s="2" t="s">
        <v>12</v>
      </c>
      <c r="F4652">
        <f t="shared" si="72"/>
        <v>471.95400000000001</v>
      </c>
      <c r="G4652" t="s">
        <v>16</v>
      </c>
      <c r="J4652" t="str">
        <f>"06/25/1998 23:00"</f>
        <v>06/25/1998 23:00</v>
      </c>
    </row>
    <row r="4653" spans="1:10" x14ac:dyDescent="0.3">
      <c r="A4653" t="s">
        <v>6</v>
      </c>
      <c r="B4653" t="str">
        <f>"06/26/1998 00:00"</f>
        <v>06/26/1998 00:00</v>
      </c>
      <c r="C4653">
        <v>318</v>
      </c>
      <c r="D4653" t="s">
        <v>7</v>
      </c>
      <c r="E4653" s="2" t="s">
        <v>12</v>
      </c>
      <c r="F4653">
        <f t="shared" si="72"/>
        <v>630.59400000000005</v>
      </c>
      <c r="G4653" t="s">
        <v>16</v>
      </c>
      <c r="J4653" t="str">
        <f>"06/26/1998 23:00"</f>
        <v>06/26/1998 23:00</v>
      </c>
    </row>
    <row r="4654" spans="1:10" x14ac:dyDescent="0.3">
      <c r="A4654" t="s">
        <v>6</v>
      </c>
      <c r="B4654" t="str">
        <f>"06/27/1998 00:00"</f>
        <v>06/27/1998 00:00</v>
      </c>
      <c r="C4654">
        <v>367</v>
      </c>
      <c r="D4654" t="s">
        <v>7</v>
      </c>
      <c r="E4654" s="2" t="s">
        <v>12</v>
      </c>
      <c r="F4654">
        <f t="shared" si="72"/>
        <v>727.76100000000008</v>
      </c>
      <c r="G4654" t="s">
        <v>16</v>
      </c>
      <c r="J4654" t="str">
        <f>"06/27/1998 23:00"</f>
        <v>06/27/1998 23:00</v>
      </c>
    </row>
    <row r="4655" spans="1:10" x14ac:dyDescent="0.3">
      <c r="A4655" t="s">
        <v>6</v>
      </c>
      <c r="B4655" t="str">
        <f>"06/28/1998 00:00"</f>
        <v>06/28/1998 00:00</v>
      </c>
      <c r="C4655">
        <v>326</v>
      </c>
      <c r="D4655" t="s">
        <v>7</v>
      </c>
      <c r="E4655" s="2" t="s">
        <v>12</v>
      </c>
      <c r="F4655">
        <f t="shared" si="72"/>
        <v>646.45800000000008</v>
      </c>
      <c r="G4655" t="s">
        <v>16</v>
      </c>
      <c r="J4655" t="str">
        <f>"06/28/1998 23:00"</f>
        <v>06/28/1998 23:00</v>
      </c>
    </row>
    <row r="4656" spans="1:10" x14ac:dyDescent="0.3">
      <c r="A4656" t="s">
        <v>6</v>
      </c>
      <c r="B4656" t="str">
        <f>"06/29/1998 00:00"</f>
        <v>06/29/1998 00:00</v>
      </c>
      <c r="C4656">
        <v>380</v>
      </c>
      <c r="D4656" t="s">
        <v>7</v>
      </c>
      <c r="E4656" s="2" t="s">
        <v>12</v>
      </c>
      <c r="F4656">
        <f t="shared" si="72"/>
        <v>753.54000000000008</v>
      </c>
      <c r="G4656" t="s">
        <v>16</v>
      </c>
      <c r="J4656" t="str">
        <f>"06/29/1998 23:00"</f>
        <v>06/29/1998 23:00</v>
      </c>
    </row>
    <row r="4657" spans="1:10" x14ac:dyDescent="0.3">
      <c r="A4657" t="s">
        <v>6</v>
      </c>
      <c r="B4657" t="str">
        <f>"06/30/1998 00:00"</f>
        <v>06/30/1998 00:00</v>
      </c>
      <c r="C4657">
        <v>452</v>
      </c>
      <c r="D4657" t="s">
        <v>7</v>
      </c>
      <c r="E4657" s="2" t="s">
        <v>12</v>
      </c>
      <c r="F4657">
        <f t="shared" si="72"/>
        <v>896.31600000000003</v>
      </c>
      <c r="G4657" t="s">
        <v>16</v>
      </c>
      <c r="J4657" t="str">
        <f>"06/30/1998 23:00"</f>
        <v>06/30/1998 23:00</v>
      </c>
    </row>
    <row r="4658" spans="1:10" x14ac:dyDescent="0.3">
      <c r="A4658" t="s">
        <v>6</v>
      </c>
      <c r="B4658" t="str">
        <f>"07/01/1998 00:00"</f>
        <v>07/01/1998 00:00</v>
      </c>
      <c r="C4658">
        <v>513</v>
      </c>
      <c r="D4658" t="s">
        <v>7</v>
      </c>
      <c r="E4658" s="2" t="s">
        <v>12</v>
      </c>
      <c r="F4658">
        <f t="shared" si="72"/>
        <v>1017.279</v>
      </c>
      <c r="G4658" t="s">
        <v>16</v>
      </c>
      <c r="J4658" t="str">
        <f>"07/01/1998 23:00"</f>
        <v>07/01/1998 23:00</v>
      </c>
    </row>
    <row r="4659" spans="1:10" x14ac:dyDescent="0.3">
      <c r="A4659" t="s">
        <v>6</v>
      </c>
      <c r="B4659" t="str">
        <f>"07/02/1998 00:00"</f>
        <v>07/02/1998 00:00</v>
      </c>
      <c r="C4659">
        <v>473</v>
      </c>
      <c r="D4659" t="s">
        <v>7</v>
      </c>
      <c r="E4659" s="2" t="s">
        <v>12</v>
      </c>
      <c r="F4659">
        <f t="shared" si="72"/>
        <v>937.95900000000006</v>
      </c>
      <c r="G4659" t="s">
        <v>16</v>
      </c>
      <c r="J4659" t="str">
        <f>"07/02/1998 23:00"</f>
        <v>07/02/1998 23:00</v>
      </c>
    </row>
    <row r="4660" spans="1:10" x14ac:dyDescent="0.3">
      <c r="A4660" t="s">
        <v>6</v>
      </c>
      <c r="B4660" t="str">
        <f>"07/03/1998 00:00"</f>
        <v>07/03/1998 00:00</v>
      </c>
      <c r="C4660">
        <v>395</v>
      </c>
      <c r="D4660" t="s">
        <v>7</v>
      </c>
      <c r="E4660" s="2" t="s">
        <v>12</v>
      </c>
      <c r="F4660">
        <f t="shared" si="72"/>
        <v>783.28500000000008</v>
      </c>
      <c r="G4660" t="s">
        <v>16</v>
      </c>
      <c r="J4660" t="str">
        <f>"07/03/1998 23:00"</f>
        <v>07/03/1998 23:00</v>
      </c>
    </row>
    <row r="4661" spans="1:10" x14ac:dyDescent="0.3">
      <c r="A4661" t="s">
        <v>6</v>
      </c>
      <c r="B4661" t="str">
        <f>"07/04/1998 00:00"</f>
        <v>07/04/1998 00:00</v>
      </c>
      <c r="C4661">
        <v>329</v>
      </c>
      <c r="D4661" t="s">
        <v>7</v>
      </c>
      <c r="E4661" s="2" t="s">
        <v>12</v>
      </c>
      <c r="F4661">
        <f t="shared" si="72"/>
        <v>652.40700000000004</v>
      </c>
      <c r="G4661" t="s">
        <v>16</v>
      </c>
      <c r="J4661" t="str">
        <f>"07/04/1998 23:00"</f>
        <v>07/04/1998 23:00</v>
      </c>
    </row>
    <row r="4662" spans="1:10" x14ac:dyDescent="0.3">
      <c r="A4662" t="s">
        <v>6</v>
      </c>
      <c r="B4662" t="str">
        <f>"07/05/1998 00:00"</f>
        <v>07/05/1998 00:00</v>
      </c>
      <c r="C4662">
        <v>328</v>
      </c>
      <c r="D4662" t="s">
        <v>7</v>
      </c>
      <c r="E4662" s="2" t="s">
        <v>12</v>
      </c>
      <c r="F4662">
        <f t="shared" si="72"/>
        <v>650.42399999999998</v>
      </c>
      <c r="G4662" t="s">
        <v>16</v>
      </c>
      <c r="J4662" t="str">
        <f>"07/05/1998 23:00"</f>
        <v>07/05/1998 23:00</v>
      </c>
    </row>
    <row r="4663" spans="1:10" x14ac:dyDescent="0.3">
      <c r="A4663" t="s">
        <v>6</v>
      </c>
      <c r="B4663" t="str">
        <f>"07/06/1998 00:00"</f>
        <v>07/06/1998 00:00</v>
      </c>
      <c r="C4663">
        <v>327</v>
      </c>
      <c r="D4663" t="s">
        <v>7</v>
      </c>
      <c r="E4663" s="2" t="s">
        <v>12</v>
      </c>
      <c r="F4663">
        <f t="shared" si="72"/>
        <v>648.44100000000003</v>
      </c>
      <c r="G4663" t="s">
        <v>16</v>
      </c>
      <c r="J4663" t="str">
        <f>"07/06/1998 23:00"</f>
        <v>07/06/1998 23:00</v>
      </c>
    </row>
    <row r="4664" spans="1:10" x14ac:dyDescent="0.3">
      <c r="A4664" t="s">
        <v>6</v>
      </c>
      <c r="B4664" t="str">
        <f>"07/07/1998 00:00"</f>
        <v>07/07/1998 00:00</v>
      </c>
      <c r="C4664">
        <v>369</v>
      </c>
      <c r="D4664" t="s">
        <v>7</v>
      </c>
      <c r="E4664" s="2" t="s">
        <v>12</v>
      </c>
      <c r="F4664">
        <f t="shared" si="72"/>
        <v>731.72700000000009</v>
      </c>
      <c r="G4664" t="s">
        <v>16</v>
      </c>
      <c r="J4664" t="str">
        <f>"07/07/1998 23:00"</f>
        <v>07/07/1998 23:00</v>
      </c>
    </row>
    <row r="4665" spans="1:10" x14ac:dyDescent="0.3">
      <c r="A4665" t="s">
        <v>6</v>
      </c>
      <c r="B4665" t="str">
        <f>"07/08/1998 00:00"</f>
        <v>07/08/1998 00:00</v>
      </c>
      <c r="C4665">
        <v>455</v>
      </c>
      <c r="D4665" t="s">
        <v>7</v>
      </c>
      <c r="E4665" s="2" t="s">
        <v>12</v>
      </c>
      <c r="F4665">
        <f t="shared" si="72"/>
        <v>902.2650000000001</v>
      </c>
      <c r="G4665" t="s">
        <v>16</v>
      </c>
      <c r="J4665" t="str">
        <f>"07/08/1998 23:00"</f>
        <v>07/08/1998 23:00</v>
      </c>
    </row>
    <row r="4666" spans="1:10" x14ac:dyDescent="0.3">
      <c r="A4666" t="s">
        <v>6</v>
      </c>
      <c r="B4666" t="str">
        <f>"07/09/1998 00:00"</f>
        <v>07/09/1998 00:00</v>
      </c>
      <c r="C4666">
        <v>462</v>
      </c>
      <c r="D4666" t="s">
        <v>7</v>
      </c>
      <c r="E4666" s="2" t="s">
        <v>12</v>
      </c>
      <c r="F4666">
        <f t="shared" si="72"/>
        <v>916.14600000000007</v>
      </c>
      <c r="G4666" t="s">
        <v>16</v>
      </c>
      <c r="J4666" t="str">
        <f>"07/09/1998 23:00"</f>
        <v>07/09/1998 23:00</v>
      </c>
    </row>
    <row r="4667" spans="1:10" x14ac:dyDescent="0.3">
      <c r="A4667" t="s">
        <v>6</v>
      </c>
      <c r="B4667" t="str">
        <f>"07/10/1998 00:00"</f>
        <v>07/10/1998 00:00</v>
      </c>
      <c r="C4667">
        <v>383</v>
      </c>
      <c r="D4667" t="s">
        <v>7</v>
      </c>
      <c r="E4667" s="2" t="s">
        <v>12</v>
      </c>
      <c r="F4667">
        <f t="shared" si="72"/>
        <v>759.48900000000003</v>
      </c>
      <c r="G4667" t="s">
        <v>16</v>
      </c>
      <c r="J4667" t="str">
        <f>"07/10/1998 23:00"</f>
        <v>07/10/1998 23:00</v>
      </c>
    </row>
    <row r="4668" spans="1:10" x14ac:dyDescent="0.3">
      <c r="A4668" t="s">
        <v>6</v>
      </c>
      <c r="B4668" t="str">
        <f>"07/11/1998 00:00"</f>
        <v>07/11/1998 00:00</v>
      </c>
      <c r="C4668">
        <v>199</v>
      </c>
      <c r="D4668" t="s">
        <v>7</v>
      </c>
      <c r="E4668" s="2" t="s">
        <v>12</v>
      </c>
      <c r="F4668">
        <f t="shared" si="72"/>
        <v>394.61700000000002</v>
      </c>
      <c r="G4668" t="s">
        <v>16</v>
      </c>
      <c r="J4668" t="str">
        <f>"07/11/1998 23:00"</f>
        <v>07/11/1998 23:00</v>
      </c>
    </row>
    <row r="4669" spans="1:10" x14ac:dyDescent="0.3">
      <c r="A4669" t="s">
        <v>6</v>
      </c>
      <c r="B4669" t="str">
        <f>"07/12/1998 00:00"</f>
        <v>07/12/1998 00:00</v>
      </c>
      <c r="C4669">
        <v>119</v>
      </c>
      <c r="D4669" t="s">
        <v>7</v>
      </c>
      <c r="E4669" s="2" t="s">
        <v>12</v>
      </c>
      <c r="F4669">
        <f t="shared" si="72"/>
        <v>235.977</v>
      </c>
      <c r="G4669" t="s">
        <v>16</v>
      </c>
      <c r="J4669" t="str">
        <f>"07/12/1998 23:00"</f>
        <v>07/12/1998 23:00</v>
      </c>
    </row>
    <row r="4670" spans="1:10" x14ac:dyDescent="0.3">
      <c r="A4670" t="s">
        <v>6</v>
      </c>
      <c r="B4670" t="str">
        <f>"07/13/1998 00:00"</f>
        <v>07/13/1998 00:00</v>
      </c>
      <c r="C4670">
        <v>219</v>
      </c>
      <c r="D4670" t="s">
        <v>7</v>
      </c>
      <c r="E4670" s="2" t="s">
        <v>12</v>
      </c>
      <c r="F4670">
        <f t="shared" si="72"/>
        <v>434.27700000000004</v>
      </c>
      <c r="G4670" t="s">
        <v>16</v>
      </c>
      <c r="J4670" t="str">
        <f>"07/13/1998 23:00"</f>
        <v>07/13/1998 23:00</v>
      </c>
    </row>
    <row r="4671" spans="1:10" x14ac:dyDescent="0.3">
      <c r="A4671" t="s">
        <v>6</v>
      </c>
      <c r="B4671" t="str">
        <f>"07/14/1998 00:00"</f>
        <v>07/14/1998 00:00</v>
      </c>
      <c r="C4671">
        <v>444</v>
      </c>
      <c r="D4671" t="s">
        <v>7</v>
      </c>
      <c r="E4671" s="2" t="s">
        <v>12</v>
      </c>
      <c r="F4671">
        <f t="shared" si="72"/>
        <v>880.452</v>
      </c>
      <c r="G4671" t="s">
        <v>16</v>
      </c>
      <c r="J4671" t="str">
        <f>"07/14/1998 23:00"</f>
        <v>07/14/1998 23:00</v>
      </c>
    </row>
    <row r="4672" spans="1:10" x14ac:dyDescent="0.3">
      <c r="A4672" t="s">
        <v>6</v>
      </c>
      <c r="B4672" t="str">
        <f>"07/15/1998 00:00"</f>
        <v>07/15/1998 00:00</v>
      </c>
      <c r="C4672">
        <v>548</v>
      </c>
      <c r="D4672" t="s">
        <v>7</v>
      </c>
      <c r="E4672" s="2" t="s">
        <v>12</v>
      </c>
      <c r="F4672">
        <f t="shared" si="72"/>
        <v>1086.684</v>
      </c>
      <c r="G4672" t="s">
        <v>16</v>
      </c>
      <c r="J4672" t="str">
        <f>"07/15/1998 23:00"</f>
        <v>07/15/1998 23:00</v>
      </c>
    </row>
    <row r="4673" spans="1:10" x14ac:dyDescent="0.3">
      <c r="A4673" t="s">
        <v>6</v>
      </c>
      <c r="B4673" t="str">
        <f>"07/16/1998 00:00"</f>
        <v>07/16/1998 00:00</v>
      </c>
      <c r="C4673">
        <v>548</v>
      </c>
      <c r="D4673" t="s">
        <v>7</v>
      </c>
      <c r="E4673" s="2" t="s">
        <v>12</v>
      </c>
      <c r="F4673">
        <f t="shared" si="72"/>
        <v>1086.684</v>
      </c>
      <c r="G4673" t="s">
        <v>16</v>
      </c>
      <c r="J4673" t="str">
        <f>"07/16/1998 23:00"</f>
        <v>07/16/1998 23:00</v>
      </c>
    </row>
    <row r="4674" spans="1:10" x14ac:dyDescent="0.3">
      <c r="A4674" t="s">
        <v>6</v>
      </c>
      <c r="B4674" t="str">
        <f>"07/17/1998 00:00"</f>
        <v>07/17/1998 00:00</v>
      </c>
      <c r="C4674">
        <v>548</v>
      </c>
      <c r="D4674" t="s">
        <v>7</v>
      </c>
      <c r="E4674" s="2" t="s">
        <v>12</v>
      </c>
      <c r="F4674">
        <f t="shared" si="72"/>
        <v>1086.684</v>
      </c>
      <c r="G4674" t="s">
        <v>16</v>
      </c>
      <c r="J4674" t="str">
        <f>"07/17/1998 23:00"</f>
        <v>07/17/1998 23:00</v>
      </c>
    </row>
    <row r="4675" spans="1:10" x14ac:dyDescent="0.3">
      <c r="A4675" t="s">
        <v>6</v>
      </c>
      <c r="B4675" t="str">
        <f>"07/18/1998 00:00"</f>
        <v>07/18/1998 00:00</v>
      </c>
      <c r="C4675">
        <v>548</v>
      </c>
      <c r="D4675" t="s">
        <v>7</v>
      </c>
      <c r="E4675" s="2" t="s">
        <v>12</v>
      </c>
      <c r="F4675">
        <f t="shared" ref="F4675:F4738" si="73">C4675*1.983</f>
        <v>1086.684</v>
      </c>
      <c r="G4675" t="s">
        <v>16</v>
      </c>
      <c r="J4675" t="str">
        <f>"07/18/1998 23:00"</f>
        <v>07/18/1998 23:00</v>
      </c>
    </row>
    <row r="4676" spans="1:10" x14ac:dyDescent="0.3">
      <c r="A4676" t="s">
        <v>6</v>
      </c>
      <c r="B4676" t="str">
        <f>"07/19/1998 00:00"</f>
        <v>07/19/1998 00:00</v>
      </c>
      <c r="C4676">
        <v>537</v>
      </c>
      <c r="D4676" t="s">
        <v>7</v>
      </c>
      <c r="E4676" s="2" t="s">
        <v>12</v>
      </c>
      <c r="F4676">
        <f t="shared" si="73"/>
        <v>1064.8710000000001</v>
      </c>
      <c r="G4676" t="s">
        <v>16</v>
      </c>
      <c r="J4676" t="str">
        <f>"07/19/1998 23:00"</f>
        <v>07/19/1998 23:00</v>
      </c>
    </row>
    <row r="4677" spans="1:10" x14ac:dyDescent="0.3">
      <c r="A4677" t="s">
        <v>6</v>
      </c>
      <c r="B4677" t="str">
        <f>"07/20/1998 00:00"</f>
        <v>07/20/1998 00:00</v>
      </c>
      <c r="C4677">
        <v>459</v>
      </c>
      <c r="D4677" t="s">
        <v>7</v>
      </c>
      <c r="E4677" s="2" t="s">
        <v>12</v>
      </c>
      <c r="F4677">
        <f t="shared" si="73"/>
        <v>910.197</v>
      </c>
      <c r="G4677" t="s">
        <v>16</v>
      </c>
      <c r="J4677" t="str">
        <f>"07/20/1998 23:00"</f>
        <v>07/20/1998 23:00</v>
      </c>
    </row>
    <row r="4678" spans="1:10" x14ac:dyDescent="0.3">
      <c r="A4678" t="s">
        <v>6</v>
      </c>
      <c r="B4678" t="str">
        <f>"07/21/1998 00:00"</f>
        <v>07/21/1998 00:00</v>
      </c>
      <c r="C4678">
        <v>403</v>
      </c>
      <c r="D4678" t="s">
        <v>7</v>
      </c>
      <c r="E4678" s="2" t="s">
        <v>12</v>
      </c>
      <c r="F4678">
        <f t="shared" si="73"/>
        <v>799.149</v>
      </c>
      <c r="G4678" t="s">
        <v>16</v>
      </c>
      <c r="J4678" t="str">
        <f>"07/21/1998 23:00"</f>
        <v>07/21/1998 23:00</v>
      </c>
    </row>
    <row r="4679" spans="1:10" x14ac:dyDescent="0.3">
      <c r="A4679" t="s">
        <v>6</v>
      </c>
      <c r="B4679" t="str">
        <f>"07/22/1998 00:00"</f>
        <v>07/22/1998 00:00</v>
      </c>
      <c r="C4679">
        <v>414</v>
      </c>
      <c r="D4679" t="s">
        <v>7</v>
      </c>
      <c r="E4679" s="2" t="s">
        <v>12</v>
      </c>
      <c r="F4679">
        <f t="shared" si="73"/>
        <v>820.96199999999999</v>
      </c>
      <c r="G4679" t="s">
        <v>16</v>
      </c>
      <c r="J4679" t="str">
        <f>"07/22/1998 23:00"</f>
        <v>07/22/1998 23:00</v>
      </c>
    </row>
    <row r="4680" spans="1:10" x14ac:dyDescent="0.3">
      <c r="A4680" t="s">
        <v>6</v>
      </c>
      <c r="B4680" t="str">
        <f>"07/23/1998 00:00"</f>
        <v>07/23/1998 00:00</v>
      </c>
      <c r="C4680">
        <v>347</v>
      </c>
      <c r="D4680" t="s">
        <v>7</v>
      </c>
      <c r="E4680" s="2" t="s">
        <v>12</v>
      </c>
      <c r="F4680">
        <f t="shared" si="73"/>
        <v>688.101</v>
      </c>
      <c r="G4680" t="s">
        <v>16</v>
      </c>
      <c r="J4680" t="str">
        <f>"07/23/1998 23:00"</f>
        <v>07/23/1998 23:00</v>
      </c>
    </row>
    <row r="4681" spans="1:10" x14ac:dyDescent="0.3">
      <c r="A4681" t="s">
        <v>6</v>
      </c>
      <c r="B4681" t="str">
        <f>"07/24/1998 00:00"</f>
        <v>07/24/1998 00:00</v>
      </c>
      <c r="C4681">
        <v>219</v>
      </c>
      <c r="D4681" t="s">
        <v>7</v>
      </c>
      <c r="E4681" s="2" t="s">
        <v>12</v>
      </c>
      <c r="F4681">
        <f t="shared" si="73"/>
        <v>434.27700000000004</v>
      </c>
      <c r="G4681" t="s">
        <v>16</v>
      </c>
      <c r="J4681" t="str">
        <f>"07/24/1998 23:00"</f>
        <v>07/24/1998 23:00</v>
      </c>
    </row>
    <row r="4682" spans="1:10" x14ac:dyDescent="0.3">
      <c r="A4682" t="s">
        <v>6</v>
      </c>
      <c r="B4682" t="str">
        <f>"07/25/1998 00:00"</f>
        <v>07/25/1998 00:00</v>
      </c>
      <c r="C4682">
        <v>53.2</v>
      </c>
      <c r="D4682" t="s">
        <v>7</v>
      </c>
      <c r="E4682" s="2" t="s">
        <v>12</v>
      </c>
      <c r="F4682">
        <f t="shared" si="73"/>
        <v>105.49560000000001</v>
      </c>
      <c r="G4682" t="s">
        <v>16</v>
      </c>
      <c r="J4682" t="str">
        <f>"07/25/1998 23:00"</f>
        <v>07/25/1998 23:00</v>
      </c>
    </row>
    <row r="4683" spans="1:10" x14ac:dyDescent="0.3">
      <c r="A4683" t="s">
        <v>6</v>
      </c>
      <c r="B4683" t="str">
        <f>"07/26/1998 00:00"</f>
        <v>07/26/1998 00:00</v>
      </c>
      <c r="C4683">
        <v>2.91</v>
      </c>
      <c r="D4683" t="s">
        <v>7</v>
      </c>
      <c r="E4683" s="2" t="s">
        <v>12</v>
      </c>
      <c r="F4683">
        <f t="shared" si="73"/>
        <v>5.7705300000000008</v>
      </c>
      <c r="G4683" t="s">
        <v>16</v>
      </c>
      <c r="J4683" t="str">
        <f>"07/26/1998 23:00"</f>
        <v>07/26/1998 23:00</v>
      </c>
    </row>
    <row r="4684" spans="1:10" x14ac:dyDescent="0.3">
      <c r="A4684" t="s">
        <v>6</v>
      </c>
      <c r="B4684" t="str">
        <f>"07/27/1998 00:00"</f>
        <v>07/27/1998 00:00</v>
      </c>
      <c r="C4684">
        <v>2.91</v>
      </c>
      <c r="D4684" t="s">
        <v>7</v>
      </c>
      <c r="E4684" s="2" t="s">
        <v>12</v>
      </c>
      <c r="F4684">
        <f t="shared" si="73"/>
        <v>5.7705300000000008</v>
      </c>
      <c r="G4684" t="s">
        <v>16</v>
      </c>
      <c r="J4684" t="str">
        <f>"07/27/1998 23:00"</f>
        <v>07/27/1998 23:00</v>
      </c>
    </row>
    <row r="4685" spans="1:10" x14ac:dyDescent="0.3">
      <c r="A4685" t="s">
        <v>6</v>
      </c>
      <c r="B4685" t="str">
        <f>"07/28/1998 00:00"</f>
        <v>07/28/1998 00:00</v>
      </c>
      <c r="C4685">
        <v>3.22</v>
      </c>
      <c r="D4685" t="s">
        <v>7</v>
      </c>
      <c r="E4685" s="2" t="s">
        <v>12</v>
      </c>
      <c r="F4685">
        <f t="shared" si="73"/>
        <v>6.3852600000000006</v>
      </c>
      <c r="G4685" t="s">
        <v>16</v>
      </c>
      <c r="J4685" t="str">
        <f>"07/28/1998 23:00"</f>
        <v>07/28/1998 23:00</v>
      </c>
    </row>
    <row r="4686" spans="1:10" x14ac:dyDescent="0.3">
      <c r="A4686" t="s">
        <v>6</v>
      </c>
      <c r="B4686" t="str">
        <f>"07/29/1998 00:00"</f>
        <v>07/29/1998 00:00</v>
      </c>
      <c r="C4686">
        <v>3.66</v>
      </c>
      <c r="D4686" t="s">
        <v>7</v>
      </c>
      <c r="E4686" s="2" t="s">
        <v>12</v>
      </c>
      <c r="F4686">
        <f t="shared" si="73"/>
        <v>7.2577800000000003</v>
      </c>
      <c r="G4686" t="s">
        <v>16</v>
      </c>
      <c r="J4686" t="str">
        <f>"07/29/1998 23:00"</f>
        <v>07/29/1998 23:00</v>
      </c>
    </row>
    <row r="4687" spans="1:10" x14ac:dyDescent="0.3">
      <c r="A4687" t="s">
        <v>6</v>
      </c>
      <c r="B4687" t="str">
        <f>"07/30/1998 00:00"</f>
        <v>07/30/1998 00:00</v>
      </c>
      <c r="C4687">
        <v>3.78</v>
      </c>
      <c r="D4687" t="s">
        <v>7</v>
      </c>
      <c r="E4687" s="2" t="s">
        <v>12</v>
      </c>
      <c r="F4687">
        <f t="shared" si="73"/>
        <v>7.4957399999999996</v>
      </c>
      <c r="G4687" t="s">
        <v>16</v>
      </c>
      <c r="J4687" t="str">
        <f>"07/30/1998 23:00"</f>
        <v>07/30/1998 23:00</v>
      </c>
    </row>
    <row r="4688" spans="1:10" x14ac:dyDescent="0.3">
      <c r="A4688" t="s">
        <v>6</v>
      </c>
      <c r="B4688" t="str">
        <f>"07/31/1998 00:00"</f>
        <v>07/31/1998 00:00</v>
      </c>
      <c r="C4688">
        <v>4.0599999999999996</v>
      </c>
      <c r="D4688" t="s">
        <v>7</v>
      </c>
      <c r="E4688" s="2" t="s">
        <v>12</v>
      </c>
      <c r="F4688">
        <f t="shared" si="73"/>
        <v>8.0509799999999991</v>
      </c>
      <c r="G4688" t="s">
        <v>16</v>
      </c>
      <c r="J4688" t="str">
        <f>"07/31/1998 23:00"</f>
        <v>07/31/1998 23:00</v>
      </c>
    </row>
    <row r="4689" spans="1:10" x14ac:dyDescent="0.3">
      <c r="A4689" t="s">
        <v>6</v>
      </c>
      <c r="B4689" t="str">
        <f>"08/01/1998 00:00"</f>
        <v>08/01/1998 00:00</v>
      </c>
      <c r="C4689">
        <v>4.0599999999999996</v>
      </c>
      <c r="D4689" t="s">
        <v>7</v>
      </c>
      <c r="E4689" s="2" t="s">
        <v>12</v>
      </c>
      <c r="F4689">
        <f t="shared" si="73"/>
        <v>8.0509799999999991</v>
      </c>
      <c r="G4689" t="s">
        <v>16</v>
      </c>
      <c r="J4689" t="str">
        <f>"08/01/1998 23:00"</f>
        <v>08/01/1998 23:00</v>
      </c>
    </row>
    <row r="4690" spans="1:10" x14ac:dyDescent="0.3">
      <c r="A4690" t="s">
        <v>6</v>
      </c>
      <c r="B4690" t="str">
        <f>"08/02/1998 00:00"</f>
        <v>08/02/1998 00:00</v>
      </c>
      <c r="C4690">
        <v>4.0599999999999996</v>
      </c>
      <c r="D4690" t="s">
        <v>7</v>
      </c>
      <c r="E4690" s="2" t="s">
        <v>12</v>
      </c>
      <c r="F4690">
        <f t="shared" si="73"/>
        <v>8.0509799999999991</v>
      </c>
      <c r="G4690" t="s">
        <v>16</v>
      </c>
      <c r="J4690" t="str">
        <f>"08/02/1998 23:00"</f>
        <v>08/02/1998 23:00</v>
      </c>
    </row>
    <row r="4691" spans="1:10" x14ac:dyDescent="0.3">
      <c r="A4691" t="s">
        <v>6</v>
      </c>
      <c r="B4691" t="str">
        <f>"08/03/1998 00:00"</f>
        <v>08/03/1998 00:00</v>
      </c>
      <c r="C4691">
        <v>2.4300000000000002</v>
      </c>
      <c r="D4691" t="s">
        <v>7</v>
      </c>
      <c r="E4691" s="2" t="s">
        <v>12</v>
      </c>
      <c r="F4691">
        <f t="shared" si="73"/>
        <v>4.8186900000000001</v>
      </c>
      <c r="G4691" t="s">
        <v>16</v>
      </c>
      <c r="I4691" t="s">
        <v>8</v>
      </c>
      <c r="J4691" t="str">
        <f>"08/03/1998 23:00"</f>
        <v>08/03/1998 23:00</v>
      </c>
    </row>
    <row r="4692" spans="1:10" x14ac:dyDescent="0.3">
      <c r="A4692" t="s">
        <v>6</v>
      </c>
      <c r="B4692" t="str">
        <f>"08/04/1998 00:00"</f>
        <v>08/04/1998 00:00</v>
      </c>
      <c r="C4692">
        <v>1.62</v>
      </c>
      <c r="D4692" t="s">
        <v>7</v>
      </c>
      <c r="E4692" s="2" t="s">
        <v>12</v>
      </c>
      <c r="F4692">
        <f t="shared" si="73"/>
        <v>3.2124600000000005</v>
      </c>
      <c r="G4692" t="s">
        <v>16</v>
      </c>
      <c r="I4692" t="s">
        <v>34</v>
      </c>
      <c r="J4692" t="str">
        <f>"08/04/1998 23:00"</f>
        <v>08/04/1998 23:00</v>
      </c>
    </row>
    <row r="4693" spans="1:10" x14ac:dyDescent="0.3">
      <c r="A4693" t="s">
        <v>6</v>
      </c>
      <c r="B4693" t="str">
        <f>"08/05/1998 00:00"</f>
        <v>08/05/1998 00:00</v>
      </c>
      <c r="C4693">
        <v>1.62</v>
      </c>
      <c r="D4693" t="s">
        <v>7</v>
      </c>
      <c r="E4693" s="2" t="s">
        <v>12</v>
      </c>
      <c r="F4693">
        <f t="shared" si="73"/>
        <v>3.2124600000000005</v>
      </c>
      <c r="G4693" t="s">
        <v>16</v>
      </c>
      <c r="I4693" t="s">
        <v>34</v>
      </c>
      <c r="J4693" t="str">
        <f>"08/05/1998 23:00"</f>
        <v>08/05/1998 23:00</v>
      </c>
    </row>
    <row r="4694" spans="1:10" x14ac:dyDescent="0.3">
      <c r="A4694" t="s">
        <v>6</v>
      </c>
      <c r="B4694" t="str">
        <f>"08/06/1998 00:00"</f>
        <v>08/06/1998 00:00</v>
      </c>
      <c r="C4694">
        <v>1.62</v>
      </c>
      <c r="D4694" t="s">
        <v>7</v>
      </c>
      <c r="E4694" s="2" t="s">
        <v>12</v>
      </c>
      <c r="F4694">
        <f t="shared" si="73"/>
        <v>3.2124600000000005</v>
      </c>
      <c r="G4694" t="s">
        <v>16</v>
      </c>
      <c r="I4694" t="s">
        <v>34</v>
      </c>
      <c r="J4694" t="str">
        <f>"08/06/1998 23:00"</f>
        <v>08/06/1998 23:00</v>
      </c>
    </row>
    <row r="4695" spans="1:10" x14ac:dyDescent="0.3">
      <c r="A4695" t="s">
        <v>6</v>
      </c>
      <c r="B4695" t="str">
        <f>"08/07/1998 00:00"</f>
        <v>08/07/1998 00:00</v>
      </c>
      <c r="C4695">
        <v>1.62</v>
      </c>
      <c r="D4695" t="s">
        <v>7</v>
      </c>
      <c r="E4695" s="2" t="s">
        <v>12</v>
      </c>
      <c r="F4695">
        <f t="shared" si="73"/>
        <v>3.2124600000000005</v>
      </c>
      <c r="G4695" t="s">
        <v>16</v>
      </c>
      <c r="I4695" t="s">
        <v>34</v>
      </c>
      <c r="J4695" t="str">
        <f>"08/07/1998 23:00"</f>
        <v>08/07/1998 23:00</v>
      </c>
    </row>
    <row r="4696" spans="1:10" x14ac:dyDescent="0.3">
      <c r="A4696" t="s">
        <v>6</v>
      </c>
      <c r="B4696" t="str">
        <f>"08/08/1998 00:00"</f>
        <v>08/08/1998 00:00</v>
      </c>
      <c r="C4696">
        <v>1.62</v>
      </c>
      <c r="D4696" t="s">
        <v>7</v>
      </c>
      <c r="E4696" s="2" t="s">
        <v>12</v>
      </c>
      <c r="F4696">
        <f t="shared" si="73"/>
        <v>3.2124600000000005</v>
      </c>
      <c r="G4696" t="s">
        <v>16</v>
      </c>
      <c r="I4696" t="s">
        <v>34</v>
      </c>
      <c r="J4696" t="str">
        <f>"08/08/1998 23:00"</f>
        <v>08/08/1998 23:00</v>
      </c>
    </row>
    <row r="4697" spans="1:10" x14ac:dyDescent="0.3">
      <c r="A4697" t="s">
        <v>6</v>
      </c>
      <c r="B4697" t="str">
        <f>"08/09/1998 00:00"</f>
        <v>08/09/1998 00:00</v>
      </c>
      <c r="C4697">
        <v>22.4</v>
      </c>
      <c r="D4697" t="s">
        <v>7</v>
      </c>
      <c r="E4697" s="2" t="s">
        <v>12</v>
      </c>
      <c r="F4697">
        <f t="shared" si="73"/>
        <v>44.419199999999996</v>
      </c>
      <c r="G4697" t="s">
        <v>16</v>
      </c>
      <c r="I4697" t="s">
        <v>8</v>
      </c>
      <c r="J4697" t="str">
        <f>"08/09/1998 23:00"</f>
        <v>08/09/1998 23:00</v>
      </c>
    </row>
    <row r="4698" spans="1:10" x14ac:dyDescent="0.3">
      <c r="A4698" t="s">
        <v>6</v>
      </c>
      <c r="B4698" t="str">
        <f>"08/10/1998 00:00"</f>
        <v>08/10/1998 00:00</v>
      </c>
      <c r="C4698">
        <v>76.8</v>
      </c>
      <c r="D4698" t="s">
        <v>7</v>
      </c>
      <c r="E4698" s="2" t="s">
        <v>12</v>
      </c>
      <c r="F4698">
        <f t="shared" si="73"/>
        <v>152.2944</v>
      </c>
      <c r="G4698" t="s">
        <v>16</v>
      </c>
      <c r="J4698" t="str">
        <f>"08/10/1998 23:00"</f>
        <v>08/10/1998 23:00</v>
      </c>
    </row>
    <row r="4699" spans="1:10" x14ac:dyDescent="0.3">
      <c r="A4699" t="s">
        <v>6</v>
      </c>
      <c r="B4699" t="str">
        <f>"08/11/1998 00:00"</f>
        <v>08/11/1998 00:00</v>
      </c>
      <c r="C4699">
        <v>58</v>
      </c>
      <c r="D4699" t="s">
        <v>7</v>
      </c>
      <c r="E4699" s="2" t="s">
        <v>12</v>
      </c>
      <c r="F4699">
        <f t="shared" si="73"/>
        <v>115.01400000000001</v>
      </c>
      <c r="G4699" t="s">
        <v>16</v>
      </c>
      <c r="J4699" t="str">
        <f>"08/11/1998 23:00"</f>
        <v>08/11/1998 23:00</v>
      </c>
    </row>
    <row r="4700" spans="1:10" x14ac:dyDescent="0.3">
      <c r="A4700" t="s">
        <v>6</v>
      </c>
      <c r="B4700" t="str">
        <f>"08/12/1998 00:00"</f>
        <v>08/12/1998 00:00</v>
      </c>
      <c r="C4700">
        <v>11.8</v>
      </c>
      <c r="D4700" t="s">
        <v>7</v>
      </c>
      <c r="E4700" s="2" t="s">
        <v>12</v>
      </c>
      <c r="F4700">
        <f t="shared" si="73"/>
        <v>23.399400000000004</v>
      </c>
      <c r="G4700" t="s">
        <v>16</v>
      </c>
      <c r="J4700" t="str">
        <f>"08/12/1998 23:00"</f>
        <v>08/12/1998 23:00</v>
      </c>
    </row>
    <row r="4701" spans="1:10" x14ac:dyDescent="0.3">
      <c r="A4701" t="s">
        <v>6</v>
      </c>
      <c r="B4701" t="str">
        <f>"08/13/1998 00:00"</f>
        <v>08/13/1998 00:00</v>
      </c>
      <c r="C4701">
        <v>11.1</v>
      </c>
      <c r="D4701" t="s">
        <v>7</v>
      </c>
      <c r="E4701" s="2" t="s">
        <v>12</v>
      </c>
      <c r="F4701">
        <f t="shared" si="73"/>
        <v>22.011300000000002</v>
      </c>
      <c r="G4701" t="s">
        <v>16</v>
      </c>
      <c r="J4701" t="str">
        <f>"08/13/1998 23:00"</f>
        <v>08/13/1998 23:00</v>
      </c>
    </row>
    <row r="4702" spans="1:10" x14ac:dyDescent="0.3">
      <c r="A4702" t="s">
        <v>6</v>
      </c>
      <c r="B4702" t="str">
        <f>"08/14/1998 00:00"</f>
        <v>08/14/1998 00:00</v>
      </c>
      <c r="C4702">
        <v>11</v>
      </c>
      <c r="D4702" t="s">
        <v>7</v>
      </c>
      <c r="E4702" s="2" t="s">
        <v>12</v>
      </c>
      <c r="F4702">
        <f t="shared" si="73"/>
        <v>21.813000000000002</v>
      </c>
      <c r="G4702" t="s">
        <v>16</v>
      </c>
      <c r="J4702" t="str">
        <f>"08/14/1998 23:00"</f>
        <v>08/14/1998 23:00</v>
      </c>
    </row>
    <row r="4703" spans="1:10" x14ac:dyDescent="0.3">
      <c r="A4703" t="s">
        <v>6</v>
      </c>
      <c r="B4703" t="str">
        <f>"08/15/1998 00:00"</f>
        <v>08/15/1998 00:00</v>
      </c>
      <c r="C4703">
        <v>10.5</v>
      </c>
      <c r="D4703" t="s">
        <v>7</v>
      </c>
      <c r="E4703" s="2" t="s">
        <v>12</v>
      </c>
      <c r="F4703">
        <f t="shared" si="73"/>
        <v>20.8215</v>
      </c>
      <c r="G4703" t="s">
        <v>16</v>
      </c>
      <c r="J4703" t="str">
        <f>"08/15/1998 23:00"</f>
        <v>08/15/1998 23:00</v>
      </c>
    </row>
    <row r="4704" spans="1:10" x14ac:dyDescent="0.3">
      <c r="A4704" t="s">
        <v>6</v>
      </c>
      <c r="B4704" t="str">
        <f>"08/16/1998 00:00"</f>
        <v>08/16/1998 00:00</v>
      </c>
      <c r="C4704">
        <v>10.8</v>
      </c>
      <c r="D4704" t="s">
        <v>7</v>
      </c>
      <c r="E4704" s="2" t="s">
        <v>12</v>
      </c>
      <c r="F4704">
        <f t="shared" si="73"/>
        <v>21.416400000000003</v>
      </c>
      <c r="G4704" t="s">
        <v>16</v>
      </c>
      <c r="J4704" t="str">
        <f>"08/16/1998 23:00"</f>
        <v>08/16/1998 23:00</v>
      </c>
    </row>
    <row r="4705" spans="1:10" x14ac:dyDescent="0.3">
      <c r="A4705" t="s">
        <v>6</v>
      </c>
      <c r="B4705" t="str">
        <f>"08/17/1998 00:00"</f>
        <v>08/17/1998 00:00</v>
      </c>
      <c r="C4705">
        <v>10.199999999999999</v>
      </c>
      <c r="D4705" t="s">
        <v>7</v>
      </c>
      <c r="E4705" s="2" t="s">
        <v>12</v>
      </c>
      <c r="F4705">
        <f t="shared" si="73"/>
        <v>20.226600000000001</v>
      </c>
      <c r="G4705" t="s">
        <v>16</v>
      </c>
      <c r="J4705" t="str">
        <f>"08/17/1998 23:00"</f>
        <v>08/17/1998 23:00</v>
      </c>
    </row>
    <row r="4706" spans="1:10" x14ac:dyDescent="0.3">
      <c r="A4706" t="s">
        <v>6</v>
      </c>
      <c r="B4706" t="str">
        <f>"08/18/1998 00:00"</f>
        <v>08/18/1998 00:00</v>
      </c>
      <c r="C4706">
        <v>9.7100000000000009</v>
      </c>
      <c r="D4706" t="s">
        <v>7</v>
      </c>
      <c r="E4706" s="2" t="s">
        <v>12</v>
      </c>
      <c r="F4706">
        <f t="shared" si="73"/>
        <v>19.254930000000002</v>
      </c>
      <c r="G4706" t="s">
        <v>16</v>
      </c>
      <c r="J4706" t="str">
        <f>"08/18/1998 23:00"</f>
        <v>08/18/1998 23:00</v>
      </c>
    </row>
    <row r="4707" spans="1:10" x14ac:dyDescent="0.3">
      <c r="A4707" t="s">
        <v>6</v>
      </c>
      <c r="B4707" t="str">
        <f>"08/19/1998 00:00"</f>
        <v>08/19/1998 00:00</v>
      </c>
      <c r="C4707">
        <v>9.3800000000000008</v>
      </c>
      <c r="D4707" t="s">
        <v>7</v>
      </c>
      <c r="E4707" s="2" t="s">
        <v>12</v>
      </c>
      <c r="F4707">
        <f t="shared" si="73"/>
        <v>18.600540000000002</v>
      </c>
      <c r="G4707" t="s">
        <v>16</v>
      </c>
      <c r="J4707" t="str">
        <f>"08/19/1998 23:00"</f>
        <v>08/19/1998 23:00</v>
      </c>
    </row>
    <row r="4708" spans="1:10" x14ac:dyDescent="0.3">
      <c r="A4708" t="s">
        <v>6</v>
      </c>
      <c r="B4708" t="str">
        <f>"08/20/1998 00:00"</f>
        <v>08/20/1998 00:00</v>
      </c>
      <c r="C4708">
        <v>9.2899999999999991</v>
      </c>
      <c r="D4708" t="s">
        <v>7</v>
      </c>
      <c r="E4708" s="2" t="s">
        <v>12</v>
      </c>
      <c r="F4708">
        <f t="shared" si="73"/>
        <v>18.422069999999998</v>
      </c>
      <c r="G4708" t="s">
        <v>16</v>
      </c>
      <c r="J4708" t="str">
        <f>"08/20/1998 23:00"</f>
        <v>08/20/1998 23:00</v>
      </c>
    </row>
    <row r="4709" spans="1:10" x14ac:dyDescent="0.3">
      <c r="A4709" t="s">
        <v>6</v>
      </c>
      <c r="B4709" t="str">
        <f>"08/21/1998 00:00"</f>
        <v>08/21/1998 00:00</v>
      </c>
      <c r="C4709">
        <v>8.85</v>
      </c>
      <c r="D4709" t="s">
        <v>7</v>
      </c>
      <c r="E4709" s="2" t="s">
        <v>12</v>
      </c>
      <c r="F4709">
        <f t="shared" si="73"/>
        <v>17.54955</v>
      </c>
      <c r="G4709" t="s">
        <v>16</v>
      </c>
      <c r="J4709" t="str">
        <f>"08/21/1998 23:00"</f>
        <v>08/21/1998 23:00</v>
      </c>
    </row>
    <row r="4710" spans="1:10" x14ac:dyDescent="0.3">
      <c r="A4710" t="s">
        <v>6</v>
      </c>
      <c r="B4710" t="str">
        <f>"08/22/1998 00:00"</f>
        <v>08/22/1998 00:00</v>
      </c>
      <c r="C4710">
        <v>8.83</v>
      </c>
      <c r="D4710" t="s">
        <v>7</v>
      </c>
      <c r="E4710" s="2" t="s">
        <v>12</v>
      </c>
      <c r="F4710">
        <f t="shared" si="73"/>
        <v>17.509890000000002</v>
      </c>
      <c r="G4710" t="s">
        <v>16</v>
      </c>
      <c r="J4710" t="str">
        <f>"08/22/1998 23:00"</f>
        <v>08/22/1998 23:00</v>
      </c>
    </row>
    <row r="4711" spans="1:10" x14ac:dyDescent="0.3">
      <c r="A4711" t="s">
        <v>6</v>
      </c>
      <c r="B4711" t="str">
        <f>"08/23/1998 00:00"</f>
        <v>08/23/1998 00:00</v>
      </c>
      <c r="C4711">
        <v>8.83</v>
      </c>
      <c r="D4711" t="s">
        <v>7</v>
      </c>
      <c r="E4711" s="2" t="s">
        <v>12</v>
      </c>
      <c r="F4711">
        <f t="shared" si="73"/>
        <v>17.509890000000002</v>
      </c>
      <c r="G4711" t="s">
        <v>16</v>
      </c>
      <c r="J4711" t="str">
        <f>"08/23/1998 23:00"</f>
        <v>08/23/1998 23:00</v>
      </c>
    </row>
    <row r="4712" spans="1:10" x14ac:dyDescent="0.3">
      <c r="A4712" t="s">
        <v>6</v>
      </c>
      <c r="B4712" t="str">
        <f>"08/24/1998 00:00"</f>
        <v>08/24/1998 00:00</v>
      </c>
      <c r="C4712">
        <v>8.7200000000000006</v>
      </c>
      <c r="D4712" t="s">
        <v>7</v>
      </c>
      <c r="E4712" s="2" t="s">
        <v>12</v>
      </c>
      <c r="F4712">
        <f t="shared" si="73"/>
        <v>17.291760000000004</v>
      </c>
      <c r="G4712" t="s">
        <v>16</v>
      </c>
      <c r="J4712" t="str">
        <f>"08/24/1998 23:00"</f>
        <v>08/24/1998 23:00</v>
      </c>
    </row>
    <row r="4713" spans="1:10" x14ac:dyDescent="0.3">
      <c r="A4713" t="s">
        <v>6</v>
      </c>
      <c r="B4713" t="str">
        <f>"08/25/1998 00:00"</f>
        <v>08/25/1998 00:00</v>
      </c>
      <c r="C4713">
        <v>8.6300000000000008</v>
      </c>
      <c r="D4713" t="s">
        <v>7</v>
      </c>
      <c r="E4713" s="2" t="s">
        <v>12</v>
      </c>
      <c r="F4713">
        <f t="shared" si="73"/>
        <v>17.113290000000003</v>
      </c>
      <c r="G4713" t="s">
        <v>16</v>
      </c>
      <c r="J4713" t="str">
        <f>"08/25/1998 23:00"</f>
        <v>08/25/1998 23:00</v>
      </c>
    </row>
    <row r="4714" spans="1:10" x14ac:dyDescent="0.3">
      <c r="A4714" t="s">
        <v>6</v>
      </c>
      <c r="B4714" t="str">
        <f>"08/26/1998 00:00"</f>
        <v>08/26/1998 00:00</v>
      </c>
      <c r="C4714">
        <v>8.83</v>
      </c>
      <c r="D4714" t="s">
        <v>7</v>
      </c>
      <c r="E4714" s="2" t="s">
        <v>12</v>
      </c>
      <c r="F4714">
        <f t="shared" si="73"/>
        <v>17.509890000000002</v>
      </c>
      <c r="G4714" t="s">
        <v>16</v>
      </c>
      <c r="J4714" t="str">
        <f>"08/26/1998 23:00"</f>
        <v>08/26/1998 23:00</v>
      </c>
    </row>
    <row r="4715" spans="1:10" x14ac:dyDescent="0.3">
      <c r="A4715" t="s">
        <v>6</v>
      </c>
      <c r="B4715" t="str">
        <f>"08/27/1998 00:00"</f>
        <v>08/27/1998 00:00</v>
      </c>
      <c r="C4715">
        <v>8.81</v>
      </c>
      <c r="D4715" t="s">
        <v>7</v>
      </c>
      <c r="E4715" s="2" t="s">
        <v>12</v>
      </c>
      <c r="F4715">
        <f t="shared" si="73"/>
        <v>17.470230000000001</v>
      </c>
      <c r="G4715" t="s">
        <v>16</v>
      </c>
      <c r="J4715" t="str">
        <f>"08/27/1998 23:00"</f>
        <v>08/27/1998 23:00</v>
      </c>
    </row>
    <row r="4716" spans="1:10" x14ac:dyDescent="0.3">
      <c r="A4716" t="s">
        <v>6</v>
      </c>
      <c r="B4716" t="str">
        <f>"08/28/1998 00:00"</f>
        <v>08/28/1998 00:00</v>
      </c>
      <c r="C4716">
        <v>8.81</v>
      </c>
      <c r="D4716" t="s">
        <v>7</v>
      </c>
      <c r="E4716" s="2" t="s">
        <v>12</v>
      </c>
      <c r="F4716">
        <f t="shared" si="73"/>
        <v>17.470230000000001</v>
      </c>
      <c r="G4716" t="s">
        <v>16</v>
      </c>
      <c r="J4716" t="str">
        <f>"08/28/1998 23:00"</f>
        <v>08/28/1998 23:00</v>
      </c>
    </row>
    <row r="4717" spans="1:10" x14ac:dyDescent="0.3">
      <c r="A4717" t="s">
        <v>6</v>
      </c>
      <c r="B4717" t="str">
        <f>"08/29/1998 00:00"</f>
        <v>08/29/1998 00:00</v>
      </c>
      <c r="C4717">
        <v>8.4499999999999993</v>
      </c>
      <c r="D4717" t="s">
        <v>7</v>
      </c>
      <c r="E4717" s="2" t="s">
        <v>12</v>
      </c>
      <c r="F4717">
        <f t="shared" si="73"/>
        <v>16.756349999999998</v>
      </c>
      <c r="G4717" t="s">
        <v>16</v>
      </c>
      <c r="J4717" t="str">
        <f>"08/29/1998 23:00"</f>
        <v>08/29/1998 23:00</v>
      </c>
    </row>
    <row r="4718" spans="1:10" x14ac:dyDescent="0.3">
      <c r="A4718" t="s">
        <v>6</v>
      </c>
      <c r="B4718" t="str">
        <f>"08/30/1998 00:00"</f>
        <v>08/30/1998 00:00</v>
      </c>
      <c r="C4718">
        <v>8.3000000000000007</v>
      </c>
      <c r="D4718" t="s">
        <v>7</v>
      </c>
      <c r="E4718" s="2" t="s">
        <v>12</v>
      </c>
      <c r="F4718">
        <f t="shared" si="73"/>
        <v>16.458900000000003</v>
      </c>
      <c r="G4718" t="s">
        <v>16</v>
      </c>
      <c r="J4718" t="str">
        <f>"08/30/1998 23:00"</f>
        <v>08/30/1998 23:00</v>
      </c>
    </row>
    <row r="4719" spans="1:10" x14ac:dyDescent="0.3">
      <c r="A4719" t="s">
        <v>6</v>
      </c>
      <c r="B4719" t="str">
        <f>"08/31/1998 00:00"</f>
        <v>08/31/1998 00:00</v>
      </c>
      <c r="C4719">
        <v>8.3000000000000007</v>
      </c>
      <c r="D4719" t="s">
        <v>7</v>
      </c>
      <c r="E4719" s="2" t="s">
        <v>12</v>
      </c>
      <c r="F4719">
        <f t="shared" si="73"/>
        <v>16.458900000000003</v>
      </c>
      <c r="G4719" t="s">
        <v>16</v>
      </c>
      <c r="J4719" t="str">
        <f>"08/31/1998 23:00"</f>
        <v>08/31/1998 23:00</v>
      </c>
    </row>
    <row r="4720" spans="1:10" x14ac:dyDescent="0.3">
      <c r="A4720" t="s">
        <v>6</v>
      </c>
      <c r="B4720" t="str">
        <f>"09/01/1998 00:00"</f>
        <v>09/01/1998 00:00</v>
      </c>
      <c r="C4720">
        <v>8.0399999999999991</v>
      </c>
      <c r="D4720" t="s">
        <v>7</v>
      </c>
      <c r="E4720" s="2" t="s">
        <v>12</v>
      </c>
      <c r="F4720">
        <f t="shared" si="73"/>
        <v>15.94332</v>
      </c>
      <c r="G4720" t="s">
        <v>16</v>
      </c>
      <c r="J4720" t="str">
        <f>"09/01/1998 23:00"</f>
        <v>09/01/1998 23:00</v>
      </c>
    </row>
    <row r="4721" spans="1:10" x14ac:dyDescent="0.3">
      <c r="A4721" t="s">
        <v>6</v>
      </c>
      <c r="B4721" t="str">
        <f>"09/02/1998 00:00"</f>
        <v>09/02/1998 00:00</v>
      </c>
      <c r="C4721">
        <v>7.9</v>
      </c>
      <c r="D4721" t="s">
        <v>7</v>
      </c>
      <c r="E4721" s="2" t="s">
        <v>12</v>
      </c>
      <c r="F4721">
        <f t="shared" si="73"/>
        <v>15.665700000000001</v>
      </c>
      <c r="G4721" t="s">
        <v>16</v>
      </c>
      <c r="J4721" t="str">
        <f>"09/02/1998 23:00"</f>
        <v>09/02/1998 23:00</v>
      </c>
    </row>
    <row r="4722" spans="1:10" x14ac:dyDescent="0.3">
      <c r="A4722" t="s">
        <v>6</v>
      </c>
      <c r="B4722" t="str">
        <f>"09/03/1998 00:00"</f>
        <v>09/03/1998 00:00</v>
      </c>
      <c r="C4722">
        <v>7.88</v>
      </c>
      <c r="D4722" t="s">
        <v>7</v>
      </c>
      <c r="E4722" s="2" t="s">
        <v>12</v>
      </c>
      <c r="F4722">
        <f t="shared" si="73"/>
        <v>15.62604</v>
      </c>
      <c r="G4722" t="s">
        <v>16</v>
      </c>
      <c r="J4722" t="str">
        <f>"09/03/1998 23:00"</f>
        <v>09/03/1998 23:00</v>
      </c>
    </row>
    <row r="4723" spans="1:10" x14ac:dyDescent="0.3">
      <c r="A4723" t="s">
        <v>6</v>
      </c>
      <c r="B4723" t="str">
        <f>"09/04/1998 00:00"</f>
        <v>09/04/1998 00:00</v>
      </c>
      <c r="C4723">
        <v>7.77</v>
      </c>
      <c r="D4723" t="s">
        <v>7</v>
      </c>
      <c r="E4723" s="2" t="s">
        <v>12</v>
      </c>
      <c r="F4723">
        <f t="shared" si="73"/>
        <v>15.407909999999999</v>
      </c>
      <c r="G4723" t="s">
        <v>16</v>
      </c>
      <c r="J4723" t="str">
        <f>"09/04/1998 23:00"</f>
        <v>09/04/1998 23:00</v>
      </c>
    </row>
    <row r="4724" spans="1:10" x14ac:dyDescent="0.3">
      <c r="A4724" t="s">
        <v>6</v>
      </c>
      <c r="B4724" t="str">
        <f>"09/05/1998 00:00"</f>
        <v>09/05/1998 00:00</v>
      </c>
      <c r="C4724">
        <v>7.77</v>
      </c>
      <c r="D4724" t="s">
        <v>7</v>
      </c>
      <c r="E4724" s="2" t="s">
        <v>12</v>
      </c>
      <c r="F4724">
        <f t="shared" si="73"/>
        <v>15.407909999999999</v>
      </c>
      <c r="G4724" t="s">
        <v>16</v>
      </c>
      <c r="J4724" t="str">
        <f>"09/05/1998 23:00"</f>
        <v>09/05/1998 23:00</v>
      </c>
    </row>
    <row r="4725" spans="1:10" x14ac:dyDescent="0.3">
      <c r="A4725" t="s">
        <v>6</v>
      </c>
      <c r="B4725" t="str">
        <f>"09/06/1998 00:00"</f>
        <v>09/06/1998 00:00</v>
      </c>
      <c r="C4725">
        <v>7.77</v>
      </c>
      <c r="D4725" t="s">
        <v>7</v>
      </c>
      <c r="E4725" s="2" t="s">
        <v>12</v>
      </c>
      <c r="F4725">
        <f t="shared" si="73"/>
        <v>15.407909999999999</v>
      </c>
      <c r="G4725" t="s">
        <v>16</v>
      </c>
      <c r="J4725" t="str">
        <f>"09/06/1998 23:00"</f>
        <v>09/06/1998 23:00</v>
      </c>
    </row>
    <row r="4726" spans="1:10" x14ac:dyDescent="0.3">
      <c r="A4726" t="s">
        <v>6</v>
      </c>
      <c r="B4726" t="str">
        <f>"09/07/1998 00:00"</f>
        <v>09/07/1998 00:00</v>
      </c>
      <c r="C4726">
        <v>7.77</v>
      </c>
      <c r="D4726" t="s">
        <v>7</v>
      </c>
      <c r="E4726" s="2" t="s">
        <v>12</v>
      </c>
      <c r="F4726">
        <f t="shared" si="73"/>
        <v>15.407909999999999</v>
      </c>
      <c r="G4726" t="s">
        <v>16</v>
      </c>
      <c r="J4726" t="str">
        <f>"09/07/1998 23:00"</f>
        <v>09/07/1998 23:00</v>
      </c>
    </row>
    <row r="4727" spans="1:10" x14ac:dyDescent="0.3">
      <c r="A4727" t="s">
        <v>6</v>
      </c>
      <c r="B4727" t="str">
        <f>"09/08/1998 00:00"</f>
        <v>09/08/1998 00:00</v>
      </c>
      <c r="C4727">
        <v>7.69</v>
      </c>
      <c r="D4727" t="s">
        <v>7</v>
      </c>
      <c r="E4727" s="2" t="s">
        <v>12</v>
      </c>
      <c r="F4727">
        <f t="shared" si="73"/>
        <v>15.249270000000001</v>
      </c>
      <c r="G4727" t="s">
        <v>16</v>
      </c>
      <c r="J4727" t="str">
        <f>"09/08/1998 23:00"</f>
        <v>09/08/1998 23:00</v>
      </c>
    </row>
    <row r="4728" spans="1:10" x14ac:dyDescent="0.3">
      <c r="A4728" t="s">
        <v>6</v>
      </c>
      <c r="B4728" t="str">
        <f>"09/09/1998 00:00"</f>
        <v>09/09/1998 00:00</v>
      </c>
      <c r="C4728">
        <v>7.32</v>
      </c>
      <c r="D4728" t="s">
        <v>7</v>
      </c>
      <c r="E4728" s="2" t="s">
        <v>12</v>
      </c>
      <c r="F4728">
        <f t="shared" si="73"/>
        <v>14.515560000000001</v>
      </c>
      <c r="G4728" t="s">
        <v>16</v>
      </c>
      <c r="J4728" t="str">
        <f>"09/09/1998 23:00"</f>
        <v>09/09/1998 23:00</v>
      </c>
    </row>
    <row r="4729" spans="1:10" x14ac:dyDescent="0.3">
      <c r="A4729" t="s">
        <v>6</v>
      </c>
      <c r="B4729" t="str">
        <f>"09/10/1998 00:00"</f>
        <v>09/10/1998 00:00</v>
      </c>
      <c r="C4729">
        <v>7.26</v>
      </c>
      <c r="D4729" t="s">
        <v>7</v>
      </c>
      <c r="E4729" s="2" t="s">
        <v>12</v>
      </c>
      <c r="F4729">
        <f t="shared" si="73"/>
        <v>14.39658</v>
      </c>
      <c r="G4729" t="s">
        <v>16</v>
      </c>
      <c r="J4729" t="str">
        <f>"09/10/1998 23:00"</f>
        <v>09/10/1998 23:00</v>
      </c>
    </row>
    <row r="4730" spans="1:10" x14ac:dyDescent="0.3">
      <c r="A4730" t="s">
        <v>6</v>
      </c>
      <c r="B4730" t="str">
        <f>"09/11/1998 00:00"</f>
        <v>09/11/1998 00:00</v>
      </c>
      <c r="C4730">
        <v>7.26</v>
      </c>
      <c r="D4730" t="s">
        <v>7</v>
      </c>
      <c r="E4730" s="2" t="s">
        <v>12</v>
      </c>
      <c r="F4730">
        <f t="shared" si="73"/>
        <v>14.39658</v>
      </c>
      <c r="G4730" t="s">
        <v>16</v>
      </c>
      <c r="J4730" t="str">
        <f>"09/11/1998 23:00"</f>
        <v>09/11/1998 23:00</v>
      </c>
    </row>
    <row r="4731" spans="1:10" x14ac:dyDescent="0.3">
      <c r="A4731" t="s">
        <v>6</v>
      </c>
      <c r="B4731" t="str">
        <f>"09/12/1998 00:00"</f>
        <v>09/12/1998 00:00</v>
      </c>
      <c r="C4731">
        <v>7.26</v>
      </c>
      <c r="D4731" t="s">
        <v>7</v>
      </c>
      <c r="E4731" s="2" t="s">
        <v>12</v>
      </c>
      <c r="F4731">
        <f t="shared" si="73"/>
        <v>14.39658</v>
      </c>
      <c r="G4731" t="s">
        <v>16</v>
      </c>
      <c r="J4731" t="str">
        <f>"09/12/1998 23:00"</f>
        <v>09/12/1998 23:00</v>
      </c>
    </row>
    <row r="4732" spans="1:10" x14ac:dyDescent="0.3">
      <c r="A4732" t="s">
        <v>6</v>
      </c>
      <c r="B4732" t="str">
        <f>"09/13/1998 00:00"</f>
        <v>09/13/1998 00:00</v>
      </c>
      <c r="C4732">
        <v>7.26</v>
      </c>
      <c r="D4732" t="s">
        <v>7</v>
      </c>
      <c r="E4732" s="2" t="s">
        <v>12</v>
      </c>
      <c r="F4732">
        <f t="shared" si="73"/>
        <v>14.39658</v>
      </c>
      <c r="G4732" t="s">
        <v>16</v>
      </c>
      <c r="J4732" t="str">
        <f>"09/13/1998 23:00"</f>
        <v>09/13/1998 23:00</v>
      </c>
    </row>
    <row r="4733" spans="1:10" x14ac:dyDescent="0.3">
      <c r="A4733" t="s">
        <v>6</v>
      </c>
      <c r="B4733" t="str">
        <f>"09/14/1998 00:00"</f>
        <v>09/14/1998 00:00</v>
      </c>
      <c r="C4733">
        <v>7.26</v>
      </c>
      <c r="D4733" t="s">
        <v>7</v>
      </c>
      <c r="E4733" s="2" t="s">
        <v>12</v>
      </c>
      <c r="F4733">
        <f t="shared" si="73"/>
        <v>14.39658</v>
      </c>
      <c r="G4733" t="s">
        <v>16</v>
      </c>
      <c r="J4733" t="str">
        <f>"09/14/1998 23:00"</f>
        <v>09/14/1998 23:00</v>
      </c>
    </row>
    <row r="4734" spans="1:10" x14ac:dyDescent="0.3">
      <c r="A4734" t="s">
        <v>6</v>
      </c>
      <c r="B4734" t="str">
        <f>"09/15/1998 00:00"</f>
        <v>09/15/1998 00:00</v>
      </c>
      <c r="C4734">
        <v>7.26</v>
      </c>
      <c r="D4734" t="s">
        <v>7</v>
      </c>
      <c r="E4734" s="2" t="s">
        <v>12</v>
      </c>
      <c r="F4734">
        <f t="shared" si="73"/>
        <v>14.39658</v>
      </c>
      <c r="G4734" t="s">
        <v>16</v>
      </c>
      <c r="J4734" t="str">
        <f>"09/15/1998 23:00"</f>
        <v>09/15/1998 23:00</v>
      </c>
    </row>
    <row r="4735" spans="1:10" x14ac:dyDescent="0.3">
      <c r="A4735" t="s">
        <v>6</v>
      </c>
      <c r="B4735" t="str">
        <f>"09/16/1998 00:00"</f>
        <v>09/16/1998 00:00</v>
      </c>
      <c r="C4735">
        <v>7.14</v>
      </c>
      <c r="D4735" t="s">
        <v>7</v>
      </c>
      <c r="E4735" s="2" t="s">
        <v>12</v>
      </c>
      <c r="F4735">
        <f t="shared" si="73"/>
        <v>14.158620000000001</v>
      </c>
      <c r="G4735" t="s">
        <v>16</v>
      </c>
      <c r="J4735" t="str">
        <f>"09/16/1998 23:00"</f>
        <v>09/16/1998 23:00</v>
      </c>
    </row>
    <row r="4736" spans="1:10" x14ac:dyDescent="0.3">
      <c r="A4736" t="s">
        <v>6</v>
      </c>
      <c r="B4736" t="str">
        <f>"09/17/1998 00:00"</f>
        <v>09/17/1998 00:00</v>
      </c>
      <c r="C4736">
        <v>6.82</v>
      </c>
      <c r="D4736" t="s">
        <v>7</v>
      </c>
      <c r="E4736" s="2" t="s">
        <v>12</v>
      </c>
      <c r="F4736">
        <f t="shared" si="73"/>
        <v>13.52406</v>
      </c>
      <c r="G4736" t="s">
        <v>16</v>
      </c>
      <c r="J4736" t="str">
        <f>"09/17/1998 23:00"</f>
        <v>09/17/1998 23:00</v>
      </c>
    </row>
    <row r="4737" spans="1:10" x14ac:dyDescent="0.3">
      <c r="A4737" t="s">
        <v>6</v>
      </c>
      <c r="B4737" t="str">
        <f>"09/18/1998 00:00"</f>
        <v>09/18/1998 00:00</v>
      </c>
      <c r="C4737">
        <v>6.76</v>
      </c>
      <c r="D4737" t="s">
        <v>7</v>
      </c>
      <c r="E4737" s="2" t="s">
        <v>12</v>
      </c>
      <c r="F4737">
        <f t="shared" si="73"/>
        <v>13.40508</v>
      </c>
      <c r="G4737" t="s">
        <v>16</v>
      </c>
      <c r="J4737" t="str">
        <f>"09/18/1998 23:00"</f>
        <v>09/18/1998 23:00</v>
      </c>
    </row>
    <row r="4738" spans="1:10" x14ac:dyDescent="0.3">
      <c r="A4738" t="s">
        <v>6</v>
      </c>
      <c r="B4738" t="str">
        <f>"09/19/1998 00:00"</f>
        <v>09/19/1998 00:00</v>
      </c>
      <c r="C4738">
        <v>6.76</v>
      </c>
      <c r="D4738" t="s">
        <v>7</v>
      </c>
      <c r="E4738" s="2" t="s">
        <v>12</v>
      </c>
      <c r="F4738">
        <f t="shared" si="73"/>
        <v>13.40508</v>
      </c>
      <c r="G4738" t="s">
        <v>16</v>
      </c>
      <c r="J4738" t="str">
        <f>"09/19/1998 23:00"</f>
        <v>09/19/1998 23:00</v>
      </c>
    </row>
    <row r="4739" spans="1:10" x14ac:dyDescent="0.3">
      <c r="A4739" t="s">
        <v>6</v>
      </c>
      <c r="B4739" t="str">
        <f>"09/20/1998 00:00"</f>
        <v>09/20/1998 00:00</v>
      </c>
      <c r="C4739">
        <v>8.35</v>
      </c>
      <c r="D4739" t="s">
        <v>7</v>
      </c>
      <c r="E4739" s="2" t="s">
        <v>12</v>
      </c>
      <c r="F4739">
        <f t="shared" ref="F4739:F4802" si="74">C4739*1.983</f>
        <v>16.558050000000001</v>
      </c>
      <c r="G4739" t="s">
        <v>16</v>
      </c>
      <c r="J4739" t="str">
        <f>"09/20/1998 23:00"</f>
        <v>09/20/1998 23:00</v>
      </c>
    </row>
    <row r="4740" spans="1:10" x14ac:dyDescent="0.3">
      <c r="A4740" t="s">
        <v>6</v>
      </c>
      <c r="B4740" t="str">
        <f>"09/21/1998 00:00"</f>
        <v>09/21/1998 00:00</v>
      </c>
      <c r="C4740">
        <v>9.3800000000000008</v>
      </c>
      <c r="D4740" t="s">
        <v>7</v>
      </c>
      <c r="E4740" s="2" t="s">
        <v>12</v>
      </c>
      <c r="F4740">
        <f t="shared" si="74"/>
        <v>18.600540000000002</v>
      </c>
      <c r="G4740" t="s">
        <v>16</v>
      </c>
      <c r="J4740" t="str">
        <f>"09/21/1998 23:00"</f>
        <v>09/21/1998 23:00</v>
      </c>
    </row>
    <row r="4741" spans="1:10" x14ac:dyDescent="0.3">
      <c r="A4741" t="s">
        <v>6</v>
      </c>
      <c r="B4741" t="str">
        <f>"09/22/1998 00:00"</f>
        <v>09/22/1998 00:00</v>
      </c>
      <c r="C4741">
        <v>9.3800000000000008</v>
      </c>
      <c r="D4741" t="s">
        <v>7</v>
      </c>
      <c r="E4741" s="2" t="s">
        <v>12</v>
      </c>
      <c r="F4741">
        <f t="shared" si="74"/>
        <v>18.600540000000002</v>
      </c>
      <c r="G4741" t="s">
        <v>16</v>
      </c>
      <c r="J4741" t="str">
        <f>"09/22/1998 23:00"</f>
        <v>09/22/1998 23:00</v>
      </c>
    </row>
    <row r="4742" spans="1:10" x14ac:dyDescent="0.3">
      <c r="A4742" t="s">
        <v>6</v>
      </c>
      <c r="B4742" t="str">
        <f>"09/23/1998 00:00"</f>
        <v>09/23/1998 00:00</v>
      </c>
      <c r="C4742">
        <v>9.3800000000000008</v>
      </c>
      <c r="D4742" t="s">
        <v>7</v>
      </c>
      <c r="E4742" s="2" t="s">
        <v>12</v>
      </c>
      <c r="F4742">
        <f t="shared" si="74"/>
        <v>18.600540000000002</v>
      </c>
      <c r="G4742" t="s">
        <v>16</v>
      </c>
      <c r="J4742" t="str">
        <f>"09/23/1998 23:00"</f>
        <v>09/23/1998 23:00</v>
      </c>
    </row>
    <row r="4743" spans="1:10" x14ac:dyDescent="0.3">
      <c r="A4743" t="s">
        <v>6</v>
      </c>
      <c r="B4743" t="str">
        <f>"09/24/1998 00:00"</f>
        <v>09/24/1998 00:00</v>
      </c>
      <c r="C4743">
        <v>9.3800000000000008</v>
      </c>
      <c r="D4743" t="s">
        <v>7</v>
      </c>
      <c r="E4743" s="2" t="s">
        <v>12</v>
      </c>
      <c r="F4743">
        <f t="shared" si="74"/>
        <v>18.600540000000002</v>
      </c>
      <c r="G4743" t="s">
        <v>16</v>
      </c>
      <c r="J4743" t="str">
        <f>"09/24/1998 23:00"</f>
        <v>09/24/1998 23:00</v>
      </c>
    </row>
    <row r="4744" spans="1:10" x14ac:dyDescent="0.3">
      <c r="A4744" t="s">
        <v>6</v>
      </c>
      <c r="B4744" t="str">
        <f>"09/25/1998 00:00"</f>
        <v>09/25/1998 00:00</v>
      </c>
      <c r="C4744">
        <v>9.1999999999999993</v>
      </c>
      <c r="D4744" t="s">
        <v>7</v>
      </c>
      <c r="E4744" s="2" t="s">
        <v>12</v>
      </c>
      <c r="F4744">
        <f t="shared" si="74"/>
        <v>18.243600000000001</v>
      </c>
      <c r="G4744" t="s">
        <v>16</v>
      </c>
      <c r="J4744" t="str">
        <f>"09/25/1998 23:00"</f>
        <v>09/25/1998 23:00</v>
      </c>
    </row>
    <row r="4745" spans="1:10" x14ac:dyDescent="0.3">
      <c r="A4745" t="s">
        <v>6</v>
      </c>
      <c r="B4745" t="str">
        <f>"09/26/1998 00:00"</f>
        <v>09/26/1998 00:00</v>
      </c>
      <c r="C4745">
        <v>9.0399999999999991</v>
      </c>
      <c r="D4745" t="s">
        <v>7</v>
      </c>
      <c r="E4745" s="2" t="s">
        <v>12</v>
      </c>
      <c r="F4745">
        <f t="shared" si="74"/>
        <v>17.92632</v>
      </c>
      <c r="G4745" t="s">
        <v>16</v>
      </c>
      <c r="J4745" t="str">
        <f>"09/26/1998 23:00"</f>
        <v>09/26/1998 23:00</v>
      </c>
    </row>
    <row r="4746" spans="1:10" x14ac:dyDescent="0.3">
      <c r="A4746" t="s">
        <v>6</v>
      </c>
      <c r="B4746" t="str">
        <f>"09/27/1998 00:00"</f>
        <v>09/27/1998 00:00</v>
      </c>
      <c r="C4746">
        <v>8.85</v>
      </c>
      <c r="D4746" t="s">
        <v>7</v>
      </c>
      <c r="E4746" s="2" t="s">
        <v>12</v>
      </c>
      <c r="F4746">
        <f t="shared" si="74"/>
        <v>17.54955</v>
      </c>
      <c r="G4746" t="s">
        <v>16</v>
      </c>
      <c r="J4746" t="str">
        <f>"09/27/1998 23:00"</f>
        <v>09/27/1998 23:00</v>
      </c>
    </row>
    <row r="4747" spans="1:10" x14ac:dyDescent="0.3">
      <c r="A4747" t="s">
        <v>6</v>
      </c>
      <c r="B4747" t="str">
        <f>"09/28/1998 00:00"</f>
        <v>09/28/1998 00:00</v>
      </c>
      <c r="C4747">
        <v>8.83</v>
      </c>
      <c r="D4747" t="s">
        <v>7</v>
      </c>
      <c r="E4747" s="2" t="s">
        <v>12</v>
      </c>
      <c r="F4747">
        <f t="shared" si="74"/>
        <v>17.509890000000002</v>
      </c>
      <c r="G4747" t="s">
        <v>16</v>
      </c>
      <c r="J4747" t="str">
        <f>"09/28/1998 23:00"</f>
        <v>09/28/1998 23:00</v>
      </c>
    </row>
    <row r="4748" spans="1:10" x14ac:dyDescent="0.3">
      <c r="A4748" t="s">
        <v>6</v>
      </c>
      <c r="B4748" t="str">
        <f>"09/29/1998 00:00"</f>
        <v>09/29/1998 00:00</v>
      </c>
      <c r="C4748">
        <v>8.83</v>
      </c>
      <c r="D4748" t="s">
        <v>7</v>
      </c>
      <c r="E4748" s="2" t="s">
        <v>12</v>
      </c>
      <c r="F4748">
        <f t="shared" si="74"/>
        <v>17.509890000000002</v>
      </c>
      <c r="G4748" t="s">
        <v>16</v>
      </c>
      <c r="J4748" t="str">
        <f>"09/29/1998 23:00"</f>
        <v>09/29/1998 23:00</v>
      </c>
    </row>
    <row r="4749" spans="1:10" x14ac:dyDescent="0.3">
      <c r="A4749" t="s">
        <v>6</v>
      </c>
      <c r="B4749" t="str">
        <f>"09/30/1998 00:00"</f>
        <v>09/30/1998 00:00</v>
      </c>
      <c r="C4749">
        <v>8.83</v>
      </c>
      <c r="D4749" t="s">
        <v>7</v>
      </c>
      <c r="E4749" s="2" t="s">
        <v>12</v>
      </c>
      <c r="F4749">
        <f t="shared" si="74"/>
        <v>17.509890000000002</v>
      </c>
      <c r="G4749" t="s">
        <v>16</v>
      </c>
      <c r="J4749" t="str">
        <f>"09/30/1998 23:00"</f>
        <v>09/30/1998 23:00</v>
      </c>
    </row>
    <row r="4750" spans="1:10" x14ac:dyDescent="0.3">
      <c r="A4750" t="s">
        <v>6</v>
      </c>
      <c r="B4750" t="str">
        <f>"10/01/1998 00:00"</f>
        <v>10/01/1998 00:00</v>
      </c>
      <c r="C4750">
        <v>8.83</v>
      </c>
      <c r="D4750" t="s">
        <v>7</v>
      </c>
      <c r="E4750" s="2" t="s">
        <v>12</v>
      </c>
      <c r="F4750">
        <f t="shared" si="74"/>
        <v>17.509890000000002</v>
      </c>
      <c r="G4750" t="s">
        <v>16</v>
      </c>
      <c r="J4750" t="str">
        <f>"10/01/1998 23:00"</f>
        <v>10/01/1998 23:00</v>
      </c>
    </row>
    <row r="4751" spans="1:10" x14ac:dyDescent="0.3">
      <c r="A4751" t="s">
        <v>6</v>
      </c>
      <c r="B4751" t="str">
        <f>"10/02/1998 00:00"</f>
        <v>10/02/1998 00:00</v>
      </c>
      <c r="C4751">
        <v>8.83</v>
      </c>
      <c r="D4751" t="s">
        <v>7</v>
      </c>
      <c r="E4751" s="2" t="s">
        <v>12</v>
      </c>
      <c r="F4751">
        <f t="shared" si="74"/>
        <v>17.509890000000002</v>
      </c>
      <c r="G4751" t="s">
        <v>16</v>
      </c>
      <c r="J4751" t="str">
        <f>"10/02/1998 23:00"</f>
        <v>10/02/1998 23:00</v>
      </c>
    </row>
    <row r="4752" spans="1:10" x14ac:dyDescent="0.3">
      <c r="A4752" t="s">
        <v>6</v>
      </c>
      <c r="B4752" t="str">
        <f>"10/03/1998 00:00"</f>
        <v>10/03/1998 00:00</v>
      </c>
      <c r="C4752">
        <v>8.83</v>
      </c>
      <c r="D4752" t="s">
        <v>7</v>
      </c>
      <c r="E4752" s="2" t="s">
        <v>12</v>
      </c>
      <c r="F4752">
        <f t="shared" si="74"/>
        <v>17.509890000000002</v>
      </c>
      <c r="G4752" t="s">
        <v>16</v>
      </c>
      <c r="J4752" t="str">
        <f>"10/03/1998 23:00"</f>
        <v>10/03/1998 23:00</v>
      </c>
    </row>
    <row r="4753" spans="1:10" x14ac:dyDescent="0.3">
      <c r="A4753" t="s">
        <v>6</v>
      </c>
      <c r="B4753" t="str">
        <f>"10/04/1998 00:00"</f>
        <v>10/04/1998 00:00</v>
      </c>
      <c r="C4753">
        <v>8.83</v>
      </c>
      <c r="D4753" t="s">
        <v>7</v>
      </c>
      <c r="E4753" s="2" t="s">
        <v>12</v>
      </c>
      <c r="F4753">
        <f t="shared" si="74"/>
        <v>17.509890000000002</v>
      </c>
      <c r="G4753" t="s">
        <v>16</v>
      </c>
      <c r="J4753" t="str">
        <f>"10/04/1998 23:00"</f>
        <v>10/04/1998 23:00</v>
      </c>
    </row>
    <row r="4754" spans="1:10" x14ac:dyDescent="0.3">
      <c r="A4754" t="s">
        <v>6</v>
      </c>
      <c r="B4754" t="str">
        <f>"10/05/1998 00:00"</f>
        <v>10/05/1998 00:00</v>
      </c>
      <c r="C4754">
        <v>8.83</v>
      </c>
      <c r="D4754" t="s">
        <v>7</v>
      </c>
      <c r="E4754" s="2" t="s">
        <v>12</v>
      </c>
      <c r="F4754">
        <f t="shared" si="74"/>
        <v>17.509890000000002</v>
      </c>
      <c r="G4754" t="s">
        <v>16</v>
      </c>
      <c r="J4754" t="str">
        <f>"10/05/1998 23:00"</f>
        <v>10/05/1998 23:00</v>
      </c>
    </row>
    <row r="4755" spans="1:10" x14ac:dyDescent="0.3">
      <c r="A4755" t="s">
        <v>6</v>
      </c>
      <c r="B4755" t="str">
        <f>"10/06/1998 00:00"</f>
        <v>10/06/1998 00:00</v>
      </c>
      <c r="C4755">
        <v>8.83</v>
      </c>
      <c r="D4755" t="s">
        <v>7</v>
      </c>
      <c r="E4755" s="2" t="s">
        <v>12</v>
      </c>
      <c r="F4755">
        <f t="shared" si="74"/>
        <v>17.509890000000002</v>
      </c>
      <c r="G4755" t="s">
        <v>16</v>
      </c>
      <c r="J4755" t="str">
        <f>"10/06/1998 23:00"</f>
        <v>10/06/1998 23:00</v>
      </c>
    </row>
    <row r="4756" spans="1:10" x14ac:dyDescent="0.3">
      <c r="A4756" t="s">
        <v>6</v>
      </c>
      <c r="B4756" t="str">
        <f>"10/07/1998 00:00"</f>
        <v>10/07/1998 00:00</v>
      </c>
      <c r="C4756">
        <v>8.83</v>
      </c>
      <c r="D4756" t="s">
        <v>7</v>
      </c>
      <c r="E4756" s="2" t="s">
        <v>12</v>
      </c>
      <c r="F4756">
        <f t="shared" si="74"/>
        <v>17.509890000000002</v>
      </c>
      <c r="G4756" t="s">
        <v>16</v>
      </c>
      <c r="J4756" t="str">
        <f>"10/07/1998 23:00"</f>
        <v>10/07/1998 23:00</v>
      </c>
    </row>
    <row r="4757" spans="1:10" x14ac:dyDescent="0.3">
      <c r="A4757" t="s">
        <v>6</v>
      </c>
      <c r="B4757" t="str">
        <f>"10/08/1998 00:00"</f>
        <v>10/08/1998 00:00</v>
      </c>
      <c r="C4757">
        <v>8.83</v>
      </c>
      <c r="D4757" t="s">
        <v>7</v>
      </c>
      <c r="E4757" s="2" t="s">
        <v>12</v>
      </c>
      <c r="F4757">
        <f t="shared" si="74"/>
        <v>17.509890000000002</v>
      </c>
      <c r="G4757" t="s">
        <v>16</v>
      </c>
      <c r="J4757" t="str">
        <f>"10/08/1998 23:00"</f>
        <v>10/08/1998 23:00</v>
      </c>
    </row>
    <row r="4758" spans="1:10" x14ac:dyDescent="0.3">
      <c r="A4758" t="s">
        <v>6</v>
      </c>
      <c r="B4758" t="str">
        <f>"10/09/1998 00:00"</f>
        <v>10/09/1998 00:00</v>
      </c>
      <c r="C4758">
        <v>8.83</v>
      </c>
      <c r="D4758" t="s">
        <v>7</v>
      </c>
      <c r="E4758" s="2" t="s">
        <v>12</v>
      </c>
      <c r="F4758">
        <f t="shared" si="74"/>
        <v>17.509890000000002</v>
      </c>
      <c r="G4758" t="s">
        <v>16</v>
      </c>
      <c r="J4758" t="str">
        <f>"10/09/1998 23:00"</f>
        <v>10/09/1998 23:00</v>
      </c>
    </row>
    <row r="4759" spans="1:10" x14ac:dyDescent="0.3">
      <c r="A4759" t="s">
        <v>6</v>
      </c>
      <c r="B4759" t="str">
        <f>"10/10/1998 00:00"</f>
        <v>10/10/1998 00:00</v>
      </c>
      <c r="C4759">
        <v>8.83</v>
      </c>
      <c r="D4759" t="s">
        <v>7</v>
      </c>
      <c r="E4759" s="2" t="s">
        <v>12</v>
      </c>
      <c r="F4759">
        <f t="shared" si="74"/>
        <v>17.509890000000002</v>
      </c>
      <c r="G4759" t="s">
        <v>16</v>
      </c>
      <c r="J4759" t="str">
        <f>"10/10/1998 23:00"</f>
        <v>10/10/1998 23:00</v>
      </c>
    </row>
    <row r="4760" spans="1:10" x14ac:dyDescent="0.3">
      <c r="A4760" t="s">
        <v>6</v>
      </c>
      <c r="B4760" t="str">
        <f>"10/11/1998 00:00"</f>
        <v>10/11/1998 00:00</v>
      </c>
      <c r="C4760">
        <v>8.83</v>
      </c>
      <c r="D4760" t="s">
        <v>7</v>
      </c>
      <c r="E4760" s="2" t="s">
        <v>12</v>
      </c>
      <c r="F4760">
        <f t="shared" si="74"/>
        <v>17.509890000000002</v>
      </c>
      <c r="G4760" t="s">
        <v>16</v>
      </c>
      <c r="J4760" t="str">
        <f>"10/11/1998 23:00"</f>
        <v>10/11/1998 23:00</v>
      </c>
    </row>
    <row r="4761" spans="1:10" x14ac:dyDescent="0.3">
      <c r="A4761" t="s">
        <v>6</v>
      </c>
      <c r="B4761" t="str">
        <f>"10/12/1998 00:00"</f>
        <v>10/12/1998 00:00</v>
      </c>
      <c r="C4761">
        <v>8.83</v>
      </c>
      <c r="D4761" t="s">
        <v>7</v>
      </c>
      <c r="E4761" s="2" t="s">
        <v>12</v>
      </c>
      <c r="F4761">
        <f t="shared" si="74"/>
        <v>17.509890000000002</v>
      </c>
      <c r="G4761" t="s">
        <v>16</v>
      </c>
      <c r="J4761" t="str">
        <f>"10/12/1998 23:00"</f>
        <v>10/12/1998 23:00</v>
      </c>
    </row>
    <row r="4762" spans="1:10" x14ac:dyDescent="0.3">
      <c r="A4762" t="s">
        <v>6</v>
      </c>
      <c r="B4762" t="str">
        <f>"10/13/1998 00:00"</f>
        <v>10/13/1998 00:00</v>
      </c>
      <c r="C4762">
        <v>8.83</v>
      </c>
      <c r="D4762" t="s">
        <v>7</v>
      </c>
      <c r="E4762" s="2" t="s">
        <v>12</v>
      </c>
      <c r="F4762">
        <f t="shared" si="74"/>
        <v>17.509890000000002</v>
      </c>
      <c r="G4762" t="s">
        <v>16</v>
      </c>
      <c r="J4762" t="str">
        <f>"10/13/1998 23:00"</f>
        <v>10/13/1998 23:00</v>
      </c>
    </row>
    <row r="4763" spans="1:10" x14ac:dyDescent="0.3">
      <c r="A4763" t="s">
        <v>6</v>
      </c>
      <c r="B4763" t="str">
        <f>"10/14/1998 00:00"</f>
        <v>10/14/1998 00:00</v>
      </c>
      <c r="C4763">
        <v>8.83</v>
      </c>
      <c r="D4763" t="s">
        <v>7</v>
      </c>
      <c r="E4763" s="2" t="s">
        <v>12</v>
      </c>
      <c r="F4763">
        <f t="shared" si="74"/>
        <v>17.509890000000002</v>
      </c>
      <c r="G4763" t="s">
        <v>16</v>
      </c>
      <c r="J4763" t="str">
        <f>"10/14/1998 23:00"</f>
        <v>10/14/1998 23:00</v>
      </c>
    </row>
    <row r="4764" spans="1:10" x14ac:dyDescent="0.3">
      <c r="A4764" t="s">
        <v>6</v>
      </c>
      <c r="B4764" t="str">
        <f>"10/15/1998 00:00"</f>
        <v>10/15/1998 00:00</v>
      </c>
      <c r="C4764">
        <v>5.95</v>
      </c>
      <c r="D4764" t="s">
        <v>7</v>
      </c>
      <c r="E4764" s="2" t="s">
        <v>12</v>
      </c>
      <c r="F4764">
        <f t="shared" si="74"/>
        <v>11.798850000000002</v>
      </c>
      <c r="G4764" t="s">
        <v>16</v>
      </c>
      <c r="I4764" t="s">
        <v>8</v>
      </c>
      <c r="J4764" t="str">
        <f>"10/15/1998 23:00"</f>
        <v>10/15/1998 23:00</v>
      </c>
    </row>
    <row r="4765" spans="1:10" x14ac:dyDescent="0.3">
      <c r="A4765" t="s">
        <v>6</v>
      </c>
      <c r="B4765" t="str">
        <f>"10/16/1998 00:00"</f>
        <v>10/16/1998 00:00</v>
      </c>
      <c r="C4765">
        <v>1.92</v>
      </c>
      <c r="D4765" t="s">
        <v>7</v>
      </c>
      <c r="E4765" s="2" t="s">
        <v>12</v>
      </c>
      <c r="F4765">
        <f t="shared" si="74"/>
        <v>3.8073600000000001</v>
      </c>
      <c r="G4765" t="s">
        <v>16</v>
      </c>
      <c r="I4765" t="s">
        <v>34</v>
      </c>
      <c r="J4765" t="str">
        <f>"10/16/1998 23:00"</f>
        <v>10/16/1998 23:00</v>
      </c>
    </row>
    <row r="4766" spans="1:10" x14ac:dyDescent="0.3">
      <c r="A4766" t="s">
        <v>6</v>
      </c>
      <c r="B4766" t="str">
        <f>"10/17/1998 00:00"</f>
        <v>10/17/1998 00:00</v>
      </c>
      <c r="C4766">
        <v>1.92</v>
      </c>
      <c r="D4766" t="s">
        <v>7</v>
      </c>
      <c r="E4766" s="2" t="s">
        <v>12</v>
      </c>
      <c r="F4766">
        <f t="shared" si="74"/>
        <v>3.8073600000000001</v>
      </c>
      <c r="G4766" t="s">
        <v>16</v>
      </c>
      <c r="I4766" t="s">
        <v>34</v>
      </c>
      <c r="J4766" t="str">
        <f>"10/17/1998 23:00"</f>
        <v>10/17/1998 23:00</v>
      </c>
    </row>
    <row r="4767" spans="1:10" x14ac:dyDescent="0.3">
      <c r="A4767" t="s">
        <v>6</v>
      </c>
      <c r="B4767" t="str">
        <f>"10/18/1998 00:00"</f>
        <v>10/18/1998 00:00</v>
      </c>
      <c r="C4767">
        <v>1.92</v>
      </c>
      <c r="D4767" t="s">
        <v>7</v>
      </c>
      <c r="E4767" s="2" t="s">
        <v>12</v>
      </c>
      <c r="F4767">
        <f t="shared" si="74"/>
        <v>3.8073600000000001</v>
      </c>
      <c r="G4767" t="s">
        <v>16</v>
      </c>
      <c r="I4767" t="s">
        <v>34</v>
      </c>
      <c r="J4767" t="str">
        <f>"10/18/1998 23:00"</f>
        <v>10/18/1998 23:00</v>
      </c>
    </row>
    <row r="4768" spans="1:10" x14ac:dyDescent="0.3">
      <c r="A4768" t="s">
        <v>6</v>
      </c>
      <c r="B4768" t="str">
        <f>"10/19/1998 00:00"</f>
        <v>10/19/1998 00:00</v>
      </c>
      <c r="C4768">
        <v>1.92</v>
      </c>
      <c r="D4768" t="s">
        <v>7</v>
      </c>
      <c r="E4768" s="2" t="s">
        <v>12</v>
      </c>
      <c r="F4768">
        <f t="shared" si="74"/>
        <v>3.8073600000000001</v>
      </c>
      <c r="G4768" t="s">
        <v>16</v>
      </c>
      <c r="I4768" t="s">
        <v>34</v>
      </c>
      <c r="J4768" t="str">
        <f>"10/19/1998 23:00"</f>
        <v>10/19/1998 23:00</v>
      </c>
    </row>
    <row r="4769" spans="1:10" x14ac:dyDescent="0.3">
      <c r="A4769" t="s">
        <v>6</v>
      </c>
      <c r="B4769" t="str">
        <f>"10/20/1998 00:00"</f>
        <v>10/20/1998 00:00</v>
      </c>
      <c r="C4769">
        <v>1.92</v>
      </c>
      <c r="D4769" t="s">
        <v>7</v>
      </c>
      <c r="E4769" s="2" t="s">
        <v>12</v>
      </c>
      <c r="F4769">
        <f t="shared" si="74"/>
        <v>3.8073600000000001</v>
      </c>
      <c r="G4769" t="s">
        <v>16</v>
      </c>
      <c r="I4769" t="s">
        <v>34</v>
      </c>
      <c r="J4769" t="str">
        <f>"10/20/1998 23:00"</f>
        <v>10/20/1998 23:00</v>
      </c>
    </row>
    <row r="4770" spans="1:10" x14ac:dyDescent="0.3">
      <c r="A4770" t="s">
        <v>6</v>
      </c>
      <c r="B4770" t="str">
        <f>"10/21/1998 00:00"</f>
        <v>10/21/1998 00:00</v>
      </c>
      <c r="C4770">
        <v>2.1</v>
      </c>
      <c r="D4770" t="s">
        <v>7</v>
      </c>
      <c r="E4770" s="2" t="s">
        <v>12</v>
      </c>
      <c r="F4770">
        <f t="shared" si="74"/>
        <v>4.1643000000000008</v>
      </c>
      <c r="G4770" t="s">
        <v>16</v>
      </c>
      <c r="I4770" t="s">
        <v>34</v>
      </c>
      <c r="J4770" t="str">
        <f>"10/21/1998 23:00"</f>
        <v>10/21/1998 23:00</v>
      </c>
    </row>
    <row r="4771" spans="1:10" x14ac:dyDescent="0.3">
      <c r="A4771" t="s">
        <v>6</v>
      </c>
      <c r="B4771" t="str">
        <f>"10/22/1998 00:00"</f>
        <v>10/22/1998 00:00</v>
      </c>
      <c r="C4771">
        <v>2.23</v>
      </c>
      <c r="D4771" t="s">
        <v>7</v>
      </c>
      <c r="E4771" s="2" t="s">
        <v>12</v>
      </c>
      <c r="F4771">
        <f t="shared" si="74"/>
        <v>4.4220899999999999</v>
      </c>
      <c r="G4771" t="s">
        <v>16</v>
      </c>
      <c r="I4771" t="s">
        <v>34</v>
      </c>
      <c r="J4771" t="str">
        <f>"10/22/1998 23:00"</f>
        <v>10/22/1998 23:00</v>
      </c>
    </row>
    <row r="4772" spans="1:10" x14ac:dyDescent="0.3">
      <c r="A4772" t="s">
        <v>6</v>
      </c>
      <c r="B4772" t="str">
        <f>"10/23/1998 00:00"</f>
        <v>10/23/1998 00:00</v>
      </c>
      <c r="C4772">
        <v>2.23</v>
      </c>
      <c r="D4772" t="s">
        <v>7</v>
      </c>
      <c r="E4772" s="2" t="s">
        <v>12</v>
      </c>
      <c r="F4772">
        <f t="shared" si="74"/>
        <v>4.4220899999999999</v>
      </c>
      <c r="G4772" t="s">
        <v>16</v>
      </c>
      <c r="I4772" t="s">
        <v>34</v>
      </c>
      <c r="J4772" t="str">
        <f>"10/23/1998 23:00"</f>
        <v>10/23/1998 23:00</v>
      </c>
    </row>
    <row r="4773" spans="1:10" x14ac:dyDescent="0.3">
      <c r="A4773" t="s">
        <v>6</v>
      </c>
      <c r="B4773" t="str">
        <f>"10/24/1998 00:00"</f>
        <v>10/24/1998 00:00</v>
      </c>
      <c r="C4773">
        <v>2.23</v>
      </c>
      <c r="D4773" t="s">
        <v>7</v>
      </c>
      <c r="E4773" s="2" t="s">
        <v>12</v>
      </c>
      <c r="F4773">
        <f t="shared" si="74"/>
        <v>4.4220899999999999</v>
      </c>
      <c r="G4773" t="s">
        <v>16</v>
      </c>
      <c r="I4773" t="s">
        <v>34</v>
      </c>
      <c r="J4773" t="str">
        <f>"10/24/1998 23:00"</f>
        <v>10/24/1998 23:00</v>
      </c>
    </row>
    <row r="4774" spans="1:10" x14ac:dyDescent="0.3">
      <c r="A4774" t="s">
        <v>6</v>
      </c>
      <c r="B4774" t="str">
        <f>"10/25/1998 00:00"</f>
        <v>10/25/1998 00:00</v>
      </c>
      <c r="C4774">
        <v>2.23</v>
      </c>
      <c r="D4774" t="s">
        <v>7</v>
      </c>
      <c r="E4774" s="2" t="s">
        <v>12</v>
      </c>
      <c r="F4774">
        <f t="shared" si="74"/>
        <v>4.4220899999999999</v>
      </c>
      <c r="G4774" t="s">
        <v>16</v>
      </c>
      <c r="I4774" t="s">
        <v>34</v>
      </c>
      <c r="J4774" t="str">
        <f>"10/25/1998 23:00"</f>
        <v>10/25/1998 23:00</v>
      </c>
    </row>
    <row r="4775" spans="1:10" x14ac:dyDescent="0.3">
      <c r="A4775" t="s">
        <v>6</v>
      </c>
      <c r="B4775" t="str">
        <f>"10/26/1998 00:00"</f>
        <v>10/26/1998 00:00</v>
      </c>
      <c r="C4775">
        <v>2.23</v>
      </c>
      <c r="D4775" t="s">
        <v>7</v>
      </c>
      <c r="E4775" s="2" t="s">
        <v>12</v>
      </c>
      <c r="F4775">
        <f t="shared" si="74"/>
        <v>4.4220899999999999</v>
      </c>
      <c r="G4775" t="s">
        <v>16</v>
      </c>
      <c r="I4775" t="s">
        <v>34</v>
      </c>
      <c r="J4775" t="str">
        <f>"10/26/1998 23:00"</f>
        <v>10/26/1998 23:00</v>
      </c>
    </row>
    <row r="4776" spans="1:10" x14ac:dyDescent="0.3">
      <c r="A4776" t="s">
        <v>6</v>
      </c>
      <c r="B4776" t="str">
        <f>"10/27/1998 00:00"</f>
        <v>10/27/1998 00:00</v>
      </c>
      <c r="C4776">
        <v>2.2999999999999998</v>
      </c>
      <c r="D4776" t="s">
        <v>7</v>
      </c>
      <c r="E4776" s="2" t="s">
        <v>12</v>
      </c>
      <c r="F4776">
        <f t="shared" si="74"/>
        <v>4.5609000000000002</v>
      </c>
      <c r="G4776" t="s">
        <v>16</v>
      </c>
      <c r="I4776" t="s">
        <v>34</v>
      </c>
      <c r="J4776" t="str">
        <f>"10/27/1998 23:00"</f>
        <v>10/27/1998 23:00</v>
      </c>
    </row>
    <row r="4777" spans="1:10" x14ac:dyDescent="0.3">
      <c r="A4777" t="s">
        <v>6</v>
      </c>
      <c r="B4777" t="str">
        <f>"10/28/1998 00:00"</f>
        <v>10/28/1998 00:00</v>
      </c>
      <c r="C4777">
        <v>2.4</v>
      </c>
      <c r="D4777" t="s">
        <v>7</v>
      </c>
      <c r="E4777" s="2" t="s">
        <v>12</v>
      </c>
      <c r="F4777">
        <f t="shared" si="74"/>
        <v>4.7591999999999999</v>
      </c>
      <c r="G4777" t="s">
        <v>16</v>
      </c>
      <c r="I4777" t="s">
        <v>34</v>
      </c>
      <c r="J4777" t="str">
        <f>"10/28/1998 23:00"</f>
        <v>10/28/1998 23:00</v>
      </c>
    </row>
    <row r="4778" spans="1:10" x14ac:dyDescent="0.3">
      <c r="A4778" t="s">
        <v>6</v>
      </c>
      <c r="B4778" t="str">
        <f>"10/29/1998 00:00"</f>
        <v>10/29/1998 00:00</v>
      </c>
      <c r="C4778">
        <v>2.56</v>
      </c>
      <c r="D4778" t="s">
        <v>7</v>
      </c>
      <c r="E4778" s="2" t="s">
        <v>12</v>
      </c>
      <c r="F4778">
        <f t="shared" si="74"/>
        <v>5.0764800000000001</v>
      </c>
      <c r="G4778" t="s">
        <v>16</v>
      </c>
      <c r="I4778" t="s">
        <v>34</v>
      </c>
      <c r="J4778" t="str">
        <f>"10/29/1998 23:00"</f>
        <v>10/29/1998 23:00</v>
      </c>
    </row>
    <row r="4779" spans="1:10" x14ac:dyDescent="0.3">
      <c r="A4779" t="s">
        <v>6</v>
      </c>
      <c r="B4779" t="str">
        <f>"10/30/1998 00:00"</f>
        <v>10/30/1998 00:00</v>
      </c>
      <c r="C4779">
        <v>2.56</v>
      </c>
      <c r="D4779" t="s">
        <v>7</v>
      </c>
      <c r="E4779" s="2" t="s">
        <v>12</v>
      </c>
      <c r="F4779">
        <f t="shared" si="74"/>
        <v>5.0764800000000001</v>
      </c>
      <c r="G4779" t="s">
        <v>16</v>
      </c>
      <c r="I4779" t="s">
        <v>34</v>
      </c>
      <c r="J4779" t="str">
        <f>"10/30/1998 23:00"</f>
        <v>10/30/1998 23:00</v>
      </c>
    </row>
    <row r="4780" spans="1:10" x14ac:dyDescent="0.3">
      <c r="A4780" t="s">
        <v>6</v>
      </c>
      <c r="B4780" t="str">
        <f>"10/31/1998 00:00"</f>
        <v>10/31/1998 00:00</v>
      </c>
      <c r="C4780">
        <v>9.7899999999999991</v>
      </c>
      <c r="D4780" t="s">
        <v>7</v>
      </c>
      <c r="E4780" s="2" t="s">
        <v>12</v>
      </c>
      <c r="F4780">
        <f t="shared" si="74"/>
        <v>19.41357</v>
      </c>
      <c r="G4780" t="s">
        <v>16</v>
      </c>
      <c r="I4780" t="s">
        <v>8</v>
      </c>
      <c r="J4780" t="str">
        <f>"10/31/1998 23:00"</f>
        <v>10/31/1998 23:00</v>
      </c>
    </row>
    <row r="4781" spans="1:10" x14ac:dyDescent="0.3">
      <c r="A4781" t="s">
        <v>6</v>
      </c>
      <c r="B4781" t="str">
        <f>"11/01/1998 00:00"</f>
        <v>11/01/1998 00:00</v>
      </c>
      <c r="C4781">
        <v>11.7</v>
      </c>
      <c r="D4781" t="s">
        <v>7</v>
      </c>
      <c r="E4781" s="2" t="s">
        <v>12</v>
      </c>
      <c r="F4781">
        <f t="shared" si="74"/>
        <v>23.2011</v>
      </c>
      <c r="G4781" t="s">
        <v>16</v>
      </c>
      <c r="J4781" t="str">
        <f>"11/01/1998 23:00"</f>
        <v>11/01/1998 23:00</v>
      </c>
    </row>
    <row r="4782" spans="1:10" x14ac:dyDescent="0.3">
      <c r="A4782" t="s">
        <v>6</v>
      </c>
      <c r="B4782" t="str">
        <f>"11/02/1998 00:00"</f>
        <v>11/02/1998 00:00</v>
      </c>
      <c r="C4782">
        <v>9.01</v>
      </c>
      <c r="D4782" t="s">
        <v>7</v>
      </c>
      <c r="E4782" s="2" t="s">
        <v>12</v>
      </c>
      <c r="F4782">
        <f t="shared" si="74"/>
        <v>17.86683</v>
      </c>
      <c r="G4782" t="s">
        <v>16</v>
      </c>
      <c r="J4782" t="str">
        <f>"11/02/1998 23:00"</f>
        <v>11/02/1998 23:00</v>
      </c>
    </row>
    <row r="4783" spans="1:10" x14ac:dyDescent="0.3">
      <c r="A4783" t="s">
        <v>6</v>
      </c>
      <c r="B4783" t="str">
        <f>"11/03/1998 00:00"</f>
        <v>11/03/1998 00:00</v>
      </c>
      <c r="C4783">
        <v>7.26</v>
      </c>
      <c r="D4783" t="s">
        <v>7</v>
      </c>
      <c r="E4783" s="2" t="s">
        <v>12</v>
      </c>
      <c r="F4783">
        <f t="shared" si="74"/>
        <v>14.39658</v>
      </c>
      <c r="G4783" t="s">
        <v>16</v>
      </c>
      <c r="J4783" t="str">
        <f>"11/03/1998 23:00"</f>
        <v>11/03/1998 23:00</v>
      </c>
    </row>
    <row r="4784" spans="1:10" x14ac:dyDescent="0.3">
      <c r="A4784" t="s">
        <v>6</v>
      </c>
      <c r="B4784" t="str">
        <f>"11/04/1998 00:00"</f>
        <v>11/04/1998 00:00</v>
      </c>
      <c r="C4784">
        <v>7.26</v>
      </c>
      <c r="D4784" t="s">
        <v>7</v>
      </c>
      <c r="E4784" s="2" t="s">
        <v>12</v>
      </c>
      <c r="F4784">
        <f t="shared" si="74"/>
        <v>14.39658</v>
      </c>
      <c r="G4784" t="s">
        <v>16</v>
      </c>
      <c r="I4784" t="s">
        <v>8</v>
      </c>
      <c r="J4784" t="str">
        <f>"11/04/1998 23:00"</f>
        <v>11/04/1998 23:00</v>
      </c>
    </row>
    <row r="4785" spans="1:10" x14ac:dyDescent="0.3">
      <c r="A4785" t="s">
        <v>6</v>
      </c>
      <c r="B4785" t="str">
        <f>"11/05/1998 00:00"</f>
        <v>11/05/1998 00:00</v>
      </c>
      <c r="C4785">
        <v>7.26</v>
      </c>
      <c r="D4785" t="s">
        <v>7</v>
      </c>
      <c r="E4785" s="2" t="s">
        <v>12</v>
      </c>
      <c r="F4785">
        <f t="shared" si="74"/>
        <v>14.39658</v>
      </c>
      <c r="G4785" t="s">
        <v>16</v>
      </c>
      <c r="J4785" t="str">
        <f>"11/05/1998 23:00"</f>
        <v>11/05/1998 23:00</v>
      </c>
    </row>
    <row r="4786" spans="1:10" x14ac:dyDescent="0.3">
      <c r="A4786" t="s">
        <v>6</v>
      </c>
      <c r="B4786" t="str">
        <f>"11/06/1998 00:00"</f>
        <v>11/06/1998 00:00</v>
      </c>
      <c r="C4786">
        <v>16.100000000000001</v>
      </c>
      <c r="D4786" t="s">
        <v>7</v>
      </c>
      <c r="E4786" s="2" t="s">
        <v>12</v>
      </c>
      <c r="F4786">
        <f t="shared" si="74"/>
        <v>31.926300000000005</v>
      </c>
      <c r="G4786" t="s">
        <v>16</v>
      </c>
      <c r="J4786" t="str">
        <f>"11/06/1998 23:00"</f>
        <v>11/06/1998 23:00</v>
      </c>
    </row>
    <row r="4787" spans="1:10" x14ac:dyDescent="0.3">
      <c r="A4787" t="s">
        <v>6</v>
      </c>
      <c r="B4787" t="str">
        <f>"11/07/1998 00:00"</f>
        <v>11/07/1998 00:00</v>
      </c>
      <c r="C4787">
        <v>26.1</v>
      </c>
      <c r="D4787" t="s">
        <v>7</v>
      </c>
      <c r="E4787" s="2" t="s">
        <v>12</v>
      </c>
      <c r="F4787">
        <f t="shared" si="74"/>
        <v>51.756300000000003</v>
      </c>
      <c r="G4787" t="s">
        <v>16</v>
      </c>
      <c r="J4787" t="str">
        <f>"11/07/1998 23:00"</f>
        <v>11/07/1998 23:00</v>
      </c>
    </row>
    <row r="4788" spans="1:10" x14ac:dyDescent="0.3">
      <c r="A4788" t="s">
        <v>6</v>
      </c>
      <c r="B4788" t="str">
        <f>"11/08/1998 00:00"</f>
        <v>11/08/1998 00:00</v>
      </c>
      <c r="C4788">
        <v>12.4</v>
      </c>
      <c r="D4788" t="s">
        <v>7</v>
      </c>
      <c r="E4788" s="2" t="s">
        <v>12</v>
      </c>
      <c r="F4788">
        <f t="shared" si="74"/>
        <v>24.589200000000002</v>
      </c>
      <c r="G4788" t="s">
        <v>16</v>
      </c>
      <c r="J4788" t="str">
        <f>"11/08/1998 23:00"</f>
        <v>11/08/1998 23:00</v>
      </c>
    </row>
    <row r="4789" spans="1:10" x14ac:dyDescent="0.3">
      <c r="A4789" t="s">
        <v>6</v>
      </c>
      <c r="B4789" t="str">
        <f>"11/09/1998 00:00"</f>
        <v>11/09/1998 00:00</v>
      </c>
      <c r="C4789">
        <v>6.58</v>
      </c>
      <c r="D4789" t="s">
        <v>7</v>
      </c>
      <c r="E4789" s="2" t="s">
        <v>12</v>
      </c>
      <c r="F4789">
        <f t="shared" si="74"/>
        <v>13.04814</v>
      </c>
      <c r="G4789" t="s">
        <v>16</v>
      </c>
      <c r="J4789" t="str">
        <f>"11/09/1998 23:00"</f>
        <v>11/09/1998 23:00</v>
      </c>
    </row>
    <row r="4790" spans="1:10" x14ac:dyDescent="0.3">
      <c r="A4790" t="s">
        <v>6</v>
      </c>
      <c r="B4790" t="str">
        <f>"11/10/1998 00:00"</f>
        <v>11/10/1998 00:00</v>
      </c>
      <c r="C4790">
        <v>6.76</v>
      </c>
      <c r="D4790" t="s">
        <v>7</v>
      </c>
      <c r="E4790" s="2" t="s">
        <v>12</v>
      </c>
      <c r="F4790">
        <f t="shared" si="74"/>
        <v>13.40508</v>
      </c>
      <c r="G4790" t="s">
        <v>16</v>
      </c>
      <c r="J4790" t="str">
        <f>"11/10/1998 23:00"</f>
        <v>11/10/1998 23:00</v>
      </c>
    </row>
    <row r="4791" spans="1:10" x14ac:dyDescent="0.3">
      <c r="A4791" t="s">
        <v>6</v>
      </c>
      <c r="B4791" t="str">
        <f>"11/11/1998 00:00"</f>
        <v>11/11/1998 00:00</v>
      </c>
      <c r="C4791">
        <v>7.79</v>
      </c>
      <c r="D4791" t="s">
        <v>7</v>
      </c>
      <c r="E4791" s="2" t="s">
        <v>12</v>
      </c>
      <c r="F4791">
        <f t="shared" si="74"/>
        <v>15.447570000000001</v>
      </c>
      <c r="G4791" t="s">
        <v>16</v>
      </c>
      <c r="J4791" t="str">
        <f>"11/11/1998 23:00"</f>
        <v>11/11/1998 23:00</v>
      </c>
    </row>
    <row r="4792" spans="1:10" x14ac:dyDescent="0.3">
      <c r="A4792" t="s">
        <v>6</v>
      </c>
      <c r="B4792" t="str">
        <f>"11/12/1998 00:00"</f>
        <v>11/12/1998 00:00</v>
      </c>
      <c r="C4792">
        <v>8.3000000000000007</v>
      </c>
      <c r="D4792" t="s">
        <v>7</v>
      </c>
      <c r="E4792" s="2" t="s">
        <v>12</v>
      </c>
      <c r="F4792">
        <f t="shared" si="74"/>
        <v>16.458900000000003</v>
      </c>
      <c r="G4792" t="s">
        <v>16</v>
      </c>
      <c r="J4792" t="str">
        <f>"11/12/1998 23:00"</f>
        <v>11/12/1998 23:00</v>
      </c>
    </row>
    <row r="4793" spans="1:10" x14ac:dyDescent="0.3">
      <c r="A4793" t="s">
        <v>6</v>
      </c>
      <c r="B4793" t="str">
        <f>"11/13/1998 00:00"</f>
        <v>11/13/1998 00:00</v>
      </c>
      <c r="C4793">
        <v>9.51</v>
      </c>
      <c r="D4793" t="s">
        <v>7</v>
      </c>
      <c r="E4793" s="2" t="s">
        <v>12</v>
      </c>
      <c r="F4793">
        <f t="shared" si="74"/>
        <v>18.858330000000002</v>
      </c>
      <c r="G4793" t="s">
        <v>16</v>
      </c>
      <c r="J4793" t="str">
        <f>"11/13/1998 23:00"</f>
        <v>11/13/1998 23:00</v>
      </c>
    </row>
    <row r="4794" spans="1:10" x14ac:dyDescent="0.3">
      <c r="A4794" t="s">
        <v>6</v>
      </c>
      <c r="B4794" t="str">
        <f>"11/14/1998 00:00"</f>
        <v>11/14/1998 00:00</v>
      </c>
      <c r="C4794">
        <v>9.86</v>
      </c>
      <c r="D4794" t="s">
        <v>7</v>
      </c>
      <c r="E4794" s="2" t="s">
        <v>12</v>
      </c>
      <c r="F4794">
        <f t="shared" si="74"/>
        <v>19.552379999999999</v>
      </c>
      <c r="G4794" t="s">
        <v>16</v>
      </c>
      <c r="J4794" t="str">
        <f>"11/14/1998 23:00"</f>
        <v>11/14/1998 23:00</v>
      </c>
    </row>
    <row r="4795" spans="1:10" x14ac:dyDescent="0.3">
      <c r="A4795" t="s">
        <v>6</v>
      </c>
      <c r="B4795" t="str">
        <f>"11/15/1998 00:00"</f>
        <v>11/15/1998 00:00</v>
      </c>
      <c r="C4795">
        <v>9.9</v>
      </c>
      <c r="D4795" t="s">
        <v>7</v>
      </c>
      <c r="E4795" s="2" t="s">
        <v>12</v>
      </c>
      <c r="F4795">
        <f t="shared" si="74"/>
        <v>19.631700000000002</v>
      </c>
      <c r="G4795" t="s">
        <v>16</v>
      </c>
      <c r="J4795" t="str">
        <f>"11/15/1998 23:00"</f>
        <v>11/15/1998 23:00</v>
      </c>
    </row>
    <row r="4796" spans="1:10" x14ac:dyDescent="0.3">
      <c r="A4796" t="s">
        <v>6</v>
      </c>
      <c r="B4796" t="str">
        <f>"11/16/1998 00:00"</f>
        <v>11/16/1998 00:00</v>
      </c>
      <c r="C4796">
        <v>9.9499999999999993</v>
      </c>
      <c r="D4796" t="s">
        <v>7</v>
      </c>
      <c r="E4796" s="2" t="s">
        <v>12</v>
      </c>
      <c r="F4796">
        <f t="shared" si="74"/>
        <v>19.73085</v>
      </c>
      <c r="G4796" t="s">
        <v>16</v>
      </c>
      <c r="J4796" t="str">
        <f>"11/16/1998 23:00"</f>
        <v>11/16/1998 23:00</v>
      </c>
    </row>
    <row r="4797" spans="1:10" x14ac:dyDescent="0.3">
      <c r="A4797" t="s">
        <v>6</v>
      </c>
      <c r="B4797" t="str">
        <f>"11/17/1998 00:00"</f>
        <v>11/17/1998 00:00</v>
      </c>
      <c r="C4797">
        <v>9.9499999999999993</v>
      </c>
      <c r="D4797" t="s">
        <v>7</v>
      </c>
      <c r="E4797" s="2" t="s">
        <v>12</v>
      </c>
      <c r="F4797">
        <f t="shared" si="74"/>
        <v>19.73085</v>
      </c>
      <c r="G4797" t="s">
        <v>16</v>
      </c>
      <c r="J4797" t="str">
        <f>"11/17/1998 23:00"</f>
        <v>11/17/1998 23:00</v>
      </c>
    </row>
    <row r="4798" spans="1:10" x14ac:dyDescent="0.3">
      <c r="A4798" t="s">
        <v>6</v>
      </c>
      <c r="B4798" t="str">
        <f>"11/18/1998 00:00"</f>
        <v>11/18/1998 00:00</v>
      </c>
      <c r="C4798">
        <v>9.9499999999999993</v>
      </c>
      <c r="D4798" t="s">
        <v>7</v>
      </c>
      <c r="E4798" s="2" t="s">
        <v>12</v>
      </c>
      <c r="F4798">
        <f t="shared" si="74"/>
        <v>19.73085</v>
      </c>
      <c r="G4798" t="s">
        <v>16</v>
      </c>
      <c r="J4798" t="str">
        <f>"11/18/1998 23:00"</f>
        <v>11/18/1998 23:00</v>
      </c>
    </row>
    <row r="4799" spans="1:10" x14ac:dyDescent="0.3">
      <c r="A4799" t="s">
        <v>6</v>
      </c>
      <c r="B4799" t="str">
        <f>"11/19/1998 00:00"</f>
        <v>11/19/1998 00:00</v>
      </c>
      <c r="C4799">
        <v>9.9499999999999993</v>
      </c>
      <c r="D4799" t="s">
        <v>7</v>
      </c>
      <c r="E4799" s="2" t="s">
        <v>12</v>
      </c>
      <c r="F4799">
        <f t="shared" si="74"/>
        <v>19.73085</v>
      </c>
      <c r="G4799" t="s">
        <v>16</v>
      </c>
      <c r="J4799" t="str">
        <f>"11/19/1998 23:00"</f>
        <v>11/19/1998 23:00</v>
      </c>
    </row>
    <row r="4800" spans="1:10" x14ac:dyDescent="0.3">
      <c r="A4800" t="s">
        <v>6</v>
      </c>
      <c r="B4800" t="str">
        <f>"11/20/1998 00:00"</f>
        <v>11/20/1998 00:00</v>
      </c>
      <c r="C4800">
        <v>9.9499999999999993</v>
      </c>
      <c r="D4800" t="s">
        <v>7</v>
      </c>
      <c r="E4800" s="2" t="s">
        <v>12</v>
      </c>
      <c r="F4800">
        <f t="shared" si="74"/>
        <v>19.73085</v>
      </c>
      <c r="G4800" t="s">
        <v>16</v>
      </c>
      <c r="J4800" t="str">
        <f>"11/20/1998 23:00"</f>
        <v>11/20/1998 23:00</v>
      </c>
    </row>
    <row r="4801" spans="1:10" x14ac:dyDescent="0.3">
      <c r="A4801" t="s">
        <v>6</v>
      </c>
      <c r="B4801" t="str">
        <f>"11/21/1998 00:00"</f>
        <v>11/21/1998 00:00</v>
      </c>
      <c r="C4801">
        <v>9.9499999999999993</v>
      </c>
      <c r="D4801" t="s">
        <v>7</v>
      </c>
      <c r="E4801" s="2" t="s">
        <v>12</v>
      </c>
      <c r="F4801">
        <f t="shared" si="74"/>
        <v>19.73085</v>
      </c>
      <c r="G4801" t="s">
        <v>16</v>
      </c>
      <c r="J4801" t="str">
        <f>"11/21/1998 23:00"</f>
        <v>11/21/1998 23:00</v>
      </c>
    </row>
    <row r="4802" spans="1:10" x14ac:dyDescent="0.3">
      <c r="A4802" t="s">
        <v>6</v>
      </c>
      <c r="B4802" t="str">
        <f>"11/22/1998 00:00"</f>
        <v>11/22/1998 00:00</v>
      </c>
      <c r="C4802">
        <v>9.9499999999999993</v>
      </c>
      <c r="D4802" t="s">
        <v>7</v>
      </c>
      <c r="E4802" s="2" t="s">
        <v>12</v>
      </c>
      <c r="F4802">
        <f t="shared" si="74"/>
        <v>19.73085</v>
      </c>
      <c r="G4802" t="s">
        <v>16</v>
      </c>
      <c r="I4802" t="s">
        <v>8</v>
      </c>
      <c r="J4802" t="str">
        <f>"11/22/1998 23:00"</f>
        <v>11/22/1998 23:00</v>
      </c>
    </row>
    <row r="4803" spans="1:10" x14ac:dyDescent="0.3">
      <c r="A4803" t="s">
        <v>6</v>
      </c>
      <c r="B4803" t="str">
        <f>"11/23/1998 00:00"</f>
        <v>11/23/1998 00:00</v>
      </c>
      <c r="C4803">
        <v>9.6</v>
      </c>
      <c r="D4803" t="s">
        <v>7</v>
      </c>
      <c r="E4803" s="2" t="s">
        <v>12</v>
      </c>
      <c r="F4803">
        <f t="shared" ref="F4803:F4866" si="75">C4803*1.983</f>
        <v>19.036799999999999</v>
      </c>
      <c r="G4803" t="s">
        <v>16</v>
      </c>
      <c r="I4803" t="s">
        <v>8</v>
      </c>
      <c r="J4803" t="str">
        <f>"11/23/1998 23:00"</f>
        <v>11/23/1998 23:00</v>
      </c>
    </row>
    <row r="4804" spans="1:10" x14ac:dyDescent="0.3">
      <c r="A4804" t="s">
        <v>6</v>
      </c>
      <c r="B4804" t="str">
        <f>"11/24/1998 00:00"</f>
        <v>11/24/1998 00:00</v>
      </c>
      <c r="C4804">
        <v>9.17</v>
      </c>
      <c r="D4804" t="s">
        <v>7</v>
      </c>
      <c r="E4804" s="2" t="s">
        <v>12</v>
      </c>
      <c r="F4804">
        <f t="shared" si="75"/>
        <v>18.18411</v>
      </c>
      <c r="G4804" t="s">
        <v>16</v>
      </c>
      <c r="J4804" t="str">
        <f>"11/24/1998 23:00"</f>
        <v>11/24/1998 23:00</v>
      </c>
    </row>
    <row r="4805" spans="1:10" x14ac:dyDescent="0.3">
      <c r="A4805" t="s">
        <v>6</v>
      </c>
      <c r="B4805" t="str">
        <f>"11/25/1998 00:00"</f>
        <v>11/25/1998 00:00</v>
      </c>
      <c r="C4805">
        <v>9.08</v>
      </c>
      <c r="D4805" t="s">
        <v>7</v>
      </c>
      <c r="E4805" s="2" t="s">
        <v>12</v>
      </c>
      <c r="F4805">
        <f t="shared" si="75"/>
        <v>18.00564</v>
      </c>
      <c r="G4805" t="s">
        <v>16</v>
      </c>
      <c r="J4805" t="str">
        <f>"11/25/1998 23:00"</f>
        <v>11/25/1998 23:00</v>
      </c>
    </row>
    <row r="4806" spans="1:10" x14ac:dyDescent="0.3">
      <c r="A4806" t="s">
        <v>6</v>
      </c>
      <c r="B4806" t="str">
        <f>"11/26/1998 00:00"</f>
        <v>11/26/1998 00:00</v>
      </c>
      <c r="C4806">
        <v>8.99</v>
      </c>
      <c r="D4806" t="s">
        <v>7</v>
      </c>
      <c r="E4806" s="2" t="s">
        <v>12</v>
      </c>
      <c r="F4806">
        <f t="shared" si="75"/>
        <v>17.827170000000002</v>
      </c>
      <c r="G4806" t="s">
        <v>16</v>
      </c>
      <c r="J4806" t="str">
        <f>"11/26/1998 23:00"</f>
        <v>11/26/1998 23:00</v>
      </c>
    </row>
    <row r="4807" spans="1:10" x14ac:dyDescent="0.3">
      <c r="A4807" t="s">
        <v>6</v>
      </c>
      <c r="B4807" t="str">
        <f>"11/27/1998 00:00"</f>
        <v>11/27/1998 00:00</v>
      </c>
      <c r="C4807">
        <v>7.45</v>
      </c>
      <c r="D4807" t="s">
        <v>7</v>
      </c>
      <c r="E4807" s="2" t="s">
        <v>12</v>
      </c>
      <c r="F4807">
        <f t="shared" si="75"/>
        <v>14.773350000000001</v>
      </c>
      <c r="G4807" t="s">
        <v>16</v>
      </c>
      <c r="J4807" t="str">
        <f>"11/27/1998 23:00"</f>
        <v>11/27/1998 23:00</v>
      </c>
    </row>
    <row r="4808" spans="1:10" x14ac:dyDescent="0.3">
      <c r="A4808" t="s">
        <v>6</v>
      </c>
      <c r="B4808" t="str">
        <f>"11/28/1998 00:00"</f>
        <v>11/28/1998 00:00</v>
      </c>
      <c r="C4808">
        <v>6.76</v>
      </c>
      <c r="D4808" t="s">
        <v>7</v>
      </c>
      <c r="E4808" s="2" t="s">
        <v>12</v>
      </c>
      <c r="F4808">
        <f t="shared" si="75"/>
        <v>13.40508</v>
      </c>
      <c r="G4808" t="s">
        <v>16</v>
      </c>
      <c r="J4808" t="str">
        <f>"11/28/1998 23:00"</f>
        <v>11/28/1998 23:00</v>
      </c>
    </row>
    <row r="4809" spans="1:10" x14ac:dyDescent="0.3">
      <c r="A4809" t="s">
        <v>6</v>
      </c>
      <c r="B4809" t="str">
        <f>"11/29/1998 00:00"</f>
        <v>11/29/1998 00:00</v>
      </c>
      <c r="C4809">
        <v>6.76</v>
      </c>
      <c r="D4809" t="s">
        <v>7</v>
      </c>
      <c r="E4809" s="2" t="s">
        <v>12</v>
      </c>
      <c r="F4809">
        <f t="shared" si="75"/>
        <v>13.40508</v>
      </c>
      <c r="G4809" t="s">
        <v>16</v>
      </c>
      <c r="J4809" t="str">
        <f>"11/29/1998 23:00"</f>
        <v>11/29/1998 23:00</v>
      </c>
    </row>
    <row r="4810" spans="1:10" x14ac:dyDescent="0.3">
      <c r="A4810" t="s">
        <v>6</v>
      </c>
      <c r="B4810" t="str">
        <f>"11/30/1998 00:00"</f>
        <v>11/30/1998 00:00</v>
      </c>
      <c r="C4810">
        <v>6.8</v>
      </c>
      <c r="D4810" t="s">
        <v>7</v>
      </c>
      <c r="E4810" s="2" t="s">
        <v>12</v>
      </c>
      <c r="F4810">
        <f t="shared" si="75"/>
        <v>13.484400000000001</v>
      </c>
      <c r="G4810" t="s">
        <v>16</v>
      </c>
      <c r="J4810" t="str">
        <f>"11/30/1998 23:00"</f>
        <v>11/30/1998 23:00</v>
      </c>
    </row>
    <row r="4811" spans="1:10" x14ac:dyDescent="0.3">
      <c r="A4811" t="s">
        <v>6</v>
      </c>
      <c r="B4811" t="str">
        <f>"12/01/1998 00:00"</f>
        <v>12/01/1998 00:00</v>
      </c>
      <c r="C4811">
        <v>7.09</v>
      </c>
      <c r="D4811" t="s">
        <v>7</v>
      </c>
      <c r="E4811" s="2" t="s">
        <v>12</v>
      </c>
      <c r="F4811">
        <f t="shared" si="75"/>
        <v>14.059470000000001</v>
      </c>
      <c r="G4811" t="s">
        <v>16</v>
      </c>
      <c r="J4811" t="str">
        <f>"12/01/1998 23:00"</f>
        <v>12/01/1998 23:00</v>
      </c>
    </row>
    <row r="4812" spans="1:10" x14ac:dyDescent="0.3">
      <c r="A4812" t="s">
        <v>6</v>
      </c>
      <c r="B4812" t="str">
        <f>"12/02/1998 00:00"</f>
        <v>12/02/1998 00:00</v>
      </c>
      <c r="C4812">
        <v>8.67</v>
      </c>
      <c r="D4812" t="s">
        <v>7</v>
      </c>
      <c r="E4812" s="2" t="s">
        <v>12</v>
      </c>
      <c r="F4812">
        <f t="shared" si="75"/>
        <v>17.192610000000002</v>
      </c>
      <c r="G4812" t="s">
        <v>16</v>
      </c>
      <c r="J4812" t="str">
        <f>"12/02/1998 23:00"</f>
        <v>12/02/1998 23:00</v>
      </c>
    </row>
    <row r="4813" spans="1:10" x14ac:dyDescent="0.3">
      <c r="A4813" t="s">
        <v>6</v>
      </c>
      <c r="B4813" t="str">
        <f>"12/03/1998 00:00"</f>
        <v>12/03/1998 00:00</v>
      </c>
      <c r="C4813">
        <v>10.5</v>
      </c>
      <c r="D4813" t="s">
        <v>7</v>
      </c>
      <c r="E4813" s="2" t="s">
        <v>12</v>
      </c>
      <c r="F4813">
        <f t="shared" si="75"/>
        <v>20.8215</v>
      </c>
      <c r="G4813" t="s">
        <v>16</v>
      </c>
      <c r="J4813" t="str">
        <f>"12/03/1998 23:00"</f>
        <v>12/03/1998 23:00</v>
      </c>
    </row>
    <row r="4814" spans="1:10" x14ac:dyDescent="0.3">
      <c r="A4814" t="s">
        <v>6</v>
      </c>
      <c r="B4814" t="str">
        <f>"12/04/1998 00:00"</f>
        <v>12/04/1998 00:00</v>
      </c>
      <c r="C4814">
        <v>10.9</v>
      </c>
      <c r="D4814" t="s">
        <v>7</v>
      </c>
      <c r="E4814" s="2" t="s">
        <v>12</v>
      </c>
      <c r="F4814">
        <f t="shared" si="75"/>
        <v>21.614700000000003</v>
      </c>
      <c r="G4814" t="s">
        <v>16</v>
      </c>
      <c r="J4814" t="str">
        <f>"12/04/1998 23:00"</f>
        <v>12/04/1998 23:00</v>
      </c>
    </row>
    <row r="4815" spans="1:10" x14ac:dyDescent="0.3">
      <c r="A4815" t="s">
        <v>6</v>
      </c>
      <c r="B4815" t="str">
        <f>"12/05/1998 00:00"</f>
        <v>12/05/1998 00:00</v>
      </c>
      <c r="C4815">
        <v>10.5</v>
      </c>
      <c r="D4815" t="s">
        <v>7</v>
      </c>
      <c r="E4815" s="2" t="s">
        <v>12</v>
      </c>
      <c r="F4815">
        <f t="shared" si="75"/>
        <v>20.8215</v>
      </c>
      <c r="G4815" t="s">
        <v>16</v>
      </c>
      <c r="J4815" t="str">
        <f>"12/05/1998 23:00"</f>
        <v>12/05/1998 23:00</v>
      </c>
    </row>
    <row r="4816" spans="1:10" x14ac:dyDescent="0.3">
      <c r="A4816" t="s">
        <v>6</v>
      </c>
      <c r="B4816" t="str">
        <f>"12/06/1998 00:00"</f>
        <v>12/06/1998 00:00</v>
      </c>
      <c r="C4816">
        <v>10.5</v>
      </c>
      <c r="D4816" t="s">
        <v>7</v>
      </c>
      <c r="E4816" s="2" t="s">
        <v>12</v>
      </c>
      <c r="F4816">
        <f t="shared" si="75"/>
        <v>20.8215</v>
      </c>
      <c r="G4816" t="s">
        <v>16</v>
      </c>
      <c r="J4816" t="str">
        <f>"12/06/1998 23:00"</f>
        <v>12/06/1998 23:00</v>
      </c>
    </row>
    <row r="4817" spans="1:10" x14ac:dyDescent="0.3">
      <c r="A4817" t="s">
        <v>6</v>
      </c>
      <c r="B4817" t="str">
        <f>"12/07/1998 00:00"</f>
        <v>12/07/1998 00:00</v>
      </c>
      <c r="C4817">
        <v>10.5</v>
      </c>
      <c r="D4817" t="s">
        <v>7</v>
      </c>
      <c r="E4817" s="2" t="s">
        <v>12</v>
      </c>
      <c r="F4817">
        <f t="shared" si="75"/>
        <v>20.8215</v>
      </c>
      <c r="G4817" t="s">
        <v>16</v>
      </c>
      <c r="J4817" t="str">
        <f>"12/07/1998 23:00"</f>
        <v>12/07/1998 23:00</v>
      </c>
    </row>
    <row r="4818" spans="1:10" x14ac:dyDescent="0.3">
      <c r="A4818" t="s">
        <v>6</v>
      </c>
      <c r="B4818" t="str">
        <f>"12/08/1998 00:00"</f>
        <v>12/08/1998 00:00</v>
      </c>
      <c r="C4818">
        <v>10.5</v>
      </c>
      <c r="D4818" t="s">
        <v>7</v>
      </c>
      <c r="E4818" s="2" t="s">
        <v>12</v>
      </c>
      <c r="F4818">
        <f t="shared" si="75"/>
        <v>20.8215</v>
      </c>
      <c r="G4818" t="s">
        <v>16</v>
      </c>
      <c r="J4818" t="str">
        <f>"12/08/1998 23:00"</f>
        <v>12/08/1998 23:00</v>
      </c>
    </row>
    <row r="4819" spans="1:10" x14ac:dyDescent="0.3">
      <c r="A4819" t="s">
        <v>6</v>
      </c>
      <c r="B4819" t="str">
        <f>"12/09/1998 00:00"</f>
        <v>12/09/1998 00:00</v>
      </c>
      <c r="C4819">
        <v>9.39</v>
      </c>
      <c r="D4819" t="s">
        <v>7</v>
      </c>
      <c r="E4819" s="2" t="s">
        <v>12</v>
      </c>
      <c r="F4819">
        <f t="shared" si="75"/>
        <v>18.620370000000001</v>
      </c>
      <c r="G4819" t="s">
        <v>16</v>
      </c>
      <c r="J4819" t="str">
        <f>"12/09/1998 23:00"</f>
        <v>12/09/1998 23:00</v>
      </c>
    </row>
    <row r="4820" spans="1:10" x14ac:dyDescent="0.3">
      <c r="A4820" t="s">
        <v>6</v>
      </c>
      <c r="B4820" t="str">
        <f>"12/10/1998 00:00"</f>
        <v>12/10/1998 00:00</v>
      </c>
      <c r="C4820">
        <v>8.67</v>
      </c>
      <c r="D4820" t="s">
        <v>7</v>
      </c>
      <c r="E4820" s="2" t="s">
        <v>12</v>
      </c>
      <c r="F4820">
        <f t="shared" si="75"/>
        <v>17.192610000000002</v>
      </c>
      <c r="G4820" t="s">
        <v>16</v>
      </c>
      <c r="J4820" t="str">
        <f>"12/10/1998 23:00"</f>
        <v>12/10/1998 23:00</v>
      </c>
    </row>
    <row r="4821" spans="1:10" x14ac:dyDescent="0.3">
      <c r="A4821" t="s">
        <v>6</v>
      </c>
      <c r="B4821" t="str">
        <f>"12/11/1998 00:00"</f>
        <v>12/11/1998 00:00</v>
      </c>
      <c r="C4821">
        <v>7.1</v>
      </c>
      <c r="D4821" t="s">
        <v>7</v>
      </c>
      <c r="E4821" s="2" t="s">
        <v>12</v>
      </c>
      <c r="F4821">
        <f t="shared" si="75"/>
        <v>14.0793</v>
      </c>
      <c r="G4821" t="s">
        <v>16</v>
      </c>
      <c r="J4821" t="str">
        <f>"12/11/1998 23:00"</f>
        <v>12/11/1998 23:00</v>
      </c>
    </row>
    <row r="4822" spans="1:10" x14ac:dyDescent="0.3">
      <c r="A4822" t="s">
        <v>6</v>
      </c>
      <c r="B4822" t="str">
        <f>"12/12/1998 00:00"</f>
        <v>12/12/1998 00:00</v>
      </c>
      <c r="C4822">
        <v>9.09</v>
      </c>
      <c r="D4822" t="s">
        <v>7</v>
      </c>
      <c r="E4822" s="2" t="s">
        <v>12</v>
      </c>
      <c r="F4822">
        <f t="shared" si="75"/>
        <v>18.025470000000002</v>
      </c>
      <c r="G4822" t="s">
        <v>16</v>
      </c>
      <c r="I4822" t="s">
        <v>8</v>
      </c>
      <c r="J4822" t="str">
        <f>"12/12/1998 23:00"</f>
        <v>12/12/1998 23:00</v>
      </c>
    </row>
    <row r="4823" spans="1:10" x14ac:dyDescent="0.3">
      <c r="A4823" t="s">
        <v>6</v>
      </c>
      <c r="B4823" t="str">
        <f>"12/13/1998 00:00"</f>
        <v>12/13/1998 00:00</v>
      </c>
      <c r="C4823">
        <v>3.88</v>
      </c>
      <c r="D4823" t="s">
        <v>7</v>
      </c>
      <c r="E4823" s="2" t="s">
        <v>12</v>
      </c>
      <c r="F4823">
        <f t="shared" si="75"/>
        <v>7.6940400000000002</v>
      </c>
      <c r="G4823" t="s">
        <v>16</v>
      </c>
      <c r="I4823" t="s">
        <v>8</v>
      </c>
      <c r="J4823" t="str">
        <f>"12/13/1998 23:00"</f>
        <v>12/13/1998 23:00</v>
      </c>
    </row>
    <row r="4824" spans="1:10" x14ac:dyDescent="0.3">
      <c r="A4824" t="s">
        <v>6</v>
      </c>
      <c r="B4824" t="str">
        <f>"12/14/1998 00:00"</f>
        <v>12/14/1998 00:00</v>
      </c>
      <c r="C4824">
        <v>1.92</v>
      </c>
      <c r="D4824" t="s">
        <v>7</v>
      </c>
      <c r="E4824" s="2" t="s">
        <v>12</v>
      </c>
      <c r="F4824">
        <f t="shared" si="75"/>
        <v>3.8073600000000001</v>
      </c>
      <c r="G4824" t="s">
        <v>16</v>
      </c>
      <c r="I4824" t="s">
        <v>8</v>
      </c>
      <c r="J4824" t="str">
        <f>"12/14/1998 23:00"</f>
        <v>12/14/1998 23:00</v>
      </c>
    </row>
    <row r="4825" spans="1:10" x14ac:dyDescent="0.3">
      <c r="A4825" t="s">
        <v>6</v>
      </c>
      <c r="B4825" t="str">
        <f>"12/15/1998 00:00"</f>
        <v>12/15/1998 00:00</v>
      </c>
      <c r="C4825">
        <v>1.92</v>
      </c>
      <c r="D4825" t="s">
        <v>7</v>
      </c>
      <c r="E4825" s="2" t="s">
        <v>12</v>
      </c>
      <c r="F4825">
        <f t="shared" si="75"/>
        <v>3.8073600000000001</v>
      </c>
      <c r="G4825" t="s">
        <v>16</v>
      </c>
      <c r="I4825" t="s">
        <v>8</v>
      </c>
      <c r="J4825" t="str">
        <f>"12/15/1998 23:00"</f>
        <v>12/15/1998 23:00</v>
      </c>
    </row>
    <row r="4826" spans="1:10" x14ac:dyDescent="0.3">
      <c r="A4826" t="s">
        <v>6</v>
      </c>
      <c r="B4826" t="str">
        <f>"12/16/1998 00:00"</f>
        <v>12/16/1998 00:00</v>
      </c>
      <c r="C4826">
        <v>1.84</v>
      </c>
      <c r="D4826" t="s">
        <v>7</v>
      </c>
      <c r="E4826" s="2" t="s">
        <v>12</v>
      </c>
      <c r="F4826">
        <f t="shared" si="75"/>
        <v>3.6487200000000004</v>
      </c>
      <c r="G4826" t="s">
        <v>16</v>
      </c>
      <c r="I4826" t="s">
        <v>8</v>
      </c>
      <c r="J4826" t="str">
        <f>"12/16/1998 23:00"</f>
        <v>12/16/1998 23:00</v>
      </c>
    </row>
    <row r="4827" spans="1:10" x14ac:dyDescent="0.3">
      <c r="A4827" t="s">
        <v>6</v>
      </c>
      <c r="B4827" t="str">
        <f>"12/17/1998 00:00"</f>
        <v>12/17/1998 00:00</v>
      </c>
      <c r="C4827">
        <v>1.9</v>
      </c>
      <c r="D4827" t="s">
        <v>7</v>
      </c>
      <c r="E4827" s="2" t="s">
        <v>12</v>
      </c>
      <c r="F4827">
        <f t="shared" si="75"/>
        <v>3.7677</v>
      </c>
      <c r="G4827" t="s">
        <v>16</v>
      </c>
      <c r="I4827" t="s">
        <v>34</v>
      </c>
      <c r="J4827" t="str">
        <f>"12/17/1998 23:00"</f>
        <v>12/17/1998 23:00</v>
      </c>
    </row>
    <row r="4828" spans="1:10" x14ac:dyDescent="0.3">
      <c r="A4828" t="s">
        <v>6</v>
      </c>
      <c r="B4828" t="str">
        <f>"12/18/1998 00:00"</f>
        <v>12/18/1998 00:00</v>
      </c>
      <c r="C4828">
        <v>1.93</v>
      </c>
      <c r="D4828" t="s">
        <v>7</v>
      </c>
      <c r="E4828" s="2" t="s">
        <v>12</v>
      </c>
      <c r="F4828">
        <f t="shared" si="75"/>
        <v>3.8271899999999999</v>
      </c>
      <c r="G4828" t="s">
        <v>16</v>
      </c>
      <c r="I4828" t="s">
        <v>34</v>
      </c>
      <c r="J4828" t="str">
        <f>"12/18/1998 23:00"</f>
        <v>12/18/1998 23:00</v>
      </c>
    </row>
    <row r="4829" spans="1:10" x14ac:dyDescent="0.3">
      <c r="A4829" t="s">
        <v>6</v>
      </c>
      <c r="B4829" t="str">
        <f>"12/19/1998 00:00"</f>
        <v>12/19/1998 00:00</v>
      </c>
      <c r="C4829">
        <v>2.4</v>
      </c>
      <c r="D4829" t="s">
        <v>7</v>
      </c>
      <c r="E4829" s="2" t="s">
        <v>12</v>
      </c>
      <c r="F4829">
        <f t="shared" si="75"/>
        <v>4.7591999999999999</v>
      </c>
      <c r="G4829" t="s">
        <v>16</v>
      </c>
      <c r="I4829" t="s">
        <v>34</v>
      </c>
      <c r="J4829" t="str">
        <f>"12/19/1998 23:00"</f>
        <v>12/19/1998 23:00</v>
      </c>
    </row>
    <row r="4830" spans="1:10" x14ac:dyDescent="0.3">
      <c r="A4830" t="s">
        <v>6</v>
      </c>
      <c r="B4830" t="str">
        <f>"12/20/1998 00:00"</f>
        <v>12/20/1998 00:00</v>
      </c>
      <c r="C4830">
        <v>2.56</v>
      </c>
      <c r="D4830" t="s">
        <v>7</v>
      </c>
      <c r="E4830" s="2" t="s">
        <v>12</v>
      </c>
      <c r="F4830">
        <f t="shared" si="75"/>
        <v>5.0764800000000001</v>
      </c>
      <c r="G4830" t="s">
        <v>16</v>
      </c>
      <c r="I4830" t="s">
        <v>34</v>
      </c>
      <c r="J4830" t="str">
        <f>"12/20/1998 23:00"</f>
        <v>12/20/1998 23:00</v>
      </c>
    </row>
    <row r="4831" spans="1:10" x14ac:dyDescent="0.3">
      <c r="A4831" t="s">
        <v>6</v>
      </c>
      <c r="B4831" t="str">
        <f>"12/21/1998 00:00"</f>
        <v>12/21/1998 00:00</v>
      </c>
      <c r="C4831">
        <v>2.44</v>
      </c>
      <c r="D4831" t="s">
        <v>7</v>
      </c>
      <c r="E4831" s="2" t="s">
        <v>12</v>
      </c>
      <c r="F4831">
        <f t="shared" si="75"/>
        <v>4.8385199999999999</v>
      </c>
      <c r="G4831" t="s">
        <v>16</v>
      </c>
      <c r="I4831" t="s">
        <v>34</v>
      </c>
      <c r="J4831" t="str">
        <f>"12/21/1998 23:00"</f>
        <v>12/21/1998 23:00</v>
      </c>
    </row>
    <row r="4832" spans="1:10" x14ac:dyDescent="0.3">
      <c r="A4832" t="s">
        <v>6</v>
      </c>
      <c r="B4832" t="str">
        <f>"12/22/1998 00:00"</f>
        <v>12/22/1998 00:00</v>
      </c>
      <c r="C4832">
        <v>2.46</v>
      </c>
      <c r="D4832" t="s">
        <v>7</v>
      </c>
      <c r="E4832" s="2" t="s">
        <v>12</v>
      </c>
      <c r="F4832">
        <f t="shared" si="75"/>
        <v>4.8781800000000004</v>
      </c>
      <c r="G4832" t="s">
        <v>16</v>
      </c>
      <c r="I4832" t="s">
        <v>34</v>
      </c>
      <c r="J4832" t="str">
        <f>"12/22/1998 23:00"</f>
        <v>12/22/1998 23:00</v>
      </c>
    </row>
    <row r="4833" spans="1:10" x14ac:dyDescent="0.3">
      <c r="A4833" t="s">
        <v>6</v>
      </c>
      <c r="B4833" t="str">
        <f>"12/23/1998 00:00"</f>
        <v>12/23/1998 00:00</v>
      </c>
      <c r="C4833">
        <v>2.56</v>
      </c>
      <c r="D4833" t="s">
        <v>7</v>
      </c>
      <c r="E4833" s="2" t="s">
        <v>12</v>
      </c>
      <c r="F4833">
        <f t="shared" si="75"/>
        <v>5.0764800000000001</v>
      </c>
      <c r="G4833" t="s">
        <v>16</v>
      </c>
      <c r="I4833" t="s">
        <v>34</v>
      </c>
      <c r="J4833" t="str">
        <f>"12/23/1998 23:00"</f>
        <v>12/23/1998 23:00</v>
      </c>
    </row>
    <row r="4834" spans="1:10" x14ac:dyDescent="0.3">
      <c r="A4834" t="s">
        <v>6</v>
      </c>
      <c r="B4834" t="str">
        <f>"12/24/1998 00:00"</f>
        <v>12/24/1998 00:00</v>
      </c>
      <c r="C4834">
        <v>2.56</v>
      </c>
      <c r="D4834" t="s">
        <v>7</v>
      </c>
      <c r="E4834" s="2" t="s">
        <v>12</v>
      </c>
      <c r="F4834">
        <f t="shared" si="75"/>
        <v>5.0764800000000001</v>
      </c>
      <c r="G4834" t="s">
        <v>16</v>
      </c>
      <c r="I4834" t="s">
        <v>34</v>
      </c>
      <c r="J4834" t="str">
        <f>"12/24/1998 23:00"</f>
        <v>12/24/1998 23:00</v>
      </c>
    </row>
    <row r="4835" spans="1:10" x14ac:dyDescent="0.3">
      <c r="A4835" t="s">
        <v>6</v>
      </c>
      <c r="B4835" t="str">
        <f>"12/25/1998 00:00"</f>
        <v>12/25/1998 00:00</v>
      </c>
      <c r="C4835">
        <v>2.52</v>
      </c>
      <c r="D4835" t="s">
        <v>7</v>
      </c>
      <c r="E4835" s="2" t="s">
        <v>12</v>
      </c>
      <c r="F4835">
        <f t="shared" si="75"/>
        <v>4.99716</v>
      </c>
      <c r="G4835" t="s">
        <v>16</v>
      </c>
      <c r="I4835" t="s">
        <v>8</v>
      </c>
      <c r="J4835" t="str">
        <f>"12/25/1998 23:00"</f>
        <v>12/25/1998 23:00</v>
      </c>
    </row>
    <row r="4836" spans="1:10" x14ac:dyDescent="0.3">
      <c r="A4836" t="s">
        <v>6</v>
      </c>
      <c r="B4836" t="str">
        <f>"12/26/1998 00:00"</f>
        <v>12/26/1998 00:00</v>
      </c>
      <c r="C4836">
        <v>2.2599999999999998</v>
      </c>
      <c r="D4836" t="s">
        <v>7</v>
      </c>
      <c r="E4836" s="2" t="s">
        <v>12</v>
      </c>
      <c r="F4836">
        <f t="shared" si="75"/>
        <v>4.4815800000000001</v>
      </c>
      <c r="G4836" t="s">
        <v>16</v>
      </c>
      <c r="I4836" t="s">
        <v>34</v>
      </c>
      <c r="J4836" t="str">
        <f>"12/26/1998 23:00"</f>
        <v>12/26/1998 23:00</v>
      </c>
    </row>
    <row r="4837" spans="1:10" x14ac:dyDescent="0.3">
      <c r="A4837" t="s">
        <v>6</v>
      </c>
      <c r="B4837" t="str">
        <f>"12/27/1998 00:00"</f>
        <v>12/27/1998 00:00</v>
      </c>
      <c r="C4837">
        <v>2.52</v>
      </c>
      <c r="D4837" t="s">
        <v>7</v>
      </c>
      <c r="E4837" s="2" t="s">
        <v>12</v>
      </c>
      <c r="F4837">
        <f t="shared" si="75"/>
        <v>4.99716</v>
      </c>
      <c r="G4837" t="s">
        <v>16</v>
      </c>
      <c r="I4837" t="s">
        <v>34</v>
      </c>
      <c r="J4837" t="str">
        <f>"12/27/1998 23:00"</f>
        <v>12/27/1998 23:00</v>
      </c>
    </row>
    <row r="4838" spans="1:10" x14ac:dyDescent="0.3">
      <c r="A4838" t="s">
        <v>6</v>
      </c>
      <c r="B4838" t="str">
        <f>"12/28/1998 00:00"</f>
        <v>12/28/1998 00:00</v>
      </c>
      <c r="C4838">
        <v>2.56</v>
      </c>
      <c r="D4838" t="s">
        <v>7</v>
      </c>
      <c r="E4838" s="2" t="s">
        <v>12</v>
      </c>
      <c r="F4838">
        <f t="shared" si="75"/>
        <v>5.0764800000000001</v>
      </c>
      <c r="G4838" t="s">
        <v>16</v>
      </c>
      <c r="I4838" t="s">
        <v>34</v>
      </c>
      <c r="J4838" t="str">
        <f>"12/28/1998 23:00"</f>
        <v>12/28/1998 23:00</v>
      </c>
    </row>
    <row r="4839" spans="1:10" x14ac:dyDescent="0.3">
      <c r="A4839" t="s">
        <v>6</v>
      </c>
      <c r="B4839" t="str">
        <f>"12/29/1998 00:00"</f>
        <v>12/29/1998 00:00</v>
      </c>
      <c r="C4839">
        <v>2.52</v>
      </c>
      <c r="D4839" t="s">
        <v>7</v>
      </c>
      <c r="E4839" s="2" t="s">
        <v>12</v>
      </c>
      <c r="F4839">
        <f t="shared" si="75"/>
        <v>4.99716</v>
      </c>
      <c r="G4839" t="s">
        <v>16</v>
      </c>
      <c r="I4839" t="s">
        <v>34</v>
      </c>
      <c r="J4839" t="str">
        <f>"12/29/1998 23:00"</f>
        <v>12/29/1998 23:00</v>
      </c>
    </row>
    <row r="4840" spans="1:10" x14ac:dyDescent="0.3">
      <c r="A4840" t="s">
        <v>6</v>
      </c>
      <c r="B4840" t="str">
        <f>"12/30/1998 00:00"</f>
        <v>12/30/1998 00:00</v>
      </c>
      <c r="C4840">
        <v>2.4</v>
      </c>
      <c r="D4840" t="s">
        <v>7</v>
      </c>
      <c r="E4840" s="2" t="s">
        <v>12</v>
      </c>
      <c r="F4840">
        <f t="shared" si="75"/>
        <v>4.7591999999999999</v>
      </c>
      <c r="G4840" t="s">
        <v>16</v>
      </c>
      <c r="I4840" t="s">
        <v>34</v>
      </c>
      <c r="J4840" t="str">
        <f>"12/30/1998 23:00"</f>
        <v>12/30/1998 23:00</v>
      </c>
    </row>
    <row r="4841" spans="1:10" x14ac:dyDescent="0.3">
      <c r="A4841" t="s">
        <v>6</v>
      </c>
      <c r="B4841" t="str">
        <f>"12/31/1998 00:00"</f>
        <v>12/31/1998 00:00</v>
      </c>
      <c r="C4841">
        <v>2.56</v>
      </c>
      <c r="D4841" t="s">
        <v>7</v>
      </c>
      <c r="E4841" s="2" t="s">
        <v>12</v>
      </c>
      <c r="F4841">
        <f t="shared" si="75"/>
        <v>5.0764800000000001</v>
      </c>
      <c r="G4841" t="s">
        <v>16</v>
      </c>
      <c r="I4841" t="s">
        <v>34</v>
      </c>
      <c r="J4841" t="str">
        <f>"12/31/1998 23:00"</f>
        <v>12/31/1998 23:00</v>
      </c>
    </row>
    <row r="4842" spans="1:10" x14ac:dyDescent="0.3">
      <c r="A4842" t="s">
        <v>6</v>
      </c>
      <c r="B4842" t="str">
        <f>"01/01/1999 00:00"</f>
        <v>01/01/1999 00:00</v>
      </c>
      <c r="C4842">
        <v>2.62</v>
      </c>
      <c r="D4842" t="s">
        <v>7</v>
      </c>
      <c r="E4842" s="2" t="s">
        <v>12</v>
      </c>
      <c r="F4842">
        <f t="shared" si="75"/>
        <v>5.1954600000000006</v>
      </c>
      <c r="G4842" t="s">
        <v>16</v>
      </c>
      <c r="I4842" t="s">
        <v>8</v>
      </c>
      <c r="J4842" t="str">
        <f>"01/01/1999 23:00"</f>
        <v>01/01/1999 23:00</v>
      </c>
    </row>
    <row r="4843" spans="1:10" x14ac:dyDescent="0.3">
      <c r="A4843" t="s">
        <v>6</v>
      </c>
      <c r="B4843" t="str">
        <f>"01/02/1999 00:00"</f>
        <v>01/02/1999 00:00</v>
      </c>
      <c r="C4843">
        <v>2.96</v>
      </c>
      <c r="D4843" t="s">
        <v>7</v>
      </c>
      <c r="E4843" s="2" t="s">
        <v>12</v>
      </c>
      <c r="F4843">
        <f t="shared" si="75"/>
        <v>5.8696799999999998</v>
      </c>
      <c r="G4843" t="s">
        <v>16</v>
      </c>
      <c r="J4843" t="str">
        <f>"01/02/1999 23:00"</f>
        <v>01/02/1999 23:00</v>
      </c>
    </row>
    <row r="4844" spans="1:10" x14ac:dyDescent="0.3">
      <c r="A4844" t="s">
        <v>6</v>
      </c>
      <c r="B4844" t="str">
        <f>"01/03/1999 00:00"</f>
        <v>01/03/1999 00:00</v>
      </c>
      <c r="C4844">
        <v>3.28</v>
      </c>
      <c r="D4844" t="s">
        <v>7</v>
      </c>
      <c r="E4844" s="2" t="s">
        <v>12</v>
      </c>
      <c r="F4844">
        <f t="shared" si="75"/>
        <v>6.5042400000000002</v>
      </c>
      <c r="G4844" t="s">
        <v>16</v>
      </c>
      <c r="J4844" t="str">
        <f>"01/03/1999 23:00"</f>
        <v>01/03/1999 23:00</v>
      </c>
    </row>
    <row r="4845" spans="1:10" x14ac:dyDescent="0.3">
      <c r="A4845" t="s">
        <v>6</v>
      </c>
      <c r="B4845" t="str">
        <f>"01/04/1999 00:00"</f>
        <v>01/04/1999 00:00</v>
      </c>
      <c r="C4845">
        <v>3.17</v>
      </c>
      <c r="D4845" t="s">
        <v>7</v>
      </c>
      <c r="E4845" s="2" t="s">
        <v>12</v>
      </c>
      <c r="F4845">
        <f t="shared" si="75"/>
        <v>6.2861099999999999</v>
      </c>
      <c r="G4845" t="s">
        <v>16</v>
      </c>
      <c r="J4845" t="str">
        <f>"01/04/1999 23:00"</f>
        <v>01/04/1999 23:00</v>
      </c>
    </row>
    <row r="4846" spans="1:10" x14ac:dyDescent="0.3">
      <c r="A4846" t="s">
        <v>6</v>
      </c>
      <c r="B4846" t="str">
        <f>"01/05/1999 00:00"</f>
        <v>01/05/1999 00:00</v>
      </c>
      <c r="C4846">
        <v>3.03</v>
      </c>
      <c r="D4846" t="s">
        <v>7</v>
      </c>
      <c r="E4846" s="2" t="s">
        <v>12</v>
      </c>
      <c r="F4846">
        <f t="shared" si="75"/>
        <v>6.0084900000000001</v>
      </c>
      <c r="G4846" t="s">
        <v>16</v>
      </c>
      <c r="J4846" t="str">
        <f>"01/05/1999 23:00"</f>
        <v>01/05/1999 23:00</v>
      </c>
    </row>
    <row r="4847" spans="1:10" x14ac:dyDescent="0.3">
      <c r="A4847" t="s">
        <v>6</v>
      </c>
      <c r="B4847" t="str">
        <f>"01/06/1999 00:00"</f>
        <v>01/06/1999 00:00</v>
      </c>
      <c r="C4847">
        <v>2.91</v>
      </c>
      <c r="D4847" t="s">
        <v>7</v>
      </c>
      <c r="E4847" s="2" t="s">
        <v>12</v>
      </c>
      <c r="F4847">
        <f t="shared" si="75"/>
        <v>5.7705300000000008</v>
      </c>
      <c r="G4847" t="s">
        <v>16</v>
      </c>
      <c r="J4847" t="str">
        <f>"01/06/1999 23:00"</f>
        <v>01/06/1999 23:00</v>
      </c>
    </row>
    <row r="4848" spans="1:10" x14ac:dyDescent="0.3">
      <c r="A4848" t="s">
        <v>6</v>
      </c>
      <c r="B4848" t="str">
        <f>"01/07/1999 00:00"</f>
        <v>01/07/1999 00:00</v>
      </c>
      <c r="C4848">
        <v>2.91</v>
      </c>
      <c r="D4848" t="s">
        <v>7</v>
      </c>
      <c r="E4848" s="2" t="s">
        <v>12</v>
      </c>
      <c r="F4848">
        <f t="shared" si="75"/>
        <v>5.7705300000000008</v>
      </c>
      <c r="G4848" t="s">
        <v>16</v>
      </c>
      <c r="J4848" t="str">
        <f>"01/07/1999 23:00"</f>
        <v>01/07/1999 23:00</v>
      </c>
    </row>
    <row r="4849" spans="1:10" x14ac:dyDescent="0.3">
      <c r="A4849" t="s">
        <v>6</v>
      </c>
      <c r="B4849" t="str">
        <f>"01/08/1999 00:00"</f>
        <v>01/08/1999 00:00</v>
      </c>
      <c r="C4849">
        <v>6.01</v>
      </c>
      <c r="D4849" t="s">
        <v>7</v>
      </c>
      <c r="E4849" s="2" t="s">
        <v>12</v>
      </c>
      <c r="F4849">
        <f t="shared" si="75"/>
        <v>11.91783</v>
      </c>
      <c r="G4849" t="s">
        <v>16</v>
      </c>
      <c r="J4849" t="str">
        <f>"01/08/1999 23:00"</f>
        <v>01/08/1999 23:00</v>
      </c>
    </row>
    <row r="4850" spans="1:10" x14ac:dyDescent="0.3">
      <c r="A4850" t="s">
        <v>6</v>
      </c>
      <c r="B4850" t="str">
        <f>"01/09/1999 00:00"</f>
        <v>01/09/1999 00:00</v>
      </c>
      <c r="C4850">
        <v>11.1</v>
      </c>
      <c r="D4850" t="s">
        <v>7</v>
      </c>
      <c r="E4850" s="2" t="s">
        <v>12</v>
      </c>
      <c r="F4850">
        <f t="shared" si="75"/>
        <v>22.011300000000002</v>
      </c>
      <c r="G4850" t="s">
        <v>16</v>
      </c>
      <c r="J4850" t="str">
        <f>"01/09/1999 23:00"</f>
        <v>01/09/1999 23:00</v>
      </c>
    </row>
    <row r="4851" spans="1:10" x14ac:dyDescent="0.3">
      <c r="A4851" t="s">
        <v>6</v>
      </c>
      <c r="B4851" t="str">
        <f>"01/10/1999 00:00"</f>
        <v>01/10/1999 00:00</v>
      </c>
      <c r="C4851">
        <v>14.5</v>
      </c>
      <c r="D4851" t="s">
        <v>7</v>
      </c>
      <c r="E4851" s="2" t="s">
        <v>12</v>
      </c>
      <c r="F4851">
        <f t="shared" si="75"/>
        <v>28.753500000000003</v>
      </c>
      <c r="G4851" t="s">
        <v>16</v>
      </c>
      <c r="J4851" t="str">
        <f>"01/10/1999 23:00"</f>
        <v>01/10/1999 23:00</v>
      </c>
    </row>
    <row r="4852" spans="1:10" x14ac:dyDescent="0.3">
      <c r="A4852" t="s">
        <v>6</v>
      </c>
      <c r="B4852" t="str">
        <f>"01/11/1999 00:00"</f>
        <v>01/11/1999 00:00</v>
      </c>
      <c r="C4852">
        <v>17.600000000000001</v>
      </c>
      <c r="D4852" t="s">
        <v>7</v>
      </c>
      <c r="E4852" s="2" t="s">
        <v>12</v>
      </c>
      <c r="F4852">
        <f t="shared" si="75"/>
        <v>34.900800000000004</v>
      </c>
      <c r="G4852" t="s">
        <v>16</v>
      </c>
      <c r="J4852" t="str">
        <f>"01/11/1999 23:00"</f>
        <v>01/11/1999 23:00</v>
      </c>
    </row>
    <row r="4853" spans="1:10" x14ac:dyDescent="0.3">
      <c r="A4853" t="s">
        <v>6</v>
      </c>
      <c r="B4853" t="str">
        <f>"01/12/1999 00:00"</f>
        <v>01/12/1999 00:00</v>
      </c>
      <c r="C4853">
        <v>18.7</v>
      </c>
      <c r="D4853" t="s">
        <v>7</v>
      </c>
      <c r="E4853" s="2" t="s">
        <v>12</v>
      </c>
      <c r="F4853">
        <f t="shared" si="75"/>
        <v>37.082099999999997</v>
      </c>
      <c r="G4853" t="s">
        <v>16</v>
      </c>
      <c r="J4853" t="str">
        <f>"01/12/1999 23:00"</f>
        <v>01/12/1999 23:00</v>
      </c>
    </row>
    <row r="4854" spans="1:10" x14ac:dyDescent="0.3">
      <c r="A4854" t="s">
        <v>6</v>
      </c>
      <c r="B4854" t="str">
        <f>"01/13/1999 00:00"</f>
        <v>01/13/1999 00:00</v>
      </c>
      <c r="C4854">
        <v>19.8</v>
      </c>
      <c r="D4854" t="s">
        <v>7</v>
      </c>
      <c r="E4854" s="2" t="s">
        <v>12</v>
      </c>
      <c r="F4854">
        <f t="shared" si="75"/>
        <v>39.263400000000004</v>
      </c>
      <c r="G4854" t="s">
        <v>16</v>
      </c>
      <c r="J4854" t="str">
        <f>"01/13/1999 23:00"</f>
        <v>01/13/1999 23:00</v>
      </c>
    </row>
    <row r="4855" spans="1:10" x14ac:dyDescent="0.3">
      <c r="A4855" t="s">
        <v>6</v>
      </c>
      <c r="B4855" t="str">
        <f>"01/14/1999 00:00"</f>
        <v>01/14/1999 00:00</v>
      </c>
      <c r="C4855">
        <v>21.7</v>
      </c>
      <c r="D4855" t="s">
        <v>7</v>
      </c>
      <c r="E4855" s="2" t="s">
        <v>12</v>
      </c>
      <c r="F4855">
        <f t="shared" si="75"/>
        <v>43.031100000000002</v>
      </c>
      <c r="G4855" t="s">
        <v>16</v>
      </c>
      <c r="J4855" t="str">
        <f>"01/14/1999 23:00"</f>
        <v>01/14/1999 23:00</v>
      </c>
    </row>
    <row r="4856" spans="1:10" x14ac:dyDescent="0.3">
      <c r="A4856" t="s">
        <v>6</v>
      </c>
      <c r="B4856" t="str">
        <f>"01/15/1999 00:00"</f>
        <v>01/15/1999 00:00</v>
      </c>
      <c r="C4856">
        <v>23.8</v>
      </c>
      <c r="D4856" t="s">
        <v>7</v>
      </c>
      <c r="E4856" s="2" t="s">
        <v>12</v>
      </c>
      <c r="F4856">
        <f t="shared" si="75"/>
        <v>47.195400000000006</v>
      </c>
      <c r="G4856" t="s">
        <v>16</v>
      </c>
      <c r="J4856" t="str">
        <f>"01/15/1999 23:00"</f>
        <v>01/15/1999 23:00</v>
      </c>
    </row>
    <row r="4857" spans="1:10" x14ac:dyDescent="0.3">
      <c r="A4857" t="s">
        <v>6</v>
      </c>
      <c r="B4857" t="str">
        <f>"01/16/1999 00:00"</f>
        <v>01/16/1999 00:00</v>
      </c>
      <c r="C4857">
        <v>24.3</v>
      </c>
      <c r="D4857" t="s">
        <v>7</v>
      </c>
      <c r="E4857" s="2" t="s">
        <v>12</v>
      </c>
      <c r="F4857">
        <f t="shared" si="75"/>
        <v>48.186900000000001</v>
      </c>
      <c r="G4857" t="s">
        <v>16</v>
      </c>
      <c r="J4857" t="str">
        <f>"01/16/1999 23:00"</f>
        <v>01/16/1999 23:00</v>
      </c>
    </row>
    <row r="4858" spans="1:10" x14ac:dyDescent="0.3">
      <c r="A4858" t="s">
        <v>6</v>
      </c>
      <c r="B4858" t="str">
        <f>"01/17/1999 00:00"</f>
        <v>01/17/1999 00:00</v>
      </c>
      <c r="C4858">
        <v>26.8</v>
      </c>
      <c r="D4858" t="s">
        <v>7</v>
      </c>
      <c r="E4858" s="2" t="s">
        <v>12</v>
      </c>
      <c r="F4858">
        <f t="shared" si="75"/>
        <v>53.144400000000005</v>
      </c>
      <c r="G4858" t="s">
        <v>16</v>
      </c>
      <c r="J4858" t="str">
        <f>"01/17/1999 23:00"</f>
        <v>01/17/1999 23:00</v>
      </c>
    </row>
    <row r="4859" spans="1:10" x14ac:dyDescent="0.3">
      <c r="A4859" t="s">
        <v>6</v>
      </c>
      <c r="B4859" t="str">
        <f>"01/18/1999 00:00"</f>
        <v>01/18/1999 00:00</v>
      </c>
      <c r="C4859">
        <v>29.2</v>
      </c>
      <c r="D4859" t="s">
        <v>7</v>
      </c>
      <c r="E4859" s="2" t="s">
        <v>12</v>
      </c>
      <c r="F4859">
        <f t="shared" si="75"/>
        <v>57.903600000000004</v>
      </c>
      <c r="G4859" t="s">
        <v>16</v>
      </c>
      <c r="J4859" t="str">
        <f>"01/18/1999 23:00"</f>
        <v>01/18/1999 23:00</v>
      </c>
    </row>
    <row r="4860" spans="1:10" x14ac:dyDescent="0.3">
      <c r="A4860" t="s">
        <v>6</v>
      </c>
      <c r="B4860" t="str">
        <f>"01/19/1999 00:00"</f>
        <v>01/19/1999 00:00</v>
      </c>
      <c r="C4860">
        <v>29.8</v>
      </c>
      <c r="D4860" t="s">
        <v>7</v>
      </c>
      <c r="E4860" s="2" t="s">
        <v>12</v>
      </c>
      <c r="F4860">
        <f t="shared" si="75"/>
        <v>59.093400000000003</v>
      </c>
      <c r="G4860" t="s">
        <v>16</v>
      </c>
      <c r="J4860" t="str">
        <f>"01/19/1999 23:00"</f>
        <v>01/19/1999 23:00</v>
      </c>
    </row>
    <row r="4861" spans="1:10" x14ac:dyDescent="0.3">
      <c r="A4861" t="s">
        <v>6</v>
      </c>
      <c r="B4861" t="str">
        <f>"01/20/1999 00:00"</f>
        <v>01/20/1999 00:00</v>
      </c>
      <c r="C4861">
        <v>30.2</v>
      </c>
      <c r="D4861" t="s">
        <v>7</v>
      </c>
      <c r="E4861" s="2" t="s">
        <v>12</v>
      </c>
      <c r="F4861">
        <f t="shared" si="75"/>
        <v>59.886600000000001</v>
      </c>
      <c r="G4861" t="s">
        <v>16</v>
      </c>
      <c r="J4861" t="str">
        <f>"01/20/1999 23:00"</f>
        <v>01/20/1999 23:00</v>
      </c>
    </row>
    <row r="4862" spans="1:10" x14ac:dyDescent="0.3">
      <c r="A4862" t="s">
        <v>6</v>
      </c>
      <c r="B4862" t="str">
        <f>"01/21/1999 00:00"</f>
        <v>01/21/1999 00:00</v>
      </c>
      <c r="C4862">
        <v>32.299999999999997</v>
      </c>
      <c r="D4862" t="s">
        <v>7</v>
      </c>
      <c r="E4862" s="2" t="s">
        <v>12</v>
      </c>
      <c r="F4862">
        <f t="shared" si="75"/>
        <v>64.050899999999999</v>
      </c>
      <c r="G4862" t="s">
        <v>16</v>
      </c>
      <c r="J4862" t="str">
        <f>"01/21/1999 23:00"</f>
        <v>01/21/1999 23:00</v>
      </c>
    </row>
    <row r="4863" spans="1:10" x14ac:dyDescent="0.3">
      <c r="A4863" t="s">
        <v>6</v>
      </c>
      <c r="B4863" t="str">
        <f>"01/22/1999 00:00"</f>
        <v>01/22/1999 00:00</v>
      </c>
      <c r="C4863">
        <v>37.9</v>
      </c>
      <c r="D4863" t="s">
        <v>7</v>
      </c>
      <c r="E4863" s="2" t="s">
        <v>12</v>
      </c>
      <c r="F4863">
        <f t="shared" si="75"/>
        <v>75.155699999999996</v>
      </c>
      <c r="G4863" t="s">
        <v>16</v>
      </c>
      <c r="J4863" t="str">
        <f>"01/22/1999 23:00"</f>
        <v>01/22/1999 23:00</v>
      </c>
    </row>
    <row r="4864" spans="1:10" x14ac:dyDescent="0.3">
      <c r="A4864" t="s">
        <v>6</v>
      </c>
      <c r="B4864" t="str">
        <f>"01/23/1999 00:00"</f>
        <v>01/23/1999 00:00</v>
      </c>
      <c r="C4864">
        <v>42.1</v>
      </c>
      <c r="D4864" t="s">
        <v>7</v>
      </c>
      <c r="E4864" s="2" t="s">
        <v>12</v>
      </c>
      <c r="F4864">
        <f t="shared" si="75"/>
        <v>83.484300000000005</v>
      </c>
      <c r="G4864" t="s">
        <v>16</v>
      </c>
      <c r="J4864" t="str">
        <f>"01/23/1999 23:00"</f>
        <v>01/23/1999 23:00</v>
      </c>
    </row>
    <row r="4865" spans="1:10" x14ac:dyDescent="0.3">
      <c r="A4865" t="s">
        <v>6</v>
      </c>
      <c r="B4865" t="str">
        <f>"01/24/1999 00:00"</f>
        <v>01/24/1999 00:00</v>
      </c>
      <c r="C4865">
        <v>45.4</v>
      </c>
      <c r="D4865" t="s">
        <v>7</v>
      </c>
      <c r="E4865" s="2" t="s">
        <v>12</v>
      </c>
      <c r="F4865">
        <f t="shared" si="75"/>
        <v>90.028199999999998</v>
      </c>
      <c r="G4865" t="s">
        <v>16</v>
      </c>
      <c r="J4865" t="str">
        <f>"01/24/1999 23:00"</f>
        <v>01/24/1999 23:00</v>
      </c>
    </row>
    <row r="4866" spans="1:10" x14ac:dyDescent="0.3">
      <c r="A4866" t="s">
        <v>6</v>
      </c>
      <c r="B4866" t="str">
        <f>"01/25/1999 00:00"</f>
        <v>01/25/1999 00:00</v>
      </c>
      <c r="C4866">
        <v>50.1</v>
      </c>
      <c r="D4866" t="s">
        <v>7</v>
      </c>
      <c r="E4866" s="2" t="s">
        <v>12</v>
      </c>
      <c r="F4866">
        <f t="shared" si="75"/>
        <v>99.348300000000009</v>
      </c>
      <c r="G4866" t="s">
        <v>16</v>
      </c>
      <c r="J4866" t="str">
        <f>"01/25/1999 23:00"</f>
        <v>01/25/1999 23:00</v>
      </c>
    </row>
    <row r="4867" spans="1:10" x14ac:dyDescent="0.3">
      <c r="A4867" t="s">
        <v>6</v>
      </c>
      <c r="B4867" t="str">
        <f>"01/26/1999 00:00"</f>
        <v>01/26/1999 00:00</v>
      </c>
      <c r="C4867">
        <v>54.8</v>
      </c>
      <c r="D4867" t="s">
        <v>7</v>
      </c>
      <c r="E4867" s="2" t="s">
        <v>12</v>
      </c>
      <c r="F4867">
        <f t="shared" ref="F4867:F4930" si="76">C4867*1.983</f>
        <v>108.66840000000001</v>
      </c>
      <c r="G4867" t="s">
        <v>16</v>
      </c>
      <c r="J4867" t="str">
        <f>"01/26/1999 23:00"</f>
        <v>01/26/1999 23:00</v>
      </c>
    </row>
    <row r="4868" spans="1:10" x14ac:dyDescent="0.3">
      <c r="A4868" t="s">
        <v>6</v>
      </c>
      <c r="B4868" t="str">
        <f>"01/27/1999 00:00"</f>
        <v>01/27/1999 00:00</v>
      </c>
      <c r="C4868">
        <v>64.7</v>
      </c>
      <c r="D4868" t="s">
        <v>7</v>
      </c>
      <c r="E4868" s="2" t="s">
        <v>12</v>
      </c>
      <c r="F4868">
        <f t="shared" si="76"/>
        <v>128.30010000000001</v>
      </c>
      <c r="G4868" t="s">
        <v>16</v>
      </c>
      <c r="J4868" t="str">
        <f>"01/27/1999 23:00"</f>
        <v>01/27/1999 23:00</v>
      </c>
    </row>
    <row r="4869" spans="1:10" x14ac:dyDescent="0.3">
      <c r="A4869" t="s">
        <v>6</v>
      </c>
      <c r="B4869" t="str">
        <f>"01/28/1999 00:00"</f>
        <v>01/28/1999 00:00</v>
      </c>
      <c r="C4869">
        <v>73.599999999999994</v>
      </c>
      <c r="D4869" t="s">
        <v>7</v>
      </c>
      <c r="E4869" s="2" t="s">
        <v>12</v>
      </c>
      <c r="F4869">
        <f t="shared" si="76"/>
        <v>145.94880000000001</v>
      </c>
      <c r="G4869" t="s">
        <v>16</v>
      </c>
      <c r="J4869" t="str">
        <f>"01/28/1999 23:00"</f>
        <v>01/28/1999 23:00</v>
      </c>
    </row>
    <row r="4870" spans="1:10" x14ac:dyDescent="0.3">
      <c r="A4870" t="s">
        <v>6</v>
      </c>
      <c r="B4870" t="str">
        <f>"01/29/1999 00:00"</f>
        <v>01/29/1999 00:00</v>
      </c>
      <c r="C4870">
        <v>83.5</v>
      </c>
      <c r="D4870" t="s">
        <v>7</v>
      </c>
      <c r="E4870" s="2" t="s">
        <v>12</v>
      </c>
      <c r="F4870">
        <f t="shared" si="76"/>
        <v>165.5805</v>
      </c>
      <c r="G4870" t="s">
        <v>16</v>
      </c>
      <c r="J4870" t="str">
        <f>"01/29/1999 23:00"</f>
        <v>01/29/1999 23:00</v>
      </c>
    </row>
    <row r="4871" spans="1:10" x14ac:dyDescent="0.3">
      <c r="A4871" t="s">
        <v>6</v>
      </c>
      <c r="B4871" t="str">
        <f>"01/30/1999 00:00"</f>
        <v>01/30/1999 00:00</v>
      </c>
      <c r="C4871">
        <v>87.5</v>
      </c>
      <c r="D4871" t="s">
        <v>7</v>
      </c>
      <c r="E4871" s="2" t="s">
        <v>12</v>
      </c>
      <c r="F4871">
        <f t="shared" si="76"/>
        <v>173.51250000000002</v>
      </c>
      <c r="G4871" t="s">
        <v>16</v>
      </c>
      <c r="J4871" t="str">
        <f>"01/30/1999 23:00"</f>
        <v>01/30/1999 23:00</v>
      </c>
    </row>
    <row r="4872" spans="1:10" x14ac:dyDescent="0.3">
      <c r="A4872" t="s">
        <v>6</v>
      </c>
      <c r="B4872" t="str">
        <f>"01/31/1999 00:00"</f>
        <v>01/31/1999 00:00</v>
      </c>
      <c r="C4872">
        <v>86.2</v>
      </c>
      <c r="D4872" t="s">
        <v>7</v>
      </c>
      <c r="E4872" s="2" t="s">
        <v>12</v>
      </c>
      <c r="F4872">
        <f t="shared" si="76"/>
        <v>170.93460000000002</v>
      </c>
      <c r="G4872" t="s">
        <v>16</v>
      </c>
      <c r="J4872" t="str">
        <f>"01/31/1999 23:00"</f>
        <v>01/31/1999 23:00</v>
      </c>
    </row>
    <row r="4873" spans="1:10" x14ac:dyDescent="0.3">
      <c r="A4873" t="s">
        <v>6</v>
      </c>
      <c r="B4873" t="str">
        <f>"02/01/1999 00:00"</f>
        <v>02/01/1999 00:00</v>
      </c>
      <c r="C4873">
        <v>87.7</v>
      </c>
      <c r="D4873" t="s">
        <v>7</v>
      </c>
      <c r="E4873" s="2" t="s">
        <v>12</v>
      </c>
      <c r="F4873">
        <f t="shared" si="76"/>
        <v>173.90910000000002</v>
      </c>
      <c r="G4873" t="s">
        <v>16</v>
      </c>
      <c r="J4873" t="str">
        <f>"02/01/1999 23:00"</f>
        <v>02/01/1999 23:00</v>
      </c>
    </row>
    <row r="4874" spans="1:10" x14ac:dyDescent="0.3">
      <c r="A4874" t="s">
        <v>6</v>
      </c>
      <c r="B4874" t="str">
        <f>"02/02/1999 00:00"</f>
        <v>02/02/1999 00:00</v>
      </c>
      <c r="C4874">
        <v>87.8</v>
      </c>
      <c r="D4874" t="s">
        <v>7</v>
      </c>
      <c r="E4874" s="2" t="s">
        <v>12</v>
      </c>
      <c r="F4874">
        <f t="shared" si="76"/>
        <v>174.10740000000001</v>
      </c>
      <c r="G4874" t="s">
        <v>16</v>
      </c>
      <c r="J4874" t="str">
        <f>"02/02/1999 23:00"</f>
        <v>02/02/1999 23:00</v>
      </c>
    </row>
    <row r="4875" spans="1:10" x14ac:dyDescent="0.3">
      <c r="A4875" t="s">
        <v>6</v>
      </c>
      <c r="B4875" t="str">
        <f>"02/03/1999 00:00"</f>
        <v>02/03/1999 00:00</v>
      </c>
      <c r="C4875">
        <v>90.1</v>
      </c>
      <c r="D4875" t="s">
        <v>7</v>
      </c>
      <c r="E4875" s="2" t="s">
        <v>12</v>
      </c>
      <c r="F4875">
        <f t="shared" si="76"/>
        <v>178.66829999999999</v>
      </c>
      <c r="G4875" t="s">
        <v>16</v>
      </c>
      <c r="J4875" t="str">
        <f>"02/03/1999 23:00"</f>
        <v>02/03/1999 23:00</v>
      </c>
    </row>
    <row r="4876" spans="1:10" x14ac:dyDescent="0.3">
      <c r="A4876" t="s">
        <v>6</v>
      </c>
      <c r="B4876" t="str">
        <f>"02/04/1999 00:00"</f>
        <v>02/04/1999 00:00</v>
      </c>
      <c r="C4876">
        <v>116</v>
      </c>
      <c r="D4876" t="s">
        <v>7</v>
      </c>
      <c r="E4876" s="2" t="s">
        <v>12</v>
      </c>
      <c r="F4876">
        <f t="shared" si="76"/>
        <v>230.02800000000002</v>
      </c>
      <c r="G4876" t="s">
        <v>16</v>
      </c>
      <c r="J4876" t="str">
        <f>"02/04/1999 23:00"</f>
        <v>02/04/1999 23:00</v>
      </c>
    </row>
    <row r="4877" spans="1:10" x14ac:dyDescent="0.3">
      <c r="A4877" t="s">
        <v>6</v>
      </c>
      <c r="B4877" t="str">
        <f>"02/05/1999 00:00"</f>
        <v>02/05/1999 00:00</v>
      </c>
      <c r="C4877">
        <v>117</v>
      </c>
      <c r="D4877" t="s">
        <v>7</v>
      </c>
      <c r="E4877" s="2" t="s">
        <v>12</v>
      </c>
      <c r="F4877">
        <f t="shared" si="76"/>
        <v>232.01100000000002</v>
      </c>
      <c r="G4877" t="s">
        <v>16</v>
      </c>
      <c r="J4877" t="str">
        <f>"02/05/1999 23:00"</f>
        <v>02/05/1999 23:00</v>
      </c>
    </row>
    <row r="4878" spans="1:10" x14ac:dyDescent="0.3">
      <c r="A4878" t="s">
        <v>6</v>
      </c>
      <c r="B4878" t="str">
        <f>"02/06/1999 00:00"</f>
        <v>02/06/1999 00:00</v>
      </c>
      <c r="C4878">
        <v>117</v>
      </c>
      <c r="D4878" t="s">
        <v>7</v>
      </c>
      <c r="E4878" s="2" t="s">
        <v>12</v>
      </c>
      <c r="F4878">
        <f t="shared" si="76"/>
        <v>232.01100000000002</v>
      </c>
      <c r="G4878" t="s">
        <v>16</v>
      </c>
      <c r="J4878" t="str">
        <f>"02/06/1999 23:00"</f>
        <v>02/06/1999 23:00</v>
      </c>
    </row>
    <row r="4879" spans="1:10" x14ac:dyDescent="0.3">
      <c r="A4879" t="s">
        <v>6</v>
      </c>
      <c r="B4879" t="str">
        <f>"02/07/1999 00:00"</f>
        <v>02/07/1999 00:00</v>
      </c>
      <c r="C4879">
        <v>117</v>
      </c>
      <c r="D4879" t="s">
        <v>7</v>
      </c>
      <c r="E4879" s="2" t="s">
        <v>12</v>
      </c>
      <c r="F4879">
        <f t="shared" si="76"/>
        <v>232.01100000000002</v>
      </c>
      <c r="G4879" t="s">
        <v>16</v>
      </c>
      <c r="J4879" t="str">
        <f>"02/07/1999 23:00"</f>
        <v>02/07/1999 23:00</v>
      </c>
    </row>
    <row r="4880" spans="1:10" x14ac:dyDescent="0.3">
      <c r="A4880" t="s">
        <v>6</v>
      </c>
      <c r="B4880" t="str">
        <f>"02/08/1999 00:00"</f>
        <v>02/08/1999 00:00</v>
      </c>
      <c r="C4880">
        <v>114</v>
      </c>
      <c r="D4880" t="s">
        <v>7</v>
      </c>
      <c r="E4880" s="2" t="s">
        <v>12</v>
      </c>
      <c r="F4880">
        <f t="shared" si="76"/>
        <v>226.06200000000001</v>
      </c>
      <c r="G4880" t="s">
        <v>16</v>
      </c>
      <c r="J4880" t="str">
        <f>"02/08/1999 23:00"</f>
        <v>02/08/1999 23:00</v>
      </c>
    </row>
    <row r="4881" spans="1:10" x14ac:dyDescent="0.3">
      <c r="A4881" t="s">
        <v>6</v>
      </c>
      <c r="B4881" t="str">
        <f>"02/09/1999 00:00"</f>
        <v>02/09/1999 00:00</v>
      </c>
      <c r="C4881">
        <v>119</v>
      </c>
      <c r="D4881" t="s">
        <v>7</v>
      </c>
      <c r="E4881" s="2" t="s">
        <v>12</v>
      </c>
      <c r="F4881">
        <f t="shared" si="76"/>
        <v>235.977</v>
      </c>
      <c r="G4881" t="s">
        <v>16</v>
      </c>
      <c r="J4881" t="str">
        <f>"02/09/1999 23:00"</f>
        <v>02/09/1999 23:00</v>
      </c>
    </row>
    <row r="4882" spans="1:10" x14ac:dyDescent="0.3">
      <c r="A4882" t="s">
        <v>6</v>
      </c>
      <c r="B4882" t="str">
        <f>"02/10/1999 00:00"</f>
        <v>02/10/1999 00:00</v>
      </c>
      <c r="C4882">
        <v>119</v>
      </c>
      <c r="D4882" t="s">
        <v>7</v>
      </c>
      <c r="E4882" s="2" t="s">
        <v>12</v>
      </c>
      <c r="F4882">
        <f t="shared" si="76"/>
        <v>235.977</v>
      </c>
      <c r="G4882" t="s">
        <v>16</v>
      </c>
      <c r="J4882" t="str">
        <f>"02/10/1999 23:00"</f>
        <v>02/10/1999 23:00</v>
      </c>
    </row>
    <row r="4883" spans="1:10" x14ac:dyDescent="0.3">
      <c r="A4883" t="s">
        <v>6</v>
      </c>
      <c r="B4883" t="str">
        <f>"02/11/1999 00:00"</f>
        <v>02/11/1999 00:00</v>
      </c>
      <c r="C4883">
        <v>119</v>
      </c>
      <c r="D4883" t="s">
        <v>7</v>
      </c>
      <c r="E4883" s="2" t="s">
        <v>12</v>
      </c>
      <c r="F4883">
        <f t="shared" si="76"/>
        <v>235.977</v>
      </c>
      <c r="G4883" t="s">
        <v>16</v>
      </c>
      <c r="I4883" t="s">
        <v>8</v>
      </c>
      <c r="J4883" t="str">
        <f>"02/11/1999 23:00"</f>
        <v>02/11/1999 23:00</v>
      </c>
    </row>
    <row r="4884" spans="1:10" x14ac:dyDescent="0.3">
      <c r="A4884" t="s">
        <v>6</v>
      </c>
      <c r="B4884" t="str">
        <f>"02/12/1999 00:00"</f>
        <v>02/12/1999 00:00</v>
      </c>
      <c r="C4884">
        <v>119</v>
      </c>
      <c r="D4884" t="s">
        <v>7</v>
      </c>
      <c r="E4884" s="2" t="s">
        <v>12</v>
      </c>
      <c r="F4884">
        <f t="shared" si="76"/>
        <v>235.977</v>
      </c>
      <c r="G4884" t="s">
        <v>16</v>
      </c>
      <c r="J4884" t="str">
        <f>"02/12/1999 23:00"</f>
        <v>02/12/1999 23:00</v>
      </c>
    </row>
    <row r="4885" spans="1:10" x14ac:dyDescent="0.3">
      <c r="A4885" t="s">
        <v>6</v>
      </c>
      <c r="B4885" t="str">
        <f>"02/13/1999 00:00"</f>
        <v>02/13/1999 00:00</v>
      </c>
      <c r="C4885">
        <v>119</v>
      </c>
      <c r="D4885" t="s">
        <v>7</v>
      </c>
      <c r="E4885" s="2" t="s">
        <v>12</v>
      </c>
      <c r="F4885">
        <f t="shared" si="76"/>
        <v>235.977</v>
      </c>
      <c r="G4885" t="s">
        <v>16</v>
      </c>
      <c r="J4885" t="str">
        <f>"02/13/1999 23:00"</f>
        <v>02/13/1999 23:00</v>
      </c>
    </row>
    <row r="4886" spans="1:10" x14ac:dyDescent="0.3">
      <c r="A4886" t="s">
        <v>6</v>
      </c>
      <c r="B4886" t="str">
        <f>"02/14/1999 00:00"</f>
        <v>02/14/1999 00:00</v>
      </c>
      <c r="C4886">
        <v>119</v>
      </c>
      <c r="D4886" t="s">
        <v>7</v>
      </c>
      <c r="E4886" s="2" t="s">
        <v>12</v>
      </c>
      <c r="F4886">
        <f t="shared" si="76"/>
        <v>235.977</v>
      </c>
      <c r="G4886" t="s">
        <v>16</v>
      </c>
      <c r="J4886" t="str">
        <f>"02/14/1999 23:00"</f>
        <v>02/14/1999 23:00</v>
      </c>
    </row>
    <row r="4887" spans="1:10" x14ac:dyDescent="0.3">
      <c r="A4887" t="s">
        <v>6</v>
      </c>
      <c r="B4887" t="str">
        <f>"02/15/1999 00:00"</f>
        <v>02/15/1999 00:00</v>
      </c>
      <c r="C4887">
        <v>119</v>
      </c>
      <c r="D4887" t="s">
        <v>7</v>
      </c>
      <c r="E4887" s="2" t="s">
        <v>12</v>
      </c>
      <c r="F4887">
        <f t="shared" si="76"/>
        <v>235.977</v>
      </c>
      <c r="G4887" t="s">
        <v>16</v>
      </c>
      <c r="J4887" t="str">
        <f>"02/15/1999 23:00"</f>
        <v>02/15/1999 23:00</v>
      </c>
    </row>
    <row r="4888" spans="1:10" x14ac:dyDescent="0.3">
      <c r="A4888" t="s">
        <v>6</v>
      </c>
      <c r="B4888" t="str">
        <f>"02/16/1999 00:00"</f>
        <v>02/16/1999 00:00</v>
      </c>
      <c r="C4888">
        <v>119</v>
      </c>
      <c r="D4888" t="s">
        <v>7</v>
      </c>
      <c r="E4888" s="2" t="s">
        <v>12</v>
      </c>
      <c r="F4888">
        <f t="shared" si="76"/>
        <v>235.977</v>
      </c>
      <c r="G4888" t="s">
        <v>16</v>
      </c>
      <c r="J4888" t="str">
        <f>"02/16/1999 23:00"</f>
        <v>02/16/1999 23:00</v>
      </c>
    </row>
    <row r="4889" spans="1:10" x14ac:dyDescent="0.3">
      <c r="A4889" t="s">
        <v>6</v>
      </c>
      <c r="B4889" t="str">
        <f>"02/17/1999 00:00"</f>
        <v>02/17/1999 00:00</v>
      </c>
      <c r="C4889">
        <v>121</v>
      </c>
      <c r="D4889" t="s">
        <v>7</v>
      </c>
      <c r="E4889" s="2" t="s">
        <v>12</v>
      </c>
      <c r="F4889">
        <f t="shared" si="76"/>
        <v>239.94300000000001</v>
      </c>
      <c r="G4889" t="s">
        <v>16</v>
      </c>
      <c r="J4889" t="str">
        <f>"02/17/1999 23:00"</f>
        <v>02/17/1999 23:00</v>
      </c>
    </row>
    <row r="4890" spans="1:10" x14ac:dyDescent="0.3">
      <c r="A4890" t="s">
        <v>6</v>
      </c>
      <c r="B4890" t="str">
        <f>"02/18/1999 00:00"</f>
        <v>02/18/1999 00:00</v>
      </c>
      <c r="C4890">
        <v>120</v>
      </c>
      <c r="D4890" t="s">
        <v>7</v>
      </c>
      <c r="E4890" s="2" t="s">
        <v>12</v>
      </c>
      <c r="F4890">
        <f t="shared" si="76"/>
        <v>237.96</v>
      </c>
      <c r="G4890" t="s">
        <v>16</v>
      </c>
      <c r="J4890" t="str">
        <f>"02/18/1999 23:00"</f>
        <v>02/18/1999 23:00</v>
      </c>
    </row>
    <row r="4891" spans="1:10" x14ac:dyDescent="0.3">
      <c r="A4891" t="s">
        <v>6</v>
      </c>
      <c r="B4891" t="str">
        <f>"02/19/1999 00:00"</f>
        <v>02/19/1999 00:00</v>
      </c>
      <c r="C4891">
        <v>119</v>
      </c>
      <c r="D4891" t="s">
        <v>7</v>
      </c>
      <c r="E4891" s="2" t="s">
        <v>12</v>
      </c>
      <c r="F4891">
        <f t="shared" si="76"/>
        <v>235.977</v>
      </c>
      <c r="G4891" t="s">
        <v>16</v>
      </c>
      <c r="J4891" t="str">
        <f>"02/19/1999 23:00"</f>
        <v>02/19/1999 23:00</v>
      </c>
    </row>
    <row r="4892" spans="1:10" x14ac:dyDescent="0.3">
      <c r="A4892" t="s">
        <v>6</v>
      </c>
      <c r="B4892" t="str">
        <f>"02/20/1999 00:00"</f>
        <v>02/20/1999 00:00</v>
      </c>
      <c r="C4892">
        <v>119</v>
      </c>
      <c r="D4892" t="s">
        <v>7</v>
      </c>
      <c r="E4892" s="2" t="s">
        <v>12</v>
      </c>
      <c r="F4892">
        <f t="shared" si="76"/>
        <v>235.977</v>
      </c>
      <c r="G4892" t="s">
        <v>16</v>
      </c>
      <c r="J4892" t="str">
        <f>"02/20/1999 23:00"</f>
        <v>02/20/1999 23:00</v>
      </c>
    </row>
    <row r="4893" spans="1:10" x14ac:dyDescent="0.3">
      <c r="A4893" t="s">
        <v>6</v>
      </c>
      <c r="B4893" t="str">
        <f>"02/21/1999 00:00"</f>
        <v>02/21/1999 00:00</v>
      </c>
      <c r="C4893">
        <v>119</v>
      </c>
      <c r="D4893" t="s">
        <v>7</v>
      </c>
      <c r="E4893" s="2" t="s">
        <v>12</v>
      </c>
      <c r="F4893">
        <f t="shared" si="76"/>
        <v>235.977</v>
      </c>
      <c r="G4893" t="s">
        <v>16</v>
      </c>
      <c r="J4893" t="str">
        <f>"02/21/1999 23:00"</f>
        <v>02/21/1999 23:00</v>
      </c>
    </row>
    <row r="4894" spans="1:10" x14ac:dyDescent="0.3">
      <c r="A4894" t="s">
        <v>6</v>
      </c>
      <c r="B4894" t="str">
        <f>"02/22/1999 00:00"</f>
        <v>02/22/1999 00:00</v>
      </c>
      <c r="C4894">
        <v>120</v>
      </c>
      <c r="D4894" t="s">
        <v>7</v>
      </c>
      <c r="E4894" s="2" t="s">
        <v>12</v>
      </c>
      <c r="F4894">
        <f t="shared" si="76"/>
        <v>237.96</v>
      </c>
      <c r="G4894" t="s">
        <v>16</v>
      </c>
      <c r="J4894" t="str">
        <f>"02/22/1999 23:00"</f>
        <v>02/22/1999 23:00</v>
      </c>
    </row>
    <row r="4895" spans="1:10" x14ac:dyDescent="0.3">
      <c r="A4895" t="s">
        <v>6</v>
      </c>
      <c r="B4895" t="str">
        <f>"02/23/1999 00:00"</f>
        <v>02/23/1999 00:00</v>
      </c>
      <c r="C4895">
        <v>120</v>
      </c>
      <c r="D4895" t="s">
        <v>7</v>
      </c>
      <c r="E4895" s="2" t="s">
        <v>12</v>
      </c>
      <c r="F4895">
        <f t="shared" si="76"/>
        <v>237.96</v>
      </c>
      <c r="G4895" t="s">
        <v>16</v>
      </c>
      <c r="J4895" t="str">
        <f>"02/23/1999 23:00"</f>
        <v>02/23/1999 23:00</v>
      </c>
    </row>
    <row r="4896" spans="1:10" x14ac:dyDescent="0.3">
      <c r="A4896" t="s">
        <v>6</v>
      </c>
      <c r="B4896" t="str">
        <f>"02/24/1999 00:00"</f>
        <v>02/24/1999 00:00</v>
      </c>
      <c r="C4896">
        <v>139</v>
      </c>
      <c r="D4896" t="s">
        <v>7</v>
      </c>
      <c r="E4896" s="2" t="s">
        <v>12</v>
      </c>
      <c r="F4896">
        <f t="shared" si="76"/>
        <v>275.637</v>
      </c>
      <c r="G4896" t="s">
        <v>16</v>
      </c>
      <c r="J4896" t="str">
        <f>"02/24/1999 23:00"</f>
        <v>02/24/1999 23:00</v>
      </c>
    </row>
    <row r="4897" spans="1:10" x14ac:dyDescent="0.3">
      <c r="A4897" t="s">
        <v>6</v>
      </c>
      <c r="B4897" t="str">
        <f>"02/25/1999 00:00"</f>
        <v>02/25/1999 00:00</v>
      </c>
      <c r="C4897">
        <v>144</v>
      </c>
      <c r="D4897" t="s">
        <v>7</v>
      </c>
      <c r="E4897" s="2" t="s">
        <v>12</v>
      </c>
      <c r="F4897">
        <f t="shared" si="76"/>
        <v>285.55200000000002</v>
      </c>
      <c r="G4897" t="s">
        <v>16</v>
      </c>
      <c r="J4897" t="str">
        <f>"02/25/1999 23:00"</f>
        <v>02/25/1999 23:00</v>
      </c>
    </row>
    <row r="4898" spans="1:10" x14ac:dyDescent="0.3">
      <c r="A4898" t="s">
        <v>6</v>
      </c>
      <c r="B4898" t="str">
        <f>"02/26/1999 00:00"</f>
        <v>02/26/1999 00:00</v>
      </c>
      <c r="C4898">
        <v>150</v>
      </c>
      <c r="D4898" t="s">
        <v>7</v>
      </c>
      <c r="E4898" s="2" t="s">
        <v>12</v>
      </c>
      <c r="F4898">
        <f t="shared" si="76"/>
        <v>297.45</v>
      </c>
      <c r="G4898" t="s">
        <v>16</v>
      </c>
      <c r="J4898" t="str">
        <f>"02/26/1999 23:00"</f>
        <v>02/26/1999 23:00</v>
      </c>
    </row>
    <row r="4899" spans="1:10" x14ac:dyDescent="0.3">
      <c r="A4899" t="s">
        <v>6</v>
      </c>
      <c r="B4899" t="str">
        <f>"02/27/1999 00:00"</f>
        <v>02/27/1999 00:00</v>
      </c>
      <c r="C4899">
        <v>152</v>
      </c>
      <c r="D4899" t="s">
        <v>7</v>
      </c>
      <c r="E4899" s="2" t="s">
        <v>12</v>
      </c>
      <c r="F4899">
        <f t="shared" si="76"/>
        <v>301.416</v>
      </c>
      <c r="G4899" t="s">
        <v>16</v>
      </c>
      <c r="J4899" t="str">
        <f>"02/27/1999 23:00"</f>
        <v>02/27/1999 23:00</v>
      </c>
    </row>
    <row r="4900" spans="1:10" x14ac:dyDescent="0.3">
      <c r="A4900" t="s">
        <v>6</v>
      </c>
      <c r="B4900" t="str">
        <f>"02/28/1999 00:00"</f>
        <v>02/28/1999 00:00</v>
      </c>
      <c r="C4900">
        <v>152</v>
      </c>
      <c r="D4900" t="s">
        <v>7</v>
      </c>
      <c r="E4900" s="2" t="s">
        <v>12</v>
      </c>
      <c r="F4900">
        <f t="shared" si="76"/>
        <v>301.416</v>
      </c>
      <c r="G4900" t="s">
        <v>16</v>
      </c>
      <c r="J4900" t="str">
        <f>"02/28/1999 23:00"</f>
        <v>02/28/1999 23:00</v>
      </c>
    </row>
    <row r="4901" spans="1:10" x14ac:dyDescent="0.3">
      <c r="A4901" t="s">
        <v>6</v>
      </c>
      <c r="B4901" t="str">
        <f>"03/01/1999 00:00"</f>
        <v>03/01/1999 00:00</v>
      </c>
      <c r="C4901">
        <v>152</v>
      </c>
      <c r="D4901" t="s">
        <v>7</v>
      </c>
      <c r="E4901" s="2" t="s">
        <v>12</v>
      </c>
      <c r="F4901">
        <f t="shared" si="76"/>
        <v>301.416</v>
      </c>
      <c r="G4901" t="s">
        <v>16</v>
      </c>
      <c r="J4901" t="str">
        <f>"03/01/1999 23:00"</f>
        <v>03/01/1999 23:00</v>
      </c>
    </row>
    <row r="4902" spans="1:10" x14ac:dyDescent="0.3">
      <c r="A4902" t="s">
        <v>6</v>
      </c>
      <c r="B4902" t="str">
        <f>"03/02/1999 00:00"</f>
        <v>03/02/1999 00:00</v>
      </c>
      <c r="C4902">
        <v>152</v>
      </c>
      <c r="D4902" t="s">
        <v>7</v>
      </c>
      <c r="E4902" s="2" t="s">
        <v>12</v>
      </c>
      <c r="F4902">
        <f t="shared" si="76"/>
        <v>301.416</v>
      </c>
      <c r="G4902" t="s">
        <v>16</v>
      </c>
      <c r="J4902" t="str">
        <f>"03/02/1999 23:00"</f>
        <v>03/02/1999 23:00</v>
      </c>
    </row>
    <row r="4903" spans="1:10" x14ac:dyDescent="0.3">
      <c r="A4903" t="s">
        <v>6</v>
      </c>
      <c r="B4903" t="str">
        <f>"03/03/1999 00:00"</f>
        <v>03/03/1999 00:00</v>
      </c>
      <c r="C4903">
        <v>152</v>
      </c>
      <c r="D4903" t="s">
        <v>7</v>
      </c>
      <c r="E4903" s="2" t="s">
        <v>12</v>
      </c>
      <c r="F4903">
        <f t="shared" si="76"/>
        <v>301.416</v>
      </c>
      <c r="G4903" t="s">
        <v>16</v>
      </c>
      <c r="J4903" t="str">
        <f>"03/03/1999 23:00"</f>
        <v>03/03/1999 23:00</v>
      </c>
    </row>
    <row r="4904" spans="1:10" x14ac:dyDescent="0.3">
      <c r="A4904" t="s">
        <v>6</v>
      </c>
      <c r="B4904" t="str">
        <f>"03/04/1999 00:00"</f>
        <v>03/04/1999 00:00</v>
      </c>
      <c r="C4904">
        <v>152</v>
      </c>
      <c r="D4904" t="s">
        <v>7</v>
      </c>
      <c r="E4904" s="2" t="s">
        <v>12</v>
      </c>
      <c r="F4904">
        <f t="shared" si="76"/>
        <v>301.416</v>
      </c>
      <c r="G4904" t="s">
        <v>16</v>
      </c>
      <c r="J4904" t="str">
        <f>"03/04/1999 23:00"</f>
        <v>03/04/1999 23:00</v>
      </c>
    </row>
    <row r="4905" spans="1:10" x14ac:dyDescent="0.3">
      <c r="A4905" t="s">
        <v>6</v>
      </c>
      <c r="B4905" t="str">
        <f>"03/05/1999 00:00"</f>
        <v>03/05/1999 00:00</v>
      </c>
      <c r="C4905">
        <v>152</v>
      </c>
      <c r="D4905" t="s">
        <v>7</v>
      </c>
      <c r="E4905" s="2" t="s">
        <v>12</v>
      </c>
      <c r="F4905">
        <f t="shared" si="76"/>
        <v>301.416</v>
      </c>
      <c r="G4905" t="s">
        <v>16</v>
      </c>
      <c r="I4905" t="s">
        <v>8</v>
      </c>
      <c r="J4905" t="str">
        <f>"03/05/1999 23:00"</f>
        <v>03/05/1999 23:00</v>
      </c>
    </row>
    <row r="4906" spans="1:10" x14ac:dyDescent="0.3">
      <c r="A4906" t="s">
        <v>6</v>
      </c>
      <c r="B4906" t="str">
        <f>"03/06/1999 00:00"</f>
        <v>03/06/1999 00:00</v>
      </c>
      <c r="C4906">
        <v>152</v>
      </c>
      <c r="D4906" t="s">
        <v>7</v>
      </c>
      <c r="E4906" s="2" t="s">
        <v>12</v>
      </c>
      <c r="F4906">
        <f t="shared" si="76"/>
        <v>301.416</v>
      </c>
      <c r="G4906" t="s">
        <v>16</v>
      </c>
      <c r="I4906" t="s">
        <v>8</v>
      </c>
      <c r="J4906" t="str">
        <f>"03/06/1999 23:00"</f>
        <v>03/06/1999 23:00</v>
      </c>
    </row>
    <row r="4907" spans="1:10" x14ac:dyDescent="0.3">
      <c r="A4907" t="s">
        <v>6</v>
      </c>
      <c r="B4907" t="str">
        <f>"03/07/1999 00:00"</f>
        <v>03/07/1999 00:00</v>
      </c>
      <c r="C4907">
        <v>152</v>
      </c>
      <c r="D4907" t="s">
        <v>7</v>
      </c>
      <c r="E4907" s="2" t="s">
        <v>12</v>
      </c>
      <c r="F4907">
        <f t="shared" si="76"/>
        <v>301.416</v>
      </c>
      <c r="G4907" t="s">
        <v>16</v>
      </c>
      <c r="J4907" t="str">
        <f>"03/07/1999 23:00"</f>
        <v>03/07/1999 23:00</v>
      </c>
    </row>
    <row r="4908" spans="1:10" x14ac:dyDescent="0.3">
      <c r="A4908" t="s">
        <v>6</v>
      </c>
      <c r="B4908" t="str">
        <f>"03/08/1999 00:00"</f>
        <v>03/08/1999 00:00</v>
      </c>
      <c r="C4908">
        <v>152</v>
      </c>
      <c r="D4908" t="s">
        <v>7</v>
      </c>
      <c r="E4908" s="2" t="s">
        <v>12</v>
      </c>
      <c r="F4908">
        <f t="shared" si="76"/>
        <v>301.416</v>
      </c>
      <c r="G4908" t="s">
        <v>16</v>
      </c>
      <c r="J4908" t="str">
        <f>"03/08/1999 23:00"</f>
        <v>03/08/1999 23:00</v>
      </c>
    </row>
    <row r="4909" spans="1:10" x14ac:dyDescent="0.3">
      <c r="A4909" t="s">
        <v>6</v>
      </c>
      <c r="B4909" t="str">
        <f>"03/09/1999 00:00"</f>
        <v>03/09/1999 00:00</v>
      </c>
      <c r="C4909">
        <v>114</v>
      </c>
      <c r="D4909" t="s">
        <v>7</v>
      </c>
      <c r="E4909" s="2" t="s">
        <v>12</v>
      </c>
      <c r="F4909">
        <f t="shared" si="76"/>
        <v>226.06200000000001</v>
      </c>
      <c r="G4909" t="s">
        <v>16</v>
      </c>
      <c r="J4909" t="str">
        <f>"03/09/1999 23:00"</f>
        <v>03/09/1999 23:00</v>
      </c>
    </row>
    <row r="4910" spans="1:10" x14ac:dyDescent="0.3">
      <c r="A4910" t="s">
        <v>6</v>
      </c>
      <c r="B4910" t="str">
        <f>"03/10/1999 00:00"</f>
        <v>03/10/1999 00:00</v>
      </c>
      <c r="C4910">
        <v>96.6</v>
      </c>
      <c r="D4910" t="s">
        <v>7</v>
      </c>
      <c r="E4910" s="2" t="s">
        <v>12</v>
      </c>
      <c r="F4910">
        <f t="shared" si="76"/>
        <v>191.55779999999999</v>
      </c>
      <c r="G4910" t="s">
        <v>16</v>
      </c>
      <c r="I4910" t="s">
        <v>8</v>
      </c>
      <c r="J4910" t="str">
        <f>"03/10/1999 23:00"</f>
        <v>03/10/1999 23:00</v>
      </c>
    </row>
    <row r="4911" spans="1:10" x14ac:dyDescent="0.3">
      <c r="A4911" t="s">
        <v>6</v>
      </c>
      <c r="B4911" t="str">
        <f>"03/11/1999 00:00"</f>
        <v>03/11/1999 00:00</v>
      </c>
      <c r="C4911">
        <v>145</v>
      </c>
      <c r="D4911" t="s">
        <v>7</v>
      </c>
      <c r="E4911" s="2" t="s">
        <v>12</v>
      </c>
      <c r="F4911">
        <f t="shared" si="76"/>
        <v>287.53500000000003</v>
      </c>
      <c r="G4911" t="s">
        <v>16</v>
      </c>
      <c r="J4911" t="str">
        <f>"03/11/1999 23:00"</f>
        <v>03/11/1999 23:00</v>
      </c>
    </row>
    <row r="4912" spans="1:10" x14ac:dyDescent="0.3">
      <c r="A4912" t="s">
        <v>6</v>
      </c>
      <c r="B4912" t="str">
        <f>"03/12/1999 00:00"</f>
        <v>03/12/1999 00:00</v>
      </c>
      <c r="C4912">
        <v>165</v>
      </c>
      <c r="D4912" t="s">
        <v>7</v>
      </c>
      <c r="E4912" s="2" t="s">
        <v>12</v>
      </c>
      <c r="F4912">
        <f t="shared" si="76"/>
        <v>327.19499999999999</v>
      </c>
      <c r="G4912" t="s">
        <v>16</v>
      </c>
      <c r="J4912" t="str">
        <f>"03/12/1999 23:00"</f>
        <v>03/12/1999 23:00</v>
      </c>
    </row>
    <row r="4913" spans="1:10" x14ac:dyDescent="0.3">
      <c r="A4913" t="s">
        <v>6</v>
      </c>
      <c r="B4913" t="str">
        <f>"03/13/1999 00:00"</f>
        <v>03/13/1999 00:00</v>
      </c>
      <c r="C4913">
        <v>165</v>
      </c>
      <c r="D4913" t="s">
        <v>7</v>
      </c>
      <c r="E4913" s="2" t="s">
        <v>12</v>
      </c>
      <c r="F4913">
        <f t="shared" si="76"/>
        <v>327.19499999999999</v>
      </c>
      <c r="G4913" t="s">
        <v>16</v>
      </c>
      <c r="J4913" t="str">
        <f>"03/13/1999 23:00"</f>
        <v>03/13/1999 23:00</v>
      </c>
    </row>
    <row r="4914" spans="1:10" x14ac:dyDescent="0.3">
      <c r="A4914" t="s">
        <v>6</v>
      </c>
      <c r="B4914" t="str">
        <f>"03/14/1999 00:00"</f>
        <v>03/14/1999 00:00</v>
      </c>
      <c r="C4914">
        <v>165</v>
      </c>
      <c r="D4914" t="s">
        <v>7</v>
      </c>
      <c r="E4914" s="2" t="s">
        <v>12</v>
      </c>
      <c r="F4914">
        <f t="shared" si="76"/>
        <v>327.19499999999999</v>
      </c>
      <c r="G4914" t="s">
        <v>16</v>
      </c>
      <c r="J4914" t="str">
        <f>"03/14/1999 23:00"</f>
        <v>03/14/1999 23:00</v>
      </c>
    </row>
    <row r="4915" spans="1:10" x14ac:dyDescent="0.3">
      <c r="A4915" t="s">
        <v>6</v>
      </c>
      <c r="B4915" t="str">
        <f>"03/15/1999 00:00"</f>
        <v>03/15/1999 00:00</v>
      </c>
      <c r="C4915">
        <v>165</v>
      </c>
      <c r="D4915" t="s">
        <v>7</v>
      </c>
      <c r="E4915" s="2" t="s">
        <v>12</v>
      </c>
      <c r="F4915">
        <f t="shared" si="76"/>
        <v>327.19499999999999</v>
      </c>
      <c r="G4915" t="s">
        <v>16</v>
      </c>
      <c r="J4915" t="str">
        <f>"03/15/1999 23:00"</f>
        <v>03/15/1999 23:00</v>
      </c>
    </row>
    <row r="4916" spans="1:10" x14ac:dyDescent="0.3">
      <c r="A4916" t="s">
        <v>6</v>
      </c>
      <c r="B4916" t="str">
        <f>"03/16/1999 00:00"</f>
        <v>03/16/1999 00:00</v>
      </c>
      <c r="C4916">
        <v>165</v>
      </c>
      <c r="D4916" t="s">
        <v>7</v>
      </c>
      <c r="E4916" s="2" t="s">
        <v>12</v>
      </c>
      <c r="F4916">
        <f t="shared" si="76"/>
        <v>327.19499999999999</v>
      </c>
      <c r="G4916" t="s">
        <v>16</v>
      </c>
      <c r="J4916" t="str">
        <f>"03/16/1999 23:00"</f>
        <v>03/16/1999 23:00</v>
      </c>
    </row>
    <row r="4917" spans="1:10" x14ac:dyDescent="0.3">
      <c r="A4917" t="s">
        <v>6</v>
      </c>
      <c r="B4917" t="str">
        <f>"03/17/1999 00:00"</f>
        <v>03/17/1999 00:00</v>
      </c>
      <c r="C4917">
        <v>165</v>
      </c>
      <c r="D4917" t="s">
        <v>7</v>
      </c>
      <c r="E4917" s="2" t="s">
        <v>12</v>
      </c>
      <c r="F4917">
        <f t="shared" si="76"/>
        <v>327.19499999999999</v>
      </c>
      <c r="G4917" t="s">
        <v>16</v>
      </c>
      <c r="J4917" t="str">
        <f>"03/17/1999 23:00"</f>
        <v>03/17/1999 23:00</v>
      </c>
    </row>
    <row r="4918" spans="1:10" x14ac:dyDescent="0.3">
      <c r="A4918" t="s">
        <v>6</v>
      </c>
      <c r="B4918" t="str">
        <f>"03/18/1999 00:00"</f>
        <v>03/18/1999 00:00</v>
      </c>
      <c r="C4918">
        <v>165</v>
      </c>
      <c r="D4918" t="s">
        <v>7</v>
      </c>
      <c r="E4918" s="2" t="s">
        <v>12</v>
      </c>
      <c r="F4918">
        <f t="shared" si="76"/>
        <v>327.19499999999999</v>
      </c>
      <c r="G4918" t="s">
        <v>16</v>
      </c>
      <c r="J4918" t="str">
        <f>"03/18/1999 23:00"</f>
        <v>03/18/1999 23:00</v>
      </c>
    </row>
    <row r="4919" spans="1:10" x14ac:dyDescent="0.3">
      <c r="A4919" t="s">
        <v>6</v>
      </c>
      <c r="B4919" t="str">
        <f>"03/19/1999 00:00"</f>
        <v>03/19/1999 00:00</v>
      </c>
      <c r="C4919">
        <v>182</v>
      </c>
      <c r="D4919" t="s">
        <v>7</v>
      </c>
      <c r="E4919" s="2" t="s">
        <v>12</v>
      </c>
      <c r="F4919">
        <f t="shared" si="76"/>
        <v>360.90600000000001</v>
      </c>
      <c r="G4919" t="s">
        <v>16</v>
      </c>
      <c r="J4919" t="str">
        <f>"03/19/1999 23:00"</f>
        <v>03/19/1999 23:00</v>
      </c>
    </row>
    <row r="4920" spans="1:10" x14ac:dyDescent="0.3">
      <c r="A4920" t="s">
        <v>6</v>
      </c>
      <c r="B4920" t="str">
        <f>"03/20/1999 00:00"</f>
        <v>03/20/1999 00:00</v>
      </c>
      <c r="C4920">
        <v>192</v>
      </c>
      <c r="D4920" t="s">
        <v>7</v>
      </c>
      <c r="E4920" s="2" t="s">
        <v>12</v>
      </c>
      <c r="F4920">
        <f t="shared" si="76"/>
        <v>380.73599999999999</v>
      </c>
      <c r="G4920" t="s">
        <v>16</v>
      </c>
      <c r="J4920" t="str">
        <f>"03/20/1999 23:00"</f>
        <v>03/20/1999 23:00</v>
      </c>
    </row>
    <row r="4921" spans="1:10" x14ac:dyDescent="0.3">
      <c r="A4921" t="s">
        <v>6</v>
      </c>
      <c r="B4921" t="str">
        <f>"03/21/1999 00:00"</f>
        <v>03/21/1999 00:00</v>
      </c>
      <c r="C4921">
        <v>191</v>
      </c>
      <c r="D4921" t="s">
        <v>7</v>
      </c>
      <c r="E4921" s="2" t="s">
        <v>12</v>
      </c>
      <c r="F4921">
        <f t="shared" si="76"/>
        <v>378.75300000000004</v>
      </c>
      <c r="G4921" t="s">
        <v>16</v>
      </c>
      <c r="J4921" t="str">
        <f>"03/21/1999 23:00"</f>
        <v>03/21/1999 23:00</v>
      </c>
    </row>
    <row r="4922" spans="1:10" x14ac:dyDescent="0.3">
      <c r="A4922" t="s">
        <v>6</v>
      </c>
      <c r="B4922" t="str">
        <f>"03/22/1999 00:00"</f>
        <v>03/22/1999 00:00</v>
      </c>
      <c r="C4922">
        <v>231</v>
      </c>
      <c r="D4922" t="s">
        <v>7</v>
      </c>
      <c r="E4922" s="2" t="s">
        <v>12</v>
      </c>
      <c r="F4922">
        <f t="shared" si="76"/>
        <v>458.07300000000004</v>
      </c>
      <c r="G4922" t="s">
        <v>16</v>
      </c>
      <c r="J4922" t="str">
        <f>"03/22/1999 23:00"</f>
        <v>03/22/1999 23:00</v>
      </c>
    </row>
    <row r="4923" spans="1:10" x14ac:dyDescent="0.3">
      <c r="A4923" t="s">
        <v>6</v>
      </c>
      <c r="B4923" t="str">
        <f>"03/23/1999 00:00"</f>
        <v>03/23/1999 00:00</v>
      </c>
      <c r="C4923">
        <v>271</v>
      </c>
      <c r="D4923" t="s">
        <v>7</v>
      </c>
      <c r="E4923" s="2" t="s">
        <v>12</v>
      </c>
      <c r="F4923">
        <f t="shared" si="76"/>
        <v>537.39300000000003</v>
      </c>
      <c r="G4923" t="s">
        <v>16</v>
      </c>
      <c r="J4923" t="str">
        <f>"03/23/1999 23:00"</f>
        <v>03/23/1999 23:00</v>
      </c>
    </row>
    <row r="4924" spans="1:10" x14ac:dyDescent="0.3">
      <c r="A4924" t="s">
        <v>6</v>
      </c>
      <c r="B4924" t="str">
        <f>"03/24/1999 00:00"</f>
        <v>03/24/1999 00:00</v>
      </c>
      <c r="C4924">
        <v>271</v>
      </c>
      <c r="D4924" t="s">
        <v>7</v>
      </c>
      <c r="E4924" s="2" t="s">
        <v>12</v>
      </c>
      <c r="F4924">
        <f t="shared" si="76"/>
        <v>537.39300000000003</v>
      </c>
      <c r="G4924" t="s">
        <v>16</v>
      </c>
      <c r="J4924" t="str">
        <f>"03/24/1999 23:00"</f>
        <v>03/24/1999 23:00</v>
      </c>
    </row>
    <row r="4925" spans="1:10" x14ac:dyDescent="0.3">
      <c r="A4925" t="s">
        <v>6</v>
      </c>
      <c r="B4925" t="str">
        <f>"03/25/1999 00:00"</f>
        <v>03/25/1999 00:00</v>
      </c>
      <c r="C4925">
        <v>271</v>
      </c>
      <c r="D4925" t="s">
        <v>7</v>
      </c>
      <c r="E4925" s="2" t="s">
        <v>12</v>
      </c>
      <c r="F4925">
        <f t="shared" si="76"/>
        <v>537.39300000000003</v>
      </c>
      <c r="G4925" t="s">
        <v>16</v>
      </c>
      <c r="J4925" t="str">
        <f>"03/25/1999 23:00"</f>
        <v>03/25/1999 23:00</v>
      </c>
    </row>
    <row r="4926" spans="1:10" x14ac:dyDescent="0.3">
      <c r="A4926" t="s">
        <v>6</v>
      </c>
      <c r="B4926" t="str">
        <f>"03/26/1999 00:00"</f>
        <v>03/26/1999 00:00</v>
      </c>
      <c r="C4926">
        <v>258</v>
      </c>
      <c r="D4926" t="s">
        <v>7</v>
      </c>
      <c r="E4926" s="2" t="s">
        <v>12</v>
      </c>
      <c r="F4926">
        <f t="shared" si="76"/>
        <v>511.61400000000003</v>
      </c>
      <c r="G4926" t="s">
        <v>16</v>
      </c>
      <c r="J4926" t="str">
        <f>"03/26/1999 23:00"</f>
        <v>03/26/1999 23:00</v>
      </c>
    </row>
    <row r="4927" spans="1:10" x14ac:dyDescent="0.3">
      <c r="A4927" t="s">
        <v>6</v>
      </c>
      <c r="B4927" t="str">
        <f>"03/27/1999 00:00"</f>
        <v>03/27/1999 00:00</v>
      </c>
      <c r="C4927">
        <v>252</v>
      </c>
      <c r="D4927" t="s">
        <v>7</v>
      </c>
      <c r="E4927" s="2" t="s">
        <v>12</v>
      </c>
      <c r="F4927">
        <f t="shared" si="76"/>
        <v>499.71600000000001</v>
      </c>
      <c r="G4927" t="s">
        <v>16</v>
      </c>
      <c r="J4927" t="str">
        <f>"03/27/1999 23:00"</f>
        <v>03/27/1999 23:00</v>
      </c>
    </row>
    <row r="4928" spans="1:10" x14ac:dyDescent="0.3">
      <c r="A4928" t="s">
        <v>6</v>
      </c>
      <c r="B4928" t="str">
        <f>"03/28/1999 00:00"</f>
        <v>03/28/1999 00:00</v>
      </c>
      <c r="C4928">
        <v>252</v>
      </c>
      <c r="D4928" t="s">
        <v>7</v>
      </c>
      <c r="E4928" s="2" t="s">
        <v>12</v>
      </c>
      <c r="F4928">
        <f t="shared" si="76"/>
        <v>499.71600000000001</v>
      </c>
      <c r="G4928" t="s">
        <v>16</v>
      </c>
      <c r="J4928" t="str">
        <f>"03/28/1999 23:00"</f>
        <v>03/28/1999 23:00</v>
      </c>
    </row>
    <row r="4929" spans="1:10" x14ac:dyDescent="0.3">
      <c r="A4929" t="s">
        <v>6</v>
      </c>
      <c r="B4929" t="str">
        <f>"03/29/1999 00:00"</f>
        <v>03/29/1999 00:00</v>
      </c>
      <c r="C4929">
        <v>252</v>
      </c>
      <c r="D4929" t="s">
        <v>7</v>
      </c>
      <c r="E4929" s="2" t="s">
        <v>12</v>
      </c>
      <c r="F4929">
        <f t="shared" si="76"/>
        <v>499.71600000000001</v>
      </c>
      <c r="G4929" t="s">
        <v>16</v>
      </c>
      <c r="J4929" t="str">
        <f>"03/29/1999 23:00"</f>
        <v>03/29/1999 23:00</v>
      </c>
    </row>
    <row r="4930" spans="1:10" x14ac:dyDescent="0.3">
      <c r="A4930" t="s">
        <v>6</v>
      </c>
      <c r="B4930" t="str">
        <f>"03/30/1999 00:00"</f>
        <v>03/30/1999 00:00</v>
      </c>
      <c r="C4930">
        <v>252</v>
      </c>
      <c r="D4930" t="s">
        <v>7</v>
      </c>
      <c r="E4930" s="2" t="s">
        <v>12</v>
      </c>
      <c r="F4930">
        <f t="shared" si="76"/>
        <v>499.71600000000001</v>
      </c>
      <c r="G4930" t="s">
        <v>16</v>
      </c>
      <c r="J4930" t="str">
        <f>"03/30/1999 23:00"</f>
        <v>03/30/1999 23:00</v>
      </c>
    </row>
    <row r="4931" spans="1:10" x14ac:dyDescent="0.3">
      <c r="A4931" t="s">
        <v>6</v>
      </c>
      <c r="B4931" t="str">
        <f>"03/31/1999 00:00"</f>
        <v>03/31/1999 00:00</v>
      </c>
      <c r="C4931">
        <v>250</v>
      </c>
      <c r="D4931" t="s">
        <v>7</v>
      </c>
      <c r="E4931" s="2" t="s">
        <v>12</v>
      </c>
      <c r="F4931">
        <f t="shared" ref="F4931:F4994" si="77">C4931*1.983</f>
        <v>495.75</v>
      </c>
      <c r="G4931" t="s">
        <v>16</v>
      </c>
      <c r="J4931" t="str">
        <f>"03/31/1999 23:00"</f>
        <v>03/31/1999 23:00</v>
      </c>
    </row>
    <row r="4932" spans="1:10" x14ac:dyDescent="0.3">
      <c r="A4932" t="s">
        <v>6</v>
      </c>
      <c r="B4932" t="str">
        <f>"04/01/1999 00:00"</f>
        <v>04/01/1999 00:00</v>
      </c>
      <c r="C4932">
        <v>250</v>
      </c>
      <c r="D4932" t="s">
        <v>7</v>
      </c>
      <c r="E4932" s="2" t="s">
        <v>12</v>
      </c>
      <c r="F4932">
        <f t="shared" si="77"/>
        <v>495.75</v>
      </c>
      <c r="G4932" t="s">
        <v>16</v>
      </c>
      <c r="J4932" t="str">
        <f>"04/01/1999 23:00"</f>
        <v>04/01/1999 23:00</v>
      </c>
    </row>
    <row r="4933" spans="1:10" x14ac:dyDescent="0.3">
      <c r="A4933" t="s">
        <v>6</v>
      </c>
      <c r="B4933" t="str">
        <f>"04/02/1999 00:00"</f>
        <v>04/02/1999 00:00</v>
      </c>
      <c r="C4933">
        <v>266</v>
      </c>
      <c r="D4933" t="s">
        <v>7</v>
      </c>
      <c r="E4933" s="2" t="s">
        <v>12</v>
      </c>
      <c r="F4933">
        <f t="shared" si="77"/>
        <v>527.47800000000007</v>
      </c>
      <c r="G4933" t="s">
        <v>16</v>
      </c>
      <c r="J4933" t="str">
        <f>"04/02/1999 23:00"</f>
        <v>04/02/1999 23:00</v>
      </c>
    </row>
    <row r="4934" spans="1:10" x14ac:dyDescent="0.3">
      <c r="A4934" t="s">
        <v>6</v>
      </c>
      <c r="B4934" t="str">
        <f>"04/03/1999 00:00"</f>
        <v>04/03/1999 00:00</v>
      </c>
      <c r="C4934">
        <v>291</v>
      </c>
      <c r="D4934" t="s">
        <v>7</v>
      </c>
      <c r="E4934" s="2" t="s">
        <v>12</v>
      </c>
      <c r="F4934">
        <f t="shared" si="77"/>
        <v>577.053</v>
      </c>
      <c r="G4934" t="s">
        <v>16</v>
      </c>
      <c r="J4934" t="str">
        <f>"04/03/1999 23:00"</f>
        <v>04/03/1999 23:00</v>
      </c>
    </row>
    <row r="4935" spans="1:10" x14ac:dyDescent="0.3">
      <c r="A4935" t="s">
        <v>6</v>
      </c>
      <c r="B4935" t="str">
        <f>"04/04/1999 00:00"</f>
        <v>04/04/1999 00:00</v>
      </c>
      <c r="C4935">
        <v>291</v>
      </c>
      <c r="D4935" t="s">
        <v>7</v>
      </c>
      <c r="E4935" s="2" t="s">
        <v>12</v>
      </c>
      <c r="F4935">
        <f t="shared" si="77"/>
        <v>577.053</v>
      </c>
      <c r="G4935" t="s">
        <v>16</v>
      </c>
      <c r="J4935" t="str">
        <f>"04/04/1999 23:00"</f>
        <v>04/04/1999 23:00</v>
      </c>
    </row>
    <row r="4936" spans="1:10" x14ac:dyDescent="0.3">
      <c r="A4936" t="s">
        <v>6</v>
      </c>
      <c r="B4936" t="str">
        <f>"04/05/1999 00:00"</f>
        <v>04/05/1999 00:00</v>
      </c>
      <c r="C4936">
        <v>290</v>
      </c>
      <c r="D4936" t="s">
        <v>7</v>
      </c>
      <c r="E4936" s="2" t="s">
        <v>12</v>
      </c>
      <c r="F4936">
        <f t="shared" si="77"/>
        <v>575.07000000000005</v>
      </c>
      <c r="G4936" t="s">
        <v>16</v>
      </c>
      <c r="J4936" t="str">
        <f>"04/05/1999 23:00"</f>
        <v>04/05/1999 23:00</v>
      </c>
    </row>
    <row r="4937" spans="1:10" x14ac:dyDescent="0.3">
      <c r="A4937" t="s">
        <v>6</v>
      </c>
      <c r="B4937" t="str">
        <f>"04/06/1999 00:00"</f>
        <v>04/06/1999 00:00</v>
      </c>
      <c r="C4937">
        <v>290</v>
      </c>
      <c r="D4937" t="s">
        <v>7</v>
      </c>
      <c r="E4937" s="2" t="s">
        <v>12</v>
      </c>
      <c r="F4937">
        <f t="shared" si="77"/>
        <v>575.07000000000005</v>
      </c>
      <c r="G4937" t="s">
        <v>16</v>
      </c>
      <c r="I4937" t="s">
        <v>8</v>
      </c>
      <c r="J4937" t="str">
        <f>"04/06/1999 23:45"</f>
        <v>04/06/1999 23:45</v>
      </c>
    </row>
    <row r="4938" spans="1:10" x14ac:dyDescent="0.3">
      <c r="A4938" t="s">
        <v>6</v>
      </c>
      <c r="B4938" t="str">
        <f>"04/07/1999 00:00"</f>
        <v>04/07/1999 00:00</v>
      </c>
      <c r="C4938">
        <v>291</v>
      </c>
      <c r="D4938" t="s">
        <v>7</v>
      </c>
      <c r="E4938" s="2" t="s">
        <v>12</v>
      </c>
      <c r="F4938">
        <f t="shared" si="77"/>
        <v>577.053</v>
      </c>
      <c r="G4938" t="s">
        <v>16</v>
      </c>
      <c r="I4938" t="s">
        <v>8</v>
      </c>
      <c r="J4938" t="str">
        <f>"04/07/1999 23:45"</f>
        <v>04/07/1999 23:45</v>
      </c>
    </row>
    <row r="4939" spans="1:10" x14ac:dyDescent="0.3">
      <c r="A4939" t="s">
        <v>6</v>
      </c>
      <c r="B4939" t="str">
        <f>"04/08/1999 00:00"</f>
        <v>04/08/1999 00:00</v>
      </c>
      <c r="C4939">
        <v>318</v>
      </c>
      <c r="D4939" t="s">
        <v>7</v>
      </c>
      <c r="E4939" s="2" t="s">
        <v>12</v>
      </c>
      <c r="F4939">
        <f t="shared" si="77"/>
        <v>630.59400000000005</v>
      </c>
      <c r="G4939" t="s">
        <v>16</v>
      </c>
      <c r="J4939" t="str">
        <f>"04/08/1999 23:45"</f>
        <v>04/08/1999 23:45</v>
      </c>
    </row>
    <row r="4940" spans="1:10" x14ac:dyDescent="0.3">
      <c r="A4940" t="s">
        <v>6</v>
      </c>
      <c r="B4940" t="str">
        <f>"04/09/1999 00:00"</f>
        <v>04/09/1999 00:00</v>
      </c>
      <c r="C4940">
        <v>342</v>
      </c>
      <c r="D4940" t="s">
        <v>7</v>
      </c>
      <c r="E4940" s="2" t="s">
        <v>12</v>
      </c>
      <c r="F4940">
        <f t="shared" si="77"/>
        <v>678.18600000000004</v>
      </c>
      <c r="G4940" t="s">
        <v>16</v>
      </c>
      <c r="I4940" t="s">
        <v>8</v>
      </c>
      <c r="J4940" t="str">
        <f>"04/09/1999 23:45"</f>
        <v>04/09/1999 23:45</v>
      </c>
    </row>
    <row r="4941" spans="1:10" x14ac:dyDescent="0.3">
      <c r="A4941" t="s">
        <v>6</v>
      </c>
      <c r="B4941" t="str">
        <f>"04/10/1999 00:00"</f>
        <v>04/10/1999 00:00</v>
      </c>
      <c r="C4941">
        <v>345</v>
      </c>
      <c r="D4941" t="s">
        <v>7</v>
      </c>
      <c r="E4941" s="2" t="s">
        <v>12</v>
      </c>
      <c r="F4941">
        <f t="shared" si="77"/>
        <v>684.13499999999999</v>
      </c>
      <c r="G4941" t="s">
        <v>16</v>
      </c>
      <c r="I4941" t="s">
        <v>8</v>
      </c>
      <c r="J4941" t="str">
        <f>"04/10/1999 23:45"</f>
        <v>04/10/1999 23:45</v>
      </c>
    </row>
    <row r="4942" spans="1:10" x14ac:dyDescent="0.3">
      <c r="A4942" t="s">
        <v>6</v>
      </c>
      <c r="B4942" t="str">
        <f>"04/11/1999 00:00"</f>
        <v>04/11/1999 00:00</v>
      </c>
      <c r="C4942">
        <v>345</v>
      </c>
      <c r="D4942" t="s">
        <v>7</v>
      </c>
      <c r="E4942" s="2" t="s">
        <v>12</v>
      </c>
      <c r="F4942">
        <f t="shared" si="77"/>
        <v>684.13499999999999</v>
      </c>
      <c r="G4942" t="s">
        <v>16</v>
      </c>
      <c r="I4942" t="s">
        <v>8</v>
      </c>
      <c r="J4942" t="str">
        <f>"04/11/1999 23:45"</f>
        <v>04/11/1999 23:45</v>
      </c>
    </row>
    <row r="4943" spans="1:10" x14ac:dyDescent="0.3">
      <c r="A4943" t="s">
        <v>6</v>
      </c>
      <c r="B4943" t="str">
        <f>"04/12/1999 00:00"</f>
        <v>04/12/1999 00:00</v>
      </c>
      <c r="C4943">
        <v>345</v>
      </c>
      <c r="D4943" t="s">
        <v>7</v>
      </c>
      <c r="E4943" s="2" t="s">
        <v>12</v>
      </c>
      <c r="F4943">
        <f t="shared" si="77"/>
        <v>684.13499999999999</v>
      </c>
      <c r="G4943" t="s">
        <v>16</v>
      </c>
      <c r="J4943" t="str">
        <f>"04/12/1999 23:45"</f>
        <v>04/12/1999 23:45</v>
      </c>
    </row>
    <row r="4944" spans="1:10" x14ac:dyDescent="0.3">
      <c r="A4944" t="s">
        <v>6</v>
      </c>
      <c r="B4944" t="str">
        <f>"04/13/1999 00:00"</f>
        <v>04/13/1999 00:00</v>
      </c>
      <c r="C4944">
        <v>361</v>
      </c>
      <c r="D4944" t="s">
        <v>7</v>
      </c>
      <c r="E4944" s="2" t="s">
        <v>12</v>
      </c>
      <c r="F4944">
        <f t="shared" si="77"/>
        <v>715.86300000000006</v>
      </c>
      <c r="G4944" t="s">
        <v>16</v>
      </c>
      <c r="J4944" t="str">
        <f>"04/13/1999 23:45"</f>
        <v>04/13/1999 23:45</v>
      </c>
    </row>
    <row r="4945" spans="1:10" x14ac:dyDescent="0.3">
      <c r="A4945" t="s">
        <v>6</v>
      </c>
      <c r="B4945" t="str">
        <f>"04/14/1999 00:00"</f>
        <v>04/14/1999 00:00</v>
      </c>
      <c r="C4945">
        <v>343</v>
      </c>
      <c r="D4945" t="s">
        <v>7</v>
      </c>
      <c r="E4945" s="2" t="s">
        <v>12</v>
      </c>
      <c r="F4945">
        <f t="shared" si="77"/>
        <v>680.16899999999998</v>
      </c>
      <c r="G4945" t="s">
        <v>16</v>
      </c>
      <c r="J4945" t="str">
        <f>"04/14/1999 23:45"</f>
        <v>04/14/1999 23:45</v>
      </c>
    </row>
    <row r="4946" spans="1:10" x14ac:dyDescent="0.3">
      <c r="A4946" t="s">
        <v>6</v>
      </c>
      <c r="B4946" t="str">
        <f>"04/15/1999 00:00"</f>
        <v>04/15/1999 00:00</v>
      </c>
      <c r="C4946">
        <v>250</v>
      </c>
      <c r="D4946" t="s">
        <v>7</v>
      </c>
      <c r="E4946" s="2" t="s">
        <v>12</v>
      </c>
      <c r="F4946">
        <f t="shared" si="77"/>
        <v>495.75</v>
      </c>
      <c r="G4946" t="s">
        <v>16</v>
      </c>
      <c r="I4946" t="s">
        <v>8</v>
      </c>
      <c r="J4946" t="str">
        <f>"04/15/1999 23:45"</f>
        <v>04/15/1999 23:45</v>
      </c>
    </row>
    <row r="4947" spans="1:10" x14ac:dyDescent="0.3">
      <c r="A4947" t="s">
        <v>6</v>
      </c>
      <c r="B4947" t="str">
        <f>"04/16/1999 00:00"</f>
        <v>04/16/1999 00:00</v>
      </c>
      <c r="C4947">
        <v>204</v>
      </c>
      <c r="D4947" t="s">
        <v>7</v>
      </c>
      <c r="E4947" s="2" t="s">
        <v>12</v>
      </c>
      <c r="F4947">
        <f t="shared" si="77"/>
        <v>404.53200000000004</v>
      </c>
      <c r="G4947" t="s">
        <v>16</v>
      </c>
      <c r="I4947" t="s">
        <v>8</v>
      </c>
      <c r="J4947" t="str">
        <f>"04/16/1999 23:45"</f>
        <v>04/16/1999 23:45</v>
      </c>
    </row>
    <row r="4948" spans="1:10" x14ac:dyDescent="0.3">
      <c r="A4948" t="s">
        <v>6</v>
      </c>
      <c r="B4948" t="str">
        <f>"04/17/1999 00:00"</f>
        <v>04/17/1999 00:00</v>
      </c>
      <c r="C4948">
        <v>203</v>
      </c>
      <c r="D4948" t="s">
        <v>7</v>
      </c>
      <c r="E4948" s="2" t="s">
        <v>12</v>
      </c>
      <c r="F4948">
        <f t="shared" si="77"/>
        <v>402.54900000000004</v>
      </c>
      <c r="G4948" t="s">
        <v>16</v>
      </c>
      <c r="I4948" t="s">
        <v>8</v>
      </c>
      <c r="J4948" t="str">
        <f>"04/17/1999 23:45"</f>
        <v>04/17/1999 23:45</v>
      </c>
    </row>
    <row r="4949" spans="1:10" x14ac:dyDescent="0.3">
      <c r="A4949" t="s">
        <v>6</v>
      </c>
      <c r="B4949" t="str">
        <f>"04/18/1999 00:00"</f>
        <v>04/18/1999 00:00</v>
      </c>
      <c r="C4949">
        <v>204</v>
      </c>
      <c r="D4949" t="s">
        <v>7</v>
      </c>
      <c r="E4949" s="2" t="s">
        <v>12</v>
      </c>
      <c r="F4949">
        <f t="shared" si="77"/>
        <v>404.53200000000004</v>
      </c>
      <c r="G4949" t="s">
        <v>16</v>
      </c>
      <c r="I4949" t="s">
        <v>8</v>
      </c>
      <c r="J4949" t="str">
        <f>"04/18/1999 23:45"</f>
        <v>04/18/1999 23:45</v>
      </c>
    </row>
    <row r="4950" spans="1:10" x14ac:dyDescent="0.3">
      <c r="A4950" t="s">
        <v>6</v>
      </c>
      <c r="B4950" t="str">
        <f>"04/19/1999 00:00"</f>
        <v>04/19/1999 00:00</v>
      </c>
      <c r="C4950">
        <v>220</v>
      </c>
      <c r="D4950" t="s">
        <v>7</v>
      </c>
      <c r="E4950" s="2" t="s">
        <v>12</v>
      </c>
      <c r="F4950">
        <f t="shared" si="77"/>
        <v>436.26000000000005</v>
      </c>
      <c r="G4950" t="s">
        <v>16</v>
      </c>
      <c r="J4950" t="str">
        <f>"04/19/1999 23:45"</f>
        <v>04/19/1999 23:45</v>
      </c>
    </row>
    <row r="4951" spans="1:10" x14ac:dyDescent="0.3">
      <c r="A4951" t="s">
        <v>6</v>
      </c>
      <c r="B4951" t="str">
        <f>"04/20/1999 00:00"</f>
        <v>04/20/1999 00:00</v>
      </c>
      <c r="C4951">
        <v>231</v>
      </c>
      <c r="D4951" t="s">
        <v>7</v>
      </c>
      <c r="E4951" s="2" t="s">
        <v>12</v>
      </c>
      <c r="F4951">
        <f t="shared" si="77"/>
        <v>458.07300000000004</v>
      </c>
      <c r="G4951" t="s">
        <v>16</v>
      </c>
      <c r="J4951" t="str">
        <f>"04/20/1999 23:45"</f>
        <v>04/20/1999 23:45</v>
      </c>
    </row>
    <row r="4952" spans="1:10" x14ac:dyDescent="0.3">
      <c r="A4952" t="s">
        <v>6</v>
      </c>
      <c r="B4952" t="str">
        <f>"04/21/1999 00:00"</f>
        <v>04/21/1999 00:00</v>
      </c>
      <c r="C4952">
        <v>275</v>
      </c>
      <c r="D4952" t="s">
        <v>7</v>
      </c>
      <c r="E4952" s="2" t="s">
        <v>12</v>
      </c>
      <c r="F4952">
        <f t="shared" si="77"/>
        <v>545.32500000000005</v>
      </c>
      <c r="G4952" t="s">
        <v>16</v>
      </c>
      <c r="I4952" t="s">
        <v>8</v>
      </c>
      <c r="J4952" t="str">
        <f>"04/21/1999 23:45"</f>
        <v>04/21/1999 23:45</v>
      </c>
    </row>
    <row r="4953" spans="1:10" x14ac:dyDescent="0.3">
      <c r="A4953" t="s">
        <v>6</v>
      </c>
      <c r="B4953" t="str">
        <f>"04/22/1999 00:00"</f>
        <v>04/22/1999 00:00</v>
      </c>
      <c r="C4953">
        <v>205</v>
      </c>
      <c r="D4953" t="s">
        <v>7</v>
      </c>
      <c r="E4953" s="2" t="s">
        <v>12</v>
      </c>
      <c r="F4953">
        <f t="shared" si="77"/>
        <v>406.51500000000004</v>
      </c>
      <c r="G4953" t="s">
        <v>16</v>
      </c>
      <c r="I4953" t="s">
        <v>8</v>
      </c>
      <c r="J4953" t="str">
        <f>"04/22/1999 23:45"</f>
        <v>04/22/1999 23:45</v>
      </c>
    </row>
    <row r="4954" spans="1:10" x14ac:dyDescent="0.3">
      <c r="A4954" t="s">
        <v>6</v>
      </c>
      <c r="B4954" t="str">
        <f>"04/23/1999 00:00"</f>
        <v>04/23/1999 00:00</v>
      </c>
      <c r="C4954">
        <v>124</v>
      </c>
      <c r="D4954" t="s">
        <v>7</v>
      </c>
      <c r="E4954" s="2" t="s">
        <v>12</v>
      </c>
      <c r="F4954">
        <f t="shared" si="77"/>
        <v>245.89200000000002</v>
      </c>
      <c r="G4954" t="s">
        <v>16</v>
      </c>
      <c r="I4954" t="s">
        <v>8</v>
      </c>
      <c r="J4954" t="str">
        <f>"04/23/1999 23:45"</f>
        <v>04/23/1999 23:45</v>
      </c>
    </row>
    <row r="4955" spans="1:10" x14ac:dyDescent="0.3">
      <c r="A4955" t="s">
        <v>6</v>
      </c>
      <c r="B4955" t="str">
        <f>"04/24/1999 00:00"</f>
        <v>04/24/1999 00:00</v>
      </c>
      <c r="C4955">
        <v>108</v>
      </c>
      <c r="D4955" t="s">
        <v>7</v>
      </c>
      <c r="E4955" s="2" t="s">
        <v>12</v>
      </c>
      <c r="F4955">
        <f t="shared" si="77"/>
        <v>214.16400000000002</v>
      </c>
      <c r="G4955" t="s">
        <v>16</v>
      </c>
      <c r="I4955" t="s">
        <v>8</v>
      </c>
      <c r="J4955" t="str">
        <f>"04/24/1999 23:45"</f>
        <v>04/24/1999 23:45</v>
      </c>
    </row>
    <row r="4956" spans="1:10" x14ac:dyDescent="0.3">
      <c r="A4956" t="s">
        <v>6</v>
      </c>
      <c r="B4956" t="str">
        <f>"04/25/1999 00:00"</f>
        <v>04/25/1999 00:00</v>
      </c>
      <c r="C4956">
        <v>45.5</v>
      </c>
      <c r="D4956" t="s">
        <v>7</v>
      </c>
      <c r="E4956" s="2" t="s">
        <v>12</v>
      </c>
      <c r="F4956">
        <f t="shared" si="77"/>
        <v>90.226500000000001</v>
      </c>
      <c r="G4956" t="s">
        <v>16</v>
      </c>
      <c r="J4956" t="str">
        <f>"04/25/1999 23:45"</f>
        <v>04/25/1999 23:45</v>
      </c>
    </row>
    <row r="4957" spans="1:10" x14ac:dyDescent="0.3">
      <c r="A4957" t="s">
        <v>6</v>
      </c>
      <c r="B4957" t="str">
        <f>"04/26/1999 00:00"</f>
        <v>04/26/1999 00:00</v>
      </c>
      <c r="C4957">
        <v>8.0500000000000007</v>
      </c>
      <c r="D4957" t="s">
        <v>7</v>
      </c>
      <c r="E4957" s="2" t="s">
        <v>12</v>
      </c>
      <c r="F4957">
        <f t="shared" si="77"/>
        <v>15.963150000000002</v>
      </c>
      <c r="G4957" t="s">
        <v>16</v>
      </c>
      <c r="I4957" t="s">
        <v>8</v>
      </c>
      <c r="J4957" t="str">
        <f>"04/26/1999 23:45"</f>
        <v>04/26/1999 23:45</v>
      </c>
    </row>
    <row r="4958" spans="1:10" x14ac:dyDescent="0.3">
      <c r="A4958" t="s">
        <v>6</v>
      </c>
      <c r="B4958" t="str">
        <f>"04/27/1999 00:00"</f>
        <v>04/27/1999 00:00</v>
      </c>
      <c r="C4958">
        <v>2.56</v>
      </c>
      <c r="D4958" t="s">
        <v>7</v>
      </c>
      <c r="E4958" s="2" t="s">
        <v>12</v>
      </c>
      <c r="F4958">
        <f t="shared" si="77"/>
        <v>5.0764800000000001</v>
      </c>
      <c r="G4958" t="s">
        <v>16</v>
      </c>
      <c r="I4958" t="s">
        <v>34</v>
      </c>
      <c r="J4958" t="str">
        <f>"04/27/1999 23:45"</f>
        <v>04/27/1999 23:45</v>
      </c>
    </row>
    <row r="4959" spans="1:10" x14ac:dyDescent="0.3">
      <c r="A4959" t="s">
        <v>6</v>
      </c>
      <c r="B4959" t="str">
        <f>"04/28/1999 00:00"</f>
        <v>04/28/1999 00:00</v>
      </c>
      <c r="C4959">
        <v>2.61</v>
      </c>
      <c r="D4959" t="s">
        <v>7</v>
      </c>
      <c r="E4959" s="2" t="s">
        <v>12</v>
      </c>
      <c r="F4959">
        <f t="shared" si="77"/>
        <v>5.17563</v>
      </c>
      <c r="G4959" t="s">
        <v>16</v>
      </c>
      <c r="I4959" t="s">
        <v>34</v>
      </c>
      <c r="J4959" t="str">
        <f>"04/28/1999 23:45"</f>
        <v>04/28/1999 23:45</v>
      </c>
    </row>
    <row r="4960" spans="1:10" x14ac:dyDescent="0.3">
      <c r="A4960" t="s">
        <v>6</v>
      </c>
      <c r="B4960" t="str">
        <f>"04/29/1999 00:00"</f>
        <v>04/29/1999 00:00</v>
      </c>
      <c r="C4960">
        <v>2.91</v>
      </c>
      <c r="D4960" t="s">
        <v>7</v>
      </c>
      <c r="E4960" s="2" t="s">
        <v>12</v>
      </c>
      <c r="F4960">
        <f t="shared" si="77"/>
        <v>5.7705300000000008</v>
      </c>
      <c r="G4960" t="s">
        <v>16</v>
      </c>
      <c r="I4960" t="s">
        <v>8</v>
      </c>
      <c r="J4960" t="str">
        <f>"04/29/1999 23:45"</f>
        <v>04/29/1999 23:45</v>
      </c>
    </row>
    <row r="4961" spans="1:10" x14ac:dyDescent="0.3">
      <c r="A4961" t="s">
        <v>6</v>
      </c>
      <c r="B4961" t="str">
        <f>"04/30/1999 00:00"</f>
        <v>04/30/1999 00:00</v>
      </c>
      <c r="C4961">
        <v>2.91</v>
      </c>
      <c r="D4961" t="s">
        <v>7</v>
      </c>
      <c r="E4961" s="2" t="s">
        <v>12</v>
      </c>
      <c r="F4961">
        <f t="shared" si="77"/>
        <v>5.7705300000000008</v>
      </c>
      <c r="G4961" t="s">
        <v>16</v>
      </c>
      <c r="I4961" t="s">
        <v>8</v>
      </c>
      <c r="J4961" t="str">
        <f>"04/30/1999 23:45"</f>
        <v>04/30/1999 23:45</v>
      </c>
    </row>
    <row r="4962" spans="1:10" x14ac:dyDescent="0.3">
      <c r="A4962" t="s">
        <v>6</v>
      </c>
      <c r="B4962" t="str">
        <f>"05/01/1999 00:00"</f>
        <v>05/01/1999 00:00</v>
      </c>
      <c r="C4962">
        <v>3.13</v>
      </c>
      <c r="D4962" t="s">
        <v>7</v>
      </c>
      <c r="E4962" s="2" t="s">
        <v>12</v>
      </c>
      <c r="F4962">
        <f t="shared" si="77"/>
        <v>6.2067899999999998</v>
      </c>
      <c r="G4962" t="s">
        <v>16</v>
      </c>
      <c r="I4962" t="s">
        <v>8</v>
      </c>
      <c r="J4962" t="str">
        <f>"05/01/1999 23:45"</f>
        <v>05/01/1999 23:45</v>
      </c>
    </row>
    <row r="4963" spans="1:10" x14ac:dyDescent="0.3">
      <c r="A4963" t="s">
        <v>6</v>
      </c>
      <c r="B4963" t="str">
        <f>"05/02/1999 00:00"</f>
        <v>05/02/1999 00:00</v>
      </c>
      <c r="C4963">
        <v>4.0599999999999996</v>
      </c>
      <c r="D4963" t="s">
        <v>7</v>
      </c>
      <c r="E4963" s="2" t="s">
        <v>12</v>
      </c>
      <c r="F4963">
        <f t="shared" si="77"/>
        <v>8.0509799999999991</v>
      </c>
      <c r="G4963" t="s">
        <v>16</v>
      </c>
      <c r="I4963" t="s">
        <v>8</v>
      </c>
      <c r="J4963" t="str">
        <f>"05/02/1999 23:45"</f>
        <v>05/02/1999 23:45</v>
      </c>
    </row>
    <row r="4964" spans="1:10" x14ac:dyDescent="0.3">
      <c r="A4964" t="s">
        <v>6</v>
      </c>
      <c r="B4964" t="str">
        <f>"05/03/1999 00:00"</f>
        <v>05/03/1999 00:00</v>
      </c>
      <c r="C4964">
        <v>3.15</v>
      </c>
      <c r="D4964" t="s">
        <v>7</v>
      </c>
      <c r="E4964" s="2" t="s">
        <v>12</v>
      </c>
      <c r="F4964">
        <f t="shared" si="77"/>
        <v>6.2464500000000003</v>
      </c>
      <c r="G4964" t="s">
        <v>16</v>
      </c>
      <c r="I4964" t="s">
        <v>8</v>
      </c>
      <c r="J4964" t="str">
        <f>"05/03/1999 23:45"</f>
        <v>05/03/1999 23:45</v>
      </c>
    </row>
    <row r="4965" spans="1:10" x14ac:dyDescent="0.3">
      <c r="A4965" t="s">
        <v>6</v>
      </c>
      <c r="B4965" t="str">
        <f>"05/04/1999 00:00"</f>
        <v>05/04/1999 00:00</v>
      </c>
      <c r="C4965">
        <v>3.32</v>
      </c>
      <c r="D4965" t="s">
        <v>7</v>
      </c>
      <c r="E4965" s="2" t="s">
        <v>12</v>
      </c>
      <c r="F4965">
        <f t="shared" si="77"/>
        <v>6.5835600000000003</v>
      </c>
      <c r="G4965" t="s">
        <v>16</v>
      </c>
      <c r="I4965" t="s">
        <v>8</v>
      </c>
      <c r="J4965" t="str">
        <f>"05/04/1999 23:45"</f>
        <v>05/04/1999 23:45</v>
      </c>
    </row>
    <row r="4966" spans="1:10" x14ac:dyDescent="0.3">
      <c r="A4966" t="s">
        <v>6</v>
      </c>
      <c r="B4966" t="str">
        <f>"05/05/1999 00:00"</f>
        <v>05/05/1999 00:00</v>
      </c>
      <c r="C4966">
        <v>3.66</v>
      </c>
      <c r="D4966" t="s">
        <v>7</v>
      </c>
      <c r="E4966" s="2" t="s">
        <v>12</v>
      </c>
      <c r="F4966">
        <f t="shared" si="77"/>
        <v>7.2577800000000003</v>
      </c>
      <c r="G4966" t="s">
        <v>16</v>
      </c>
      <c r="I4966" t="s">
        <v>8</v>
      </c>
      <c r="J4966" t="str">
        <f>"05/05/1999 23:45"</f>
        <v>05/05/1999 23:45</v>
      </c>
    </row>
    <row r="4967" spans="1:10" x14ac:dyDescent="0.3">
      <c r="A4967" t="s">
        <v>6</v>
      </c>
      <c r="B4967" t="str">
        <f>"05/06/1999 00:00"</f>
        <v>05/06/1999 00:00</v>
      </c>
      <c r="C4967">
        <v>3.58</v>
      </c>
      <c r="D4967" t="s">
        <v>7</v>
      </c>
      <c r="E4967" s="2" t="s">
        <v>12</v>
      </c>
      <c r="F4967">
        <f t="shared" si="77"/>
        <v>7.0991400000000002</v>
      </c>
      <c r="G4967" t="s">
        <v>16</v>
      </c>
      <c r="I4967" t="s">
        <v>8</v>
      </c>
      <c r="J4967" t="str">
        <f>"05/06/1999 23:45"</f>
        <v>05/06/1999 23:45</v>
      </c>
    </row>
    <row r="4968" spans="1:10" x14ac:dyDescent="0.3">
      <c r="A4968" t="s">
        <v>6</v>
      </c>
      <c r="B4968" t="str">
        <f>"05/07/1999 00:00"</f>
        <v>05/07/1999 00:00</v>
      </c>
      <c r="C4968">
        <v>3.22</v>
      </c>
      <c r="D4968" t="s">
        <v>7</v>
      </c>
      <c r="E4968" s="2" t="s">
        <v>12</v>
      </c>
      <c r="F4968">
        <f t="shared" si="77"/>
        <v>6.3852600000000006</v>
      </c>
      <c r="G4968" t="s">
        <v>16</v>
      </c>
      <c r="I4968" t="s">
        <v>8</v>
      </c>
      <c r="J4968" t="str">
        <f>"05/07/1999 23:45"</f>
        <v>05/07/1999 23:45</v>
      </c>
    </row>
    <row r="4969" spans="1:10" x14ac:dyDescent="0.3">
      <c r="A4969" t="s">
        <v>6</v>
      </c>
      <c r="B4969" t="str">
        <f>"05/08/1999 00:00"</f>
        <v>05/08/1999 00:00</v>
      </c>
      <c r="C4969">
        <v>2.91</v>
      </c>
      <c r="D4969" t="s">
        <v>7</v>
      </c>
      <c r="E4969" s="2" t="s">
        <v>12</v>
      </c>
      <c r="F4969">
        <f t="shared" si="77"/>
        <v>5.7705300000000008</v>
      </c>
      <c r="G4969" t="s">
        <v>16</v>
      </c>
      <c r="I4969" t="s">
        <v>34</v>
      </c>
      <c r="J4969" t="str">
        <f>"05/08/1999 23:45"</f>
        <v>05/08/1999 23:45</v>
      </c>
    </row>
    <row r="4970" spans="1:10" x14ac:dyDescent="0.3">
      <c r="A4970" t="s">
        <v>6</v>
      </c>
      <c r="B4970" t="str">
        <f>"05/09/1999 00:00"</f>
        <v>05/09/1999 00:00</v>
      </c>
      <c r="C4970">
        <v>2.91</v>
      </c>
      <c r="D4970" t="s">
        <v>7</v>
      </c>
      <c r="E4970" s="2" t="s">
        <v>12</v>
      </c>
      <c r="F4970">
        <f t="shared" si="77"/>
        <v>5.7705300000000008</v>
      </c>
      <c r="G4970" t="s">
        <v>16</v>
      </c>
      <c r="I4970" t="s">
        <v>8</v>
      </c>
      <c r="J4970" t="str">
        <f>"05/09/1999 23:45"</f>
        <v>05/09/1999 23:45</v>
      </c>
    </row>
    <row r="4971" spans="1:10" x14ac:dyDescent="0.3">
      <c r="A4971" t="s">
        <v>6</v>
      </c>
      <c r="B4971" t="str">
        <f>"05/10/1999 00:00"</f>
        <v>05/10/1999 00:00</v>
      </c>
      <c r="C4971">
        <v>3.09</v>
      </c>
      <c r="D4971" t="s">
        <v>7</v>
      </c>
      <c r="E4971" s="2" t="s">
        <v>12</v>
      </c>
      <c r="F4971">
        <f t="shared" si="77"/>
        <v>6.1274699999999998</v>
      </c>
      <c r="G4971" t="s">
        <v>16</v>
      </c>
      <c r="I4971" t="s">
        <v>34</v>
      </c>
      <c r="J4971" t="str">
        <f>"05/10/1999 23:45"</f>
        <v>05/10/1999 23:45</v>
      </c>
    </row>
    <row r="4972" spans="1:10" x14ac:dyDescent="0.3">
      <c r="A4972" t="s">
        <v>6</v>
      </c>
      <c r="B4972" t="str">
        <f>"05/11/1999 00:00"</f>
        <v>05/11/1999 00:00</v>
      </c>
      <c r="C4972">
        <v>3.66</v>
      </c>
      <c r="D4972" t="s">
        <v>7</v>
      </c>
      <c r="E4972" s="2" t="s">
        <v>12</v>
      </c>
      <c r="F4972">
        <f t="shared" si="77"/>
        <v>7.2577800000000003</v>
      </c>
      <c r="G4972" t="s">
        <v>16</v>
      </c>
      <c r="I4972" t="s">
        <v>8</v>
      </c>
      <c r="J4972" t="str">
        <f>"05/11/1999 23:45"</f>
        <v>05/11/1999 23:45</v>
      </c>
    </row>
    <row r="4973" spans="1:10" x14ac:dyDescent="0.3">
      <c r="A4973" t="s">
        <v>6</v>
      </c>
      <c r="B4973" t="str">
        <f>"05/12/1999 00:00"</f>
        <v>05/12/1999 00:00</v>
      </c>
      <c r="C4973">
        <v>3.55</v>
      </c>
      <c r="D4973" t="s">
        <v>7</v>
      </c>
      <c r="E4973" s="2" t="s">
        <v>12</v>
      </c>
      <c r="F4973">
        <f t="shared" si="77"/>
        <v>7.03965</v>
      </c>
      <c r="G4973" t="s">
        <v>16</v>
      </c>
      <c r="I4973" t="s">
        <v>8</v>
      </c>
      <c r="J4973" t="str">
        <f>"05/12/1999 23:45"</f>
        <v>05/12/1999 23:45</v>
      </c>
    </row>
    <row r="4974" spans="1:10" x14ac:dyDescent="0.3">
      <c r="A4974" t="s">
        <v>6</v>
      </c>
      <c r="B4974" t="str">
        <f>"05/13/1999 00:00"</f>
        <v>05/13/1999 00:00</v>
      </c>
      <c r="C4974">
        <v>3.03</v>
      </c>
      <c r="D4974" t="s">
        <v>7</v>
      </c>
      <c r="E4974" s="2" t="s">
        <v>12</v>
      </c>
      <c r="F4974">
        <f t="shared" si="77"/>
        <v>6.0084900000000001</v>
      </c>
      <c r="G4974" t="s">
        <v>16</v>
      </c>
      <c r="I4974" t="s">
        <v>8</v>
      </c>
      <c r="J4974" t="str">
        <f>"05/13/1999 23:45"</f>
        <v>05/13/1999 23:45</v>
      </c>
    </row>
    <row r="4975" spans="1:10" x14ac:dyDescent="0.3">
      <c r="A4975" t="s">
        <v>6</v>
      </c>
      <c r="B4975" t="str">
        <f>"05/14/1999 00:00"</f>
        <v>05/14/1999 00:00</v>
      </c>
      <c r="C4975">
        <v>2.91</v>
      </c>
      <c r="D4975" t="s">
        <v>7</v>
      </c>
      <c r="E4975" s="2" t="s">
        <v>12</v>
      </c>
      <c r="F4975">
        <f t="shared" si="77"/>
        <v>5.7705300000000008</v>
      </c>
      <c r="G4975" t="s">
        <v>16</v>
      </c>
      <c r="I4975" t="s">
        <v>8</v>
      </c>
      <c r="J4975" t="str">
        <f>"05/14/1999 23:45"</f>
        <v>05/14/1999 23:45</v>
      </c>
    </row>
    <row r="4976" spans="1:10" x14ac:dyDescent="0.3">
      <c r="A4976" t="s">
        <v>6</v>
      </c>
      <c r="B4976" t="str">
        <f>"05/15/1999 00:00"</f>
        <v>05/15/1999 00:00</v>
      </c>
      <c r="C4976">
        <v>2.91</v>
      </c>
      <c r="D4976" t="s">
        <v>7</v>
      </c>
      <c r="E4976" s="2" t="s">
        <v>12</v>
      </c>
      <c r="F4976">
        <f t="shared" si="77"/>
        <v>5.7705300000000008</v>
      </c>
      <c r="G4976" t="s">
        <v>16</v>
      </c>
      <c r="I4976" t="s">
        <v>8</v>
      </c>
      <c r="J4976" t="str">
        <f>"05/15/1999 23:45"</f>
        <v>05/15/1999 23:45</v>
      </c>
    </row>
    <row r="4977" spans="1:10" x14ac:dyDescent="0.3">
      <c r="A4977" t="s">
        <v>6</v>
      </c>
      <c r="B4977" t="str">
        <f>"05/16/1999 00:00"</f>
        <v>05/16/1999 00:00</v>
      </c>
      <c r="C4977">
        <v>2.91</v>
      </c>
      <c r="D4977" t="s">
        <v>7</v>
      </c>
      <c r="E4977" s="2" t="s">
        <v>12</v>
      </c>
      <c r="F4977">
        <f t="shared" si="77"/>
        <v>5.7705300000000008</v>
      </c>
      <c r="G4977" t="s">
        <v>16</v>
      </c>
      <c r="I4977" t="s">
        <v>34</v>
      </c>
      <c r="J4977" t="str">
        <f>"05/16/1999 23:45"</f>
        <v>05/16/1999 23:45</v>
      </c>
    </row>
    <row r="4978" spans="1:10" x14ac:dyDescent="0.3">
      <c r="A4978" t="s">
        <v>6</v>
      </c>
      <c r="B4978" t="str">
        <f>"05/17/1999 00:00"</f>
        <v>05/17/1999 00:00</v>
      </c>
      <c r="C4978">
        <v>3.27</v>
      </c>
      <c r="D4978" t="s">
        <v>7</v>
      </c>
      <c r="E4978" s="2" t="s">
        <v>12</v>
      </c>
      <c r="F4978">
        <f t="shared" si="77"/>
        <v>6.4844100000000005</v>
      </c>
      <c r="G4978" t="s">
        <v>16</v>
      </c>
      <c r="I4978" t="s">
        <v>34</v>
      </c>
      <c r="J4978" t="str">
        <f>"05/17/1999 23:45"</f>
        <v>05/17/1999 23:45</v>
      </c>
    </row>
    <row r="4979" spans="1:10" x14ac:dyDescent="0.3">
      <c r="A4979" t="s">
        <v>6</v>
      </c>
      <c r="B4979" t="str">
        <f>"05/18/1999 00:00"</f>
        <v>05/18/1999 00:00</v>
      </c>
      <c r="C4979">
        <v>3.13</v>
      </c>
      <c r="D4979" t="s">
        <v>7</v>
      </c>
      <c r="E4979" s="2" t="s">
        <v>12</v>
      </c>
      <c r="F4979">
        <f t="shared" si="77"/>
        <v>6.2067899999999998</v>
      </c>
      <c r="G4979" t="s">
        <v>16</v>
      </c>
      <c r="I4979" t="s">
        <v>34</v>
      </c>
      <c r="J4979" t="str">
        <f>"05/18/1999 23:45"</f>
        <v>05/18/1999 23:45</v>
      </c>
    </row>
    <row r="4980" spans="1:10" x14ac:dyDescent="0.3">
      <c r="A4980" t="s">
        <v>6</v>
      </c>
      <c r="B4980" t="str">
        <f>"05/19/1999 00:00"</f>
        <v>05/19/1999 00:00</v>
      </c>
      <c r="C4980">
        <v>2.91</v>
      </c>
      <c r="D4980" t="s">
        <v>7</v>
      </c>
      <c r="E4980" s="2" t="s">
        <v>12</v>
      </c>
      <c r="F4980">
        <f t="shared" si="77"/>
        <v>5.7705300000000008</v>
      </c>
      <c r="G4980" t="s">
        <v>16</v>
      </c>
      <c r="I4980" t="s">
        <v>8</v>
      </c>
      <c r="J4980" t="str">
        <f>"05/19/1999 23:45"</f>
        <v>05/19/1999 23:45</v>
      </c>
    </row>
    <row r="4981" spans="1:10" x14ac:dyDescent="0.3">
      <c r="A4981" t="s">
        <v>6</v>
      </c>
      <c r="B4981" t="str">
        <f>"05/20/1999 00:00"</f>
        <v>05/20/1999 00:00</v>
      </c>
      <c r="C4981">
        <v>2.91</v>
      </c>
      <c r="D4981" t="s">
        <v>7</v>
      </c>
      <c r="E4981" s="2" t="s">
        <v>12</v>
      </c>
      <c r="F4981">
        <f t="shared" si="77"/>
        <v>5.7705300000000008</v>
      </c>
      <c r="G4981" t="s">
        <v>16</v>
      </c>
      <c r="I4981" t="s">
        <v>8</v>
      </c>
      <c r="J4981" t="str">
        <f>"05/20/1999 23:45"</f>
        <v>05/20/1999 23:45</v>
      </c>
    </row>
    <row r="4982" spans="1:10" x14ac:dyDescent="0.3">
      <c r="A4982" t="s">
        <v>6</v>
      </c>
      <c r="B4982" t="str">
        <f>"05/21/1999 00:00"</f>
        <v>05/21/1999 00:00</v>
      </c>
      <c r="C4982">
        <v>2.91</v>
      </c>
      <c r="D4982" t="s">
        <v>7</v>
      </c>
      <c r="E4982" s="2" t="s">
        <v>12</v>
      </c>
      <c r="F4982">
        <f t="shared" si="77"/>
        <v>5.7705300000000008</v>
      </c>
      <c r="G4982" t="s">
        <v>16</v>
      </c>
      <c r="I4982" t="s">
        <v>34</v>
      </c>
      <c r="J4982" t="str">
        <f>"05/21/1999 23:45"</f>
        <v>05/21/1999 23:45</v>
      </c>
    </row>
    <row r="4983" spans="1:10" x14ac:dyDescent="0.3">
      <c r="A4983" t="s">
        <v>6</v>
      </c>
      <c r="B4983" t="str">
        <f>"05/22/1999 00:00"</f>
        <v>05/22/1999 00:00</v>
      </c>
      <c r="C4983">
        <v>2.91</v>
      </c>
      <c r="D4983" t="s">
        <v>7</v>
      </c>
      <c r="E4983" s="2" t="s">
        <v>12</v>
      </c>
      <c r="F4983">
        <f t="shared" si="77"/>
        <v>5.7705300000000008</v>
      </c>
      <c r="G4983" t="s">
        <v>16</v>
      </c>
      <c r="I4983" t="s">
        <v>34</v>
      </c>
      <c r="J4983" t="str">
        <f>"05/22/1999 23:45"</f>
        <v>05/22/1999 23:45</v>
      </c>
    </row>
    <row r="4984" spans="1:10" x14ac:dyDescent="0.3">
      <c r="A4984" t="s">
        <v>6</v>
      </c>
      <c r="B4984" t="str">
        <f>"05/23/1999 00:00"</f>
        <v>05/23/1999 00:00</v>
      </c>
      <c r="C4984">
        <v>2.91</v>
      </c>
      <c r="D4984" t="s">
        <v>7</v>
      </c>
      <c r="E4984" s="2" t="s">
        <v>12</v>
      </c>
      <c r="F4984">
        <f t="shared" si="77"/>
        <v>5.7705300000000008</v>
      </c>
      <c r="G4984" t="s">
        <v>16</v>
      </c>
      <c r="I4984" t="s">
        <v>34</v>
      </c>
      <c r="J4984" t="str">
        <f>"05/23/1999 23:45"</f>
        <v>05/23/1999 23:45</v>
      </c>
    </row>
    <row r="4985" spans="1:10" x14ac:dyDescent="0.3">
      <c r="A4985" t="s">
        <v>6</v>
      </c>
      <c r="B4985" t="str">
        <f>"05/24/1999 00:00"</f>
        <v>05/24/1999 00:00</v>
      </c>
      <c r="C4985">
        <v>2.91</v>
      </c>
      <c r="D4985" t="s">
        <v>7</v>
      </c>
      <c r="E4985" s="2" t="s">
        <v>12</v>
      </c>
      <c r="F4985">
        <f t="shared" si="77"/>
        <v>5.7705300000000008</v>
      </c>
      <c r="G4985" t="s">
        <v>16</v>
      </c>
      <c r="I4985" t="s">
        <v>34</v>
      </c>
      <c r="J4985" t="str">
        <f>"05/24/1999 23:45"</f>
        <v>05/24/1999 23:45</v>
      </c>
    </row>
    <row r="4986" spans="1:10" x14ac:dyDescent="0.3">
      <c r="A4986" t="s">
        <v>6</v>
      </c>
      <c r="B4986" t="str">
        <f>"05/25/1999 00:00"</f>
        <v>05/25/1999 00:00</v>
      </c>
      <c r="C4986">
        <v>2.91</v>
      </c>
      <c r="D4986" t="s">
        <v>7</v>
      </c>
      <c r="E4986" s="2" t="s">
        <v>12</v>
      </c>
      <c r="F4986">
        <f t="shared" si="77"/>
        <v>5.7705300000000008</v>
      </c>
      <c r="G4986" t="s">
        <v>16</v>
      </c>
      <c r="I4986" t="s">
        <v>34</v>
      </c>
      <c r="J4986" t="str">
        <f>"05/25/1999 23:45"</f>
        <v>05/25/1999 23:45</v>
      </c>
    </row>
    <row r="4987" spans="1:10" x14ac:dyDescent="0.3">
      <c r="A4987" t="s">
        <v>6</v>
      </c>
      <c r="B4987" t="str">
        <f>"05/26/1999 00:00"</f>
        <v>05/26/1999 00:00</v>
      </c>
      <c r="C4987">
        <v>2.91</v>
      </c>
      <c r="D4987" t="s">
        <v>7</v>
      </c>
      <c r="E4987" s="2" t="s">
        <v>12</v>
      </c>
      <c r="F4987">
        <f t="shared" si="77"/>
        <v>5.7705300000000008</v>
      </c>
      <c r="G4987" t="s">
        <v>16</v>
      </c>
      <c r="I4987" t="s">
        <v>34</v>
      </c>
      <c r="J4987" t="str">
        <f>"05/26/1999 23:45"</f>
        <v>05/26/1999 23:45</v>
      </c>
    </row>
    <row r="4988" spans="1:10" x14ac:dyDescent="0.3">
      <c r="A4988" t="s">
        <v>6</v>
      </c>
      <c r="B4988" t="str">
        <f>"05/27/1999 00:00"</f>
        <v>05/27/1999 00:00</v>
      </c>
      <c r="C4988">
        <v>2.92</v>
      </c>
      <c r="D4988" t="s">
        <v>7</v>
      </c>
      <c r="E4988" s="2" t="s">
        <v>12</v>
      </c>
      <c r="F4988">
        <f t="shared" si="77"/>
        <v>5.7903599999999997</v>
      </c>
      <c r="G4988" t="s">
        <v>16</v>
      </c>
      <c r="I4988" t="s">
        <v>34</v>
      </c>
      <c r="J4988" t="str">
        <f>"05/27/1999 23:45"</f>
        <v>05/27/1999 23:45</v>
      </c>
    </row>
    <row r="4989" spans="1:10" x14ac:dyDescent="0.3">
      <c r="A4989" t="s">
        <v>6</v>
      </c>
      <c r="B4989" t="str">
        <f>"05/28/1999 00:00"</f>
        <v>05/28/1999 00:00</v>
      </c>
      <c r="C4989">
        <v>2.71</v>
      </c>
      <c r="D4989" t="s">
        <v>7</v>
      </c>
      <c r="E4989" s="2" t="s">
        <v>12</v>
      </c>
      <c r="F4989">
        <f t="shared" si="77"/>
        <v>5.3739300000000005</v>
      </c>
      <c r="G4989" t="s">
        <v>16</v>
      </c>
      <c r="I4989" t="s">
        <v>34</v>
      </c>
      <c r="J4989" t="str">
        <f>"05/28/1999 23:45"</f>
        <v>05/28/1999 23:45</v>
      </c>
    </row>
    <row r="4990" spans="1:10" x14ac:dyDescent="0.3">
      <c r="A4990" t="s">
        <v>6</v>
      </c>
      <c r="B4990" t="str">
        <f>"05/29/1999 00:00"</f>
        <v>05/29/1999 00:00</v>
      </c>
      <c r="C4990">
        <v>2.56</v>
      </c>
      <c r="D4990" t="s">
        <v>7</v>
      </c>
      <c r="E4990" s="2" t="s">
        <v>12</v>
      </c>
      <c r="F4990">
        <f t="shared" si="77"/>
        <v>5.0764800000000001</v>
      </c>
      <c r="G4990" t="s">
        <v>16</v>
      </c>
      <c r="I4990" t="s">
        <v>34</v>
      </c>
      <c r="J4990" t="str">
        <f>"05/29/1999 23:45"</f>
        <v>05/29/1999 23:45</v>
      </c>
    </row>
    <row r="4991" spans="1:10" x14ac:dyDescent="0.3">
      <c r="A4991" t="s">
        <v>6</v>
      </c>
      <c r="B4991" t="str">
        <f>"05/30/1999 00:00"</f>
        <v>05/30/1999 00:00</v>
      </c>
      <c r="C4991">
        <v>2.58</v>
      </c>
      <c r="D4991" t="s">
        <v>7</v>
      </c>
      <c r="E4991" s="2" t="s">
        <v>12</v>
      </c>
      <c r="F4991">
        <f t="shared" si="77"/>
        <v>5.1161400000000006</v>
      </c>
      <c r="G4991" t="s">
        <v>16</v>
      </c>
      <c r="I4991" t="s">
        <v>34</v>
      </c>
      <c r="J4991" t="str">
        <f>"05/30/1999 23:45"</f>
        <v>05/30/1999 23:45</v>
      </c>
    </row>
    <row r="4992" spans="1:10" x14ac:dyDescent="0.3">
      <c r="A4992" t="s">
        <v>6</v>
      </c>
      <c r="B4992" t="str">
        <f>"05/31/1999 00:00"</f>
        <v>05/31/1999 00:00</v>
      </c>
      <c r="C4992">
        <v>2.56</v>
      </c>
      <c r="D4992" t="s">
        <v>7</v>
      </c>
      <c r="E4992" s="2" t="s">
        <v>12</v>
      </c>
      <c r="F4992">
        <f t="shared" si="77"/>
        <v>5.0764800000000001</v>
      </c>
      <c r="G4992" t="s">
        <v>16</v>
      </c>
      <c r="I4992" t="s">
        <v>34</v>
      </c>
      <c r="J4992" t="str">
        <f>"05/31/1999 23:45"</f>
        <v>05/31/1999 23:45</v>
      </c>
    </row>
    <row r="4993" spans="1:10" x14ac:dyDescent="0.3">
      <c r="A4993" t="s">
        <v>6</v>
      </c>
      <c r="B4993" t="str">
        <f>"06/01/1999 00:00"</f>
        <v>06/01/1999 00:00</v>
      </c>
      <c r="C4993">
        <v>2.65</v>
      </c>
      <c r="D4993" t="s">
        <v>7</v>
      </c>
      <c r="E4993" s="2" t="s">
        <v>12</v>
      </c>
      <c r="F4993">
        <f t="shared" si="77"/>
        <v>5.25495</v>
      </c>
      <c r="G4993" t="s">
        <v>16</v>
      </c>
      <c r="I4993" t="s">
        <v>34</v>
      </c>
      <c r="J4993" t="str">
        <f>"06/01/1999 23:45"</f>
        <v>06/01/1999 23:45</v>
      </c>
    </row>
    <row r="4994" spans="1:10" x14ac:dyDescent="0.3">
      <c r="A4994" t="s">
        <v>6</v>
      </c>
      <c r="B4994" t="str">
        <f>"06/02/1999 00:00"</f>
        <v>06/02/1999 00:00</v>
      </c>
      <c r="C4994">
        <v>2.56</v>
      </c>
      <c r="D4994" t="s">
        <v>7</v>
      </c>
      <c r="E4994" s="2" t="s">
        <v>12</v>
      </c>
      <c r="F4994">
        <f t="shared" si="77"/>
        <v>5.0764800000000001</v>
      </c>
      <c r="G4994" t="s">
        <v>16</v>
      </c>
      <c r="I4994" t="s">
        <v>34</v>
      </c>
      <c r="J4994" t="str">
        <f>"06/02/1999 23:45"</f>
        <v>06/02/1999 23:45</v>
      </c>
    </row>
    <row r="4995" spans="1:10" x14ac:dyDescent="0.3">
      <c r="A4995" t="s">
        <v>6</v>
      </c>
      <c r="B4995" t="str">
        <f>"06/03/1999 00:00"</f>
        <v>06/03/1999 00:00</v>
      </c>
      <c r="C4995">
        <v>2.56</v>
      </c>
      <c r="D4995" t="s">
        <v>7</v>
      </c>
      <c r="E4995" s="2" t="s">
        <v>12</v>
      </c>
      <c r="F4995">
        <f t="shared" ref="F4995:F5058" si="78">C4995*1.983</f>
        <v>5.0764800000000001</v>
      </c>
      <c r="G4995" t="s">
        <v>16</v>
      </c>
      <c r="I4995" t="s">
        <v>34</v>
      </c>
      <c r="J4995" t="str">
        <f>"06/03/1999 23:45"</f>
        <v>06/03/1999 23:45</v>
      </c>
    </row>
    <row r="4996" spans="1:10" x14ac:dyDescent="0.3">
      <c r="A4996" t="s">
        <v>6</v>
      </c>
      <c r="B4996" t="str">
        <f>"06/04/1999 00:00"</f>
        <v>06/04/1999 00:00</v>
      </c>
      <c r="C4996">
        <v>2.65</v>
      </c>
      <c r="D4996" t="s">
        <v>7</v>
      </c>
      <c r="E4996" s="2" t="s">
        <v>12</v>
      </c>
      <c r="F4996">
        <f t="shared" si="78"/>
        <v>5.25495</v>
      </c>
      <c r="G4996" t="s">
        <v>16</v>
      </c>
      <c r="I4996" t="s">
        <v>34</v>
      </c>
      <c r="J4996" t="str">
        <f>"06/04/1999 23:45"</f>
        <v>06/04/1999 23:45</v>
      </c>
    </row>
    <row r="4997" spans="1:10" x14ac:dyDescent="0.3">
      <c r="A4997" t="s">
        <v>6</v>
      </c>
      <c r="B4997" t="str">
        <f>"06/05/1999 00:00"</f>
        <v>06/05/1999 00:00</v>
      </c>
      <c r="C4997">
        <v>3.03</v>
      </c>
      <c r="D4997" t="s">
        <v>7</v>
      </c>
      <c r="E4997" s="2" t="s">
        <v>12</v>
      </c>
      <c r="F4997">
        <f t="shared" si="78"/>
        <v>6.0084900000000001</v>
      </c>
      <c r="G4997" t="s">
        <v>16</v>
      </c>
      <c r="I4997" t="s">
        <v>34</v>
      </c>
      <c r="J4997" t="str">
        <f>"06/05/1999 23:45"</f>
        <v>06/05/1999 23:45</v>
      </c>
    </row>
    <row r="4998" spans="1:10" x14ac:dyDescent="0.3">
      <c r="A4998" t="s">
        <v>6</v>
      </c>
      <c r="B4998" t="str">
        <f>"06/06/1999 00:00"</f>
        <v>06/06/1999 00:00</v>
      </c>
      <c r="C4998">
        <v>3.13</v>
      </c>
      <c r="D4998" t="s">
        <v>7</v>
      </c>
      <c r="E4998" s="2" t="s">
        <v>12</v>
      </c>
      <c r="F4998">
        <f t="shared" si="78"/>
        <v>6.2067899999999998</v>
      </c>
      <c r="G4998" t="s">
        <v>16</v>
      </c>
      <c r="I4998" t="s">
        <v>34</v>
      </c>
      <c r="J4998" t="str">
        <f>"06/06/1999 23:45"</f>
        <v>06/06/1999 23:45</v>
      </c>
    </row>
    <row r="4999" spans="1:10" x14ac:dyDescent="0.3">
      <c r="A4999" t="s">
        <v>6</v>
      </c>
      <c r="B4999" t="str">
        <f>"06/07/1999 00:00"</f>
        <v>06/07/1999 00:00</v>
      </c>
      <c r="C4999">
        <v>2.79</v>
      </c>
      <c r="D4999" t="s">
        <v>7</v>
      </c>
      <c r="E4999" s="2" t="s">
        <v>12</v>
      </c>
      <c r="F4999">
        <f t="shared" si="78"/>
        <v>5.5325700000000007</v>
      </c>
      <c r="G4999" t="s">
        <v>16</v>
      </c>
      <c r="I4999" t="s">
        <v>34</v>
      </c>
      <c r="J4999" t="str">
        <f>"06/07/1999 23:45"</f>
        <v>06/07/1999 23:45</v>
      </c>
    </row>
    <row r="5000" spans="1:10" x14ac:dyDescent="0.3">
      <c r="A5000" t="s">
        <v>6</v>
      </c>
      <c r="B5000" t="str">
        <f>"06/08/1999 00:00"</f>
        <v>06/08/1999 00:00</v>
      </c>
      <c r="C5000">
        <v>2.68</v>
      </c>
      <c r="D5000" t="s">
        <v>7</v>
      </c>
      <c r="E5000" s="2" t="s">
        <v>12</v>
      </c>
      <c r="F5000">
        <f t="shared" si="78"/>
        <v>5.3144400000000003</v>
      </c>
      <c r="G5000" t="s">
        <v>16</v>
      </c>
      <c r="I5000" t="s">
        <v>34</v>
      </c>
      <c r="J5000" t="str">
        <f>"06/08/1999 23:45"</f>
        <v>06/08/1999 23:45</v>
      </c>
    </row>
    <row r="5001" spans="1:10" x14ac:dyDescent="0.3">
      <c r="A5001" t="s">
        <v>6</v>
      </c>
      <c r="B5001" t="str">
        <f>"06/09/1999 00:00"</f>
        <v>06/09/1999 00:00</v>
      </c>
      <c r="C5001">
        <v>2.68</v>
      </c>
      <c r="D5001" t="s">
        <v>7</v>
      </c>
      <c r="E5001" s="2" t="s">
        <v>12</v>
      </c>
      <c r="F5001">
        <f t="shared" si="78"/>
        <v>5.3144400000000003</v>
      </c>
      <c r="G5001" t="s">
        <v>16</v>
      </c>
      <c r="I5001" t="s">
        <v>34</v>
      </c>
      <c r="J5001" t="str">
        <f>"06/09/1999 23:45"</f>
        <v>06/09/1999 23:45</v>
      </c>
    </row>
    <row r="5002" spans="1:10" x14ac:dyDescent="0.3">
      <c r="A5002" t="s">
        <v>6</v>
      </c>
      <c r="B5002" t="str">
        <f>"06/10/1999 00:00"</f>
        <v>06/10/1999 00:00</v>
      </c>
      <c r="C5002">
        <v>2.56</v>
      </c>
      <c r="D5002" t="s">
        <v>7</v>
      </c>
      <c r="E5002" s="2" t="s">
        <v>12</v>
      </c>
      <c r="F5002">
        <f t="shared" si="78"/>
        <v>5.0764800000000001</v>
      </c>
      <c r="G5002" t="s">
        <v>16</v>
      </c>
      <c r="I5002" t="s">
        <v>34</v>
      </c>
      <c r="J5002" t="str">
        <f>"06/10/1999 23:45"</f>
        <v>06/10/1999 23:45</v>
      </c>
    </row>
    <row r="5003" spans="1:10" x14ac:dyDescent="0.3">
      <c r="A5003" t="s">
        <v>6</v>
      </c>
      <c r="B5003" t="str">
        <f>"06/11/1999 00:00"</f>
        <v>06/11/1999 00:00</v>
      </c>
      <c r="C5003">
        <v>2.74</v>
      </c>
      <c r="D5003" t="s">
        <v>7</v>
      </c>
      <c r="E5003" s="2" t="s">
        <v>12</v>
      </c>
      <c r="F5003">
        <f t="shared" si="78"/>
        <v>5.4334200000000008</v>
      </c>
      <c r="G5003" t="s">
        <v>16</v>
      </c>
      <c r="I5003" t="s">
        <v>34</v>
      </c>
      <c r="J5003" t="str">
        <f>"06/11/1999 23:45"</f>
        <v>06/11/1999 23:45</v>
      </c>
    </row>
    <row r="5004" spans="1:10" x14ac:dyDescent="0.3">
      <c r="A5004" t="s">
        <v>6</v>
      </c>
      <c r="B5004" t="str">
        <f>"06/12/1999 00:00"</f>
        <v>06/12/1999 00:00</v>
      </c>
      <c r="C5004">
        <v>2.64</v>
      </c>
      <c r="D5004" t="s">
        <v>7</v>
      </c>
      <c r="E5004" s="2" t="s">
        <v>12</v>
      </c>
      <c r="F5004">
        <f t="shared" si="78"/>
        <v>5.2351200000000002</v>
      </c>
      <c r="G5004" t="s">
        <v>16</v>
      </c>
      <c r="I5004" t="s">
        <v>34</v>
      </c>
      <c r="J5004" t="str">
        <f>"06/12/1999 23:45"</f>
        <v>06/12/1999 23:45</v>
      </c>
    </row>
    <row r="5005" spans="1:10" x14ac:dyDescent="0.3">
      <c r="A5005" t="s">
        <v>6</v>
      </c>
      <c r="B5005" t="str">
        <f>"06/13/1999 00:00"</f>
        <v>06/13/1999 00:00</v>
      </c>
      <c r="C5005">
        <v>2.7</v>
      </c>
      <c r="D5005" t="s">
        <v>7</v>
      </c>
      <c r="E5005" s="2" t="s">
        <v>12</v>
      </c>
      <c r="F5005">
        <f t="shared" si="78"/>
        <v>5.3541000000000007</v>
      </c>
      <c r="G5005" t="s">
        <v>16</v>
      </c>
      <c r="I5005" t="s">
        <v>34</v>
      </c>
      <c r="J5005" t="str">
        <f>"06/13/1999 23:45"</f>
        <v>06/13/1999 23:45</v>
      </c>
    </row>
    <row r="5006" spans="1:10" x14ac:dyDescent="0.3">
      <c r="A5006" t="s">
        <v>6</v>
      </c>
      <c r="B5006" t="str">
        <f>"06/14/1999 00:00"</f>
        <v>06/14/1999 00:00</v>
      </c>
      <c r="C5006">
        <v>2.56</v>
      </c>
      <c r="D5006" t="s">
        <v>7</v>
      </c>
      <c r="E5006" s="2" t="s">
        <v>12</v>
      </c>
      <c r="F5006">
        <f t="shared" si="78"/>
        <v>5.0764800000000001</v>
      </c>
      <c r="G5006" t="s">
        <v>16</v>
      </c>
      <c r="I5006" t="s">
        <v>34</v>
      </c>
      <c r="J5006" t="str">
        <f>"06/14/1999 23:45"</f>
        <v>06/14/1999 23:45</v>
      </c>
    </row>
    <row r="5007" spans="1:10" x14ac:dyDescent="0.3">
      <c r="A5007" t="s">
        <v>6</v>
      </c>
      <c r="B5007" t="str">
        <f>"06/15/1999 00:00"</f>
        <v>06/15/1999 00:00</v>
      </c>
      <c r="C5007">
        <v>2.56</v>
      </c>
      <c r="D5007" t="s">
        <v>7</v>
      </c>
      <c r="E5007" s="2" t="s">
        <v>12</v>
      </c>
      <c r="F5007">
        <f t="shared" si="78"/>
        <v>5.0764800000000001</v>
      </c>
      <c r="G5007" t="s">
        <v>16</v>
      </c>
      <c r="I5007" t="s">
        <v>34</v>
      </c>
      <c r="J5007" t="str">
        <f>"06/15/1999 23:45"</f>
        <v>06/15/1999 23:45</v>
      </c>
    </row>
    <row r="5008" spans="1:10" x14ac:dyDescent="0.3">
      <c r="A5008" t="s">
        <v>6</v>
      </c>
      <c r="B5008" t="str">
        <f>"06/16/1999 00:00"</f>
        <v>06/16/1999 00:00</v>
      </c>
      <c r="C5008">
        <v>2.56</v>
      </c>
      <c r="D5008" t="s">
        <v>7</v>
      </c>
      <c r="E5008" s="2" t="s">
        <v>12</v>
      </c>
      <c r="F5008">
        <f t="shared" si="78"/>
        <v>5.0764800000000001</v>
      </c>
      <c r="G5008" t="s">
        <v>16</v>
      </c>
      <c r="I5008" t="s">
        <v>34</v>
      </c>
      <c r="J5008" t="str">
        <f>"06/16/1999 23:45"</f>
        <v>06/16/1999 23:45</v>
      </c>
    </row>
    <row r="5009" spans="1:10" x14ac:dyDescent="0.3">
      <c r="A5009" t="s">
        <v>6</v>
      </c>
      <c r="B5009" t="str">
        <f>"06/17/1999 00:00"</f>
        <v>06/17/1999 00:00</v>
      </c>
      <c r="C5009">
        <v>2.57</v>
      </c>
      <c r="D5009" t="s">
        <v>7</v>
      </c>
      <c r="E5009" s="2" t="s">
        <v>12</v>
      </c>
      <c r="F5009">
        <f t="shared" si="78"/>
        <v>5.0963099999999999</v>
      </c>
      <c r="G5009" t="s">
        <v>16</v>
      </c>
      <c r="I5009" t="s">
        <v>34</v>
      </c>
      <c r="J5009" t="str">
        <f>"06/17/1999 23:45"</f>
        <v>06/17/1999 23:45</v>
      </c>
    </row>
    <row r="5010" spans="1:10" x14ac:dyDescent="0.3">
      <c r="A5010" t="s">
        <v>6</v>
      </c>
      <c r="B5010" t="str">
        <f>"06/18/1999 00:00"</f>
        <v>06/18/1999 00:00</v>
      </c>
      <c r="C5010">
        <v>2.56</v>
      </c>
      <c r="D5010" t="s">
        <v>7</v>
      </c>
      <c r="E5010" s="2" t="s">
        <v>12</v>
      </c>
      <c r="F5010">
        <f t="shared" si="78"/>
        <v>5.0764800000000001</v>
      </c>
      <c r="G5010" t="s">
        <v>16</v>
      </c>
      <c r="I5010" t="s">
        <v>34</v>
      </c>
      <c r="J5010" t="str">
        <f>"06/18/1999 23:45"</f>
        <v>06/18/1999 23:45</v>
      </c>
    </row>
    <row r="5011" spans="1:10" x14ac:dyDescent="0.3">
      <c r="A5011" t="s">
        <v>6</v>
      </c>
      <c r="B5011" t="str">
        <f>"06/19/1999 00:00"</f>
        <v>06/19/1999 00:00</v>
      </c>
      <c r="C5011">
        <v>2.56</v>
      </c>
      <c r="D5011" t="s">
        <v>7</v>
      </c>
      <c r="E5011" s="2" t="s">
        <v>12</v>
      </c>
      <c r="F5011">
        <f t="shared" si="78"/>
        <v>5.0764800000000001</v>
      </c>
      <c r="G5011" t="s">
        <v>16</v>
      </c>
      <c r="I5011" t="s">
        <v>34</v>
      </c>
      <c r="J5011" t="str">
        <f>"06/19/1999 23:45"</f>
        <v>06/19/1999 23:45</v>
      </c>
    </row>
    <row r="5012" spans="1:10" x14ac:dyDescent="0.3">
      <c r="A5012" t="s">
        <v>6</v>
      </c>
      <c r="B5012" t="str">
        <f>"06/20/1999 00:00"</f>
        <v>06/20/1999 00:00</v>
      </c>
      <c r="C5012">
        <v>2.56</v>
      </c>
      <c r="D5012" t="s">
        <v>7</v>
      </c>
      <c r="E5012" s="2" t="s">
        <v>12</v>
      </c>
      <c r="F5012">
        <f t="shared" si="78"/>
        <v>5.0764800000000001</v>
      </c>
      <c r="G5012" t="s">
        <v>16</v>
      </c>
      <c r="I5012" t="s">
        <v>34</v>
      </c>
      <c r="J5012" t="str">
        <f>"06/20/1999 23:45"</f>
        <v>06/20/1999 23:45</v>
      </c>
    </row>
    <row r="5013" spans="1:10" x14ac:dyDescent="0.3">
      <c r="A5013" t="s">
        <v>6</v>
      </c>
      <c r="B5013" t="str">
        <f>"06/21/1999 00:00"</f>
        <v>06/21/1999 00:00</v>
      </c>
      <c r="C5013">
        <v>2.56</v>
      </c>
      <c r="D5013" t="s">
        <v>7</v>
      </c>
      <c r="E5013" s="2" t="s">
        <v>12</v>
      </c>
      <c r="F5013">
        <f t="shared" si="78"/>
        <v>5.0764800000000001</v>
      </c>
      <c r="G5013" t="s">
        <v>16</v>
      </c>
      <c r="I5013" t="s">
        <v>34</v>
      </c>
      <c r="J5013" t="str">
        <f>"06/21/1999 23:45"</f>
        <v>06/21/1999 23:45</v>
      </c>
    </row>
    <row r="5014" spans="1:10" x14ac:dyDescent="0.3">
      <c r="A5014" t="s">
        <v>6</v>
      </c>
      <c r="B5014" t="str">
        <f>"06/22/1999 00:00"</f>
        <v>06/22/1999 00:00</v>
      </c>
      <c r="C5014">
        <v>2.56</v>
      </c>
      <c r="D5014" t="s">
        <v>7</v>
      </c>
      <c r="E5014" s="2" t="s">
        <v>12</v>
      </c>
      <c r="F5014">
        <f t="shared" si="78"/>
        <v>5.0764800000000001</v>
      </c>
      <c r="G5014" t="s">
        <v>16</v>
      </c>
      <c r="I5014" t="s">
        <v>34</v>
      </c>
      <c r="J5014" t="str">
        <f>"06/22/1999 23:45"</f>
        <v>06/22/1999 23:45</v>
      </c>
    </row>
    <row r="5015" spans="1:10" x14ac:dyDescent="0.3">
      <c r="A5015" t="s">
        <v>6</v>
      </c>
      <c r="B5015" t="str">
        <f>"06/23/1999 00:00"</f>
        <v>06/23/1999 00:00</v>
      </c>
      <c r="C5015">
        <v>2.56</v>
      </c>
      <c r="D5015" t="s">
        <v>7</v>
      </c>
      <c r="E5015" s="2" t="s">
        <v>12</v>
      </c>
      <c r="F5015">
        <f t="shared" si="78"/>
        <v>5.0764800000000001</v>
      </c>
      <c r="G5015" t="s">
        <v>16</v>
      </c>
      <c r="I5015" t="s">
        <v>34</v>
      </c>
      <c r="J5015" t="str">
        <f>"06/23/1999 23:45"</f>
        <v>06/23/1999 23:45</v>
      </c>
    </row>
    <row r="5016" spans="1:10" x14ac:dyDescent="0.3">
      <c r="A5016" t="s">
        <v>6</v>
      </c>
      <c r="B5016" t="str">
        <f>"06/24/1999 00:00"</f>
        <v>06/24/1999 00:00</v>
      </c>
      <c r="C5016">
        <v>2.56</v>
      </c>
      <c r="D5016" t="s">
        <v>7</v>
      </c>
      <c r="E5016" s="2" t="s">
        <v>12</v>
      </c>
      <c r="F5016">
        <f t="shared" si="78"/>
        <v>5.0764800000000001</v>
      </c>
      <c r="G5016" t="s">
        <v>16</v>
      </c>
      <c r="I5016" t="s">
        <v>34</v>
      </c>
      <c r="J5016" t="str">
        <f>"06/24/1999 23:45"</f>
        <v>06/24/1999 23:45</v>
      </c>
    </row>
    <row r="5017" spans="1:10" x14ac:dyDescent="0.3">
      <c r="A5017" t="s">
        <v>6</v>
      </c>
      <c r="B5017" t="str">
        <f>"06/25/1999 00:00"</f>
        <v>06/25/1999 00:00</v>
      </c>
      <c r="C5017">
        <v>2.56</v>
      </c>
      <c r="D5017" t="s">
        <v>7</v>
      </c>
      <c r="E5017" s="2" t="s">
        <v>12</v>
      </c>
      <c r="F5017">
        <f t="shared" si="78"/>
        <v>5.0764800000000001</v>
      </c>
      <c r="G5017" t="s">
        <v>16</v>
      </c>
      <c r="I5017" t="s">
        <v>34</v>
      </c>
      <c r="J5017" t="str">
        <f>"06/25/1999 23:45"</f>
        <v>06/25/1999 23:45</v>
      </c>
    </row>
    <row r="5018" spans="1:10" x14ac:dyDescent="0.3">
      <c r="A5018" t="s">
        <v>6</v>
      </c>
      <c r="B5018" t="str">
        <f>"06/26/1999 00:00"</f>
        <v>06/26/1999 00:00</v>
      </c>
      <c r="C5018">
        <v>2.56</v>
      </c>
      <c r="D5018" t="s">
        <v>7</v>
      </c>
      <c r="E5018" s="2" t="s">
        <v>12</v>
      </c>
      <c r="F5018">
        <f t="shared" si="78"/>
        <v>5.0764800000000001</v>
      </c>
      <c r="G5018" t="s">
        <v>16</v>
      </c>
      <c r="I5018" t="s">
        <v>34</v>
      </c>
      <c r="J5018" t="str">
        <f>"06/26/1999 23:45"</f>
        <v>06/26/1999 23:45</v>
      </c>
    </row>
    <row r="5019" spans="1:10" x14ac:dyDescent="0.3">
      <c r="A5019" t="s">
        <v>6</v>
      </c>
      <c r="B5019" t="str">
        <f>"06/27/1999 00:00"</f>
        <v>06/27/1999 00:00</v>
      </c>
      <c r="C5019">
        <v>2.56</v>
      </c>
      <c r="D5019" t="s">
        <v>7</v>
      </c>
      <c r="E5019" s="2" t="s">
        <v>12</v>
      </c>
      <c r="F5019">
        <f t="shared" si="78"/>
        <v>5.0764800000000001</v>
      </c>
      <c r="G5019" t="s">
        <v>16</v>
      </c>
      <c r="I5019" t="s">
        <v>34</v>
      </c>
      <c r="J5019" t="str">
        <f>"06/27/1999 23:45"</f>
        <v>06/27/1999 23:45</v>
      </c>
    </row>
    <row r="5020" spans="1:10" x14ac:dyDescent="0.3">
      <c r="A5020" t="s">
        <v>6</v>
      </c>
      <c r="B5020" t="str">
        <f>"06/28/1999 00:00"</f>
        <v>06/28/1999 00:00</v>
      </c>
      <c r="C5020">
        <v>2.56</v>
      </c>
      <c r="D5020" t="s">
        <v>7</v>
      </c>
      <c r="E5020" s="2" t="s">
        <v>12</v>
      </c>
      <c r="F5020">
        <f t="shared" si="78"/>
        <v>5.0764800000000001</v>
      </c>
      <c r="G5020" t="s">
        <v>16</v>
      </c>
      <c r="I5020" t="s">
        <v>34</v>
      </c>
      <c r="J5020" t="str">
        <f>"06/28/1999 23:45"</f>
        <v>06/28/1999 23:45</v>
      </c>
    </row>
    <row r="5021" spans="1:10" x14ac:dyDescent="0.3">
      <c r="A5021" t="s">
        <v>6</v>
      </c>
      <c r="B5021" t="str">
        <f>"06/29/1999 00:00"</f>
        <v>06/29/1999 00:00</v>
      </c>
      <c r="C5021">
        <v>2.56</v>
      </c>
      <c r="D5021" t="s">
        <v>7</v>
      </c>
      <c r="E5021" s="2" t="s">
        <v>12</v>
      </c>
      <c r="F5021">
        <f t="shared" si="78"/>
        <v>5.0764800000000001</v>
      </c>
      <c r="G5021" t="s">
        <v>16</v>
      </c>
      <c r="I5021" t="s">
        <v>34</v>
      </c>
      <c r="J5021" t="str">
        <f>"06/29/1999 23:45"</f>
        <v>06/29/1999 23:45</v>
      </c>
    </row>
    <row r="5022" spans="1:10" x14ac:dyDescent="0.3">
      <c r="A5022" t="s">
        <v>6</v>
      </c>
      <c r="B5022" t="str">
        <f>"06/30/1999 00:00"</f>
        <v>06/30/1999 00:00</v>
      </c>
      <c r="C5022">
        <v>2.56</v>
      </c>
      <c r="D5022" t="s">
        <v>7</v>
      </c>
      <c r="E5022" s="2" t="s">
        <v>12</v>
      </c>
      <c r="F5022">
        <f t="shared" si="78"/>
        <v>5.0764800000000001</v>
      </c>
      <c r="G5022" t="s">
        <v>16</v>
      </c>
      <c r="I5022" t="s">
        <v>34</v>
      </c>
      <c r="J5022" t="str">
        <f>"06/30/1999 23:45"</f>
        <v>06/30/1999 23:45</v>
      </c>
    </row>
    <row r="5023" spans="1:10" x14ac:dyDescent="0.3">
      <c r="A5023" t="s">
        <v>6</v>
      </c>
      <c r="B5023" t="str">
        <f>"07/01/1999 00:00"</f>
        <v>07/01/1999 00:00</v>
      </c>
      <c r="C5023">
        <v>2.56</v>
      </c>
      <c r="D5023" t="s">
        <v>7</v>
      </c>
      <c r="E5023" s="2" t="s">
        <v>12</v>
      </c>
      <c r="F5023">
        <f t="shared" si="78"/>
        <v>5.0764800000000001</v>
      </c>
      <c r="G5023" t="s">
        <v>16</v>
      </c>
      <c r="I5023" t="s">
        <v>34</v>
      </c>
      <c r="J5023" t="str">
        <f>"07/01/1999 23:45"</f>
        <v>07/01/1999 23:45</v>
      </c>
    </row>
    <row r="5024" spans="1:10" x14ac:dyDescent="0.3">
      <c r="A5024" t="s">
        <v>6</v>
      </c>
      <c r="B5024" t="str">
        <f>"07/02/1999 00:00"</f>
        <v>07/02/1999 00:00</v>
      </c>
      <c r="C5024">
        <v>2.56</v>
      </c>
      <c r="D5024" t="s">
        <v>7</v>
      </c>
      <c r="E5024" s="2" t="s">
        <v>12</v>
      </c>
      <c r="F5024">
        <f t="shared" si="78"/>
        <v>5.0764800000000001</v>
      </c>
      <c r="G5024" t="s">
        <v>16</v>
      </c>
      <c r="I5024" t="s">
        <v>34</v>
      </c>
      <c r="J5024" t="str">
        <f>"07/02/1999 23:45"</f>
        <v>07/02/1999 23:45</v>
      </c>
    </row>
    <row r="5025" spans="1:10" x14ac:dyDescent="0.3">
      <c r="A5025" t="s">
        <v>6</v>
      </c>
      <c r="B5025" t="str">
        <f>"07/03/1999 00:00"</f>
        <v>07/03/1999 00:00</v>
      </c>
      <c r="C5025">
        <v>2.56</v>
      </c>
      <c r="D5025" t="s">
        <v>7</v>
      </c>
      <c r="E5025" s="2" t="s">
        <v>12</v>
      </c>
      <c r="F5025">
        <f t="shared" si="78"/>
        <v>5.0764800000000001</v>
      </c>
      <c r="G5025" t="s">
        <v>16</v>
      </c>
      <c r="I5025" t="s">
        <v>34</v>
      </c>
      <c r="J5025" t="str">
        <f>"07/03/1999 23:45"</f>
        <v>07/03/1999 23:45</v>
      </c>
    </row>
    <row r="5026" spans="1:10" x14ac:dyDescent="0.3">
      <c r="A5026" t="s">
        <v>6</v>
      </c>
      <c r="B5026" t="str">
        <f>"07/04/1999 00:00"</f>
        <v>07/04/1999 00:00</v>
      </c>
      <c r="C5026">
        <v>2.56</v>
      </c>
      <c r="D5026" t="s">
        <v>7</v>
      </c>
      <c r="E5026" s="2" t="s">
        <v>12</v>
      </c>
      <c r="F5026">
        <f t="shared" si="78"/>
        <v>5.0764800000000001</v>
      </c>
      <c r="G5026" t="s">
        <v>16</v>
      </c>
      <c r="I5026" t="s">
        <v>34</v>
      </c>
      <c r="J5026" t="str">
        <f>"07/04/1999 23:45"</f>
        <v>07/04/1999 23:45</v>
      </c>
    </row>
    <row r="5027" spans="1:10" x14ac:dyDescent="0.3">
      <c r="A5027" t="s">
        <v>6</v>
      </c>
      <c r="B5027" t="str">
        <f>"07/05/1999 00:00"</f>
        <v>07/05/1999 00:00</v>
      </c>
      <c r="C5027">
        <v>2.56</v>
      </c>
      <c r="D5027" t="s">
        <v>7</v>
      </c>
      <c r="E5027" s="2" t="s">
        <v>12</v>
      </c>
      <c r="F5027">
        <f t="shared" si="78"/>
        <v>5.0764800000000001</v>
      </c>
      <c r="G5027" t="s">
        <v>16</v>
      </c>
      <c r="I5027" t="s">
        <v>34</v>
      </c>
      <c r="J5027" t="str">
        <f>"07/05/1999 23:45"</f>
        <v>07/05/1999 23:45</v>
      </c>
    </row>
    <row r="5028" spans="1:10" x14ac:dyDescent="0.3">
      <c r="A5028" t="s">
        <v>6</v>
      </c>
      <c r="B5028" t="str">
        <f>"07/06/1999 00:00"</f>
        <v>07/06/1999 00:00</v>
      </c>
      <c r="C5028">
        <v>2.56</v>
      </c>
      <c r="D5028" t="s">
        <v>7</v>
      </c>
      <c r="E5028" s="2" t="s">
        <v>12</v>
      </c>
      <c r="F5028">
        <f t="shared" si="78"/>
        <v>5.0764800000000001</v>
      </c>
      <c r="G5028" t="s">
        <v>16</v>
      </c>
      <c r="I5028" t="s">
        <v>34</v>
      </c>
      <c r="J5028" t="str">
        <f>"07/06/1999 23:45"</f>
        <v>07/06/1999 23:45</v>
      </c>
    </row>
    <row r="5029" spans="1:10" x14ac:dyDescent="0.3">
      <c r="A5029" t="s">
        <v>6</v>
      </c>
      <c r="B5029" t="str">
        <f>"07/07/1999 00:00"</f>
        <v>07/07/1999 00:00</v>
      </c>
      <c r="C5029">
        <v>2.56</v>
      </c>
      <c r="D5029" t="s">
        <v>7</v>
      </c>
      <c r="E5029" s="2" t="s">
        <v>12</v>
      </c>
      <c r="F5029">
        <f t="shared" si="78"/>
        <v>5.0764800000000001</v>
      </c>
      <c r="G5029" t="s">
        <v>16</v>
      </c>
      <c r="I5029" t="s">
        <v>34</v>
      </c>
      <c r="J5029" t="str">
        <f>"07/07/1999 23:45"</f>
        <v>07/07/1999 23:45</v>
      </c>
    </row>
    <row r="5030" spans="1:10" x14ac:dyDescent="0.3">
      <c r="A5030" t="s">
        <v>6</v>
      </c>
      <c r="B5030" t="str">
        <f>"07/08/1999 00:00"</f>
        <v>07/08/1999 00:00</v>
      </c>
      <c r="C5030">
        <v>2.56</v>
      </c>
      <c r="D5030" t="s">
        <v>7</v>
      </c>
      <c r="E5030" s="2" t="s">
        <v>12</v>
      </c>
      <c r="F5030">
        <f t="shared" si="78"/>
        <v>5.0764800000000001</v>
      </c>
      <c r="G5030" t="s">
        <v>16</v>
      </c>
      <c r="I5030" t="s">
        <v>34</v>
      </c>
      <c r="J5030" t="str">
        <f>"07/08/1999 23:45"</f>
        <v>07/08/1999 23:45</v>
      </c>
    </row>
    <row r="5031" spans="1:10" x14ac:dyDescent="0.3">
      <c r="A5031" t="s">
        <v>6</v>
      </c>
      <c r="B5031" t="str">
        <f>"07/09/1999 00:00"</f>
        <v>07/09/1999 00:00</v>
      </c>
      <c r="C5031">
        <v>2.56</v>
      </c>
      <c r="D5031" t="s">
        <v>7</v>
      </c>
      <c r="E5031" s="2" t="s">
        <v>12</v>
      </c>
      <c r="F5031">
        <f t="shared" si="78"/>
        <v>5.0764800000000001</v>
      </c>
      <c r="G5031" t="s">
        <v>16</v>
      </c>
      <c r="I5031" t="s">
        <v>34</v>
      </c>
      <c r="J5031" t="str">
        <f>"07/09/1999 23:45"</f>
        <v>07/09/1999 23:45</v>
      </c>
    </row>
    <row r="5032" spans="1:10" x14ac:dyDescent="0.3">
      <c r="A5032" t="s">
        <v>6</v>
      </c>
      <c r="B5032" t="str">
        <f>"07/10/1999 00:00"</f>
        <v>07/10/1999 00:00</v>
      </c>
      <c r="C5032">
        <v>2.56</v>
      </c>
      <c r="D5032" t="s">
        <v>7</v>
      </c>
      <c r="E5032" s="2" t="s">
        <v>12</v>
      </c>
      <c r="F5032">
        <f t="shared" si="78"/>
        <v>5.0764800000000001</v>
      </c>
      <c r="G5032" t="s">
        <v>16</v>
      </c>
      <c r="I5032" t="s">
        <v>34</v>
      </c>
      <c r="J5032" t="str">
        <f>"07/10/1999 23:45"</f>
        <v>07/10/1999 23:45</v>
      </c>
    </row>
    <row r="5033" spans="1:10" x14ac:dyDescent="0.3">
      <c r="A5033" t="s">
        <v>6</v>
      </c>
      <c r="B5033" t="str">
        <f>"07/11/1999 00:00"</f>
        <v>07/11/1999 00:00</v>
      </c>
      <c r="C5033">
        <v>2.56</v>
      </c>
      <c r="D5033" t="s">
        <v>7</v>
      </c>
      <c r="E5033" s="2" t="s">
        <v>12</v>
      </c>
      <c r="F5033">
        <f t="shared" si="78"/>
        <v>5.0764800000000001</v>
      </c>
      <c r="G5033" t="s">
        <v>16</v>
      </c>
      <c r="I5033" t="s">
        <v>34</v>
      </c>
      <c r="J5033" t="str">
        <f>"07/11/1999 23:45"</f>
        <v>07/11/1999 23:45</v>
      </c>
    </row>
    <row r="5034" spans="1:10" x14ac:dyDescent="0.3">
      <c r="A5034" t="s">
        <v>6</v>
      </c>
      <c r="B5034" t="str">
        <f>"07/12/1999 00:00"</f>
        <v>07/12/1999 00:00</v>
      </c>
      <c r="C5034">
        <v>2.56</v>
      </c>
      <c r="D5034" t="s">
        <v>7</v>
      </c>
      <c r="E5034" s="2" t="s">
        <v>12</v>
      </c>
      <c r="F5034">
        <f t="shared" si="78"/>
        <v>5.0764800000000001</v>
      </c>
      <c r="G5034" t="s">
        <v>16</v>
      </c>
      <c r="I5034" t="s">
        <v>34</v>
      </c>
      <c r="J5034" t="str">
        <f>"07/12/1999 23:45"</f>
        <v>07/12/1999 23:45</v>
      </c>
    </row>
    <row r="5035" spans="1:10" x14ac:dyDescent="0.3">
      <c r="A5035" t="s">
        <v>6</v>
      </c>
      <c r="B5035" t="str">
        <f>"07/13/1999 00:00"</f>
        <v>07/13/1999 00:00</v>
      </c>
      <c r="C5035">
        <v>2.56</v>
      </c>
      <c r="D5035" t="s">
        <v>7</v>
      </c>
      <c r="E5035" s="2" t="s">
        <v>12</v>
      </c>
      <c r="F5035">
        <f t="shared" si="78"/>
        <v>5.0764800000000001</v>
      </c>
      <c r="G5035" t="s">
        <v>16</v>
      </c>
      <c r="I5035" t="s">
        <v>34</v>
      </c>
      <c r="J5035" t="str">
        <f>"07/13/1999 23:45"</f>
        <v>07/13/1999 23:45</v>
      </c>
    </row>
    <row r="5036" spans="1:10" x14ac:dyDescent="0.3">
      <c r="A5036" t="s">
        <v>6</v>
      </c>
      <c r="B5036" t="str">
        <f>"07/14/1999 00:00"</f>
        <v>07/14/1999 00:00</v>
      </c>
      <c r="C5036">
        <v>2.56</v>
      </c>
      <c r="D5036" t="s">
        <v>7</v>
      </c>
      <c r="E5036" s="2" t="s">
        <v>12</v>
      </c>
      <c r="F5036">
        <f t="shared" si="78"/>
        <v>5.0764800000000001</v>
      </c>
      <c r="G5036" t="s">
        <v>16</v>
      </c>
      <c r="I5036" t="s">
        <v>34</v>
      </c>
      <c r="J5036" t="str">
        <f>"07/14/1999 23:45"</f>
        <v>07/14/1999 23:45</v>
      </c>
    </row>
    <row r="5037" spans="1:10" x14ac:dyDescent="0.3">
      <c r="A5037" t="s">
        <v>6</v>
      </c>
      <c r="B5037" t="str">
        <f>"07/15/1999 00:00"</f>
        <v>07/15/1999 00:00</v>
      </c>
      <c r="C5037">
        <v>2.56</v>
      </c>
      <c r="D5037" t="s">
        <v>7</v>
      </c>
      <c r="E5037" s="2" t="s">
        <v>12</v>
      </c>
      <c r="F5037">
        <f t="shared" si="78"/>
        <v>5.0764800000000001</v>
      </c>
      <c r="G5037" t="s">
        <v>16</v>
      </c>
      <c r="I5037" t="s">
        <v>34</v>
      </c>
      <c r="J5037" t="str">
        <f>"07/15/1999 23:45"</f>
        <v>07/15/1999 23:45</v>
      </c>
    </row>
    <row r="5038" spans="1:10" x14ac:dyDescent="0.3">
      <c r="A5038" t="s">
        <v>6</v>
      </c>
      <c r="B5038" t="str">
        <f>"07/16/1999 00:00"</f>
        <v>07/16/1999 00:00</v>
      </c>
      <c r="C5038">
        <v>2.56</v>
      </c>
      <c r="D5038" t="s">
        <v>7</v>
      </c>
      <c r="E5038" s="2" t="s">
        <v>12</v>
      </c>
      <c r="F5038">
        <f t="shared" si="78"/>
        <v>5.0764800000000001</v>
      </c>
      <c r="G5038" t="s">
        <v>16</v>
      </c>
      <c r="I5038" t="s">
        <v>34</v>
      </c>
      <c r="J5038" t="str">
        <f>"07/16/1999 23:45"</f>
        <v>07/16/1999 23:45</v>
      </c>
    </row>
    <row r="5039" spans="1:10" x14ac:dyDescent="0.3">
      <c r="A5039" t="s">
        <v>6</v>
      </c>
      <c r="B5039" t="str">
        <f>"07/17/1999 00:00"</f>
        <v>07/17/1999 00:00</v>
      </c>
      <c r="C5039">
        <v>2.56</v>
      </c>
      <c r="D5039" t="s">
        <v>7</v>
      </c>
      <c r="E5039" s="2" t="s">
        <v>12</v>
      </c>
      <c r="F5039">
        <f t="shared" si="78"/>
        <v>5.0764800000000001</v>
      </c>
      <c r="G5039" t="s">
        <v>16</v>
      </c>
      <c r="I5039" t="s">
        <v>34</v>
      </c>
      <c r="J5039" t="str">
        <f>"07/17/1999 23:45"</f>
        <v>07/17/1999 23:45</v>
      </c>
    </row>
    <row r="5040" spans="1:10" x14ac:dyDescent="0.3">
      <c r="A5040" t="s">
        <v>6</v>
      </c>
      <c r="B5040" t="str">
        <f>"07/18/1999 00:00"</f>
        <v>07/18/1999 00:00</v>
      </c>
      <c r="C5040">
        <v>2.56</v>
      </c>
      <c r="D5040" t="s">
        <v>7</v>
      </c>
      <c r="E5040" s="2" t="s">
        <v>12</v>
      </c>
      <c r="F5040">
        <f t="shared" si="78"/>
        <v>5.0764800000000001</v>
      </c>
      <c r="G5040" t="s">
        <v>16</v>
      </c>
      <c r="I5040" t="s">
        <v>34</v>
      </c>
      <c r="J5040" t="str">
        <f>"07/18/1999 23:45"</f>
        <v>07/18/1999 23:45</v>
      </c>
    </row>
    <row r="5041" spans="1:10" x14ac:dyDescent="0.3">
      <c r="A5041" t="s">
        <v>6</v>
      </c>
      <c r="B5041" t="str">
        <f>"07/19/1999 00:00"</f>
        <v>07/19/1999 00:00</v>
      </c>
      <c r="C5041">
        <v>2.56</v>
      </c>
      <c r="D5041" t="s">
        <v>7</v>
      </c>
      <c r="E5041" s="2" t="s">
        <v>12</v>
      </c>
      <c r="F5041">
        <f t="shared" si="78"/>
        <v>5.0764800000000001</v>
      </c>
      <c r="G5041" t="s">
        <v>16</v>
      </c>
      <c r="I5041" t="s">
        <v>34</v>
      </c>
      <c r="J5041" t="str">
        <f>"07/19/1999 23:45"</f>
        <v>07/19/1999 23:45</v>
      </c>
    </row>
    <row r="5042" spans="1:10" x14ac:dyDescent="0.3">
      <c r="A5042" t="s">
        <v>6</v>
      </c>
      <c r="B5042" t="str">
        <f>"07/20/1999 00:00"</f>
        <v>07/20/1999 00:00</v>
      </c>
      <c r="C5042">
        <v>2.56</v>
      </c>
      <c r="D5042" t="s">
        <v>7</v>
      </c>
      <c r="E5042" s="2" t="s">
        <v>12</v>
      </c>
      <c r="F5042">
        <f t="shared" si="78"/>
        <v>5.0764800000000001</v>
      </c>
      <c r="G5042" t="s">
        <v>16</v>
      </c>
      <c r="I5042" t="s">
        <v>34</v>
      </c>
      <c r="J5042" t="str">
        <f>"07/20/1999 23:45"</f>
        <v>07/20/1999 23:45</v>
      </c>
    </row>
    <row r="5043" spans="1:10" x14ac:dyDescent="0.3">
      <c r="A5043" t="s">
        <v>6</v>
      </c>
      <c r="B5043" t="str">
        <f>"07/21/1999 00:00"</f>
        <v>07/21/1999 00:00</v>
      </c>
      <c r="C5043">
        <v>2.56</v>
      </c>
      <c r="D5043" t="s">
        <v>7</v>
      </c>
      <c r="E5043" s="2" t="s">
        <v>12</v>
      </c>
      <c r="F5043">
        <f t="shared" si="78"/>
        <v>5.0764800000000001</v>
      </c>
      <c r="G5043" t="s">
        <v>16</v>
      </c>
      <c r="I5043" t="s">
        <v>34</v>
      </c>
      <c r="J5043" t="str">
        <f>"07/21/1999 23:45"</f>
        <v>07/21/1999 23:45</v>
      </c>
    </row>
    <row r="5044" spans="1:10" x14ac:dyDescent="0.3">
      <c r="A5044" t="s">
        <v>6</v>
      </c>
      <c r="B5044" t="str">
        <f>"07/22/1999 00:00"</f>
        <v>07/22/1999 00:00</v>
      </c>
      <c r="C5044">
        <v>2.56</v>
      </c>
      <c r="D5044" t="s">
        <v>7</v>
      </c>
      <c r="E5044" s="2" t="s">
        <v>12</v>
      </c>
      <c r="F5044">
        <f t="shared" si="78"/>
        <v>5.0764800000000001</v>
      </c>
      <c r="G5044" t="s">
        <v>16</v>
      </c>
      <c r="I5044" t="s">
        <v>34</v>
      </c>
      <c r="J5044" t="str">
        <f>"07/22/1999 23:45"</f>
        <v>07/22/1999 23:45</v>
      </c>
    </row>
    <row r="5045" spans="1:10" x14ac:dyDescent="0.3">
      <c r="A5045" t="s">
        <v>6</v>
      </c>
      <c r="B5045" t="str">
        <f>"07/23/1999 00:00"</f>
        <v>07/23/1999 00:00</v>
      </c>
      <c r="C5045">
        <v>57.5</v>
      </c>
      <c r="D5045" t="s">
        <v>7</v>
      </c>
      <c r="E5045" s="2" t="s">
        <v>12</v>
      </c>
      <c r="F5045">
        <f t="shared" si="78"/>
        <v>114.02250000000001</v>
      </c>
      <c r="G5045" t="s">
        <v>16</v>
      </c>
      <c r="I5045" t="s">
        <v>8</v>
      </c>
      <c r="J5045" t="str">
        <f>"07/23/1999 23:45"</f>
        <v>07/23/1999 23:45</v>
      </c>
    </row>
    <row r="5046" spans="1:10" x14ac:dyDescent="0.3">
      <c r="A5046" t="s">
        <v>6</v>
      </c>
      <c r="B5046" t="str">
        <f>"07/24/1999 00:00"</f>
        <v>07/24/1999 00:00</v>
      </c>
      <c r="C5046">
        <v>137</v>
      </c>
      <c r="D5046" t="s">
        <v>7</v>
      </c>
      <c r="E5046" s="2" t="s">
        <v>12</v>
      </c>
      <c r="F5046">
        <f t="shared" si="78"/>
        <v>271.67099999999999</v>
      </c>
      <c r="G5046" t="s">
        <v>16</v>
      </c>
      <c r="J5046" t="str">
        <f>"07/24/1999 23:45"</f>
        <v>07/24/1999 23:45</v>
      </c>
    </row>
    <row r="5047" spans="1:10" x14ac:dyDescent="0.3">
      <c r="A5047" t="s">
        <v>6</v>
      </c>
      <c r="B5047" t="str">
        <f>"07/25/1999 00:00"</f>
        <v>07/25/1999 00:00</v>
      </c>
      <c r="C5047">
        <v>162</v>
      </c>
      <c r="D5047" t="s">
        <v>7</v>
      </c>
      <c r="E5047" s="2" t="s">
        <v>12</v>
      </c>
      <c r="F5047">
        <f t="shared" si="78"/>
        <v>321.24600000000004</v>
      </c>
      <c r="G5047" t="s">
        <v>16</v>
      </c>
      <c r="J5047" t="str">
        <f>"07/25/1999 23:45"</f>
        <v>07/25/1999 23:45</v>
      </c>
    </row>
    <row r="5048" spans="1:10" x14ac:dyDescent="0.3">
      <c r="A5048" t="s">
        <v>6</v>
      </c>
      <c r="B5048" t="str">
        <f>"07/26/1999 00:00"</f>
        <v>07/26/1999 00:00</v>
      </c>
      <c r="C5048">
        <v>211</v>
      </c>
      <c r="D5048" t="s">
        <v>7</v>
      </c>
      <c r="E5048" s="2" t="s">
        <v>12</v>
      </c>
      <c r="F5048">
        <f t="shared" si="78"/>
        <v>418.41300000000001</v>
      </c>
      <c r="G5048" t="s">
        <v>16</v>
      </c>
      <c r="J5048" t="str">
        <f>"07/26/1999 23:45"</f>
        <v>07/26/1999 23:45</v>
      </c>
    </row>
    <row r="5049" spans="1:10" x14ac:dyDescent="0.3">
      <c r="A5049" t="s">
        <v>6</v>
      </c>
      <c r="B5049" t="str">
        <f>"07/27/1999 00:00"</f>
        <v>07/27/1999 00:00</v>
      </c>
      <c r="C5049">
        <v>264</v>
      </c>
      <c r="D5049" t="s">
        <v>7</v>
      </c>
      <c r="E5049" s="2" t="s">
        <v>12</v>
      </c>
      <c r="F5049">
        <f t="shared" si="78"/>
        <v>523.51200000000006</v>
      </c>
      <c r="G5049" t="s">
        <v>16</v>
      </c>
      <c r="J5049" t="str">
        <f>"07/27/1999 23:45"</f>
        <v>07/27/1999 23:45</v>
      </c>
    </row>
    <row r="5050" spans="1:10" x14ac:dyDescent="0.3">
      <c r="A5050" t="s">
        <v>6</v>
      </c>
      <c r="B5050" t="str">
        <f>"07/28/1999 00:00"</f>
        <v>07/28/1999 00:00</v>
      </c>
      <c r="C5050">
        <v>261</v>
      </c>
      <c r="D5050" t="s">
        <v>7</v>
      </c>
      <c r="E5050" s="2" t="s">
        <v>12</v>
      </c>
      <c r="F5050">
        <f t="shared" si="78"/>
        <v>517.56299999999999</v>
      </c>
      <c r="G5050" t="s">
        <v>16</v>
      </c>
      <c r="J5050" t="str">
        <f>"07/28/1999 23:45"</f>
        <v>07/28/1999 23:45</v>
      </c>
    </row>
    <row r="5051" spans="1:10" x14ac:dyDescent="0.3">
      <c r="A5051" t="s">
        <v>6</v>
      </c>
      <c r="B5051" t="str">
        <f>"07/29/1999 00:00"</f>
        <v>07/29/1999 00:00</v>
      </c>
      <c r="C5051">
        <v>258</v>
      </c>
      <c r="D5051" t="s">
        <v>7</v>
      </c>
      <c r="E5051" s="2" t="s">
        <v>12</v>
      </c>
      <c r="F5051">
        <f t="shared" si="78"/>
        <v>511.61400000000003</v>
      </c>
      <c r="G5051" t="s">
        <v>16</v>
      </c>
      <c r="J5051" t="str">
        <f>"07/29/1999 23:45"</f>
        <v>07/29/1999 23:45</v>
      </c>
    </row>
    <row r="5052" spans="1:10" x14ac:dyDescent="0.3">
      <c r="A5052" t="s">
        <v>6</v>
      </c>
      <c r="B5052" t="str">
        <f>"07/30/1999 00:00"</f>
        <v>07/30/1999 00:00</v>
      </c>
      <c r="C5052">
        <v>253</v>
      </c>
      <c r="D5052" t="s">
        <v>7</v>
      </c>
      <c r="E5052" s="2" t="s">
        <v>12</v>
      </c>
      <c r="F5052">
        <f t="shared" si="78"/>
        <v>501.69900000000001</v>
      </c>
      <c r="G5052" t="s">
        <v>16</v>
      </c>
      <c r="J5052" t="str">
        <f>"07/30/1999 23:45"</f>
        <v>07/30/1999 23:45</v>
      </c>
    </row>
    <row r="5053" spans="1:10" x14ac:dyDescent="0.3">
      <c r="A5053" t="s">
        <v>6</v>
      </c>
      <c r="B5053" t="str">
        <f>"07/31/1999 00:00"</f>
        <v>07/31/1999 00:00</v>
      </c>
      <c r="C5053">
        <v>248</v>
      </c>
      <c r="D5053" t="s">
        <v>7</v>
      </c>
      <c r="E5053" s="2" t="s">
        <v>12</v>
      </c>
      <c r="F5053">
        <f t="shared" si="78"/>
        <v>491.78400000000005</v>
      </c>
      <c r="G5053" t="s">
        <v>16</v>
      </c>
      <c r="J5053" t="str">
        <f>"07/31/1999 23:45"</f>
        <v>07/31/1999 23:45</v>
      </c>
    </row>
    <row r="5054" spans="1:10" x14ac:dyDescent="0.3">
      <c r="A5054" t="s">
        <v>6</v>
      </c>
      <c r="B5054" t="str">
        <f>"08/01/1999 00:00"</f>
        <v>08/01/1999 00:00</v>
      </c>
      <c r="C5054">
        <v>247</v>
      </c>
      <c r="D5054" t="s">
        <v>7</v>
      </c>
      <c r="E5054" s="2" t="s">
        <v>12</v>
      </c>
      <c r="F5054">
        <f t="shared" si="78"/>
        <v>489.80100000000004</v>
      </c>
      <c r="G5054" t="s">
        <v>16</v>
      </c>
      <c r="J5054" t="str">
        <f>"08/01/1999 23:45"</f>
        <v>08/01/1999 23:45</v>
      </c>
    </row>
    <row r="5055" spans="1:10" x14ac:dyDescent="0.3">
      <c r="A5055" t="s">
        <v>6</v>
      </c>
      <c r="B5055" t="str">
        <f>"08/02/1999 00:00"</f>
        <v>08/02/1999 00:00</v>
      </c>
      <c r="C5055">
        <v>221</v>
      </c>
      <c r="D5055" t="s">
        <v>7</v>
      </c>
      <c r="E5055" s="2" t="s">
        <v>12</v>
      </c>
      <c r="F5055">
        <f t="shared" si="78"/>
        <v>438.24299999999999</v>
      </c>
      <c r="G5055" t="s">
        <v>16</v>
      </c>
      <c r="J5055" t="str">
        <f>"08/02/1999 23:45"</f>
        <v>08/02/1999 23:45</v>
      </c>
    </row>
    <row r="5056" spans="1:10" x14ac:dyDescent="0.3">
      <c r="A5056" t="s">
        <v>6</v>
      </c>
      <c r="B5056" t="str">
        <f>"08/03/1999 00:00"</f>
        <v>08/03/1999 00:00</v>
      </c>
      <c r="C5056">
        <v>79</v>
      </c>
      <c r="D5056" t="s">
        <v>7</v>
      </c>
      <c r="E5056" s="2" t="s">
        <v>12</v>
      </c>
      <c r="F5056">
        <f t="shared" si="78"/>
        <v>156.65700000000001</v>
      </c>
      <c r="G5056" t="s">
        <v>16</v>
      </c>
      <c r="I5056" t="s">
        <v>8</v>
      </c>
      <c r="J5056" t="str">
        <f>"08/03/1999 23:45"</f>
        <v>08/03/1999 23:45</v>
      </c>
    </row>
    <row r="5057" spans="1:10" x14ac:dyDescent="0.3">
      <c r="A5057" t="s">
        <v>6</v>
      </c>
      <c r="B5057" t="str">
        <f>"08/04/1999 00:00"</f>
        <v>08/04/1999 00:00</v>
      </c>
      <c r="C5057">
        <v>1.52</v>
      </c>
      <c r="D5057" t="s">
        <v>7</v>
      </c>
      <c r="E5057" s="2" t="s">
        <v>12</v>
      </c>
      <c r="F5057">
        <f t="shared" si="78"/>
        <v>3.0141600000000004</v>
      </c>
      <c r="G5057" t="s">
        <v>16</v>
      </c>
      <c r="I5057" t="s">
        <v>34</v>
      </c>
      <c r="J5057" t="str">
        <f>"08/04/1999 23:45"</f>
        <v>08/04/1999 23:45</v>
      </c>
    </row>
    <row r="5058" spans="1:10" x14ac:dyDescent="0.3">
      <c r="A5058" t="s">
        <v>6</v>
      </c>
      <c r="B5058" t="str">
        <f>"08/05/1999 00:00"</f>
        <v>08/05/1999 00:00</v>
      </c>
      <c r="C5058">
        <v>1.49</v>
      </c>
      <c r="D5058" t="s">
        <v>7</v>
      </c>
      <c r="E5058" s="2" t="s">
        <v>12</v>
      </c>
      <c r="F5058">
        <f t="shared" si="78"/>
        <v>2.9546700000000001</v>
      </c>
      <c r="G5058" t="s">
        <v>16</v>
      </c>
      <c r="I5058" t="s">
        <v>34</v>
      </c>
      <c r="J5058" t="str">
        <f>"08/05/1999 18:45"</f>
        <v>08/05/1999 18:45</v>
      </c>
    </row>
    <row r="5059" spans="1:10" x14ac:dyDescent="0.3">
      <c r="A5059" t="s">
        <v>6</v>
      </c>
      <c r="B5059" t="str">
        <f>"08/06/1999 00:00"</f>
        <v>08/06/1999 00:00</v>
      </c>
      <c r="C5059">
        <v>1.62</v>
      </c>
      <c r="D5059" t="s">
        <v>7</v>
      </c>
      <c r="E5059" s="2" t="s">
        <v>12</v>
      </c>
      <c r="F5059">
        <f t="shared" ref="F5059:F5122" si="79">C5059*1.983</f>
        <v>3.2124600000000005</v>
      </c>
      <c r="G5059" t="s">
        <v>16</v>
      </c>
      <c r="I5059" t="s">
        <v>34</v>
      </c>
      <c r="J5059" t="str">
        <f>"08/06/1999 23:45"</f>
        <v>08/06/1999 23:45</v>
      </c>
    </row>
    <row r="5060" spans="1:10" x14ac:dyDescent="0.3">
      <c r="A5060" t="s">
        <v>6</v>
      </c>
      <c r="B5060" t="str">
        <f>"08/07/1999 00:00"</f>
        <v>08/07/1999 00:00</v>
      </c>
      <c r="C5060">
        <v>1.62</v>
      </c>
      <c r="D5060" t="s">
        <v>7</v>
      </c>
      <c r="E5060" s="2" t="s">
        <v>12</v>
      </c>
      <c r="F5060">
        <f t="shared" si="79"/>
        <v>3.2124600000000005</v>
      </c>
      <c r="G5060" t="s">
        <v>16</v>
      </c>
      <c r="I5060" t="s">
        <v>34</v>
      </c>
      <c r="J5060" t="str">
        <f>"08/07/1999 23:45"</f>
        <v>08/07/1999 23:45</v>
      </c>
    </row>
    <row r="5061" spans="1:10" x14ac:dyDescent="0.3">
      <c r="A5061" t="s">
        <v>6</v>
      </c>
      <c r="B5061" t="str">
        <f>"08/08/1999 00:00"</f>
        <v>08/08/1999 00:00</v>
      </c>
      <c r="C5061">
        <v>1.62</v>
      </c>
      <c r="D5061" t="s">
        <v>7</v>
      </c>
      <c r="E5061" s="2" t="s">
        <v>12</v>
      </c>
      <c r="F5061">
        <f t="shared" si="79"/>
        <v>3.2124600000000005</v>
      </c>
      <c r="G5061" t="s">
        <v>16</v>
      </c>
      <c r="I5061" t="s">
        <v>34</v>
      </c>
      <c r="J5061" t="str">
        <f>"08/08/1999 23:45"</f>
        <v>08/08/1999 23:45</v>
      </c>
    </row>
    <row r="5062" spans="1:10" x14ac:dyDescent="0.3">
      <c r="A5062" t="s">
        <v>6</v>
      </c>
      <c r="B5062" t="str">
        <f>"08/09/1999 00:00"</f>
        <v>08/09/1999 00:00</v>
      </c>
      <c r="C5062">
        <v>1.78</v>
      </c>
      <c r="D5062" t="s">
        <v>7</v>
      </c>
      <c r="E5062" s="2" t="s">
        <v>12</v>
      </c>
      <c r="F5062">
        <f t="shared" si="79"/>
        <v>3.5297400000000003</v>
      </c>
      <c r="G5062" t="s">
        <v>16</v>
      </c>
      <c r="I5062" t="s">
        <v>34</v>
      </c>
      <c r="J5062" t="str">
        <f>"08/09/1999 23:45"</f>
        <v>08/09/1999 23:45</v>
      </c>
    </row>
    <row r="5063" spans="1:10" x14ac:dyDescent="0.3">
      <c r="A5063" t="s">
        <v>6</v>
      </c>
      <c r="B5063" t="str">
        <f>"08/10/1999 00:00"</f>
        <v>08/10/1999 00:00</v>
      </c>
      <c r="C5063">
        <v>1.71</v>
      </c>
      <c r="D5063" t="s">
        <v>7</v>
      </c>
      <c r="E5063" s="2" t="s">
        <v>12</v>
      </c>
      <c r="F5063">
        <f t="shared" si="79"/>
        <v>3.39093</v>
      </c>
      <c r="G5063" t="s">
        <v>16</v>
      </c>
      <c r="I5063" t="s">
        <v>34</v>
      </c>
      <c r="J5063" t="str">
        <f>"08/10/1999 23:45"</f>
        <v>08/10/1999 23:45</v>
      </c>
    </row>
    <row r="5064" spans="1:10" x14ac:dyDescent="0.3">
      <c r="A5064" t="s">
        <v>6</v>
      </c>
      <c r="B5064" t="str">
        <f>"08/11/1999 00:00"</f>
        <v>08/11/1999 00:00</v>
      </c>
      <c r="C5064">
        <v>1.62</v>
      </c>
      <c r="D5064" t="s">
        <v>7</v>
      </c>
      <c r="E5064" s="2" t="s">
        <v>12</v>
      </c>
      <c r="F5064">
        <f t="shared" si="79"/>
        <v>3.2124600000000005</v>
      </c>
      <c r="G5064" t="s">
        <v>16</v>
      </c>
      <c r="I5064" t="s">
        <v>34</v>
      </c>
      <c r="J5064" t="str">
        <f>"08/11/1999 23:45"</f>
        <v>08/11/1999 23:45</v>
      </c>
    </row>
    <row r="5065" spans="1:10" x14ac:dyDescent="0.3">
      <c r="A5065" t="s">
        <v>6</v>
      </c>
      <c r="B5065" t="str">
        <f>"08/12/1999 00:00"</f>
        <v>08/12/1999 00:00</v>
      </c>
      <c r="C5065">
        <v>1.62</v>
      </c>
      <c r="D5065" t="s">
        <v>7</v>
      </c>
      <c r="E5065" s="2" t="s">
        <v>12</v>
      </c>
      <c r="F5065">
        <f t="shared" si="79"/>
        <v>3.2124600000000005</v>
      </c>
      <c r="G5065" t="s">
        <v>16</v>
      </c>
      <c r="I5065" t="s">
        <v>34</v>
      </c>
      <c r="J5065" t="str">
        <f>"08/12/1999 23:45"</f>
        <v>08/12/1999 23:45</v>
      </c>
    </row>
    <row r="5066" spans="1:10" x14ac:dyDescent="0.3">
      <c r="A5066" t="s">
        <v>6</v>
      </c>
      <c r="B5066" t="str">
        <f>"08/13/1999 00:00"</f>
        <v>08/13/1999 00:00</v>
      </c>
      <c r="C5066">
        <v>1.62</v>
      </c>
      <c r="D5066" t="s">
        <v>7</v>
      </c>
      <c r="E5066" s="2" t="s">
        <v>12</v>
      </c>
      <c r="F5066">
        <f t="shared" si="79"/>
        <v>3.2124600000000005</v>
      </c>
      <c r="G5066" t="s">
        <v>16</v>
      </c>
      <c r="I5066" t="s">
        <v>34</v>
      </c>
      <c r="J5066" t="str">
        <f>"08/13/1999 23:45"</f>
        <v>08/13/1999 23:45</v>
      </c>
    </row>
    <row r="5067" spans="1:10" x14ac:dyDescent="0.3">
      <c r="A5067" t="s">
        <v>6</v>
      </c>
      <c r="B5067" t="str">
        <f>"08/14/1999 00:00"</f>
        <v>08/14/1999 00:00</v>
      </c>
      <c r="C5067">
        <v>10.1</v>
      </c>
      <c r="D5067" t="s">
        <v>7</v>
      </c>
      <c r="E5067" s="2" t="s">
        <v>12</v>
      </c>
      <c r="F5067">
        <f t="shared" si="79"/>
        <v>20.028300000000002</v>
      </c>
      <c r="G5067" t="s">
        <v>16</v>
      </c>
      <c r="I5067" t="s">
        <v>8</v>
      </c>
      <c r="J5067" t="str">
        <f>"08/14/1999 23:45"</f>
        <v>08/14/1999 23:45</v>
      </c>
    </row>
    <row r="5068" spans="1:10" x14ac:dyDescent="0.3">
      <c r="A5068" t="s">
        <v>6</v>
      </c>
      <c r="B5068" t="str">
        <f>"08/15/1999 00:00"</f>
        <v>08/15/1999 00:00</v>
      </c>
      <c r="C5068">
        <v>66</v>
      </c>
      <c r="D5068" t="s">
        <v>7</v>
      </c>
      <c r="E5068" s="2" t="s">
        <v>12</v>
      </c>
      <c r="F5068">
        <f t="shared" si="79"/>
        <v>130.87800000000001</v>
      </c>
      <c r="G5068" t="s">
        <v>16</v>
      </c>
      <c r="J5068" t="str">
        <f>"08/15/1999 23:45"</f>
        <v>08/15/1999 23:45</v>
      </c>
    </row>
    <row r="5069" spans="1:10" x14ac:dyDescent="0.3">
      <c r="A5069" t="s">
        <v>6</v>
      </c>
      <c r="B5069" t="str">
        <f>"08/16/1999 00:00"</f>
        <v>08/16/1999 00:00</v>
      </c>
      <c r="C5069">
        <v>74.5</v>
      </c>
      <c r="D5069" t="s">
        <v>7</v>
      </c>
      <c r="E5069" s="2" t="s">
        <v>12</v>
      </c>
      <c r="F5069">
        <f t="shared" si="79"/>
        <v>147.73350000000002</v>
      </c>
      <c r="G5069" t="s">
        <v>16</v>
      </c>
      <c r="J5069" t="str">
        <f>"08/16/1999 23:45"</f>
        <v>08/16/1999 23:45</v>
      </c>
    </row>
    <row r="5070" spans="1:10" x14ac:dyDescent="0.3">
      <c r="A5070" t="s">
        <v>6</v>
      </c>
      <c r="B5070" t="str">
        <f>"08/17/1999 00:00"</f>
        <v>08/17/1999 00:00</v>
      </c>
      <c r="C5070">
        <v>12.5</v>
      </c>
      <c r="D5070" t="s">
        <v>7</v>
      </c>
      <c r="E5070" s="2" t="s">
        <v>12</v>
      </c>
      <c r="F5070">
        <f t="shared" si="79"/>
        <v>24.787500000000001</v>
      </c>
      <c r="G5070" t="s">
        <v>16</v>
      </c>
      <c r="J5070" t="str">
        <f>"08/17/1999 23:45"</f>
        <v>08/17/1999 23:45</v>
      </c>
    </row>
    <row r="5071" spans="1:10" x14ac:dyDescent="0.3">
      <c r="A5071" t="s">
        <v>6</v>
      </c>
      <c r="B5071" t="str">
        <f>"08/18/1999 00:00"</f>
        <v>08/18/1999 00:00</v>
      </c>
      <c r="C5071">
        <v>12</v>
      </c>
      <c r="D5071" t="s">
        <v>7</v>
      </c>
      <c r="E5071" s="2" t="s">
        <v>12</v>
      </c>
      <c r="F5071">
        <f t="shared" si="79"/>
        <v>23.795999999999999</v>
      </c>
      <c r="G5071" t="s">
        <v>16</v>
      </c>
      <c r="J5071" t="str">
        <f>"08/18/1999 23:45"</f>
        <v>08/18/1999 23:45</v>
      </c>
    </row>
    <row r="5072" spans="1:10" x14ac:dyDescent="0.3">
      <c r="A5072" t="s">
        <v>6</v>
      </c>
      <c r="B5072" t="str">
        <f>"08/19/1999 00:00"</f>
        <v>08/19/1999 00:00</v>
      </c>
      <c r="C5072">
        <v>11.3</v>
      </c>
      <c r="D5072" t="s">
        <v>7</v>
      </c>
      <c r="E5072" s="2" t="s">
        <v>12</v>
      </c>
      <c r="F5072">
        <f t="shared" si="79"/>
        <v>22.407900000000001</v>
      </c>
      <c r="G5072" t="s">
        <v>16</v>
      </c>
      <c r="J5072" t="str">
        <f>"08/19/1999 23:45"</f>
        <v>08/19/1999 23:45</v>
      </c>
    </row>
    <row r="5073" spans="1:10" x14ac:dyDescent="0.3">
      <c r="A5073" t="s">
        <v>6</v>
      </c>
      <c r="B5073" t="str">
        <f>"08/20/1999 00:00"</f>
        <v>08/20/1999 00:00</v>
      </c>
      <c r="C5073">
        <v>11.1</v>
      </c>
      <c r="D5073" t="s">
        <v>7</v>
      </c>
      <c r="E5073" s="2" t="s">
        <v>12</v>
      </c>
      <c r="F5073">
        <f t="shared" si="79"/>
        <v>22.011300000000002</v>
      </c>
      <c r="G5073" t="s">
        <v>16</v>
      </c>
      <c r="J5073" t="str">
        <f>"08/20/1999 23:45"</f>
        <v>08/20/1999 23:45</v>
      </c>
    </row>
    <row r="5074" spans="1:10" x14ac:dyDescent="0.3">
      <c r="A5074" t="s">
        <v>6</v>
      </c>
      <c r="B5074" t="str">
        <f>"08/21/1999 00:00"</f>
        <v>08/21/1999 00:00</v>
      </c>
      <c r="C5074">
        <v>10.9</v>
      </c>
      <c r="D5074" t="s">
        <v>7</v>
      </c>
      <c r="E5074" s="2" t="s">
        <v>12</v>
      </c>
      <c r="F5074">
        <f t="shared" si="79"/>
        <v>21.614700000000003</v>
      </c>
      <c r="G5074" t="s">
        <v>16</v>
      </c>
      <c r="J5074" t="str">
        <f>"08/21/1999 23:45"</f>
        <v>08/21/1999 23:45</v>
      </c>
    </row>
    <row r="5075" spans="1:10" x14ac:dyDescent="0.3">
      <c r="A5075" t="s">
        <v>6</v>
      </c>
      <c r="B5075" t="str">
        <f>"08/22/1999 00:00"</f>
        <v>08/22/1999 00:00</v>
      </c>
      <c r="C5075">
        <v>10.5</v>
      </c>
      <c r="D5075" t="s">
        <v>7</v>
      </c>
      <c r="E5075" s="2" t="s">
        <v>12</v>
      </c>
      <c r="F5075">
        <f t="shared" si="79"/>
        <v>20.8215</v>
      </c>
      <c r="G5075" t="s">
        <v>16</v>
      </c>
      <c r="J5075" t="str">
        <f>"08/22/1999 23:45"</f>
        <v>08/22/1999 23:45</v>
      </c>
    </row>
    <row r="5076" spans="1:10" x14ac:dyDescent="0.3">
      <c r="A5076" t="s">
        <v>6</v>
      </c>
      <c r="B5076" t="str">
        <f>"08/23/1999 00:00"</f>
        <v>08/23/1999 00:00</v>
      </c>
      <c r="C5076">
        <v>10.5</v>
      </c>
      <c r="D5076" t="s">
        <v>7</v>
      </c>
      <c r="E5076" s="2" t="s">
        <v>12</v>
      </c>
      <c r="F5076">
        <f t="shared" si="79"/>
        <v>20.8215</v>
      </c>
      <c r="G5076" t="s">
        <v>16</v>
      </c>
      <c r="J5076" t="str">
        <f>"08/23/1999 23:45"</f>
        <v>08/23/1999 23:45</v>
      </c>
    </row>
    <row r="5077" spans="1:10" x14ac:dyDescent="0.3">
      <c r="A5077" t="s">
        <v>6</v>
      </c>
      <c r="B5077" t="str">
        <f>"08/24/1999 00:00"</f>
        <v>08/24/1999 00:00</v>
      </c>
      <c r="C5077">
        <v>10.3</v>
      </c>
      <c r="D5077" t="s">
        <v>7</v>
      </c>
      <c r="E5077" s="2" t="s">
        <v>12</v>
      </c>
      <c r="F5077">
        <f t="shared" si="79"/>
        <v>20.424900000000001</v>
      </c>
      <c r="G5077" t="s">
        <v>16</v>
      </c>
      <c r="J5077" t="str">
        <f>"08/24/1999 23:45"</f>
        <v>08/24/1999 23:45</v>
      </c>
    </row>
    <row r="5078" spans="1:10" x14ac:dyDescent="0.3">
      <c r="A5078" t="s">
        <v>6</v>
      </c>
      <c r="B5078" t="str">
        <f>"08/25/1999 00:00"</f>
        <v>08/25/1999 00:00</v>
      </c>
      <c r="C5078">
        <v>10.5</v>
      </c>
      <c r="D5078" t="s">
        <v>7</v>
      </c>
      <c r="E5078" s="2" t="s">
        <v>12</v>
      </c>
      <c r="F5078">
        <f t="shared" si="79"/>
        <v>20.8215</v>
      </c>
      <c r="G5078" t="s">
        <v>16</v>
      </c>
      <c r="J5078" t="str">
        <f>"08/25/1999 23:45"</f>
        <v>08/25/1999 23:45</v>
      </c>
    </row>
    <row r="5079" spans="1:10" x14ac:dyDescent="0.3">
      <c r="A5079" t="s">
        <v>6</v>
      </c>
      <c r="B5079" t="str">
        <f>"08/26/1999 00:00"</f>
        <v>08/26/1999 00:00</v>
      </c>
      <c r="C5079">
        <v>10.4</v>
      </c>
      <c r="D5079" t="s">
        <v>7</v>
      </c>
      <c r="E5079" s="2" t="s">
        <v>12</v>
      </c>
      <c r="F5079">
        <f t="shared" si="79"/>
        <v>20.623200000000001</v>
      </c>
      <c r="G5079" t="s">
        <v>16</v>
      </c>
      <c r="J5079" t="str">
        <f>"08/26/1999 23:45"</f>
        <v>08/26/1999 23:45</v>
      </c>
    </row>
    <row r="5080" spans="1:10" x14ac:dyDescent="0.3">
      <c r="A5080" t="s">
        <v>6</v>
      </c>
      <c r="B5080" t="str">
        <f>"08/27/1999 00:00"</f>
        <v>08/27/1999 00:00</v>
      </c>
      <c r="C5080">
        <v>9.9499999999999993</v>
      </c>
      <c r="D5080" t="s">
        <v>7</v>
      </c>
      <c r="E5080" s="2" t="s">
        <v>12</v>
      </c>
      <c r="F5080">
        <f t="shared" si="79"/>
        <v>19.73085</v>
      </c>
      <c r="G5080" t="s">
        <v>16</v>
      </c>
      <c r="J5080" t="str">
        <f>"08/27/1999 23:45"</f>
        <v>08/27/1999 23:45</v>
      </c>
    </row>
    <row r="5081" spans="1:10" x14ac:dyDescent="0.3">
      <c r="A5081" t="s">
        <v>6</v>
      </c>
      <c r="B5081" t="str">
        <f>"08/28/1999 00:00"</f>
        <v>08/28/1999 00:00</v>
      </c>
      <c r="C5081">
        <v>9.9499999999999993</v>
      </c>
      <c r="D5081" t="s">
        <v>7</v>
      </c>
      <c r="E5081" s="2" t="s">
        <v>12</v>
      </c>
      <c r="F5081">
        <f t="shared" si="79"/>
        <v>19.73085</v>
      </c>
      <c r="G5081" t="s">
        <v>16</v>
      </c>
      <c r="J5081" t="str">
        <f>"08/28/1999 23:45"</f>
        <v>08/28/1999 23:45</v>
      </c>
    </row>
    <row r="5082" spans="1:10" x14ac:dyDescent="0.3">
      <c r="A5082" t="s">
        <v>6</v>
      </c>
      <c r="B5082" t="str">
        <f>"08/29/1999 00:00"</f>
        <v>08/29/1999 00:00</v>
      </c>
      <c r="C5082">
        <v>9.6199999999999992</v>
      </c>
      <c r="D5082" t="s">
        <v>7</v>
      </c>
      <c r="E5082" s="2" t="s">
        <v>12</v>
      </c>
      <c r="F5082">
        <f t="shared" si="79"/>
        <v>19.076460000000001</v>
      </c>
      <c r="G5082" t="s">
        <v>16</v>
      </c>
      <c r="J5082" t="str">
        <f>"08/29/1999 23:45"</f>
        <v>08/29/1999 23:45</v>
      </c>
    </row>
    <row r="5083" spans="1:10" x14ac:dyDescent="0.3">
      <c r="A5083" t="s">
        <v>6</v>
      </c>
      <c r="B5083" t="str">
        <f>"08/30/1999 00:00"</f>
        <v>08/30/1999 00:00</v>
      </c>
      <c r="C5083">
        <v>6.87</v>
      </c>
      <c r="D5083" t="s">
        <v>7</v>
      </c>
      <c r="E5083" s="2" t="s">
        <v>12</v>
      </c>
      <c r="F5083">
        <f t="shared" si="79"/>
        <v>13.62321</v>
      </c>
      <c r="G5083" t="s">
        <v>16</v>
      </c>
      <c r="I5083" t="s">
        <v>8</v>
      </c>
      <c r="J5083" t="str">
        <f>"08/30/1999 23:45"</f>
        <v>08/30/1999 23:45</v>
      </c>
    </row>
    <row r="5084" spans="1:10" x14ac:dyDescent="0.3">
      <c r="A5084" t="s">
        <v>6</v>
      </c>
      <c r="B5084" t="str">
        <f>"08/31/1999 00:00"</f>
        <v>08/31/1999 00:00</v>
      </c>
      <c r="C5084">
        <v>1.9</v>
      </c>
      <c r="D5084" t="s">
        <v>7</v>
      </c>
      <c r="E5084" s="2" t="s">
        <v>12</v>
      </c>
      <c r="F5084">
        <f t="shared" si="79"/>
        <v>3.7677</v>
      </c>
      <c r="G5084" t="s">
        <v>16</v>
      </c>
      <c r="I5084" t="s">
        <v>34</v>
      </c>
      <c r="J5084" t="str">
        <f>"08/31/1999 23:45"</f>
        <v>08/31/1999 23:45</v>
      </c>
    </row>
    <row r="5085" spans="1:10" x14ac:dyDescent="0.3">
      <c r="A5085" t="s">
        <v>6</v>
      </c>
      <c r="B5085" t="str">
        <f>"09/01/1999 00:00"</f>
        <v>09/01/1999 00:00</v>
      </c>
      <c r="C5085">
        <v>1.62</v>
      </c>
      <c r="D5085" t="s">
        <v>7</v>
      </c>
      <c r="E5085" s="2" t="s">
        <v>12</v>
      </c>
      <c r="F5085">
        <f t="shared" si="79"/>
        <v>3.2124600000000005</v>
      </c>
      <c r="G5085" t="s">
        <v>16</v>
      </c>
      <c r="I5085" t="s">
        <v>34</v>
      </c>
      <c r="J5085" t="str">
        <f>"09/01/1999 23:45"</f>
        <v>09/01/1999 23:45</v>
      </c>
    </row>
    <row r="5086" spans="1:10" x14ac:dyDescent="0.3">
      <c r="A5086" t="s">
        <v>6</v>
      </c>
      <c r="B5086" t="str">
        <f>"09/02/1999 00:00"</f>
        <v>09/02/1999 00:00</v>
      </c>
      <c r="C5086">
        <v>1.62</v>
      </c>
      <c r="D5086" t="s">
        <v>7</v>
      </c>
      <c r="E5086" s="2" t="s">
        <v>12</v>
      </c>
      <c r="F5086">
        <f t="shared" si="79"/>
        <v>3.2124600000000005</v>
      </c>
      <c r="G5086" t="s">
        <v>16</v>
      </c>
      <c r="I5086" t="s">
        <v>34</v>
      </c>
      <c r="J5086" t="str">
        <f>"09/02/1999 23:45"</f>
        <v>09/02/1999 23:45</v>
      </c>
    </row>
    <row r="5087" spans="1:10" x14ac:dyDescent="0.3">
      <c r="A5087" t="s">
        <v>6</v>
      </c>
      <c r="B5087" t="str">
        <f>"09/03/1999 00:00"</f>
        <v>09/03/1999 00:00</v>
      </c>
      <c r="C5087">
        <v>1.62</v>
      </c>
      <c r="D5087" t="s">
        <v>7</v>
      </c>
      <c r="E5087" s="2" t="s">
        <v>12</v>
      </c>
      <c r="F5087">
        <f t="shared" si="79"/>
        <v>3.2124600000000005</v>
      </c>
      <c r="G5087" t="s">
        <v>16</v>
      </c>
      <c r="I5087" t="s">
        <v>34</v>
      </c>
      <c r="J5087" t="str">
        <f>"09/03/1999 23:45"</f>
        <v>09/03/1999 23:45</v>
      </c>
    </row>
    <row r="5088" spans="1:10" x14ac:dyDescent="0.3">
      <c r="A5088" t="s">
        <v>6</v>
      </c>
      <c r="B5088" t="str">
        <f>"09/04/1999 00:00"</f>
        <v>09/04/1999 00:00</v>
      </c>
      <c r="C5088">
        <v>1.62</v>
      </c>
      <c r="D5088" t="s">
        <v>7</v>
      </c>
      <c r="E5088" s="2" t="s">
        <v>12</v>
      </c>
      <c r="F5088">
        <f t="shared" si="79"/>
        <v>3.2124600000000005</v>
      </c>
      <c r="G5088" t="s">
        <v>16</v>
      </c>
      <c r="I5088" t="s">
        <v>34</v>
      </c>
      <c r="J5088" t="str">
        <f>"09/04/1999 23:45"</f>
        <v>09/04/1999 23:45</v>
      </c>
    </row>
    <row r="5089" spans="1:10" x14ac:dyDescent="0.3">
      <c r="A5089" t="s">
        <v>6</v>
      </c>
      <c r="B5089" t="str">
        <f>"09/05/1999 00:00"</f>
        <v>09/05/1999 00:00</v>
      </c>
      <c r="C5089">
        <v>1.62</v>
      </c>
      <c r="D5089" t="s">
        <v>7</v>
      </c>
      <c r="E5089" s="2" t="s">
        <v>12</v>
      </c>
      <c r="F5089">
        <f t="shared" si="79"/>
        <v>3.2124600000000005</v>
      </c>
      <c r="G5089" t="s">
        <v>16</v>
      </c>
      <c r="I5089" t="s">
        <v>34</v>
      </c>
      <c r="J5089" t="str">
        <f>"09/05/1999 23:45"</f>
        <v>09/05/1999 23:45</v>
      </c>
    </row>
    <row r="5090" spans="1:10" x14ac:dyDescent="0.3">
      <c r="A5090" t="s">
        <v>6</v>
      </c>
      <c r="B5090" t="str">
        <f>"09/06/1999 00:00"</f>
        <v>09/06/1999 00:00</v>
      </c>
      <c r="C5090">
        <v>1.62</v>
      </c>
      <c r="D5090" t="s">
        <v>7</v>
      </c>
      <c r="E5090" s="2" t="s">
        <v>12</v>
      </c>
      <c r="F5090">
        <f t="shared" si="79"/>
        <v>3.2124600000000005</v>
      </c>
      <c r="G5090" t="s">
        <v>16</v>
      </c>
      <c r="I5090" t="s">
        <v>34</v>
      </c>
      <c r="J5090" t="str">
        <f>"09/06/1999 23:45"</f>
        <v>09/06/1999 23:45</v>
      </c>
    </row>
    <row r="5091" spans="1:10" x14ac:dyDescent="0.3">
      <c r="A5091" t="s">
        <v>6</v>
      </c>
      <c r="B5091" t="str">
        <f>"09/07/1999 00:00"</f>
        <v>09/07/1999 00:00</v>
      </c>
      <c r="C5091">
        <v>1.62</v>
      </c>
      <c r="D5091" t="s">
        <v>7</v>
      </c>
      <c r="E5091" s="2" t="s">
        <v>12</v>
      </c>
      <c r="F5091">
        <f t="shared" si="79"/>
        <v>3.2124600000000005</v>
      </c>
      <c r="G5091" t="s">
        <v>16</v>
      </c>
      <c r="I5091" t="s">
        <v>34</v>
      </c>
      <c r="J5091" t="str">
        <f>"09/07/1999 23:45"</f>
        <v>09/07/1999 23:45</v>
      </c>
    </row>
    <row r="5092" spans="1:10" x14ac:dyDescent="0.3">
      <c r="A5092" t="s">
        <v>6</v>
      </c>
      <c r="B5092" t="str">
        <f>"09/08/1999 00:00"</f>
        <v>09/08/1999 00:00</v>
      </c>
      <c r="C5092">
        <v>1.62</v>
      </c>
      <c r="D5092" t="s">
        <v>7</v>
      </c>
      <c r="E5092" s="2" t="s">
        <v>12</v>
      </c>
      <c r="F5092">
        <f t="shared" si="79"/>
        <v>3.2124600000000005</v>
      </c>
      <c r="G5092" t="s">
        <v>16</v>
      </c>
      <c r="I5092" t="s">
        <v>34</v>
      </c>
      <c r="J5092" t="str">
        <f>"09/08/1999 23:45"</f>
        <v>09/08/1999 23:45</v>
      </c>
    </row>
    <row r="5093" spans="1:10" x14ac:dyDescent="0.3">
      <c r="A5093" t="s">
        <v>6</v>
      </c>
      <c r="B5093" t="str">
        <f>"09/09/1999 00:00"</f>
        <v>09/09/1999 00:00</v>
      </c>
      <c r="C5093">
        <v>1.62</v>
      </c>
      <c r="D5093" t="s">
        <v>7</v>
      </c>
      <c r="E5093" s="2" t="s">
        <v>12</v>
      </c>
      <c r="F5093">
        <f t="shared" si="79"/>
        <v>3.2124600000000005</v>
      </c>
      <c r="G5093" t="s">
        <v>16</v>
      </c>
      <c r="I5093" t="s">
        <v>34</v>
      </c>
      <c r="J5093" t="str">
        <f>"09/09/1999 23:45"</f>
        <v>09/09/1999 23:45</v>
      </c>
    </row>
    <row r="5094" spans="1:10" x14ac:dyDescent="0.3">
      <c r="A5094" t="s">
        <v>6</v>
      </c>
      <c r="B5094" t="str">
        <f>"09/10/1999 00:00"</f>
        <v>09/10/1999 00:00</v>
      </c>
      <c r="C5094">
        <v>1.62</v>
      </c>
      <c r="D5094" t="s">
        <v>7</v>
      </c>
      <c r="E5094" s="2" t="s">
        <v>12</v>
      </c>
      <c r="F5094">
        <f t="shared" si="79"/>
        <v>3.2124600000000005</v>
      </c>
      <c r="G5094" t="s">
        <v>16</v>
      </c>
      <c r="I5094" t="s">
        <v>34</v>
      </c>
      <c r="J5094" t="str">
        <f>"09/10/1999 23:45"</f>
        <v>09/10/1999 23:45</v>
      </c>
    </row>
    <row r="5095" spans="1:10" x14ac:dyDescent="0.3">
      <c r="A5095" t="s">
        <v>6</v>
      </c>
      <c r="B5095" t="str">
        <f>"09/11/1999 00:00"</f>
        <v>09/11/1999 00:00</v>
      </c>
      <c r="C5095">
        <v>1.62</v>
      </c>
      <c r="D5095" t="s">
        <v>7</v>
      </c>
      <c r="E5095" s="2" t="s">
        <v>12</v>
      </c>
      <c r="F5095">
        <f t="shared" si="79"/>
        <v>3.2124600000000005</v>
      </c>
      <c r="G5095" t="s">
        <v>16</v>
      </c>
      <c r="I5095" t="s">
        <v>34</v>
      </c>
      <c r="J5095" t="str">
        <f>"09/11/1999 23:45"</f>
        <v>09/11/1999 23:45</v>
      </c>
    </row>
    <row r="5096" spans="1:10" x14ac:dyDescent="0.3">
      <c r="A5096" t="s">
        <v>6</v>
      </c>
      <c r="B5096" t="str">
        <f>"09/12/1999 00:00"</f>
        <v>09/12/1999 00:00</v>
      </c>
      <c r="C5096">
        <v>1.62</v>
      </c>
      <c r="D5096" t="s">
        <v>7</v>
      </c>
      <c r="E5096" s="2" t="s">
        <v>12</v>
      </c>
      <c r="F5096">
        <f t="shared" si="79"/>
        <v>3.2124600000000005</v>
      </c>
      <c r="G5096" t="s">
        <v>16</v>
      </c>
      <c r="I5096" t="s">
        <v>34</v>
      </c>
      <c r="J5096" t="str">
        <f>"09/12/1999 23:45"</f>
        <v>09/12/1999 23:45</v>
      </c>
    </row>
    <row r="5097" spans="1:10" x14ac:dyDescent="0.3">
      <c r="A5097" t="s">
        <v>6</v>
      </c>
      <c r="B5097" t="str">
        <f>"09/13/1999 00:00"</f>
        <v>09/13/1999 00:00</v>
      </c>
      <c r="C5097">
        <v>2.14</v>
      </c>
      <c r="D5097" t="s">
        <v>7</v>
      </c>
      <c r="E5097" s="2" t="s">
        <v>12</v>
      </c>
      <c r="F5097">
        <f t="shared" si="79"/>
        <v>4.2436200000000008</v>
      </c>
      <c r="G5097" t="s">
        <v>16</v>
      </c>
      <c r="I5097" t="s">
        <v>34</v>
      </c>
      <c r="J5097" t="str">
        <f>"09/13/1999 23:45"</f>
        <v>09/13/1999 23:45</v>
      </c>
    </row>
    <row r="5098" spans="1:10" x14ac:dyDescent="0.3">
      <c r="A5098" t="s">
        <v>6</v>
      </c>
      <c r="B5098" t="str">
        <f>"09/14/1999 00:00"</f>
        <v>09/14/1999 00:00</v>
      </c>
      <c r="C5098">
        <v>2.4300000000000002</v>
      </c>
      <c r="D5098" t="s">
        <v>7</v>
      </c>
      <c r="E5098" s="2" t="s">
        <v>12</v>
      </c>
      <c r="F5098">
        <f t="shared" si="79"/>
        <v>4.8186900000000001</v>
      </c>
      <c r="G5098" t="s">
        <v>16</v>
      </c>
      <c r="I5098" t="s">
        <v>34</v>
      </c>
      <c r="J5098" t="str">
        <f>"09/14/1999 23:45"</f>
        <v>09/14/1999 23:45</v>
      </c>
    </row>
    <row r="5099" spans="1:10" x14ac:dyDescent="0.3">
      <c r="A5099" t="s">
        <v>6</v>
      </c>
      <c r="B5099" t="str">
        <f>"09/15/1999 00:00"</f>
        <v>09/15/1999 00:00</v>
      </c>
      <c r="C5099">
        <v>2.23</v>
      </c>
      <c r="D5099" t="s">
        <v>7</v>
      </c>
      <c r="E5099" s="2" t="s">
        <v>12</v>
      </c>
      <c r="F5099">
        <f t="shared" si="79"/>
        <v>4.4220899999999999</v>
      </c>
      <c r="G5099" t="s">
        <v>16</v>
      </c>
      <c r="I5099" t="s">
        <v>34</v>
      </c>
      <c r="J5099" t="str">
        <f>"09/15/1999 23:45"</f>
        <v>09/15/1999 23:45</v>
      </c>
    </row>
    <row r="5100" spans="1:10" x14ac:dyDescent="0.3">
      <c r="A5100" t="s">
        <v>6</v>
      </c>
      <c r="B5100" t="str">
        <f>"09/16/1999 00:00"</f>
        <v>09/16/1999 00:00</v>
      </c>
      <c r="C5100">
        <v>33.700000000000003</v>
      </c>
      <c r="D5100" t="s">
        <v>7</v>
      </c>
      <c r="E5100" s="2" t="s">
        <v>12</v>
      </c>
      <c r="F5100">
        <f t="shared" si="79"/>
        <v>66.827100000000016</v>
      </c>
      <c r="G5100" t="s">
        <v>16</v>
      </c>
      <c r="I5100" t="s">
        <v>8</v>
      </c>
      <c r="J5100" t="str">
        <f>"09/16/1999 23:45"</f>
        <v>09/16/1999 23:45</v>
      </c>
    </row>
    <row r="5101" spans="1:10" x14ac:dyDescent="0.3">
      <c r="A5101" t="s">
        <v>6</v>
      </c>
      <c r="B5101" t="str">
        <f>"09/17/1999 00:00"</f>
        <v>09/17/1999 00:00</v>
      </c>
      <c r="C5101">
        <v>76.8</v>
      </c>
      <c r="D5101" t="s">
        <v>7</v>
      </c>
      <c r="E5101" s="2" t="s">
        <v>12</v>
      </c>
      <c r="F5101">
        <f t="shared" si="79"/>
        <v>152.2944</v>
      </c>
      <c r="G5101" t="s">
        <v>16</v>
      </c>
      <c r="J5101" t="str">
        <f>"09/17/1999 23:45"</f>
        <v>09/17/1999 23:45</v>
      </c>
    </row>
    <row r="5102" spans="1:10" x14ac:dyDescent="0.3">
      <c r="A5102" t="s">
        <v>6</v>
      </c>
      <c r="B5102" t="str">
        <f>"09/18/1999 00:00"</f>
        <v>09/18/1999 00:00</v>
      </c>
      <c r="C5102">
        <v>51.4</v>
      </c>
      <c r="D5102" t="s">
        <v>7</v>
      </c>
      <c r="E5102" s="2" t="s">
        <v>12</v>
      </c>
      <c r="F5102">
        <f t="shared" si="79"/>
        <v>101.92620000000001</v>
      </c>
      <c r="G5102" t="s">
        <v>16</v>
      </c>
      <c r="J5102" t="str">
        <f>"09/18/1999 23:45"</f>
        <v>09/18/1999 23:45</v>
      </c>
    </row>
    <row r="5103" spans="1:10" x14ac:dyDescent="0.3">
      <c r="A5103" t="s">
        <v>6</v>
      </c>
      <c r="B5103" t="str">
        <f>"09/19/1999 00:00"</f>
        <v>09/19/1999 00:00</v>
      </c>
      <c r="C5103">
        <v>12.4</v>
      </c>
      <c r="D5103" t="s">
        <v>7</v>
      </c>
      <c r="E5103" s="2" t="s">
        <v>12</v>
      </c>
      <c r="F5103">
        <f t="shared" si="79"/>
        <v>24.589200000000002</v>
      </c>
      <c r="G5103" t="s">
        <v>16</v>
      </c>
      <c r="J5103" t="str">
        <f>"09/19/1999 23:45"</f>
        <v>09/19/1999 23:45</v>
      </c>
    </row>
    <row r="5104" spans="1:10" x14ac:dyDescent="0.3">
      <c r="A5104" t="s">
        <v>6</v>
      </c>
      <c r="B5104" t="str">
        <f>"09/20/1999 00:00"</f>
        <v>09/20/1999 00:00</v>
      </c>
      <c r="C5104">
        <v>11.5</v>
      </c>
      <c r="D5104" t="s">
        <v>7</v>
      </c>
      <c r="E5104" s="2" t="s">
        <v>12</v>
      </c>
      <c r="F5104">
        <f t="shared" si="79"/>
        <v>22.804500000000001</v>
      </c>
      <c r="G5104" t="s">
        <v>16</v>
      </c>
      <c r="J5104" t="str">
        <f>"09/20/1999 23:45"</f>
        <v>09/20/1999 23:45</v>
      </c>
    </row>
    <row r="5105" spans="1:10" x14ac:dyDescent="0.3">
      <c r="A5105" t="s">
        <v>6</v>
      </c>
      <c r="B5105" t="str">
        <f>"09/21/1999 00:00"</f>
        <v>09/21/1999 00:00</v>
      </c>
      <c r="C5105">
        <v>11.1</v>
      </c>
      <c r="D5105" t="s">
        <v>7</v>
      </c>
      <c r="E5105" s="2" t="s">
        <v>12</v>
      </c>
      <c r="F5105">
        <f t="shared" si="79"/>
        <v>22.011300000000002</v>
      </c>
      <c r="G5105" t="s">
        <v>16</v>
      </c>
      <c r="J5105" t="str">
        <f>"09/21/1999 23:45"</f>
        <v>09/21/1999 23:45</v>
      </c>
    </row>
    <row r="5106" spans="1:10" x14ac:dyDescent="0.3">
      <c r="A5106" t="s">
        <v>6</v>
      </c>
      <c r="B5106" t="str">
        <f>"09/22/1999 00:00"</f>
        <v>09/22/1999 00:00</v>
      </c>
      <c r="C5106">
        <v>11.1</v>
      </c>
      <c r="D5106" t="s">
        <v>7</v>
      </c>
      <c r="E5106" s="2" t="s">
        <v>12</v>
      </c>
      <c r="F5106">
        <f t="shared" si="79"/>
        <v>22.011300000000002</v>
      </c>
      <c r="G5106" t="s">
        <v>16</v>
      </c>
      <c r="J5106" t="str">
        <f>"09/22/1999 23:45"</f>
        <v>09/22/1999 23:45</v>
      </c>
    </row>
    <row r="5107" spans="1:10" x14ac:dyDescent="0.3">
      <c r="A5107" t="s">
        <v>6</v>
      </c>
      <c r="B5107" t="str">
        <f>"09/23/1999 00:00"</f>
        <v>09/23/1999 00:00</v>
      </c>
      <c r="C5107">
        <v>10.8</v>
      </c>
      <c r="D5107" t="s">
        <v>7</v>
      </c>
      <c r="E5107" s="2" t="s">
        <v>12</v>
      </c>
      <c r="F5107">
        <f t="shared" si="79"/>
        <v>21.416400000000003</v>
      </c>
      <c r="G5107" t="s">
        <v>16</v>
      </c>
      <c r="J5107" t="str">
        <f>"09/23/1999 23:45"</f>
        <v>09/23/1999 23:45</v>
      </c>
    </row>
    <row r="5108" spans="1:10" x14ac:dyDescent="0.3">
      <c r="A5108" t="s">
        <v>6</v>
      </c>
      <c r="B5108" t="str">
        <f>"09/24/1999 00:00"</f>
        <v>09/24/1999 00:00</v>
      </c>
      <c r="C5108">
        <v>10.5</v>
      </c>
      <c r="D5108" t="s">
        <v>7</v>
      </c>
      <c r="E5108" s="2" t="s">
        <v>12</v>
      </c>
      <c r="F5108">
        <f t="shared" si="79"/>
        <v>20.8215</v>
      </c>
      <c r="G5108" t="s">
        <v>16</v>
      </c>
      <c r="J5108" t="str">
        <f>"09/24/1999 23:45"</f>
        <v>09/24/1999 23:45</v>
      </c>
    </row>
    <row r="5109" spans="1:10" x14ac:dyDescent="0.3">
      <c r="A5109" t="s">
        <v>6</v>
      </c>
      <c r="B5109" t="str">
        <f>"09/25/1999 00:00"</f>
        <v>09/25/1999 00:00</v>
      </c>
      <c r="C5109">
        <v>9.98</v>
      </c>
      <c r="D5109" t="s">
        <v>7</v>
      </c>
      <c r="E5109" s="2" t="s">
        <v>12</v>
      </c>
      <c r="F5109">
        <f t="shared" si="79"/>
        <v>19.79034</v>
      </c>
      <c r="G5109" t="s">
        <v>16</v>
      </c>
      <c r="J5109" t="str">
        <f>"09/25/1999 23:45"</f>
        <v>09/25/1999 23:45</v>
      </c>
    </row>
    <row r="5110" spans="1:10" x14ac:dyDescent="0.3">
      <c r="A5110" t="s">
        <v>6</v>
      </c>
      <c r="B5110" t="str">
        <f>"09/26/1999 00:00"</f>
        <v>09/26/1999 00:00</v>
      </c>
      <c r="C5110">
        <v>9.8800000000000008</v>
      </c>
      <c r="D5110" t="s">
        <v>7</v>
      </c>
      <c r="E5110" s="2" t="s">
        <v>12</v>
      </c>
      <c r="F5110">
        <f t="shared" si="79"/>
        <v>19.592040000000001</v>
      </c>
      <c r="G5110" t="s">
        <v>16</v>
      </c>
      <c r="J5110" t="str">
        <f>"09/26/1999 23:45"</f>
        <v>09/26/1999 23:45</v>
      </c>
    </row>
    <row r="5111" spans="1:10" x14ac:dyDescent="0.3">
      <c r="A5111" t="s">
        <v>6</v>
      </c>
      <c r="B5111" t="str">
        <f>"09/27/1999 00:00"</f>
        <v>09/27/1999 00:00</v>
      </c>
      <c r="C5111">
        <v>9.5500000000000007</v>
      </c>
      <c r="D5111" t="s">
        <v>7</v>
      </c>
      <c r="E5111" s="2" t="s">
        <v>12</v>
      </c>
      <c r="F5111">
        <f t="shared" si="79"/>
        <v>18.937650000000001</v>
      </c>
      <c r="G5111" t="s">
        <v>16</v>
      </c>
      <c r="J5111" t="str">
        <f>"09/27/1999 23:45"</f>
        <v>09/27/1999 23:45</v>
      </c>
    </row>
    <row r="5112" spans="1:10" x14ac:dyDescent="0.3">
      <c r="A5112" t="s">
        <v>6</v>
      </c>
      <c r="B5112" t="str">
        <f>"09/28/1999 00:00"</f>
        <v>09/28/1999 00:00</v>
      </c>
      <c r="C5112">
        <v>5.97</v>
      </c>
      <c r="D5112" t="s">
        <v>7</v>
      </c>
      <c r="E5112" s="2" t="s">
        <v>12</v>
      </c>
      <c r="F5112">
        <f t="shared" si="79"/>
        <v>11.838509999999999</v>
      </c>
      <c r="G5112" t="s">
        <v>16</v>
      </c>
      <c r="I5112" t="s">
        <v>8</v>
      </c>
      <c r="J5112" t="str">
        <f>"09/28/1999 23:45"</f>
        <v>09/28/1999 23:45</v>
      </c>
    </row>
    <row r="5113" spans="1:10" x14ac:dyDescent="0.3">
      <c r="A5113" t="s">
        <v>6</v>
      </c>
      <c r="B5113" t="str">
        <f>"09/29/1999 00:00"</f>
        <v>09/29/1999 00:00</v>
      </c>
      <c r="C5113">
        <v>1.93</v>
      </c>
      <c r="D5113" t="s">
        <v>7</v>
      </c>
      <c r="E5113" s="2" t="s">
        <v>12</v>
      </c>
      <c r="F5113">
        <f t="shared" si="79"/>
        <v>3.8271899999999999</v>
      </c>
      <c r="G5113" t="s">
        <v>16</v>
      </c>
      <c r="I5113" t="s">
        <v>8</v>
      </c>
      <c r="J5113" t="str">
        <f>"09/29/1999 23:45"</f>
        <v>09/29/1999 23:45</v>
      </c>
    </row>
    <row r="5114" spans="1:10" x14ac:dyDescent="0.3">
      <c r="A5114" t="s">
        <v>6</v>
      </c>
      <c r="B5114" t="str">
        <f>"09/30/1999 00:00"</f>
        <v>09/30/1999 00:00</v>
      </c>
      <c r="C5114">
        <v>1.52</v>
      </c>
      <c r="D5114" t="s">
        <v>7</v>
      </c>
      <c r="E5114" s="2" t="s">
        <v>12</v>
      </c>
      <c r="F5114">
        <f t="shared" si="79"/>
        <v>3.0141600000000004</v>
      </c>
      <c r="G5114" t="s">
        <v>16</v>
      </c>
      <c r="I5114" t="s">
        <v>34</v>
      </c>
      <c r="J5114" t="str">
        <f>"09/30/1999 23:45"</f>
        <v>09/30/1999 23:45</v>
      </c>
    </row>
    <row r="5115" spans="1:10" x14ac:dyDescent="0.3">
      <c r="A5115" t="s">
        <v>6</v>
      </c>
      <c r="B5115" t="str">
        <f>"10/01/1999 00:00"</f>
        <v>10/01/1999 00:00</v>
      </c>
      <c r="C5115">
        <v>1.34</v>
      </c>
      <c r="D5115" t="s">
        <v>7</v>
      </c>
      <c r="E5115" s="2" t="s">
        <v>12</v>
      </c>
      <c r="F5115">
        <f t="shared" si="79"/>
        <v>2.6572200000000001</v>
      </c>
      <c r="G5115" t="s">
        <v>16</v>
      </c>
      <c r="I5115" t="s">
        <v>34</v>
      </c>
      <c r="J5115" t="str">
        <f>"10/01/1999 23:45"</f>
        <v>10/01/1999 23:45</v>
      </c>
    </row>
    <row r="5116" spans="1:10" x14ac:dyDescent="0.3">
      <c r="A5116" t="s">
        <v>6</v>
      </c>
      <c r="B5116" t="str">
        <f>"10/02/1999 00:00"</f>
        <v>10/02/1999 00:00</v>
      </c>
      <c r="C5116">
        <v>1.34</v>
      </c>
      <c r="D5116" t="s">
        <v>7</v>
      </c>
      <c r="E5116" s="2" t="s">
        <v>12</v>
      </c>
      <c r="F5116">
        <f t="shared" si="79"/>
        <v>2.6572200000000001</v>
      </c>
      <c r="G5116" t="s">
        <v>16</v>
      </c>
      <c r="I5116" t="s">
        <v>34</v>
      </c>
      <c r="J5116" t="str">
        <f>"10/02/1999 23:45"</f>
        <v>10/02/1999 23:45</v>
      </c>
    </row>
    <row r="5117" spans="1:10" x14ac:dyDescent="0.3">
      <c r="A5117" t="s">
        <v>6</v>
      </c>
      <c r="B5117" t="str">
        <f>"10/03/1999 00:00"</f>
        <v>10/03/1999 00:00</v>
      </c>
      <c r="C5117">
        <v>1.34</v>
      </c>
      <c r="D5117" t="s">
        <v>7</v>
      </c>
      <c r="E5117" s="2" t="s">
        <v>12</v>
      </c>
      <c r="F5117">
        <f t="shared" si="79"/>
        <v>2.6572200000000001</v>
      </c>
      <c r="G5117" t="s">
        <v>16</v>
      </c>
      <c r="I5117" t="s">
        <v>34</v>
      </c>
      <c r="J5117" t="str">
        <f>"10/03/1999 23:45"</f>
        <v>10/03/1999 23:45</v>
      </c>
    </row>
    <row r="5118" spans="1:10" x14ac:dyDescent="0.3">
      <c r="A5118" t="s">
        <v>6</v>
      </c>
      <c r="B5118" t="str">
        <f>"10/04/1999 00:00"</f>
        <v>10/04/1999 00:00</v>
      </c>
      <c r="C5118">
        <v>1.34</v>
      </c>
      <c r="D5118" t="s">
        <v>7</v>
      </c>
      <c r="E5118" s="2" t="s">
        <v>12</v>
      </c>
      <c r="F5118">
        <f t="shared" si="79"/>
        <v>2.6572200000000001</v>
      </c>
      <c r="G5118" t="s">
        <v>16</v>
      </c>
      <c r="I5118" t="s">
        <v>34</v>
      </c>
      <c r="J5118" t="str">
        <f>"10/04/1999 23:45"</f>
        <v>10/04/1999 23:45</v>
      </c>
    </row>
    <row r="5119" spans="1:10" x14ac:dyDescent="0.3">
      <c r="A5119" t="s">
        <v>6</v>
      </c>
      <c r="B5119" t="str">
        <f>"10/05/1999 00:00"</f>
        <v>10/05/1999 00:00</v>
      </c>
      <c r="C5119">
        <v>1.34</v>
      </c>
      <c r="D5119" t="s">
        <v>7</v>
      </c>
      <c r="E5119" s="2" t="s">
        <v>12</v>
      </c>
      <c r="F5119">
        <f t="shared" si="79"/>
        <v>2.6572200000000001</v>
      </c>
      <c r="G5119" t="s">
        <v>16</v>
      </c>
      <c r="I5119" t="s">
        <v>34</v>
      </c>
      <c r="J5119" t="str">
        <f>"10/05/1999 23:45"</f>
        <v>10/05/1999 23:45</v>
      </c>
    </row>
    <row r="5120" spans="1:10" x14ac:dyDescent="0.3">
      <c r="A5120" t="s">
        <v>6</v>
      </c>
      <c r="B5120" t="str">
        <f>"10/06/1999 00:00"</f>
        <v>10/06/1999 00:00</v>
      </c>
      <c r="C5120">
        <v>1.34</v>
      </c>
      <c r="D5120" t="s">
        <v>7</v>
      </c>
      <c r="E5120" s="2" t="s">
        <v>12</v>
      </c>
      <c r="F5120">
        <f t="shared" si="79"/>
        <v>2.6572200000000001</v>
      </c>
      <c r="G5120" t="s">
        <v>16</v>
      </c>
      <c r="I5120" t="s">
        <v>34</v>
      </c>
      <c r="J5120" t="str">
        <f>"10/06/1999 23:45"</f>
        <v>10/06/1999 23:45</v>
      </c>
    </row>
    <row r="5121" spans="1:10" x14ac:dyDescent="0.3">
      <c r="A5121" t="s">
        <v>6</v>
      </c>
      <c r="B5121" t="str">
        <f>"10/07/1999 00:00"</f>
        <v>10/07/1999 00:00</v>
      </c>
      <c r="C5121">
        <v>1.1000000000000001</v>
      </c>
      <c r="D5121" t="s">
        <v>7</v>
      </c>
      <c r="E5121" s="2" t="s">
        <v>12</v>
      </c>
      <c r="F5121">
        <f t="shared" si="79"/>
        <v>2.1813000000000002</v>
      </c>
      <c r="G5121" t="s">
        <v>16</v>
      </c>
      <c r="I5121" t="s">
        <v>34</v>
      </c>
      <c r="J5121" t="str">
        <f>"10/07/1999 23:45"</f>
        <v>10/07/1999 23:45</v>
      </c>
    </row>
    <row r="5122" spans="1:10" x14ac:dyDescent="0.3">
      <c r="A5122" t="s">
        <v>6</v>
      </c>
      <c r="B5122" t="str">
        <f>"10/08/1999 00:00"</f>
        <v>10/08/1999 00:00</v>
      </c>
      <c r="C5122">
        <v>1.08</v>
      </c>
      <c r="D5122" t="s">
        <v>7</v>
      </c>
      <c r="E5122" s="2" t="s">
        <v>12</v>
      </c>
      <c r="F5122">
        <f t="shared" si="79"/>
        <v>2.1416400000000002</v>
      </c>
      <c r="G5122" t="s">
        <v>16</v>
      </c>
      <c r="I5122" t="s">
        <v>34</v>
      </c>
      <c r="J5122" t="str">
        <f>"10/08/1999 23:45"</f>
        <v>10/08/1999 23:45</v>
      </c>
    </row>
    <row r="5123" spans="1:10" x14ac:dyDescent="0.3">
      <c r="A5123" t="s">
        <v>6</v>
      </c>
      <c r="B5123" t="str">
        <f>"10/09/1999 00:00"</f>
        <v>10/09/1999 00:00</v>
      </c>
      <c r="C5123">
        <v>1.08</v>
      </c>
      <c r="D5123" t="s">
        <v>7</v>
      </c>
      <c r="E5123" s="2" t="s">
        <v>12</v>
      </c>
      <c r="F5123">
        <f t="shared" ref="F5123:F5186" si="80">C5123*1.983</f>
        <v>2.1416400000000002</v>
      </c>
      <c r="G5123" t="s">
        <v>16</v>
      </c>
      <c r="I5123" t="s">
        <v>34</v>
      </c>
      <c r="J5123" t="str">
        <f>"10/09/1999 23:45"</f>
        <v>10/09/1999 23:45</v>
      </c>
    </row>
    <row r="5124" spans="1:10" x14ac:dyDescent="0.3">
      <c r="A5124" t="s">
        <v>6</v>
      </c>
      <c r="B5124" t="str">
        <f>"10/10/1999 00:00"</f>
        <v>10/10/1999 00:00</v>
      </c>
      <c r="C5124">
        <v>1.08</v>
      </c>
      <c r="D5124" t="s">
        <v>7</v>
      </c>
      <c r="E5124" s="2" t="s">
        <v>12</v>
      </c>
      <c r="F5124">
        <f t="shared" si="80"/>
        <v>2.1416400000000002</v>
      </c>
      <c r="G5124" t="s">
        <v>16</v>
      </c>
      <c r="I5124" t="s">
        <v>34</v>
      </c>
      <c r="J5124" t="str">
        <f>"10/10/1999 23:45"</f>
        <v>10/10/1999 23:45</v>
      </c>
    </row>
    <row r="5125" spans="1:10" x14ac:dyDescent="0.3">
      <c r="A5125" t="s">
        <v>6</v>
      </c>
      <c r="B5125" t="str">
        <f>"10/11/1999 00:00"</f>
        <v>10/11/1999 00:00</v>
      </c>
      <c r="C5125">
        <v>1.08</v>
      </c>
      <c r="D5125" t="s">
        <v>7</v>
      </c>
      <c r="E5125" s="2" t="s">
        <v>12</v>
      </c>
      <c r="F5125">
        <f t="shared" si="80"/>
        <v>2.1416400000000002</v>
      </c>
      <c r="G5125" t="s">
        <v>16</v>
      </c>
      <c r="I5125" t="s">
        <v>34</v>
      </c>
      <c r="J5125" t="str">
        <f>"10/11/1999 23:45"</f>
        <v>10/11/1999 23:45</v>
      </c>
    </row>
    <row r="5126" spans="1:10" x14ac:dyDescent="0.3">
      <c r="A5126" t="s">
        <v>6</v>
      </c>
      <c r="B5126" t="str">
        <f>"10/12/1999 00:00"</f>
        <v>10/12/1999 00:00</v>
      </c>
      <c r="C5126">
        <v>1.08</v>
      </c>
      <c r="D5126" t="s">
        <v>7</v>
      </c>
      <c r="E5126" s="2" t="s">
        <v>12</v>
      </c>
      <c r="F5126">
        <f t="shared" si="80"/>
        <v>2.1416400000000002</v>
      </c>
      <c r="G5126" t="s">
        <v>16</v>
      </c>
      <c r="I5126" t="s">
        <v>34</v>
      </c>
      <c r="J5126" t="str">
        <f>"10/12/1999 23:45"</f>
        <v>10/12/1999 23:45</v>
      </c>
    </row>
    <row r="5127" spans="1:10" x14ac:dyDescent="0.3">
      <c r="A5127" t="s">
        <v>6</v>
      </c>
      <c r="B5127" t="str">
        <f>"10/13/1999 00:00"</f>
        <v>10/13/1999 00:00</v>
      </c>
      <c r="C5127">
        <v>1.08</v>
      </c>
      <c r="D5127" t="s">
        <v>7</v>
      </c>
      <c r="E5127" s="2" t="s">
        <v>12</v>
      </c>
      <c r="F5127">
        <f t="shared" si="80"/>
        <v>2.1416400000000002</v>
      </c>
      <c r="G5127" t="s">
        <v>16</v>
      </c>
      <c r="I5127" t="s">
        <v>34</v>
      </c>
      <c r="J5127" t="str">
        <f>"10/13/1999 23:45"</f>
        <v>10/13/1999 23:45</v>
      </c>
    </row>
    <row r="5128" spans="1:10" x14ac:dyDescent="0.3">
      <c r="A5128" t="s">
        <v>6</v>
      </c>
      <c r="B5128" t="str">
        <f>"10/14/1999 00:00"</f>
        <v>10/14/1999 00:00</v>
      </c>
      <c r="C5128">
        <v>1.08</v>
      </c>
      <c r="D5128" t="s">
        <v>7</v>
      </c>
      <c r="E5128" s="2" t="s">
        <v>12</v>
      </c>
      <c r="F5128">
        <f t="shared" si="80"/>
        <v>2.1416400000000002</v>
      </c>
      <c r="G5128" t="s">
        <v>16</v>
      </c>
      <c r="I5128" t="s">
        <v>34</v>
      </c>
      <c r="J5128" t="str">
        <f>"10/14/1999 23:45"</f>
        <v>10/14/1999 23:45</v>
      </c>
    </row>
    <row r="5129" spans="1:10" x14ac:dyDescent="0.3">
      <c r="A5129" t="s">
        <v>6</v>
      </c>
      <c r="B5129" t="str">
        <f>"10/15/1999 00:00"</f>
        <v>10/15/1999 00:00</v>
      </c>
      <c r="C5129">
        <v>1.08</v>
      </c>
      <c r="D5129" t="s">
        <v>7</v>
      </c>
      <c r="E5129" s="2" t="s">
        <v>12</v>
      </c>
      <c r="F5129">
        <f t="shared" si="80"/>
        <v>2.1416400000000002</v>
      </c>
      <c r="G5129" t="s">
        <v>16</v>
      </c>
      <c r="I5129" t="s">
        <v>34</v>
      </c>
      <c r="J5129" t="str">
        <f>"10/15/1999 23:45"</f>
        <v>10/15/1999 23:45</v>
      </c>
    </row>
    <row r="5130" spans="1:10" x14ac:dyDescent="0.3">
      <c r="A5130" t="s">
        <v>6</v>
      </c>
      <c r="B5130" t="str">
        <f>"10/16/1999 00:00"</f>
        <v>10/16/1999 00:00</v>
      </c>
      <c r="C5130">
        <v>1.08</v>
      </c>
      <c r="D5130" t="s">
        <v>7</v>
      </c>
      <c r="E5130" s="2" t="s">
        <v>12</v>
      </c>
      <c r="F5130">
        <f t="shared" si="80"/>
        <v>2.1416400000000002</v>
      </c>
      <c r="G5130" t="s">
        <v>16</v>
      </c>
      <c r="I5130" t="s">
        <v>34</v>
      </c>
      <c r="J5130" t="str">
        <f>"10/16/1999 23:45"</f>
        <v>10/16/1999 23:45</v>
      </c>
    </row>
    <row r="5131" spans="1:10" x14ac:dyDescent="0.3">
      <c r="A5131" t="s">
        <v>6</v>
      </c>
      <c r="B5131" t="str">
        <f>"10/17/1999 00:00"</f>
        <v>10/17/1999 00:00</v>
      </c>
      <c r="C5131">
        <v>1.08</v>
      </c>
      <c r="D5131" t="s">
        <v>7</v>
      </c>
      <c r="E5131" s="2" t="s">
        <v>12</v>
      </c>
      <c r="F5131">
        <f t="shared" si="80"/>
        <v>2.1416400000000002</v>
      </c>
      <c r="G5131" t="s">
        <v>16</v>
      </c>
      <c r="I5131" t="s">
        <v>34</v>
      </c>
      <c r="J5131" t="str">
        <f>"10/17/1999 23:45"</f>
        <v>10/17/1999 23:45</v>
      </c>
    </row>
    <row r="5132" spans="1:10" x14ac:dyDescent="0.3">
      <c r="A5132" t="s">
        <v>6</v>
      </c>
      <c r="B5132" t="str">
        <f>"10/18/1999 00:00"</f>
        <v>10/18/1999 00:00</v>
      </c>
      <c r="C5132">
        <v>0.86</v>
      </c>
      <c r="D5132" t="s">
        <v>7</v>
      </c>
      <c r="E5132" s="2" t="s">
        <v>12</v>
      </c>
      <c r="F5132">
        <f t="shared" si="80"/>
        <v>1.7053800000000001</v>
      </c>
      <c r="G5132" t="s">
        <v>16</v>
      </c>
      <c r="I5132" t="s">
        <v>34</v>
      </c>
      <c r="J5132" t="str">
        <f>"10/18/1999 23:45"</f>
        <v>10/18/1999 23:45</v>
      </c>
    </row>
    <row r="5133" spans="1:10" x14ac:dyDescent="0.3">
      <c r="A5133" t="s">
        <v>6</v>
      </c>
      <c r="B5133" t="str">
        <f>"10/19/1999 00:00"</f>
        <v>10/19/1999 00:00</v>
      </c>
      <c r="C5133">
        <v>0.85</v>
      </c>
      <c r="D5133" t="s">
        <v>7</v>
      </c>
      <c r="E5133" s="2" t="s">
        <v>12</v>
      </c>
      <c r="F5133">
        <f t="shared" si="80"/>
        <v>1.6855500000000001</v>
      </c>
      <c r="G5133" t="s">
        <v>16</v>
      </c>
      <c r="I5133" t="s">
        <v>34</v>
      </c>
      <c r="J5133" t="str">
        <f>"10/19/1999 23:45"</f>
        <v>10/19/1999 23:45</v>
      </c>
    </row>
    <row r="5134" spans="1:10" x14ac:dyDescent="0.3">
      <c r="A5134" t="s">
        <v>6</v>
      </c>
      <c r="B5134" t="str">
        <f>"10/20/1999 00:00"</f>
        <v>10/20/1999 00:00</v>
      </c>
      <c r="C5134">
        <v>0.85</v>
      </c>
      <c r="D5134" t="s">
        <v>7</v>
      </c>
      <c r="E5134" s="2" t="s">
        <v>12</v>
      </c>
      <c r="F5134">
        <f t="shared" si="80"/>
        <v>1.6855500000000001</v>
      </c>
      <c r="G5134" t="s">
        <v>16</v>
      </c>
      <c r="I5134" t="s">
        <v>34</v>
      </c>
      <c r="J5134" t="str">
        <f>"10/20/1999 23:45"</f>
        <v>10/20/1999 23:45</v>
      </c>
    </row>
    <row r="5135" spans="1:10" x14ac:dyDescent="0.3">
      <c r="A5135" t="s">
        <v>6</v>
      </c>
      <c r="B5135" t="str">
        <f>"10/21/1999 00:00"</f>
        <v>10/21/1999 00:00</v>
      </c>
      <c r="C5135">
        <v>0.85</v>
      </c>
      <c r="D5135" t="s">
        <v>7</v>
      </c>
      <c r="E5135" s="2" t="s">
        <v>12</v>
      </c>
      <c r="F5135">
        <f t="shared" si="80"/>
        <v>1.6855500000000001</v>
      </c>
      <c r="G5135" t="s">
        <v>16</v>
      </c>
      <c r="I5135" t="s">
        <v>34</v>
      </c>
      <c r="J5135" t="str">
        <f>"10/21/1999 23:45"</f>
        <v>10/21/1999 23:45</v>
      </c>
    </row>
    <row r="5136" spans="1:10" x14ac:dyDescent="0.3">
      <c r="A5136" t="s">
        <v>6</v>
      </c>
      <c r="B5136" t="str">
        <f>"10/22/1999 00:00"</f>
        <v>10/22/1999 00:00</v>
      </c>
      <c r="C5136">
        <v>0.85</v>
      </c>
      <c r="D5136" t="s">
        <v>7</v>
      </c>
      <c r="E5136" s="2" t="s">
        <v>12</v>
      </c>
      <c r="F5136">
        <f t="shared" si="80"/>
        <v>1.6855500000000001</v>
      </c>
      <c r="G5136" t="s">
        <v>16</v>
      </c>
      <c r="I5136" t="s">
        <v>34</v>
      </c>
      <c r="J5136" t="str">
        <f>"10/22/1999 23:45"</f>
        <v>10/22/1999 23:45</v>
      </c>
    </row>
    <row r="5137" spans="1:10" x14ac:dyDescent="0.3">
      <c r="A5137" t="s">
        <v>6</v>
      </c>
      <c r="B5137" t="str">
        <f>"10/23/1999 00:00"</f>
        <v>10/23/1999 00:00</v>
      </c>
      <c r="C5137">
        <v>0.85</v>
      </c>
      <c r="D5137" t="s">
        <v>7</v>
      </c>
      <c r="E5137" s="2" t="s">
        <v>12</v>
      </c>
      <c r="F5137">
        <f t="shared" si="80"/>
        <v>1.6855500000000001</v>
      </c>
      <c r="G5137" t="s">
        <v>16</v>
      </c>
      <c r="I5137" t="s">
        <v>34</v>
      </c>
      <c r="J5137" t="str">
        <f>"10/23/1999 23:45"</f>
        <v>10/23/1999 23:45</v>
      </c>
    </row>
    <row r="5138" spans="1:10" x14ac:dyDescent="0.3">
      <c r="A5138" t="s">
        <v>6</v>
      </c>
      <c r="B5138" t="str">
        <f>"10/24/1999 00:00"</f>
        <v>10/24/1999 00:00</v>
      </c>
      <c r="C5138">
        <v>0.85</v>
      </c>
      <c r="D5138" t="s">
        <v>7</v>
      </c>
      <c r="E5138" s="2" t="s">
        <v>12</v>
      </c>
      <c r="F5138">
        <f t="shared" si="80"/>
        <v>1.6855500000000001</v>
      </c>
      <c r="G5138" t="s">
        <v>16</v>
      </c>
      <c r="I5138" t="s">
        <v>34</v>
      </c>
      <c r="J5138" t="str">
        <f>"10/24/1999 23:45"</f>
        <v>10/24/1999 23:45</v>
      </c>
    </row>
    <row r="5139" spans="1:10" x14ac:dyDescent="0.3">
      <c r="A5139" t="s">
        <v>6</v>
      </c>
      <c r="B5139" t="str">
        <f>"10/25/1999 00:00"</f>
        <v>10/25/1999 00:00</v>
      </c>
      <c r="C5139">
        <v>0.85</v>
      </c>
      <c r="D5139" t="s">
        <v>7</v>
      </c>
      <c r="E5139" s="2" t="s">
        <v>12</v>
      </c>
      <c r="F5139">
        <f t="shared" si="80"/>
        <v>1.6855500000000001</v>
      </c>
      <c r="G5139" t="s">
        <v>16</v>
      </c>
      <c r="I5139" t="s">
        <v>34</v>
      </c>
      <c r="J5139" t="str">
        <f>"10/25/1999 23:45"</f>
        <v>10/25/1999 23:45</v>
      </c>
    </row>
    <row r="5140" spans="1:10" x14ac:dyDescent="0.3">
      <c r="A5140" t="s">
        <v>6</v>
      </c>
      <c r="B5140" t="str">
        <f>"10/26/1999 00:00"</f>
        <v>10/26/1999 00:00</v>
      </c>
      <c r="C5140">
        <v>0.85</v>
      </c>
      <c r="D5140" t="s">
        <v>7</v>
      </c>
      <c r="E5140" s="2" t="s">
        <v>12</v>
      </c>
      <c r="F5140">
        <f t="shared" si="80"/>
        <v>1.6855500000000001</v>
      </c>
      <c r="G5140" t="s">
        <v>16</v>
      </c>
      <c r="I5140" t="s">
        <v>34</v>
      </c>
      <c r="J5140" t="str">
        <f>"10/26/1999 23:45"</f>
        <v>10/26/1999 23:45</v>
      </c>
    </row>
    <row r="5141" spans="1:10" x14ac:dyDescent="0.3">
      <c r="A5141" t="s">
        <v>6</v>
      </c>
      <c r="B5141" t="str">
        <f>"10/27/1999 00:00"</f>
        <v>10/27/1999 00:00</v>
      </c>
      <c r="C5141">
        <v>0.85</v>
      </c>
      <c r="D5141" t="s">
        <v>7</v>
      </c>
      <c r="E5141" s="2" t="s">
        <v>12</v>
      </c>
      <c r="F5141">
        <f t="shared" si="80"/>
        <v>1.6855500000000001</v>
      </c>
      <c r="G5141" t="s">
        <v>16</v>
      </c>
      <c r="I5141" t="s">
        <v>34</v>
      </c>
      <c r="J5141" t="str">
        <f>"10/27/1999 23:45"</f>
        <v>10/27/1999 23:45</v>
      </c>
    </row>
    <row r="5142" spans="1:10" x14ac:dyDescent="0.3">
      <c r="A5142" t="s">
        <v>6</v>
      </c>
      <c r="B5142" t="str">
        <f>"10/28/1999 00:00"</f>
        <v>10/28/1999 00:00</v>
      </c>
      <c r="C5142">
        <v>0.85</v>
      </c>
      <c r="D5142" t="s">
        <v>7</v>
      </c>
      <c r="E5142" s="2" t="s">
        <v>12</v>
      </c>
      <c r="F5142">
        <f t="shared" si="80"/>
        <v>1.6855500000000001</v>
      </c>
      <c r="G5142" t="s">
        <v>16</v>
      </c>
      <c r="I5142" t="s">
        <v>34</v>
      </c>
      <c r="J5142" t="str">
        <f>"10/28/1999 23:45"</f>
        <v>10/28/1999 23:45</v>
      </c>
    </row>
    <row r="5143" spans="1:10" x14ac:dyDescent="0.3">
      <c r="A5143" t="s">
        <v>6</v>
      </c>
      <c r="B5143" t="str">
        <f>"10/29/1999 00:00"</f>
        <v>10/29/1999 00:00</v>
      </c>
      <c r="C5143">
        <v>0.85</v>
      </c>
      <c r="D5143" t="s">
        <v>7</v>
      </c>
      <c r="E5143" s="2" t="s">
        <v>12</v>
      </c>
      <c r="F5143">
        <f t="shared" si="80"/>
        <v>1.6855500000000001</v>
      </c>
      <c r="G5143" t="s">
        <v>16</v>
      </c>
      <c r="I5143" t="s">
        <v>34</v>
      </c>
      <c r="J5143" t="str">
        <f>"10/29/1999 23:45"</f>
        <v>10/29/1999 23:45</v>
      </c>
    </row>
    <row r="5144" spans="1:10" x14ac:dyDescent="0.3">
      <c r="A5144" t="s">
        <v>6</v>
      </c>
      <c r="B5144" t="str">
        <f>"10/30/1999 00:00"</f>
        <v>10/30/1999 00:00</v>
      </c>
      <c r="C5144">
        <v>0.85</v>
      </c>
      <c r="D5144" t="s">
        <v>7</v>
      </c>
      <c r="E5144" s="2" t="s">
        <v>12</v>
      </c>
      <c r="F5144">
        <f t="shared" si="80"/>
        <v>1.6855500000000001</v>
      </c>
      <c r="G5144" t="s">
        <v>16</v>
      </c>
      <c r="I5144" t="s">
        <v>34</v>
      </c>
      <c r="J5144" t="str">
        <f>"10/30/1999 23:45"</f>
        <v>10/30/1999 23:45</v>
      </c>
    </row>
    <row r="5145" spans="1:10" x14ac:dyDescent="0.3">
      <c r="A5145" t="s">
        <v>6</v>
      </c>
      <c r="B5145" t="str">
        <f>"10/31/1999 00:00"</f>
        <v>10/31/1999 00:00</v>
      </c>
      <c r="C5145">
        <v>0.85</v>
      </c>
      <c r="D5145" t="s">
        <v>7</v>
      </c>
      <c r="E5145" s="2" t="s">
        <v>12</v>
      </c>
      <c r="F5145">
        <f t="shared" si="80"/>
        <v>1.6855500000000001</v>
      </c>
      <c r="G5145" t="s">
        <v>16</v>
      </c>
      <c r="I5145" t="s">
        <v>34</v>
      </c>
      <c r="J5145" t="str">
        <f>"10/31/1999 23:45"</f>
        <v>10/31/1999 23:45</v>
      </c>
    </row>
    <row r="5146" spans="1:10" x14ac:dyDescent="0.3">
      <c r="A5146" t="s">
        <v>6</v>
      </c>
      <c r="B5146" t="str">
        <f>"11/01/1999 00:00"</f>
        <v>11/01/1999 00:00</v>
      </c>
      <c r="C5146">
        <v>0.85</v>
      </c>
      <c r="D5146" t="s">
        <v>7</v>
      </c>
      <c r="E5146" s="2" t="s">
        <v>12</v>
      </c>
      <c r="F5146">
        <f t="shared" si="80"/>
        <v>1.6855500000000001</v>
      </c>
      <c r="G5146" t="s">
        <v>16</v>
      </c>
      <c r="I5146" t="s">
        <v>34</v>
      </c>
      <c r="J5146" t="str">
        <f>"11/01/1999 23:45"</f>
        <v>11/01/1999 23:45</v>
      </c>
    </row>
    <row r="5147" spans="1:10" x14ac:dyDescent="0.3">
      <c r="A5147" t="s">
        <v>6</v>
      </c>
      <c r="B5147" t="str">
        <f>"11/02/1999 00:00"</f>
        <v>11/02/1999 00:00</v>
      </c>
      <c r="C5147">
        <v>0.85</v>
      </c>
      <c r="D5147" t="s">
        <v>7</v>
      </c>
      <c r="E5147" s="2" t="s">
        <v>12</v>
      </c>
      <c r="F5147">
        <f t="shared" si="80"/>
        <v>1.6855500000000001</v>
      </c>
      <c r="G5147" t="s">
        <v>16</v>
      </c>
      <c r="I5147" t="s">
        <v>34</v>
      </c>
      <c r="J5147" t="str">
        <f>"11/02/1999 23:45"</f>
        <v>11/02/1999 23:45</v>
      </c>
    </row>
    <row r="5148" spans="1:10" x14ac:dyDescent="0.3">
      <c r="A5148" t="s">
        <v>6</v>
      </c>
      <c r="B5148" t="str">
        <f>"11/03/1999 00:00"</f>
        <v>11/03/1999 00:00</v>
      </c>
      <c r="C5148">
        <v>0.85</v>
      </c>
      <c r="D5148" t="s">
        <v>7</v>
      </c>
      <c r="E5148" s="2" t="s">
        <v>12</v>
      </c>
      <c r="F5148">
        <f t="shared" si="80"/>
        <v>1.6855500000000001</v>
      </c>
      <c r="G5148" t="s">
        <v>16</v>
      </c>
      <c r="I5148" t="s">
        <v>34</v>
      </c>
      <c r="J5148" t="str">
        <f>"11/03/1999 23:45"</f>
        <v>11/03/1999 23:45</v>
      </c>
    </row>
    <row r="5149" spans="1:10" x14ac:dyDescent="0.3">
      <c r="A5149" t="s">
        <v>6</v>
      </c>
      <c r="B5149" t="str">
        <f>"11/04/1999 00:00"</f>
        <v>11/04/1999 00:00</v>
      </c>
      <c r="C5149">
        <v>0.70299999999999996</v>
      </c>
      <c r="D5149" t="s">
        <v>7</v>
      </c>
      <c r="E5149" s="2" t="s">
        <v>12</v>
      </c>
      <c r="F5149">
        <f t="shared" si="80"/>
        <v>1.3940490000000001</v>
      </c>
      <c r="G5149" t="s">
        <v>16</v>
      </c>
      <c r="I5149" t="s">
        <v>34</v>
      </c>
      <c r="J5149" t="str">
        <f>"11/04/1999 23:45"</f>
        <v>11/04/1999 23:45</v>
      </c>
    </row>
    <row r="5150" spans="1:10" x14ac:dyDescent="0.3">
      <c r="A5150" t="s">
        <v>6</v>
      </c>
      <c r="B5150" t="str">
        <f>"11/05/1999 00:00"</f>
        <v>11/05/1999 00:00</v>
      </c>
      <c r="C5150">
        <v>0.63</v>
      </c>
      <c r="D5150" t="s">
        <v>7</v>
      </c>
      <c r="E5150" s="2" t="s">
        <v>12</v>
      </c>
      <c r="F5150">
        <f t="shared" si="80"/>
        <v>1.24929</v>
      </c>
      <c r="G5150" t="s">
        <v>16</v>
      </c>
      <c r="I5150" t="s">
        <v>34</v>
      </c>
      <c r="J5150" t="str">
        <f>"11/05/1999 23:45"</f>
        <v>11/05/1999 23:45</v>
      </c>
    </row>
    <row r="5151" spans="1:10" x14ac:dyDescent="0.3">
      <c r="A5151" t="s">
        <v>6</v>
      </c>
      <c r="B5151" t="str">
        <f>"11/06/1999 00:00"</f>
        <v>11/06/1999 00:00</v>
      </c>
      <c r="C5151">
        <v>6.14</v>
      </c>
      <c r="D5151" t="s">
        <v>7</v>
      </c>
      <c r="E5151" s="2" t="s">
        <v>12</v>
      </c>
      <c r="F5151">
        <f t="shared" si="80"/>
        <v>12.17562</v>
      </c>
      <c r="G5151" t="s">
        <v>16</v>
      </c>
      <c r="I5151" t="s">
        <v>8</v>
      </c>
      <c r="J5151" t="str">
        <f>"11/06/1999 23:45"</f>
        <v>11/06/1999 23:45</v>
      </c>
    </row>
    <row r="5152" spans="1:10" x14ac:dyDescent="0.3">
      <c r="A5152" t="s">
        <v>6</v>
      </c>
      <c r="B5152" t="str">
        <f>"11/07/1999 00:00"</f>
        <v>11/07/1999 00:00</v>
      </c>
      <c r="C5152">
        <v>6.28</v>
      </c>
      <c r="D5152" t="s">
        <v>7</v>
      </c>
      <c r="E5152" s="2" t="s">
        <v>12</v>
      </c>
      <c r="F5152">
        <f t="shared" si="80"/>
        <v>12.453240000000001</v>
      </c>
      <c r="G5152" t="s">
        <v>16</v>
      </c>
      <c r="I5152" t="s">
        <v>33</v>
      </c>
      <c r="J5152" t="str">
        <f>"11/07/1999 23:45"</f>
        <v>11/07/1999 23:45</v>
      </c>
    </row>
    <row r="5153" spans="1:10" x14ac:dyDescent="0.3">
      <c r="A5153" t="s">
        <v>6</v>
      </c>
      <c r="B5153" t="str">
        <f>"11/08/1999 00:00"</f>
        <v>11/08/1999 00:00</v>
      </c>
      <c r="C5153">
        <v>6.28</v>
      </c>
      <c r="D5153" t="s">
        <v>7</v>
      </c>
      <c r="E5153" s="2" t="s">
        <v>12</v>
      </c>
      <c r="F5153">
        <f t="shared" si="80"/>
        <v>12.453240000000001</v>
      </c>
      <c r="G5153" t="s">
        <v>16</v>
      </c>
      <c r="I5153" t="s">
        <v>33</v>
      </c>
      <c r="J5153" t="str">
        <f>"11/08/1999 23:45"</f>
        <v>11/08/1999 23:45</v>
      </c>
    </row>
    <row r="5154" spans="1:10" x14ac:dyDescent="0.3">
      <c r="A5154" t="s">
        <v>6</v>
      </c>
      <c r="B5154" t="str">
        <f>"11/09/1999 00:00"</f>
        <v>11/09/1999 00:00</v>
      </c>
      <c r="C5154">
        <v>7.29</v>
      </c>
      <c r="D5154" t="s">
        <v>7</v>
      </c>
      <c r="E5154" s="2" t="s">
        <v>12</v>
      </c>
      <c r="F5154">
        <f t="shared" si="80"/>
        <v>14.45607</v>
      </c>
      <c r="G5154" t="s">
        <v>16</v>
      </c>
      <c r="I5154" t="s">
        <v>33</v>
      </c>
      <c r="J5154" t="str">
        <f>"11/09/1999 23:45"</f>
        <v>11/09/1999 23:45</v>
      </c>
    </row>
    <row r="5155" spans="1:10" x14ac:dyDescent="0.3">
      <c r="A5155" t="s">
        <v>6</v>
      </c>
      <c r="B5155" t="str">
        <f>"11/10/1999 00:00"</f>
        <v>11/10/1999 00:00</v>
      </c>
      <c r="C5155">
        <v>7.8</v>
      </c>
      <c r="D5155" t="s">
        <v>7</v>
      </c>
      <c r="E5155" s="2" t="s">
        <v>12</v>
      </c>
      <c r="F5155">
        <f t="shared" si="80"/>
        <v>15.4674</v>
      </c>
      <c r="G5155" t="s">
        <v>16</v>
      </c>
      <c r="I5155" t="s">
        <v>33</v>
      </c>
      <c r="J5155" t="str">
        <f>"11/10/1999 23:45"</f>
        <v>11/10/1999 23:45</v>
      </c>
    </row>
    <row r="5156" spans="1:10" x14ac:dyDescent="0.3">
      <c r="A5156" t="s">
        <v>6</v>
      </c>
      <c r="B5156" t="str">
        <f>"11/11/1999 00:00"</f>
        <v>11/11/1999 00:00</v>
      </c>
      <c r="C5156">
        <v>4.96</v>
      </c>
      <c r="D5156" t="s">
        <v>7</v>
      </c>
      <c r="E5156" s="2" t="s">
        <v>12</v>
      </c>
      <c r="F5156">
        <f t="shared" si="80"/>
        <v>9.83568</v>
      </c>
      <c r="G5156" t="s">
        <v>16</v>
      </c>
      <c r="I5156" t="s">
        <v>8</v>
      </c>
      <c r="J5156" t="str">
        <f>"11/11/1999 23:45"</f>
        <v>11/11/1999 23:45</v>
      </c>
    </row>
    <row r="5157" spans="1:10" x14ac:dyDescent="0.3">
      <c r="A5157" t="s">
        <v>6</v>
      </c>
      <c r="B5157" t="str">
        <f>"11/12/1999 00:00"</f>
        <v>11/12/1999 00:00</v>
      </c>
      <c r="C5157">
        <v>3.28</v>
      </c>
      <c r="D5157" t="s">
        <v>7</v>
      </c>
      <c r="E5157" s="2" t="s">
        <v>12</v>
      </c>
      <c r="F5157">
        <f t="shared" si="80"/>
        <v>6.5042400000000002</v>
      </c>
      <c r="G5157" t="s">
        <v>16</v>
      </c>
      <c r="I5157" t="s">
        <v>33</v>
      </c>
      <c r="J5157" t="str">
        <f>"11/12/1999 23:45"</f>
        <v>11/12/1999 23:45</v>
      </c>
    </row>
    <row r="5158" spans="1:10" x14ac:dyDescent="0.3">
      <c r="A5158" t="s">
        <v>6</v>
      </c>
      <c r="B5158" t="str">
        <f>"11/13/1999 00:00"</f>
        <v>11/13/1999 00:00</v>
      </c>
      <c r="C5158">
        <v>3.51</v>
      </c>
      <c r="D5158" t="s">
        <v>7</v>
      </c>
      <c r="E5158" s="2" t="s">
        <v>12</v>
      </c>
      <c r="F5158">
        <f t="shared" si="80"/>
        <v>6.9603299999999999</v>
      </c>
      <c r="G5158" t="s">
        <v>16</v>
      </c>
      <c r="I5158" t="s">
        <v>33</v>
      </c>
      <c r="J5158" t="str">
        <f>"11/13/1999 23:45"</f>
        <v>11/13/1999 23:45</v>
      </c>
    </row>
    <row r="5159" spans="1:10" x14ac:dyDescent="0.3">
      <c r="A5159" t="s">
        <v>6</v>
      </c>
      <c r="B5159" t="str">
        <f>"11/14/1999 00:00"</f>
        <v>11/14/1999 00:00</v>
      </c>
      <c r="C5159">
        <v>3.51</v>
      </c>
      <c r="D5159" t="s">
        <v>7</v>
      </c>
      <c r="E5159" s="2" t="s">
        <v>12</v>
      </c>
      <c r="F5159">
        <f t="shared" si="80"/>
        <v>6.9603299999999999</v>
      </c>
      <c r="G5159" t="s">
        <v>16</v>
      </c>
      <c r="I5159" t="s">
        <v>8</v>
      </c>
      <c r="J5159" t="str">
        <f>"11/14/1999 23:45"</f>
        <v>11/14/1999 23:45</v>
      </c>
    </row>
    <row r="5160" spans="1:10" x14ac:dyDescent="0.3">
      <c r="A5160" t="s">
        <v>6</v>
      </c>
      <c r="B5160" t="str">
        <f>"11/15/1999 00:00"</f>
        <v>11/15/1999 00:00</v>
      </c>
      <c r="C5160">
        <v>6.9</v>
      </c>
      <c r="D5160" t="s">
        <v>7</v>
      </c>
      <c r="E5160" s="2" t="s">
        <v>12</v>
      </c>
      <c r="F5160">
        <f t="shared" si="80"/>
        <v>13.682700000000001</v>
      </c>
      <c r="G5160" t="s">
        <v>16</v>
      </c>
      <c r="I5160" t="s">
        <v>8</v>
      </c>
      <c r="J5160" t="str">
        <f>"11/15/1999 23:45"</f>
        <v>11/15/1999 23:45</v>
      </c>
    </row>
    <row r="5161" spans="1:10" x14ac:dyDescent="0.3">
      <c r="A5161" t="s">
        <v>6</v>
      </c>
      <c r="B5161" t="str">
        <f>"11/16/1999 00:00"</f>
        <v>11/16/1999 00:00</v>
      </c>
      <c r="C5161">
        <v>2.23</v>
      </c>
      <c r="D5161" t="s">
        <v>7</v>
      </c>
      <c r="E5161" s="2" t="s">
        <v>12</v>
      </c>
      <c r="F5161">
        <f t="shared" si="80"/>
        <v>4.4220899999999999</v>
      </c>
      <c r="G5161" t="s">
        <v>16</v>
      </c>
      <c r="I5161" t="s">
        <v>34</v>
      </c>
      <c r="J5161" t="str">
        <f>"11/16/1999 23:45"</f>
        <v>11/16/1999 23:45</v>
      </c>
    </row>
    <row r="5162" spans="1:10" x14ac:dyDescent="0.3">
      <c r="A5162" t="s">
        <v>6</v>
      </c>
      <c r="B5162" t="str">
        <f>"11/17/1999 00:00"</f>
        <v>11/17/1999 00:00</v>
      </c>
      <c r="C5162">
        <v>2.29</v>
      </c>
      <c r="D5162" t="s">
        <v>7</v>
      </c>
      <c r="E5162" s="2" t="s">
        <v>12</v>
      </c>
      <c r="F5162">
        <f t="shared" si="80"/>
        <v>4.5410700000000004</v>
      </c>
      <c r="G5162" t="s">
        <v>16</v>
      </c>
      <c r="I5162" t="s">
        <v>34</v>
      </c>
      <c r="J5162" t="str">
        <f>"11/17/1999 23:45"</f>
        <v>11/17/1999 23:45</v>
      </c>
    </row>
    <row r="5163" spans="1:10" x14ac:dyDescent="0.3">
      <c r="A5163" t="s">
        <v>6</v>
      </c>
      <c r="B5163" t="str">
        <f>"11/18/1999 00:00"</f>
        <v>11/18/1999 00:00</v>
      </c>
      <c r="C5163">
        <v>2.91</v>
      </c>
      <c r="D5163" t="s">
        <v>7</v>
      </c>
      <c r="E5163" s="2" t="s">
        <v>12</v>
      </c>
      <c r="F5163">
        <f t="shared" si="80"/>
        <v>5.7705300000000008</v>
      </c>
      <c r="G5163" t="s">
        <v>16</v>
      </c>
      <c r="I5163" t="s">
        <v>34</v>
      </c>
      <c r="J5163" t="str">
        <f>"11/18/1999 23:45"</f>
        <v>11/18/1999 23:45</v>
      </c>
    </row>
    <row r="5164" spans="1:10" x14ac:dyDescent="0.3">
      <c r="A5164" t="s">
        <v>6</v>
      </c>
      <c r="B5164" t="str">
        <f>"11/19/1999 00:00"</f>
        <v>11/19/1999 00:00</v>
      </c>
      <c r="C5164">
        <v>2.91</v>
      </c>
      <c r="D5164" t="s">
        <v>7</v>
      </c>
      <c r="E5164" s="2" t="s">
        <v>12</v>
      </c>
      <c r="F5164">
        <f t="shared" si="80"/>
        <v>5.7705300000000008</v>
      </c>
      <c r="G5164" t="s">
        <v>16</v>
      </c>
      <c r="I5164" t="s">
        <v>34</v>
      </c>
      <c r="J5164" t="str">
        <f>"11/19/1999 23:45"</f>
        <v>11/19/1999 23:45</v>
      </c>
    </row>
    <row r="5165" spans="1:10" x14ac:dyDescent="0.3">
      <c r="A5165" t="s">
        <v>6</v>
      </c>
      <c r="B5165" t="str">
        <f>"11/20/1999 00:00"</f>
        <v>11/20/1999 00:00</v>
      </c>
      <c r="C5165">
        <v>2.91</v>
      </c>
      <c r="D5165" t="s">
        <v>7</v>
      </c>
      <c r="E5165" s="2" t="s">
        <v>12</v>
      </c>
      <c r="F5165">
        <f t="shared" si="80"/>
        <v>5.7705300000000008</v>
      </c>
      <c r="G5165" t="s">
        <v>16</v>
      </c>
      <c r="I5165" t="s">
        <v>34</v>
      </c>
      <c r="J5165" t="str">
        <f>"11/20/1999 23:45"</f>
        <v>11/20/1999 23:45</v>
      </c>
    </row>
    <row r="5166" spans="1:10" x14ac:dyDescent="0.3">
      <c r="A5166" t="s">
        <v>6</v>
      </c>
      <c r="B5166" t="str">
        <f>"11/21/1999 00:00"</f>
        <v>11/21/1999 00:00</v>
      </c>
      <c r="C5166">
        <v>2.91</v>
      </c>
      <c r="D5166" t="s">
        <v>7</v>
      </c>
      <c r="E5166" s="2" t="s">
        <v>12</v>
      </c>
      <c r="F5166">
        <f t="shared" si="80"/>
        <v>5.7705300000000008</v>
      </c>
      <c r="G5166" t="s">
        <v>16</v>
      </c>
      <c r="I5166" t="s">
        <v>34</v>
      </c>
      <c r="J5166" t="str">
        <f>"11/21/1999 23:45"</f>
        <v>11/21/1999 23:45</v>
      </c>
    </row>
    <row r="5167" spans="1:10" x14ac:dyDescent="0.3">
      <c r="A5167" t="s">
        <v>6</v>
      </c>
      <c r="B5167" t="str">
        <f>"11/22/1999 00:00"</f>
        <v>11/22/1999 00:00</v>
      </c>
      <c r="C5167">
        <v>2.91</v>
      </c>
      <c r="D5167" t="s">
        <v>7</v>
      </c>
      <c r="E5167" s="2" t="s">
        <v>12</v>
      </c>
      <c r="F5167">
        <f t="shared" si="80"/>
        <v>5.7705300000000008</v>
      </c>
      <c r="G5167" t="s">
        <v>16</v>
      </c>
      <c r="I5167" t="s">
        <v>34</v>
      </c>
      <c r="J5167" t="str">
        <f>"11/22/1999 23:45"</f>
        <v>11/22/1999 23:45</v>
      </c>
    </row>
    <row r="5168" spans="1:10" x14ac:dyDescent="0.3">
      <c r="A5168" t="s">
        <v>6</v>
      </c>
      <c r="B5168" t="str">
        <f>"11/23/1999 00:00"</f>
        <v>11/23/1999 00:00</v>
      </c>
      <c r="C5168">
        <v>2.91</v>
      </c>
      <c r="D5168" t="s">
        <v>7</v>
      </c>
      <c r="E5168" s="2" t="s">
        <v>12</v>
      </c>
      <c r="F5168">
        <f t="shared" si="80"/>
        <v>5.7705300000000008</v>
      </c>
      <c r="G5168" t="s">
        <v>16</v>
      </c>
      <c r="I5168" t="s">
        <v>34</v>
      </c>
      <c r="J5168" t="str">
        <f>"11/23/1999 23:45"</f>
        <v>11/23/1999 23:45</v>
      </c>
    </row>
    <row r="5169" spans="1:10" x14ac:dyDescent="0.3">
      <c r="A5169" t="s">
        <v>6</v>
      </c>
      <c r="B5169" t="str">
        <f>"11/24/1999 00:00"</f>
        <v>11/24/1999 00:00</v>
      </c>
      <c r="C5169">
        <v>44.9</v>
      </c>
      <c r="D5169" t="s">
        <v>7</v>
      </c>
      <c r="E5169" s="2" t="s">
        <v>12</v>
      </c>
      <c r="F5169">
        <f t="shared" si="80"/>
        <v>89.036699999999996</v>
      </c>
      <c r="G5169" t="s">
        <v>16</v>
      </c>
      <c r="I5169" t="s">
        <v>8</v>
      </c>
      <c r="J5169" t="str">
        <f>"11/24/1999 23:45"</f>
        <v>11/24/1999 23:45</v>
      </c>
    </row>
    <row r="5170" spans="1:10" x14ac:dyDescent="0.3">
      <c r="A5170" t="s">
        <v>6</v>
      </c>
      <c r="B5170" t="str">
        <f>"11/25/1999 00:00"</f>
        <v>11/25/1999 00:00</v>
      </c>
      <c r="C5170">
        <v>104</v>
      </c>
      <c r="D5170" t="s">
        <v>7</v>
      </c>
      <c r="E5170" s="2" t="s">
        <v>12</v>
      </c>
      <c r="F5170">
        <f t="shared" si="80"/>
        <v>206.232</v>
      </c>
      <c r="G5170" t="s">
        <v>16</v>
      </c>
      <c r="I5170" t="s">
        <v>33</v>
      </c>
      <c r="J5170" t="str">
        <f>"11/25/1999 23:45"</f>
        <v>11/25/1999 23:45</v>
      </c>
    </row>
    <row r="5171" spans="1:10" x14ac:dyDescent="0.3">
      <c r="A5171" t="s">
        <v>6</v>
      </c>
      <c r="B5171" t="str">
        <f>"11/26/1999 00:00"</f>
        <v>11/26/1999 00:00</v>
      </c>
      <c r="C5171">
        <v>105</v>
      </c>
      <c r="D5171" t="s">
        <v>7</v>
      </c>
      <c r="E5171" s="2" t="s">
        <v>12</v>
      </c>
      <c r="F5171">
        <f t="shared" si="80"/>
        <v>208.215</v>
      </c>
      <c r="G5171" t="s">
        <v>16</v>
      </c>
      <c r="I5171" t="s">
        <v>33</v>
      </c>
      <c r="J5171" t="str">
        <f>"11/26/1999 23:45"</f>
        <v>11/26/1999 23:45</v>
      </c>
    </row>
    <row r="5172" spans="1:10" x14ac:dyDescent="0.3">
      <c r="A5172" t="s">
        <v>6</v>
      </c>
      <c r="B5172" t="str">
        <f>"11/27/1999 00:00"</f>
        <v>11/27/1999 00:00</v>
      </c>
      <c r="C5172">
        <v>103</v>
      </c>
      <c r="D5172" t="s">
        <v>7</v>
      </c>
      <c r="E5172" s="2" t="s">
        <v>12</v>
      </c>
      <c r="F5172">
        <f t="shared" si="80"/>
        <v>204.24900000000002</v>
      </c>
      <c r="G5172" t="s">
        <v>16</v>
      </c>
      <c r="I5172" t="s">
        <v>33</v>
      </c>
      <c r="J5172" t="str">
        <f>"11/27/1999 23:45"</f>
        <v>11/27/1999 23:45</v>
      </c>
    </row>
    <row r="5173" spans="1:10" x14ac:dyDescent="0.3">
      <c r="A5173" t="s">
        <v>6</v>
      </c>
      <c r="B5173" t="str">
        <f>"11/28/1999 00:00"</f>
        <v>11/28/1999 00:00</v>
      </c>
      <c r="C5173">
        <v>94.7</v>
      </c>
      <c r="D5173" t="s">
        <v>7</v>
      </c>
      <c r="E5173" s="2" t="s">
        <v>12</v>
      </c>
      <c r="F5173">
        <f t="shared" si="80"/>
        <v>187.79010000000002</v>
      </c>
      <c r="G5173" t="s">
        <v>16</v>
      </c>
      <c r="I5173" t="s">
        <v>33</v>
      </c>
      <c r="J5173" t="str">
        <f>"11/28/1999 23:45"</f>
        <v>11/28/1999 23:45</v>
      </c>
    </row>
    <row r="5174" spans="1:10" x14ac:dyDescent="0.3">
      <c r="A5174" t="s">
        <v>6</v>
      </c>
      <c r="B5174" t="str">
        <f>"11/29/1999 00:00"</f>
        <v>11/29/1999 00:00</v>
      </c>
      <c r="C5174">
        <v>91.4</v>
      </c>
      <c r="D5174" t="s">
        <v>7</v>
      </c>
      <c r="E5174" s="2" t="s">
        <v>12</v>
      </c>
      <c r="F5174">
        <f t="shared" si="80"/>
        <v>181.24620000000002</v>
      </c>
      <c r="G5174" t="s">
        <v>16</v>
      </c>
      <c r="I5174" t="s">
        <v>33</v>
      </c>
      <c r="J5174" t="str">
        <f>"11/29/1999 23:45"</f>
        <v>11/29/1999 23:45</v>
      </c>
    </row>
    <row r="5175" spans="1:10" x14ac:dyDescent="0.3">
      <c r="A5175" t="s">
        <v>6</v>
      </c>
      <c r="B5175" t="str">
        <f>"11/30/1999 00:00"</f>
        <v>11/30/1999 00:00</v>
      </c>
      <c r="C5175">
        <v>82.4</v>
      </c>
      <c r="D5175" t="s">
        <v>7</v>
      </c>
      <c r="E5175" s="2" t="s">
        <v>12</v>
      </c>
      <c r="F5175">
        <f t="shared" si="80"/>
        <v>163.39920000000001</v>
      </c>
      <c r="G5175" t="s">
        <v>16</v>
      </c>
      <c r="I5175" t="s">
        <v>33</v>
      </c>
      <c r="J5175" t="str">
        <f>"11/30/1999 23:45"</f>
        <v>11/30/1999 23:45</v>
      </c>
    </row>
    <row r="5176" spans="1:10" x14ac:dyDescent="0.3">
      <c r="A5176" t="s">
        <v>6</v>
      </c>
      <c r="B5176" t="str">
        <f>"12/01/1999 00:00"</f>
        <v>12/01/1999 00:00</v>
      </c>
      <c r="C5176">
        <v>82.4</v>
      </c>
      <c r="D5176" t="s">
        <v>7</v>
      </c>
      <c r="E5176" s="2" t="s">
        <v>12</v>
      </c>
      <c r="F5176">
        <f t="shared" si="80"/>
        <v>163.39920000000001</v>
      </c>
      <c r="G5176" t="s">
        <v>16</v>
      </c>
      <c r="I5176" t="s">
        <v>33</v>
      </c>
      <c r="J5176" t="str">
        <f>"12/01/1999 23:45"</f>
        <v>12/01/1999 23:45</v>
      </c>
    </row>
    <row r="5177" spans="1:10" x14ac:dyDescent="0.3">
      <c r="A5177" t="s">
        <v>6</v>
      </c>
      <c r="B5177" t="str">
        <f>"12/02/1999 00:00"</f>
        <v>12/02/1999 00:00</v>
      </c>
      <c r="C5177">
        <v>82.4</v>
      </c>
      <c r="D5177" t="s">
        <v>7</v>
      </c>
      <c r="E5177" s="2" t="s">
        <v>12</v>
      </c>
      <c r="F5177">
        <f t="shared" si="80"/>
        <v>163.39920000000001</v>
      </c>
      <c r="G5177" t="s">
        <v>16</v>
      </c>
      <c r="I5177" t="s">
        <v>33</v>
      </c>
      <c r="J5177" t="str">
        <f>"12/02/1999 23:45"</f>
        <v>12/02/1999 23:45</v>
      </c>
    </row>
    <row r="5178" spans="1:10" x14ac:dyDescent="0.3">
      <c r="A5178" t="s">
        <v>6</v>
      </c>
      <c r="B5178" t="str">
        <f>"12/03/1999 00:00"</f>
        <v>12/03/1999 00:00</v>
      </c>
      <c r="C5178">
        <v>99.2</v>
      </c>
      <c r="D5178" t="s">
        <v>7</v>
      </c>
      <c r="E5178" s="2" t="s">
        <v>12</v>
      </c>
      <c r="F5178">
        <f t="shared" si="80"/>
        <v>196.71360000000001</v>
      </c>
      <c r="G5178" t="s">
        <v>16</v>
      </c>
      <c r="I5178" t="s">
        <v>8</v>
      </c>
      <c r="J5178" t="str">
        <f>"12/03/1999 23:45"</f>
        <v>12/03/1999 23:45</v>
      </c>
    </row>
    <row r="5179" spans="1:10" x14ac:dyDescent="0.3">
      <c r="A5179" t="s">
        <v>6</v>
      </c>
      <c r="B5179" t="str">
        <f>"12/04/1999 00:00"</f>
        <v>12/04/1999 00:00</v>
      </c>
      <c r="C5179">
        <v>77.2</v>
      </c>
      <c r="D5179" t="s">
        <v>7</v>
      </c>
      <c r="E5179" s="2" t="s">
        <v>12</v>
      </c>
      <c r="F5179">
        <f t="shared" si="80"/>
        <v>153.08760000000001</v>
      </c>
      <c r="G5179" t="s">
        <v>16</v>
      </c>
      <c r="I5179" t="s">
        <v>33</v>
      </c>
      <c r="J5179" t="str">
        <f>"12/04/1999 23:45"</f>
        <v>12/04/1999 23:45</v>
      </c>
    </row>
    <row r="5180" spans="1:10" x14ac:dyDescent="0.3">
      <c r="A5180" t="s">
        <v>6</v>
      </c>
      <c r="B5180" t="str">
        <f>"12/05/1999 00:00"</f>
        <v>12/05/1999 00:00</v>
      </c>
      <c r="C5180">
        <v>81.2</v>
      </c>
      <c r="D5180" t="s">
        <v>7</v>
      </c>
      <c r="E5180" s="2" t="s">
        <v>12</v>
      </c>
      <c r="F5180">
        <f t="shared" si="80"/>
        <v>161.01960000000003</v>
      </c>
      <c r="G5180" t="s">
        <v>16</v>
      </c>
      <c r="I5180" t="s">
        <v>33</v>
      </c>
      <c r="J5180" t="str">
        <f>"12/05/1999 23:45"</f>
        <v>12/05/1999 23:45</v>
      </c>
    </row>
    <row r="5181" spans="1:10" x14ac:dyDescent="0.3">
      <c r="A5181" t="s">
        <v>6</v>
      </c>
      <c r="B5181" t="str">
        <f>"12/06/1999 00:00"</f>
        <v>12/06/1999 00:00</v>
      </c>
      <c r="C5181">
        <v>80.7</v>
      </c>
      <c r="D5181" t="s">
        <v>7</v>
      </c>
      <c r="E5181" s="2" t="s">
        <v>12</v>
      </c>
      <c r="F5181">
        <f t="shared" si="80"/>
        <v>160.02810000000002</v>
      </c>
      <c r="G5181" t="s">
        <v>16</v>
      </c>
      <c r="I5181" t="s">
        <v>33</v>
      </c>
      <c r="J5181" t="str">
        <f>"12/06/1999 23:45"</f>
        <v>12/06/1999 23:45</v>
      </c>
    </row>
    <row r="5182" spans="1:10" x14ac:dyDescent="0.3">
      <c r="A5182" t="s">
        <v>6</v>
      </c>
      <c r="B5182" t="str">
        <f>"12/07/1999 00:00"</f>
        <v>12/07/1999 00:00</v>
      </c>
      <c r="C5182">
        <v>81</v>
      </c>
      <c r="D5182" t="s">
        <v>7</v>
      </c>
      <c r="E5182" s="2" t="s">
        <v>12</v>
      </c>
      <c r="F5182">
        <f t="shared" si="80"/>
        <v>160.62300000000002</v>
      </c>
      <c r="G5182" t="s">
        <v>16</v>
      </c>
      <c r="I5182" t="s">
        <v>33</v>
      </c>
      <c r="J5182" t="str">
        <f>"12/07/1999 23:45"</f>
        <v>12/07/1999 23:45</v>
      </c>
    </row>
    <row r="5183" spans="1:10" x14ac:dyDescent="0.3">
      <c r="A5183" t="s">
        <v>6</v>
      </c>
      <c r="B5183" t="str">
        <f>"12/08/1999 00:00"</f>
        <v>12/08/1999 00:00</v>
      </c>
      <c r="C5183">
        <v>82.2</v>
      </c>
      <c r="D5183" t="s">
        <v>7</v>
      </c>
      <c r="E5183" s="2" t="s">
        <v>12</v>
      </c>
      <c r="F5183">
        <f t="shared" si="80"/>
        <v>163.0026</v>
      </c>
      <c r="G5183" t="s">
        <v>16</v>
      </c>
      <c r="I5183" t="s">
        <v>33</v>
      </c>
      <c r="J5183" t="str">
        <f>"12/08/1999 23:45"</f>
        <v>12/08/1999 23:45</v>
      </c>
    </row>
    <row r="5184" spans="1:10" x14ac:dyDescent="0.3">
      <c r="A5184" t="s">
        <v>6</v>
      </c>
      <c r="B5184" t="str">
        <f>"12/09/1999 00:00"</f>
        <v>12/09/1999 00:00</v>
      </c>
      <c r="C5184">
        <v>86.2</v>
      </c>
      <c r="D5184" t="s">
        <v>7</v>
      </c>
      <c r="E5184" s="2" t="s">
        <v>12</v>
      </c>
      <c r="F5184">
        <f t="shared" si="80"/>
        <v>170.93460000000002</v>
      </c>
      <c r="G5184" t="s">
        <v>16</v>
      </c>
      <c r="I5184" t="s">
        <v>33</v>
      </c>
      <c r="J5184" t="str">
        <f>"12/09/1999 21:45"</f>
        <v>12/09/1999 21:45</v>
      </c>
    </row>
    <row r="5185" spans="1:10" x14ac:dyDescent="0.3">
      <c r="A5185" t="s">
        <v>6</v>
      </c>
      <c r="B5185" t="str">
        <f>"12/10/1999 00:00"</f>
        <v>12/10/1999 00:00</v>
      </c>
      <c r="C5185">
        <v>86.2</v>
      </c>
      <c r="D5185" t="s">
        <v>7</v>
      </c>
      <c r="E5185" s="2" t="s">
        <v>12</v>
      </c>
      <c r="F5185">
        <f t="shared" si="80"/>
        <v>170.93460000000002</v>
      </c>
      <c r="G5185" t="s">
        <v>16</v>
      </c>
      <c r="I5185" t="s">
        <v>33</v>
      </c>
      <c r="J5185" t="str">
        <f>"12/10/1999 23:45"</f>
        <v>12/10/1999 23:45</v>
      </c>
    </row>
    <row r="5186" spans="1:10" x14ac:dyDescent="0.3">
      <c r="A5186" t="s">
        <v>6</v>
      </c>
      <c r="B5186" t="str">
        <f>"12/11/1999 00:00"</f>
        <v>12/11/1999 00:00</v>
      </c>
      <c r="C5186">
        <v>87.1</v>
      </c>
      <c r="D5186" t="s">
        <v>7</v>
      </c>
      <c r="E5186" s="2" t="s">
        <v>12</v>
      </c>
      <c r="F5186">
        <f t="shared" si="80"/>
        <v>172.7193</v>
      </c>
      <c r="G5186" t="s">
        <v>16</v>
      </c>
      <c r="I5186" t="s">
        <v>33</v>
      </c>
      <c r="J5186" t="str">
        <f>"12/11/1999 21:45"</f>
        <v>12/11/1999 21:45</v>
      </c>
    </row>
    <row r="5187" spans="1:10" x14ac:dyDescent="0.3">
      <c r="A5187" t="s">
        <v>6</v>
      </c>
      <c r="B5187" t="str">
        <f>"12/12/1999 00:00"</f>
        <v>12/12/1999 00:00</v>
      </c>
      <c r="C5187">
        <v>87.5</v>
      </c>
      <c r="D5187" t="s">
        <v>7</v>
      </c>
      <c r="E5187" s="2" t="s">
        <v>12</v>
      </c>
      <c r="F5187">
        <f t="shared" ref="F5187:F5250" si="81">C5187*1.983</f>
        <v>173.51250000000002</v>
      </c>
      <c r="G5187" t="s">
        <v>16</v>
      </c>
      <c r="I5187" t="s">
        <v>33</v>
      </c>
      <c r="J5187" t="str">
        <f>"12/12/1999 23:45"</f>
        <v>12/12/1999 23:45</v>
      </c>
    </row>
    <row r="5188" spans="1:10" x14ac:dyDescent="0.3">
      <c r="A5188" t="s">
        <v>6</v>
      </c>
      <c r="B5188" t="str">
        <f>"12/13/1999 00:00"</f>
        <v>12/13/1999 00:00</v>
      </c>
      <c r="C5188">
        <v>87.5</v>
      </c>
      <c r="D5188" t="s">
        <v>7</v>
      </c>
      <c r="E5188" s="2" t="s">
        <v>12</v>
      </c>
      <c r="F5188">
        <f t="shared" si="81"/>
        <v>173.51250000000002</v>
      </c>
      <c r="G5188" t="s">
        <v>16</v>
      </c>
      <c r="I5188" t="s">
        <v>33</v>
      </c>
      <c r="J5188" t="str">
        <f>"12/13/1999 23:45"</f>
        <v>12/13/1999 23:45</v>
      </c>
    </row>
    <row r="5189" spans="1:10" x14ac:dyDescent="0.3">
      <c r="A5189" t="s">
        <v>6</v>
      </c>
      <c r="B5189" t="str">
        <f>"12/14/1999 00:00"</f>
        <v>12/14/1999 00:00</v>
      </c>
      <c r="C5189">
        <v>87.5</v>
      </c>
      <c r="D5189" t="s">
        <v>7</v>
      </c>
      <c r="E5189" s="2" t="s">
        <v>12</v>
      </c>
      <c r="F5189">
        <f t="shared" si="81"/>
        <v>173.51250000000002</v>
      </c>
      <c r="G5189" t="s">
        <v>16</v>
      </c>
      <c r="I5189" t="s">
        <v>33</v>
      </c>
      <c r="J5189" t="str">
        <f>"12/14/1999 21:45"</f>
        <v>12/14/1999 21:45</v>
      </c>
    </row>
    <row r="5190" spans="1:10" x14ac:dyDescent="0.3">
      <c r="A5190" t="s">
        <v>6</v>
      </c>
      <c r="B5190" t="str">
        <f>"12/15/1999 00:00"</f>
        <v>12/15/1999 00:00</v>
      </c>
      <c r="C5190">
        <v>87.4</v>
      </c>
      <c r="D5190" t="s">
        <v>7</v>
      </c>
      <c r="E5190" s="2" t="s">
        <v>12</v>
      </c>
      <c r="F5190">
        <f t="shared" si="81"/>
        <v>173.31420000000003</v>
      </c>
      <c r="G5190" t="s">
        <v>16</v>
      </c>
      <c r="I5190" t="s">
        <v>33</v>
      </c>
      <c r="J5190" t="str">
        <f>"12/15/1999 23:45"</f>
        <v>12/15/1999 23:45</v>
      </c>
    </row>
    <row r="5191" spans="1:10" x14ac:dyDescent="0.3">
      <c r="A5191" t="s">
        <v>6</v>
      </c>
      <c r="B5191" t="str">
        <f>"12/16/1999 00:00"</f>
        <v>12/16/1999 00:00</v>
      </c>
      <c r="C5191">
        <v>87.4</v>
      </c>
      <c r="D5191" t="s">
        <v>7</v>
      </c>
      <c r="E5191" s="2" t="s">
        <v>12</v>
      </c>
      <c r="F5191">
        <f t="shared" si="81"/>
        <v>173.31420000000003</v>
      </c>
      <c r="G5191" t="s">
        <v>16</v>
      </c>
      <c r="I5191" t="s">
        <v>33</v>
      </c>
      <c r="J5191" t="str">
        <f>"12/16/1999 23:45"</f>
        <v>12/16/1999 23:45</v>
      </c>
    </row>
    <row r="5192" spans="1:10" x14ac:dyDescent="0.3">
      <c r="A5192" t="s">
        <v>6</v>
      </c>
      <c r="B5192" t="str">
        <f>"12/17/1999 00:00"</f>
        <v>12/17/1999 00:00</v>
      </c>
      <c r="C5192">
        <v>87.5</v>
      </c>
      <c r="D5192" t="s">
        <v>7</v>
      </c>
      <c r="E5192" s="2" t="s">
        <v>12</v>
      </c>
      <c r="F5192">
        <f t="shared" si="81"/>
        <v>173.51250000000002</v>
      </c>
      <c r="G5192" t="s">
        <v>16</v>
      </c>
      <c r="I5192" t="s">
        <v>33</v>
      </c>
      <c r="J5192" t="str">
        <f>"12/17/1999 23:45"</f>
        <v>12/17/1999 23:45</v>
      </c>
    </row>
    <row r="5193" spans="1:10" x14ac:dyDescent="0.3">
      <c r="A5193" t="s">
        <v>6</v>
      </c>
      <c r="B5193" t="str">
        <f>"12/18/1999 00:00"</f>
        <v>12/18/1999 00:00</v>
      </c>
      <c r="C5193">
        <v>87.3</v>
      </c>
      <c r="D5193" t="s">
        <v>7</v>
      </c>
      <c r="E5193" s="2" t="s">
        <v>12</v>
      </c>
      <c r="F5193">
        <f t="shared" si="81"/>
        <v>173.11590000000001</v>
      </c>
      <c r="G5193" t="s">
        <v>16</v>
      </c>
      <c r="I5193" t="s">
        <v>33</v>
      </c>
      <c r="J5193" t="str">
        <f>"12/18/1999 21:45"</f>
        <v>12/18/1999 21:45</v>
      </c>
    </row>
    <row r="5194" spans="1:10" x14ac:dyDescent="0.3">
      <c r="A5194" t="s">
        <v>6</v>
      </c>
      <c r="B5194" t="str">
        <f>"12/19/1999 00:00"</f>
        <v>12/19/1999 00:00</v>
      </c>
      <c r="C5194">
        <v>87.5</v>
      </c>
      <c r="D5194" t="s">
        <v>7</v>
      </c>
      <c r="E5194" s="2" t="s">
        <v>12</v>
      </c>
      <c r="F5194">
        <f t="shared" si="81"/>
        <v>173.51250000000002</v>
      </c>
      <c r="G5194" t="s">
        <v>16</v>
      </c>
      <c r="I5194" t="s">
        <v>33</v>
      </c>
      <c r="J5194" t="str">
        <f>"12/19/1999 23:45"</f>
        <v>12/19/1999 23:45</v>
      </c>
    </row>
    <row r="5195" spans="1:10" x14ac:dyDescent="0.3">
      <c r="A5195" t="s">
        <v>6</v>
      </c>
      <c r="B5195" t="str">
        <f>"12/20/1999 00:00"</f>
        <v>12/20/1999 00:00</v>
      </c>
      <c r="C5195">
        <v>86.3</v>
      </c>
      <c r="D5195" t="s">
        <v>7</v>
      </c>
      <c r="E5195" s="2" t="s">
        <v>12</v>
      </c>
      <c r="F5195">
        <f t="shared" si="81"/>
        <v>171.13290000000001</v>
      </c>
      <c r="G5195" t="s">
        <v>16</v>
      </c>
      <c r="I5195" t="s">
        <v>33</v>
      </c>
      <c r="J5195" t="str">
        <f>"12/20/1999 21:45"</f>
        <v>12/20/1999 21:45</v>
      </c>
    </row>
    <row r="5196" spans="1:10" x14ac:dyDescent="0.3">
      <c r="A5196" t="s">
        <v>6</v>
      </c>
      <c r="B5196" t="str">
        <f>"12/21/1999 00:00"</f>
        <v>12/21/1999 00:00</v>
      </c>
      <c r="C5196">
        <v>86.2</v>
      </c>
      <c r="D5196" t="s">
        <v>7</v>
      </c>
      <c r="E5196" s="2" t="s">
        <v>12</v>
      </c>
      <c r="F5196">
        <f t="shared" si="81"/>
        <v>170.93460000000002</v>
      </c>
      <c r="G5196" t="s">
        <v>16</v>
      </c>
      <c r="I5196" t="s">
        <v>33</v>
      </c>
      <c r="J5196" t="str">
        <f>"12/21/1999 23:45"</f>
        <v>12/21/1999 23:45</v>
      </c>
    </row>
    <row r="5197" spans="1:10" x14ac:dyDescent="0.3">
      <c r="A5197" t="s">
        <v>6</v>
      </c>
      <c r="B5197" t="str">
        <f>"12/22/1999 00:00"</f>
        <v>12/22/1999 00:00</v>
      </c>
      <c r="C5197">
        <v>86.1</v>
      </c>
      <c r="D5197" t="s">
        <v>7</v>
      </c>
      <c r="E5197" s="2" t="s">
        <v>12</v>
      </c>
      <c r="F5197">
        <f t="shared" si="81"/>
        <v>170.7363</v>
      </c>
      <c r="G5197" t="s">
        <v>16</v>
      </c>
      <c r="I5197" t="s">
        <v>33</v>
      </c>
      <c r="J5197" t="str">
        <f>"12/22/1999 23:45"</f>
        <v>12/22/1999 23:45</v>
      </c>
    </row>
    <row r="5198" spans="1:10" x14ac:dyDescent="0.3">
      <c r="A5198" t="s">
        <v>6</v>
      </c>
      <c r="B5198" t="str">
        <f>"12/23/1999 00:00"</f>
        <v>12/23/1999 00:00</v>
      </c>
      <c r="C5198">
        <v>86.2</v>
      </c>
      <c r="D5198" t="s">
        <v>7</v>
      </c>
      <c r="E5198" s="2" t="s">
        <v>12</v>
      </c>
      <c r="F5198">
        <f t="shared" si="81"/>
        <v>170.93460000000002</v>
      </c>
      <c r="G5198" t="s">
        <v>16</v>
      </c>
      <c r="I5198" t="s">
        <v>33</v>
      </c>
      <c r="J5198" t="str">
        <f>"12/23/1999 23:45"</f>
        <v>12/23/1999 23:45</v>
      </c>
    </row>
    <row r="5199" spans="1:10" x14ac:dyDescent="0.3">
      <c r="A5199" t="s">
        <v>6</v>
      </c>
      <c r="B5199" t="str">
        <f>"12/24/1999 00:00"</f>
        <v>12/24/1999 00:00</v>
      </c>
      <c r="C5199">
        <v>86.2</v>
      </c>
      <c r="D5199" t="s">
        <v>7</v>
      </c>
      <c r="E5199" s="2" t="s">
        <v>12</v>
      </c>
      <c r="F5199">
        <f t="shared" si="81"/>
        <v>170.93460000000002</v>
      </c>
      <c r="G5199" t="s">
        <v>16</v>
      </c>
      <c r="I5199" t="s">
        <v>33</v>
      </c>
      <c r="J5199" t="str">
        <f>"12/24/1999 23:45"</f>
        <v>12/24/1999 23:45</v>
      </c>
    </row>
    <row r="5200" spans="1:10" x14ac:dyDescent="0.3">
      <c r="A5200" t="s">
        <v>6</v>
      </c>
      <c r="B5200" t="str">
        <f>"12/25/1999 00:00"</f>
        <v>12/25/1999 00:00</v>
      </c>
      <c r="C5200">
        <v>86</v>
      </c>
      <c r="D5200" t="s">
        <v>7</v>
      </c>
      <c r="E5200" s="2" t="s">
        <v>12</v>
      </c>
      <c r="F5200">
        <f t="shared" si="81"/>
        <v>170.53800000000001</v>
      </c>
      <c r="G5200" t="s">
        <v>16</v>
      </c>
      <c r="I5200" t="s">
        <v>33</v>
      </c>
      <c r="J5200" t="str">
        <f>"12/25/1999 23:45"</f>
        <v>12/25/1999 23:45</v>
      </c>
    </row>
    <row r="5201" spans="1:10" x14ac:dyDescent="0.3">
      <c r="A5201" t="s">
        <v>6</v>
      </c>
      <c r="B5201" t="str">
        <f>"12/26/1999 00:00"</f>
        <v>12/26/1999 00:00</v>
      </c>
      <c r="C5201">
        <v>84.6</v>
      </c>
      <c r="D5201" t="s">
        <v>7</v>
      </c>
      <c r="E5201" s="2" t="s">
        <v>12</v>
      </c>
      <c r="F5201">
        <f t="shared" si="81"/>
        <v>167.76179999999999</v>
      </c>
      <c r="G5201" t="s">
        <v>16</v>
      </c>
      <c r="I5201" t="s">
        <v>8</v>
      </c>
      <c r="J5201" t="str">
        <f>"12/26/1999 23:45"</f>
        <v>12/26/1999 23:45</v>
      </c>
    </row>
    <row r="5202" spans="1:10" x14ac:dyDescent="0.3">
      <c r="A5202" t="s">
        <v>6</v>
      </c>
      <c r="B5202" t="str">
        <f>"12/27/1999 00:00"</f>
        <v>12/27/1999 00:00</v>
      </c>
      <c r="C5202">
        <v>85.2</v>
      </c>
      <c r="D5202" t="s">
        <v>7</v>
      </c>
      <c r="E5202" s="2" t="s">
        <v>12</v>
      </c>
      <c r="F5202">
        <f t="shared" si="81"/>
        <v>168.95160000000001</v>
      </c>
      <c r="G5202" t="s">
        <v>16</v>
      </c>
      <c r="I5202" t="s">
        <v>33</v>
      </c>
      <c r="J5202" t="str">
        <f>"12/27/1999 23:45"</f>
        <v>12/27/1999 23:45</v>
      </c>
    </row>
    <row r="5203" spans="1:10" x14ac:dyDescent="0.3">
      <c r="A5203" t="s">
        <v>6</v>
      </c>
      <c r="B5203" t="str">
        <f>"12/28/1999 00:00"</f>
        <v>12/28/1999 00:00</v>
      </c>
      <c r="C5203">
        <v>85</v>
      </c>
      <c r="D5203" t="s">
        <v>7</v>
      </c>
      <c r="E5203" s="2" t="s">
        <v>12</v>
      </c>
      <c r="F5203">
        <f t="shared" si="81"/>
        <v>168.55500000000001</v>
      </c>
      <c r="G5203" t="s">
        <v>16</v>
      </c>
      <c r="I5203" t="s">
        <v>33</v>
      </c>
      <c r="J5203" t="str">
        <f>"12/28/1999 23:45"</f>
        <v>12/28/1999 23:45</v>
      </c>
    </row>
    <row r="5204" spans="1:10" x14ac:dyDescent="0.3">
      <c r="A5204" t="s">
        <v>6</v>
      </c>
      <c r="B5204" t="str">
        <f>"12/29/1999 00:00"</f>
        <v>12/29/1999 00:00</v>
      </c>
      <c r="C5204">
        <v>83.9</v>
      </c>
      <c r="D5204" t="s">
        <v>7</v>
      </c>
      <c r="E5204" s="2" t="s">
        <v>12</v>
      </c>
      <c r="F5204">
        <f t="shared" si="81"/>
        <v>166.37370000000001</v>
      </c>
      <c r="G5204" t="s">
        <v>16</v>
      </c>
      <c r="I5204" t="s">
        <v>33</v>
      </c>
      <c r="J5204" t="str">
        <f>"12/29/1999 23:45"</f>
        <v>12/29/1999 23:45</v>
      </c>
    </row>
    <row r="5205" spans="1:10" x14ac:dyDescent="0.3">
      <c r="A5205" t="s">
        <v>6</v>
      </c>
      <c r="B5205" t="str">
        <f>"12/30/1999 00:00"</f>
        <v>12/30/1999 00:00</v>
      </c>
      <c r="C5205">
        <v>85.4</v>
      </c>
      <c r="D5205" t="s">
        <v>7</v>
      </c>
      <c r="E5205" s="2" t="s">
        <v>12</v>
      </c>
      <c r="F5205">
        <f t="shared" si="81"/>
        <v>169.34820000000002</v>
      </c>
      <c r="G5205" t="s">
        <v>16</v>
      </c>
      <c r="I5205" t="s">
        <v>33</v>
      </c>
      <c r="J5205" t="str">
        <f>"12/30/1999 23:30"</f>
        <v>12/30/1999 23:30</v>
      </c>
    </row>
    <row r="5206" spans="1:10" x14ac:dyDescent="0.3">
      <c r="A5206" t="s">
        <v>6</v>
      </c>
      <c r="B5206" t="str">
        <f>"12/31/1999 00:00"</f>
        <v>12/31/1999 00:00</v>
      </c>
      <c r="D5206" t="s">
        <v>7</v>
      </c>
      <c r="E5206" s="2" t="s">
        <v>12</v>
      </c>
      <c r="F5206">
        <f t="shared" si="81"/>
        <v>0</v>
      </c>
      <c r="G5206" t="s">
        <v>16</v>
      </c>
    </row>
    <row r="5207" spans="1:10" x14ac:dyDescent="0.3">
      <c r="A5207" t="s">
        <v>6</v>
      </c>
      <c r="B5207" t="str">
        <f>"01/01/2000 00:00"</f>
        <v>01/01/2000 00:00</v>
      </c>
      <c r="D5207" t="s">
        <v>7</v>
      </c>
      <c r="E5207" s="2" t="s">
        <v>12</v>
      </c>
      <c r="F5207">
        <f t="shared" si="81"/>
        <v>0</v>
      </c>
      <c r="G5207" t="s">
        <v>16</v>
      </c>
    </row>
    <row r="5208" spans="1:10" x14ac:dyDescent="0.3">
      <c r="A5208" t="s">
        <v>6</v>
      </c>
      <c r="B5208" t="str">
        <f>"01/02/2000 00:00"</f>
        <v>01/02/2000 00:00</v>
      </c>
      <c r="C5208">
        <v>83.9</v>
      </c>
      <c r="D5208" t="s">
        <v>7</v>
      </c>
      <c r="E5208" s="2" t="s">
        <v>12</v>
      </c>
      <c r="F5208">
        <f t="shared" si="81"/>
        <v>166.37370000000001</v>
      </c>
      <c r="G5208" t="s">
        <v>16</v>
      </c>
      <c r="J5208" t="str">
        <f>"01/02/2000 21:45"</f>
        <v>01/02/2000 21:45</v>
      </c>
    </row>
    <row r="5209" spans="1:10" x14ac:dyDescent="0.3">
      <c r="A5209" t="s">
        <v>6</v>
      </c>
      <c r="B5209" t="str">
        <f>"01/03/2000 00:00"</f>
        <v>01/03/2000 00:00</v>
      </c>
      <c r="C5209">
        <v>89.5</v>
      </c>
      <c r="D5209" t="s">
        <v>7</v>
      </c>
      <c r="E5209" s="2" t="s">
        <v>12</v>
      </c>
      <c r="F5209">
        <f t="shared" si="81"/>
        <v>177.4785</v>
      </c>
      <c r="G5209" t="s">
        <v>16</v>
      </c>
      <c r="J5209" t="str">
        <f>"01/03/2000 23:45"</f>
        <v>01/03/2000 23:45</v>
      </c>
    </row>
    <row r="5210" spans="1:10" x14ac:dyDescent="0.3">
      <c r="A5210" t="s">
        <v>6</v>
      </c>
      <c r="B5210" t="str">
        <f>"01/04/2000 00:00"</f>
        <v>01/04/2000 00:00</v>
      </c>
      <c r="C5210">
        <v>81.2</v>
      </c>
      <c r="D5210" t="s">
        <v>7</v>
      </c>
      <c r="E5210" s="2" t="s">
        <v>12</v>
      </c>
      <c r="F5210">
        <f t="shared" si="81"/>
        <v>161.01960000000003</v>
      </c>
      <c r="G5210" t="s">
        <v>16</v>
      </c>
      <c r="J5210" t="str">
        <f>"01/04/2000 21:45"</f>
        <v>01/04/2000 21:45</v>
      </c>
    </row>
    <row r="5211" spans="1:10" x14ac:dyDescent="0.3">
      <c r="A5211" t="s">
        <v>6</v>
      </c>
      <c r="B5211" t="str">
        <f>"01/05/2000 00:00"</f>
        <v>01/05/2000 00:00</v>
      </c>
      <c r="D5211" t="s">
        <v>7</v>
      </c>
      <c r="E5211" s="2" t="s">
        <v>12</v>
      </c>
      <c r="F5211">
        <f t="shared" si="81"/>
        <v>0</v>
      </c>
      <c r="G5211" t="s">
        <v>16</v>
      </c>
    </row>
    <row r="5212" spans="1:10" x14ac:dyDescent="0.3">
      <c r="A5212" t="s">
        <v>6</v>
      </c>
      <c r="B5212" t="str">
        <f>"01/06/2000 00:00"</f>
        <v>01/06/2000 00:00</v>
      </c>
      <c r="C5212">
        <v>84.5</v>
      </c>
      <c r="D5212" t="s">
        <v>7</v>
      </c>
      <c r="E5212" s="2" t="s">
        <v>12</v>
      </c>
      <c r="F5212">
        <f t="shared" si="81"/>
        <v>167.5635</v>
      </c>
      <c r="G5212" t="s">
        <v>16</v>
      </c>
      <c r="J5212" t="str">
        <f>"01/06/2000 23:45"</f>
        <v>01/06/2000 23:45</v>
      </c>
    </row>
    <row r="5213" spans="1:10" x14ac:dyDescent="0.3">
      <c r="A5213" t="s">
        <v>6</v>
      </c>
      <c r="B5213" t="str">
        <f>"01/07/2000 00:00"</f>
        <v>01/07/2000 00:00</v>
      </c>
      <c r="C5213">
        <v>80.099999999999994</v>
      </c>
      <c r="D5213" t="s">
        <v>7</v>
      </c>
      <c r="E5213" s="2" t="s">
        <v>12</v>
      </c>
      <c r="F5213">
        <f t="shared" si="81"/>
        <v>158.8383</v>
      </c>
      <c r="G5213" t="s">
        <v>16</v>
      </c>
      <c r="J5213" t="str">
        <f>"01/07/2000 23:45"</f>
        <v>01/07/2000 23:45</v>
      </c>
    </row>
    <row r="5214" spans="1:10" x14ac:dyDescent="0.3">
      <c r="A5214" t="s">
        <v>6</v>
      </c>
      <c r="B5214" t="str">
        <f>"01/08/2000 00:00"</f>
        <v>01/08/2000 00:00</v>
      </c>
      <c r="C5214">
        <v>82.1</v>
      </c>
      <c r="D5214" t="s">
        <v>7</v>
      </c>
      <c r="E5214" s="2" t="s">
        <v>12</v>
      </c>
      <c r="F5214">
        <f t="shared" si="81"/>
        <v>162.80429999999998</v>
      </c>
      <c r="G5214" t="s">
        <v>16</v>
      </c>
      <c r="J5214" t="str">
        <f>"01/08/2000 23:45"</f>
        <v>01/08/2000 23:45</v>
      </c>
    </row>
    <row r="5215" spans="1:10" x14ac:dyDescent="0.3">
      <c r="A5215" t="s">
        <v>6</v>
      </c>
      <c r="B5215" t="str">
        <f>"01/09/2000 00:00"</f>
        <v>01/09/2000 00:00</v>
      </c>
      <c r="C5215">
        <v>81.8</v>
      </c>
      <c r="D5215" t="s">
        <v>7</v>
      </c>
      <c r="E5215" s="2" t="s">
        <v>12</v>
      </c>
      <c r="F5215">
        <f t="shared" si="81"/>
        <v>162.20939999999999</v>
      </c>
      <c r="G5215" t="s">
        <v>16</v>
      </c>
      <c r="J5215" t="str">
        <f>"01/09/2000 23:45"</f>
        <v>01/09/2000 23:45</v>
      </c>
    </row>
    <row r="5216" spans="1:10" x14ac:dyDescent="0.3">
      <c r="A5216" t="s">
        <v>6</v>
      </c>
      <c r="B5216" t="str">
        <f>"01/10/2000 00:00"</f>
        <v>01/10/2000 00:00</v>
      </c>
      <c r="C5216">
        <v>83.8</v>
      </c>
      <c r="D5216" t="s">
        <v>7</v>
      </c>
      <c r="E5216" s="2" t="s">
        <v>12</v>
      </c>
      <c r="F5216">
        <f t="shared" si="81"/>
        <v>166.1754</v>
      </c>
      <c r="G5216" t="s">
        <v>16</v>
      </c>
      <c r="J5216" t="str">
        <f>"01/10/2000 23:45"</f>
        <v>01/10/2000 23:45</v>
      </c>
    </row>
    <row r="5217" spans="1:10" x14ac:dyDescent="0.3">
      <c r="A5217" t="s">
        <v>6</v>
      </c>
      <c r="B5217" t="str">
        <f>"01/11/2000 00:00"</f>
        <v>01/11/2000 00:00</v>
      </c>
      <c r="C5217">
        <v>83.3</v>
      </c>
      <c r="D5217" t="s">
        <v>7</v>
      </c>
      <c r="E5217" s="2" t="s">
        <v>12</v>
      </c>
      <c r="F5217">
        <f t="shared" si="81"/>
        <v>165.18389999999999</v>
      </c>
      <c r="G5217" t="s">
        <v>16</v>
      </c>
      <c r="J5217" t="str">
        <f>"01/11/2000 23:45"</f>
        <v>01/11/2000 23:45</v>
      </c>
    </row>
    <row r="5218" spans="1:10" x14ac:dyDescent="0.3">
      <c r="A5218" t="s">
        <v>6</v>
      </c>
      <c r="B5218" t="str">
        <f>"01/12/2000 00:00"</f>
        <v>01/12/2000 00:00</v>
      </c>
      <c r="C5218">
        <v>83.8</v>
      </c>
      <c r="D5218" t="s">
        <v>7</v>
      </c>
      <c r="E5218" s="2" t="s">
        <v>12</v>
      </c>
      <c r="F5218">
        <f t="shared" si="81"/>
        <v>166.1754</v>
      </c>
      <c r="G5218" t="s">
        <v>16</v>
      </c>
      <c r="J5218" t="str">
        <f>"01/12/2000 23:45"</f>
        <v>01/12/2000 23:45</v>
      </c>
    </row>
    <row r="5219" spans="1:10" x14ac:dyDescent="0.3">
      <c r="A5219" t="s">
        <v>6</v>
      </c>
      <c r="B5219" t="str">
        <f>"01/13/2000 00:00"</f>
        <v>01/13/2000 00:00</v>
      </c>
      <c r="C5219">
        <v>84.5</v>
      </c>
      <c r="D5219" t="s">
        <v>7</v>
      </c>
      <c r="E5219" s="2" t="s">
        <v>12</v>
      </c>
      <c r="F5219">
        <f t="shared" si="81"/>
        <v>167.5635</v>
      </c>
      <c r="G5219" t="s">
        <v>16</v>
      </c>
      <c r="J5219" t="str">
        <f>"01/13/2000 23:45"</f>
        <v>01/13/2000 23:45</v>
      </c>
    </row>
    <row r="5220" spans="1:10" x14ac:dyDescent="0.3">
      <c r="A5220" t="s">
        <v>6</v>
      </c>
      <c r="B5220" t="str">
        <f>"01/14/2000 00:00"</f>
        <v>01/14/2000 00:00</v>
      </c>
      <c r="C5220">
        <v>84.1</v>
      </c>
      <c r="D5220" t="s">
        <v>7</v>
      </c>
      <c r="E5220" s="2" t="s">
        <v>12</v>
      </c>
      <c r="F5220">
        <f t="shared" si="81"/>
        <v>166.77029999999999</v>
      </c>
      <c r="G5220" t="s">
        <v>16</v>
      </c>
      <c r="J5220" t="str">
        <f>"01/14/2000 23:45"</f>
        <v>01/14/2000 23:45</v>
      </c>
    </row>
    <row r="5221" spans="1:10" x14ac:dyDescent="0.3">
      <c r="A5221" t="s">
        <v>6</v>
      </c>
      <c r="B5221" t="str">
        <f>"01/15/2000 00:00"</f>
        <v>01/15/2000 00:00</v>
      </c>
      <c r="C5221">
        <v>73.400000000000006</v>
      </c>
      <c r="D5221" t="s">
        <v>7</v>
      </c>
      <c r="E5221" s="2" t="s">
        <v>12</v>
      </c>
      <c r="F5221">
        <f t="shared" si="81"/>
        <v>145.55220000000003</v>
      </c>
      <c r="G5221" t="s">
        <v>16</v>
      </c>
      <c r="J5221" t="str">
        <f>"01/15/2000 23:45"</f>
        <v>01/15/2000 23:45</v>
      </c>
    </row>
    <row r="5222" spans="1:10" x14ac:dyDescent="0.3">
      <c r="A5222" t="s">
        <v>6</v>
      </c>
      <c r="B5222" t="str">
        <f>"01/16/2000 00:00"</f>
        <v>01/16/2000 00:00</v>
      </c>
      <c r="C5222">
        <v>83.8</v>
      </c>
      <c r="D5222" t="s">
        <v>7</v>
      </c>
      <c r="E5222" s="2" t="s">
        <v>12</v>
      </c>
      <c r="F5222">
        <f t="shared" si="81"/>
        <v>166.1754</v>
      </c>
      <c r="G5222" t="s">
        <v>16</v>
      </c>
      <c r="J5222" t="str">
        <f>"01/16/2000 23:45"</f>
        <v>01/16/2000 23:45</v>
      </c>
    </row>
    <row r="5223" spans="1:10" x14ac:dyDescent="0.3">
      <c r="A5223" t="s">
        <v>6</v>
      </c>
      <c r="B5223" t="str">
        <f>"01/17/2000 00:00"</f>
        <v>01/17/2000 00:00</v>
      </c>
      <c r="C5223">
        <v>67.8</v>
      </c>
      <c r="D5223" t="s">
        <v>7</v>
      </c>
      <c r="E5223" s="2" t="s">
        <v>12</v>
      </c>
      <c r="F5223">
        <f t="shared" si="81"/>
        <v>134.44739999999999</v>
      </c>
      <c r="G5223" t="s">
        <v>16</v>
      </c>
      <c r="J5223" t="str">
        <f>"01/17/2000 23:45"</f>
        <v>01/17/2000 23:45</v>
      </c>
    </row>
    <row r="5224" spans="1:10" x14ac:dyDescent="0.3">
      <c r="A5224" t="s">
        <v>6</v>
      </c>
      <c r="B5224" t="str">
        <f>"01/18/2000 00:00"</f>
        <v>01/18/2000 00:00</v>
      </c>
      <c r="C5224">
        <v>74.099999999999994</v>
      </c>
      <c r="D5224" t="s">
        <v>7</v>
      </c>
      <c r="E5224" s="2" t="s">
        <v>12</v>
      </c>
      <c r="F5224">
        <f t="shared" si="81"/>
        <v>146.94030000000001</v>
      </c>
      <c r="G5224" t="s">
        <v>16</v>
      </c>
      <c r="J5224" t="str">
        <f>"01/18/2000 23:45"</f>
        <v>01/18/2000 23:45</v>
      </c>
    </row>
    <row r="5225" spans="1:10" x14ac:dyDescent="0.3">
      <c r="A5225" t="s">
        <v>6</v>
      </c>
      <c r="B5225" t="str">
        <f>"01/19/2000 00:00"</f>
        <v>01/19/2000 00:00</v>
      </c>
      <c r="C5225">
        <v>83.3</v>
      </c>
      <c r="D5225" t="s">
        <v>7</v>
      </c>
      <c r="E5225" s="2" t="s">
        <v>12</v>
      </c>
      <c r="F5225">
        <f t="shared" si="81"/>
        <v>165.18389999999999</v>
      </c>
      <c r="G5225" t="s">
        <v>16</v>
      </c>
      <c r="J5225" t="str">
        <f>"01/19/2000 23:45"</f>
        <v>01/19/2000 23:45</v>
      </c>
    </row>
    <row r="5226" spans="1:10" x14ac:dyDescent="0.3">
      <c r="A5226" t="s">
        <v>6</v>
      </c>
      <c r="B5226" t="str">
        <f>"01/20/2000 00:00"</f>
        <v>01/20/2000 00:00</v>
      </c>
      <c r="C5226">
        <v>82.7</v>
      </c>
      <c r="D5226" t="s">
        <v>7</v>
      </c>
      <c r="E5226" s="2" t="s">
        <v>12</v>
      </c>
      <c r="F5226">
        <f t="shared" si="81"/>
        <v>163.9941</v>
      </c>
      <c r="G5226" t="s">
        <v>16</v>
      </c>
      <c r="J5226" t="str">
        <f>"01/20/2000 23:45"</f>
        <v>01/20/2000 23:45</v>
      </c>
    </row>
    <row r="5227" spans="1:10" x14ac:dyDescent="0.3">
      <c r="A5227" t="s">
        <v>6</v>
      </c>
      <c r="B5227" t="str">
        <f>"01/21/2000 00:00"</f>
        <v>01/21/2000 00:00</v>
      </c>
      <c r="C5227">
        <v>82.5</v>
      </c>
      <c r="D5227" t="s">
        <v>7</v>
      </c>
      <c r="E5227" s="2" t="s">
        <v>12</v>
      </c>
      <c r="F5227">
        <f t="shared" si="81"/>
        <v>163.5975</v>
      </c>
      <c r="G5227" t="s">
        <v>16</v>
      </c>
      <c r="J5227" t="str">
        <f>"01/21/2000 23:45"</f>
        <v>01/21/2000 23:45</v>
      </c>
    </row>
    <row r="5228" spans="1:10" x14ac:dyDescent="0.3">
      <c r="A5228" t="s">
        <v>6</v>
      </c>
      <c r="B5228" t="str">
        <f>"01/22/2000 00:00"</f>
        <v>01/22/2000 00:00</v>
      </c>
      <c r="C5228">
        <v>83.4</v>
      </c>
      <c r="D5228" t="s">
        <v>7</v>
      </c>
      <c r="E5228" s="2" t="s">
        <v>12</v>
      </c>
      <c r="F5228">
        <f t="shared" si="81"/>
        <v>165.38220000000001</v>
      </c>
      <c r="G5228" t="s">
        <v>16</v>
      </c>
      <c r="J5228" t="str">
        <f>"01/22/2000 23:45"</f>
        <v>01/22/2000 23:45</v>
      </c>
    </row>
    <row r="5229" spans="1:10" x14ac:dyDescent="0.3">
      <c r="A5229" t="s">
        <v>6</v>
      </c>
      <c r="B5229" t="str">
        <f>"01/23/2000 00:00"</f>
        <v>01/23/2000 00:00</v>
      </c>
      <c r="C5229">
        <v>83.4</v>
      </c>
      <c r="D5229" t="s">
        <v>7</v>
      </c>
      <c r="E5229" s="2" t="s">
        <v>12</v>
      </c>
      <c r="F5229">
        <f t="shared" si="81"/>
        <v>165.38220000000001</v>
      </c>
      <c r="G5229" t="s">
        <v>16</v>
      </c>
      <c r="J5229" t="str">
        <f>"01/23/2000 23:45"</f>
        <v>01/23/2000 23:45</v>
      </c>
    </row>
    <row r="5230" spans="1:10" x14ac:dyDescent="0.3">
      <c r="A5230" t="s">
        <v>6</v>
      </c>
      <c r="B5230" t="str">
        <f>"01/24/2000 00:00"</f>
        <v>01/24/2000 00:00</v>
      </c>
      <c r="C5230">
        <v>81.3</v>
      </c>
      <c r="D5230" t="s">
        <v>7</v>
      </c>
      <c r="E5230" s="2" t="s">
        <v>12</v>
      </c>
      <c r="F5230">
        <f t="shared" si="81"/>
        <v>161.21790000000001</v>
      </c>
      <c r="G5230" t="s">
        <v>16</v>
      </c>
      <c r="J5230" t="str">
        <f>"01/24/2000 23:45"</f>
        <v>01/24/2000 23:45</v>
      </c>
    </row>
    <row r="5231" spans="1:10" x14ac:dyDescent="0.3">
      <c r="A5231" t="s">
        <v>6</v>
      </c>
      <c r="B5231" t="str">
        <f>"01/25/2000 00:00"</f>
        <v>01/25/2000 00:00</v>
      </c>
      <c r="C5231">
        <v>81.8</v>
      </c>
      <c r="D5231" t="s">
        <v>7</v>
      </c>
      <c r="E5231" s="2" t="s">
        <v>12</v>
      </c>
      <c r="F5231">
        <f t="shared" si="81"/>
        <v>162.20939999999999</v>
      </c>
      <c r="G5231" t="s">
        <v>16</v>
      </c>
      <c r="J5231" t="str">
        <f>"01/25/2000 23:45"</f>
        <v>01/25/2000 23:45</v>
      </c>
    </row>
    <row r="5232" spans="1:10" x14ac:dyDescent="0.3">
      <c r="A5232" t="s">
        <v>6</v>
      </c>
      <c r="B5232" t="str">
        <f>"01/26/2000 00:00"</f>
        <v>01/26/2000 00:00</v>
      </c>
      <c r="C5232">
        <v>81.599999999999994</v>
      </c>
      <c r="D5232" t="s">
        <v>7</v>
      </c>
      <c r="E5232" s="2" t="s">
        <v>12</v>
      </c>
      <c r="F5232">
        <f t="shared" si="81"/>
        <v>161.81280000000001</v>
      </c>
      <c r="G5232" t="s">
        <v>16</v>
      </c>
      <c r="J5232" t="str">
        <f>"01/26/2000 23:45"</f>
        <v>01/26/2000 23:45</v>
      </c>
    </row>
    <row r="5233" spans="1:10" x14ac:dyDescent="0.3">
      <c r="A5233" t="s">
        <v>6</v>
      </c>
      <c r="B5233" t="str">
        <f>"01/27/2000 00:00"</f>
        <v>01/27/2000 00:00</v>
      </c>
      <c r="C5233">
        <v>82.4</v>
      </c>
      <c r="D5233" t="s">
        <v>7</v>
      </c>
      <c r="E5233" s="2" t="s">
        <v>12</v>
      </c>
      <c r="F5233">
        <f t="shared" si="81"/>
        <v>163.39920000000001</v>
      </c>
      <c r="G5233" t="s">
        <v>16</v>
      </c>
      <c r="J5233" t="str">
        <f>"01/27/2000 21:45"</f>
        <v>01/27/2000 21:45</v>
      </c>
    </row>
    <row r="5234" spans="1:10" x14ac:dyDescent="0.3">
      <c r="A5234" t="s">
        <v>6</v>
      </c>
      <c r="B5234" t="str">
        <f>"01/28/2000 00:00"</f>
        <v>01/28/2000 00:00</v>
      </c>
      <c r="C5234">
        <v>80</v>
      </c>
      <c r="D5234" t="s">
        <v>7</v>
      </c>
      <c r="E5234" s="2" t="s">
        <v>12</v>
      </c>
      <c r="F5234">
        <f t="shared" si="81"/>
        <v>158.64000000000001</v>
      </c>
      <c r="G5234" t="s">
        <v>16</v>
      </c>
      <c r="J5234" t="str">
        <f>"01/28/2000 23:45"</f>
        <v>01/28/2000 23:45</v>
      </c>
    </row>
    <row r="5235" spans="1:10" x14ac:dyDescent="0.3">
      <c r="A5235" t="s">
        <v>6</v>
      </c>
      <c r="B5235" t="str">
        <f>"01/29/2000 00:00"</f>
        <v>01/29/2000 00:00</v>
      </c>
      <c r="C5235">
        <v>81.2</v>
      </c>
      <c r="D5235" t="s">
        <v>7</v>
      </c>
      <c r="E5235" s="2" t="s">
        <v>12</v>
      </c>
      <c r="F5235">
        <f t="shared" si="81"/>
        <v>161.01960000000003</v>
      </c>
      <c r="G5235" t="s">
        <v>16</v>
      </c>
      <c r="J5235" t="str">
        <f>"01/29/2000 23:45"</f>
        <v>01/29/2000 23:45</v>
      </c>
    </row>
    <row r="5236" spans="1:10" x14ac:dyDescent="0.3">
      <c r="A5236" t="s">
        <v>6</v>
      </c>
      <c r="B5236" t="str">
        <f>"01/30/2000 00:00"</f>
        <v>01/30/2000 00:00</v>
      </c>
      <c r="C5236">
        <v>83</v>
      </c>
      <c r="D5236" t="s">
        <v>7</v>
      </c>
      <c r="E5236" s="2" t="s">
        <v>12</v>
      </c>
      <c r="F5236">
        <f t="shared" si="81"/>
        <v>164.589</v>
      </c>
      <c r="G5236" t="s">
        <v>16</v>
      </c>
      <c r="J5236" t="str">
        <f>"01/30/2000 23:45"</f>
        <v>01/30/2000 23:45</v>
      </c>
    </row>
    <row r="5237" spans="1:10" x14ac:dyDescent="0.3">
      <c r="A5237" t="s">
        <v>6</v>
      </c>
      <c r="B5237" t="str">
        <f>"01/31/2000 00:00"</f>
        <v>01/31/2000 00:00</v>
      </c>
      <c r="C5237">
        <v>83.6</v>
      </c>
      <c r="D5237" t="s">
        <v>7</v>
      </c>
      <c r="E5237" s="2" t="s">
        <v>12</v>
      </c>
      <c r="F5237">
        <f t="shared" si="81"/>
        <v>165.77879999999999</v>
      </c>
      <c r="G5237" t="s">
        <v>16</v>
      </c>
      <c r="J5237" t="str">
        <f>"01/31/2000 23:45"</f>
        <v>01/31/2000 23:45</v>
      </c>
    </row>
    <row r="5238" spans="1:10" x14ac:dyDescent="0.3">
      <c r="A5238" t="s">
        <v>6</v>
      </c>
      <c r="B5238" t="str">
        <f>"02/01/2000 00:00"</f>
        <v>02/01/2000 00:00</v>
      </c>
      <c r="C5238">
        <v>82.9</v>
      </c>
      <c r="D5238" t="s">
        <v>7</v>
      </c>
      <c r="E5238" s="2" t="s">
        <v>12</v>
      </c>
      <c r="F5238">
        <f t="shared" si="81"/>
        <v>164.39070000000001</v>
      </c>
      <c r="G5238" t="s">
        <v>16</v>
      </c>
      <c r="J5238" t="str">
        <f>"02/01/2000 23:45"</f>
        <v>02/01/2000 23:45</v>
      </c>
    </row>
    <row r="5239" spans="1:10" x14ac:dyDescent="0.3">
      <c r="A5239" t="s">
        <v>6</v>
      </c>
      <c r="B5239" t="str">
        <f>"02/02/2000 00:00"</f>
        <v>02/02/2000 00:00</v>
      </c>
      <c r="C5239">
        <v>82</v>
      </c>
      <c r="D5239" t="s">
        <v>7</v>
      </c>
      <c r="E5239" s="2" t="s">
        <v>12</v>
      </c>
      <c r="F5239">
        <f t="shared" si="81"/>
        <v>162.60599999999999</v>
      </c>
      <c r="G5239" t="s">
        <v>16</v>
      </c>
      <c r="J5239" t="str">
        <f>"02/02/2000 23:45"</f>
        <v>02/02/2000 23:45</v>
      </c>
    </row>
    <row r="5240" spans="1:10" x14ac:dyDescent="0.3">
      <c r="A5240" t="s">
        <v>6</v>
      </c>
      <c r="B5240" t="str">
        <f>"02/03/2000 00:00"</f>
        <v>02/03/2000 00:00</v>
      </c>
      <c r="C5240">
        <v>85.8</v>
      </c>
      <c r="D5240" t="s">
        <v>7</v>
      </c>
      <c r="E5240" s="2" t="s">
        <v>12</v>
      </c>
      <c r="F5240">
        <f t="shared" si="81"/>
        <v>170.1414</v>
      </c>
      <c r="G5240" t="s">
        <v>16</v>
      </c>
      <c r="J5240" t="str">
        <f>"02/03/2000 23:45"</f>
        <v>02/03/2000 23:45</v>
      </c>
    </row>
    <row r="5241" spans="1:10" x14ac:dyDescent="0.3">
      <c r="A5241" t="s">
        <v>6</v>
      </c>
      <c r="B5241" t="str">
        <f>"02/04/2000 00:00"</f>
        <v>02/04/2000 00:00</v>
      </c>
      <c r="C5241">
        <v>84.5</v>
      </c>
      <c r="D5241" t="s">
        <v>7</v>
      </c>
      <c r="E5241" s="2" t="s">
        <v>12</v>
      </c>
      <c r="F5241">
        <f t="shared" si="81"/>
        <v>167.5635</v>
      </c>
      <c r="G5241" t="s">
        <v>16</v>
      </c>
      <c r="J5241" t="str">
        <f>"02/04/2000 23:45"</f>
        <v>02/04/2000 23:45</v>
      </c>
    </row>
    <row r="5242" spans="1:10" x14ac:dyDescent="0.3">
      <c r="A5242" t="s">
        <v>6</v>
      </c>
      <c r="B5242" t="str">
        <f>"02/05/2000 00:00"</f>
        <v>02/05/2000 00:00</v>
      </c>
      <c r="C5242">
        <v>83.3</v>
      </c>
      <c r="D5242" t="s">
        <v>7</v>
      </c>
      <c r="E5242" s="2" t="s">
        <v>12</v>
      </c>
      <c r="F5242">
        <f t="shared" si="81"/>
        <v>165.18389999999999</v>
      </c>
      <c r="G5242" t="s">
        <v>16</v>
      </c>
      <c r="J5242" t="str">
        <f>"02/05/2000 23:45"</f>
        <v>02/05/2000 23:45</v>
      </c>
    </row>
    <row r="5243" spans="1:10" x14ac:dyDescent="0.3">
      <c r="A5243" t="s">
        <v>6</v>
      </c>
      <c r="B5243" t="str">
        <f>"02/06/2000 00:00"</f>
        <v>02/06/2000 00:00</v>
      </c>
      <c r="C5243">
        <v>83.3</v>
      </c>
      <c r="D5243" t="s">
        <v>7</v>
      </c>
      <c r="E5243" s="2" t="s">
        <v>12</v>
      </c>
      <c r="F5243">
        <f t="shared" si="81"/>
        <v>165.18389999999999</v>
      </c>
      <c r="G5243" t="s">
        <v>16</v>
      </c>
      <c r="J5243" t="str">
        <f>"02/06/2000 23:45"</f>
        <v>02/06/2000 23:45</v>
      </c>
    </row>
    <row r="5244" spans="1:10" x14ac:dyDescent="0.3">
      <c r="A5244" t="s">
        <v>6</v>
      </c>
      <c r="B5244" t="str">
        <f>"02/07/2000 00:00"</f>
        <v>02/07/2000 00:00</v>
      </c>
      <c r="C5244">
        <v>83.3</v>
      </c>
      <c r="D5244" t="s">
        <v>7</v>
      </c>
      <c r="E5244" s="2" t="s">
        <v>12</v>
      </c>
      <c r="F5244">
        <f t="shared" si="81"/>
        <v>165.18389999999999</v>
      </c>
      <c r="G5244" t="s">
        <v>16</v>
      </c>
      <c r="J5244" t="str">
        <f>"02/07/2000 23:45"</f>
        <v>02/07/2000 23:45</v>
      </c>
    </row>
    <row r="5245" spans="1:10" x14ac:dyDescent="0.3">
      <c r="A5245" t="s">
        <v>6</v>
      </c>
      <c r="B5245" t="str">
        <f>"02/08/2000 00:00"</f>
        <v>02/08/2000 00:00</v>
      </c>
      <c r="C5245">
        <v>83.3</v>
      </c>
      <c r="D5245" t="s">
        <v>7</v>
      </c>
      <c r="E5245" s="2" t="s">
        <v>12</v>
      </c>
      <c r="F5245">
        <f t="shared" si="81"/>
        <v>165.18389999999999</v>
      </c>
      <c r="G5245" t="s">
        <v>16</v>
      </c>
      <c r="J5245" t="str">
        <f>"02/08/2000 23:45"</f>
        <v>02/08/2000 23:45</v>
      </c>
    </row>
    <row r="5246" spans="1:10" x14ac:dyDescent="0.3">
      <c r="A5246" t="s">
        <v>6</v>
      </c>
      <c r="B5246" t="str">
        <f>"02/09/2000 00:00"</f>
        <v>02/09/2000 00:00</v>
      </c>
      <c r="C5246">
        <v>83.3</v>
      </c>
      <c r="D5246" t="s">
        <v>7</v>
      </c>
      <c r="E5246" s="2" t="s">
        <v>12</v>
      </c>
      <c r="F5246">
        <f t="shared" si="81"/>
        <v>165.18389999999999</v>
      </c>
      <c r="G5246" t="s">
        <v>16</v>
      </c>
      <c r="J5246" t="str">
        <f>"02/09/2000 23:45"</f>
        <v>02/09/2000 23:45</v>
      </c>
    </row>
    <row r="5247" spans="1:10" x14ac:dyDescent="0.3">
      <c r="A5247" t="s">
        <v>6</v>
      </c>
      <c r="B5247" t="str">
        <f>"02/10/2000 00:00"</f>
        <v>02/10/2000 00:00</v>
      </c>
      <c r="C5247">
        <v>82.5</v>
      </c>
      <c r="D5247" t="s">
        <v>7</v>
      </c>
      <c r="E5247" s="2" t="s">
        <v>12</v>
      </c>
      <c r="F5247">
        <f t="shared" si="81"/>
        <v>163.5975</v>
      </c>
      <c r="G5247" t="s">
        <v>16</v>
      </c>
      <c r="J5247" t="str">
        <f>"02/10/2000 23:45"</f>
        <v>02/10/2000 23:45</v>
      </c>
    </row>
    <row r="5248" spans="1:10" x14ac:dyDescent="0.3">
      <c r="A5248" t="s">
        <v>6</v>
      </c>
      <c r="B5248" t="str">
        <f>"02/11/2000 00:00"</f>
        <v>02/11/2000 00:00</v>
      </c>
      <c r="C5248">
        <v>83.2</v>
      </c>
      <c r="D5248" t="s">
        <v>7</v>
      </c>
      <c r="E5248" s="2" t="s">
        <v>12</v>
      </c>
      <c r="F5248">
        <f t="shared" si="81"/>
        <v>164.98560000000001</v>
      </c>
      <c r="G5248" t="s">
        <v>16</v>
      </c>
      <c r="J5248" t="str">
        <f>"02/11/2000 23:45"</f>
        <v>02/11/2000 23:45</v>
      </c>
    </row>
    <row r="5249" spans="1:10" x14ac:dyDescent="0.3">
      <c r="A5249" t="s">
        <v>6</v>
      </c>
      <c r="B5249" t="str">
        <f>"02/12/2000 00:00"</f>
        <v>02/12/2000 00:00</v>
      </c>
      <c r="C5249">
        <v>82.9</v>
      </c>
      <c r="D5249" t="s">
        <v>7</v>
      </c>
      <c r="E5249" s="2" t="s">
        <v>12</v>
      </c>
      <c r="F5249">
        <f t="shared" si="81"/>
        <v>164.39070000000001</v>
      </c>
      <c r="G5249" t="s">
        <v>16</v>
      </c>
      <c r="J5249" t="str">
        <f>"02/12/2000 23:45"</f>
        <v>02/12/2000 23:45</v>
      </c>
    </row>
    <row r="5250" spans="1:10" x14ac:dyDescent="0.3">
      <c r="A5250" t="s">
        <v>6</v>
      </c>
      <c r="B5250" t="str">
        <f>"02/13/2000 00:00"</f>
        <v>02/13/2000 00:00</v>
      </c>
      <c r="C5250">
        <v>82.6</v>
      </c>
      <c r="D5250" t="s">
        <v>7</v>
      </c>
      <c r="E5250" s="2" t="s">
        <v>12</v>
      </c>
      <c r="F5250">
        <f t="shared" si="81"/>
        <v>163.79579999999999</v>
      </c>
      <c r="G5250" t="s">
        <v>16</v>
      </c>
      <c r="J5250" t="str">
        <f>"02/13/2000 23:45"</f>
        <v>02/13/2000 23:45</v>
      </c>
    </row>
    <row r="5251" spans="1:10" x14ac:dyDescent="0.3">
      <c r="A5251" t="s">
        <v>6</v>
      </c>
      <c r="B5251" t="str">
        <f>"02/14/2000 00:00"</f>
        <v>02/14/2000 00:00</v>
      </c>
      <c r="C5251">
        <v>83</v>
      </c>
      <c r="D5251" t="s">
        <v>7</v>
      </c>
      <c r="E5251" s="2" t="s">
        <v>12</v>
      </c>
      <c r="F5251">
        <f t="shared" ref="F5251:F5314" si="82">C5251*1.983</f>
        <v>164.589</v>
      </c>
      <c r="G5251" t="s">
        <v>16</v>
      </c>
      <c r="J5251" t="str">
        <f>"02/14/2000 23:45"</f>
        <v>02/14/2000 23:45</v>
      </c>
    </row>
    <row r="5252" spans="1:10" x14ac:dyDescent="0.3">
      <c r="A5252" t="s">
        <v>6</v>
      </c>
      <c r="B5252" t="str">
        <f>"02/15/2000 00:00"</f>
        <v>02/15/2000 00:00</v>
      </c>
      <c r="C5252">
        <v>82.7</v>
      </c>
      <c r="D5252" t="s">
        <v>7</v>
      </c>
      <c r="E5252" s="2" t="s">
        <v>12</v>
      </c>
      <c r="F5252">
        <f t="shared" si="82"/>
        <v>163.9941</v>
      </c>
      <c r="G5252" t="s">
        <v>16</v>
      </c>
      <c r="J5252" t="str">
        <f>"02/15/2000 23:45"</f>
        <v>02/15/2000 23:45</v>
      </c>
    </row>
    <row r="5253" spans="1:10" x14ac:dyDescent="0.3">
      <c r="A5253" t="s">
        <v>6</v>
      </c>
      <c r="B5253" t="str">
        <f>"02/16/2000 00:00"</f>
        <v>02/16/2000 00:00</v>
      </c>
      <c r="C5253">
        <v>82.7</v>
      </c>
      <c r="D5253" t="s">
        <v>7</v>
      </c>
      <c r="E5253" s="2" t="s">
        <v>12</v>
      </c>
      <c r="F5253">
        <f t="shared" si="82"/>
        <v>163.9941</v>
      </c>
      <c r="G5253" t="s">
        <v>16</v>
      </c>
      <c r="J5253" t="str">
        <f>"02/16/2000 23:45"</f>
        <v>02/16/2000 23:45</v>
      </c>
    </row>
    <row r="5254" spans="1:10" x14ac:dyDescent="0.3">
      <c r="A5254" t="s">
        <v>6</v>
      </c>
      <c r="B5254" t="str">
        <f>"02/17/2000 00:00"</f>
        <v>02/17/2000 00:00</v>
      </c>
      <c r="C5254">
        <v>82.8</v>
      </c>
      <c r="D5254" t="s">
        <v>7</v>
      </c>
      <c r="E5254" s="2" t="s">
        <v>12</v>
      </c>
      <c r="F5254">
        <f t="shared" si="82"/>
        <v>164.19239999999999</v>
      </c>
      <c r="G5254" t="s">
        <v>16</v>
      </c>
      <c r="J5254" t="str">
        <f>"02/17/2000 23:45"</f>
        <v>02/17/2000 23:45</v>
      </c>
    </row>
    <row r="5255" spans="1:10" x14ac:dyDescent="0.3">
      <c r="A5255" t="s">
        <v>6</v>
      </c>
      <c r="B5255" t="str">
        <f>"02/18/2000 00:00"</f>
        <v>02/18/2000 00:00</v>
      </c>
      <c r="C5255">
        <v>76.599999999999994</v>
      </c>
      <c r="D5255" t="s">
        <v>7</v>
      </c>
      <c r="E5255" s="2" t="s">
        <v>12</v>
      </c>
      <c r="F5255">
        <f t="shared" si="82"/>
        <v>151.89779999999999</v>
      </c>
      <c r="G5255" t="s">
        <v>16</v>
      </c>
      <c r="J5255" t="str">
        <f>"02/18/2000 23:45"</f>
        <v>02/18/2000 23:45</v>
      </c>
    </row>
    <row r="5256" spans="1:10" x14ac:dyDescent="0.3">
      <c r="A5256" t="s">
        <v>6</v>
      </c>
      <c r="B5256" t="str">
        <f>"02/19/2000 00:00"</f>
        <v>02/19/2000 00:00</v>
      </c>
      <c r="C5256">
        <v>82</v>
      </c>
      <c r="D5256" t="s">
        <v>7</v>
      </c>
      <c r="E5256" s="2" t="s">
        <v>12</v>
      </c>
      <c r="F5256">
        <f t="shared" si="82"/>
        <v>162.60599999999999</v>
      </c>
      <c r="G5256" t="s">
        <v>16</v>
      </c>
      <c r="J5256" t="str">
        <f>"02/19/2000 23:45"</f>
        <v>02/19/2000 23:45</v>
      </c>
    </row>
    <row r="5257" spans="1:10" x14ac:dyDescent="0.3">
      <c r="A5257" t="s">
        <v>6</v>
      </c>
      <c r="B5257" t="str">
        <f>"02/20/2000 00:00"</f>
        <v>02/20/2000 00:00</v>
      </c>
      <c r="C5257">
        <v>82.8</v>
      </c>
      <c r="D5257" t="s">
        <v>7</v>
      </c>
      <c r="E5257" s="2" t="s">
        <v>12</v>
      </c>
      <c r="F5257">
        <f t="shared" si="82"/>
        <v>164.19239999999999</v>
      </c>
      <c r="G5257" t="s">
        <v>16</v>
      </c>
      <c r="J5257" t="str">
        <f>"02/20/2000 23:45"</f>
        <v>02/20/2000 23:45</v>
      </c>
    </row>
    <row r="5258" spans="1:10" x14ac:dyDescent="0.3">
      <c r="A5258" t="s">
        <v>6</v>
      </c>
      <c r="B5258" t="str">
        <f>"02/21/2000 00:00"</f>
        <v>02/21/2000 00:00</v>
      </c>
      <c r="C5258">
        <v>82.8</v>
      </c>
      <c r="D5258" t="s">
        <v>7</v>
      </c>
      <c r="E5258" s="2" t="s">
        <v>12</v>
      </c>
      <c r="F5258">
        <f t="shared" si="82"/>
        <v>164.19239999999999</v>
      </c>
      <c r="G5258" t="s">
        <v>16</v>
      </c>
      <c r="J5258" t="str">
        <f>"02/21/2000 23:45"</f>
        <v>02/21/2000 23:45</v>
      </c>
    </row>
    <row r="5259" spans="1:10" x14ac:dyDescent="0.3">
      <c r="A5259" t="s">
        <v>6</v>
      </c>
      <c r="B5259" t="str">
        <f>"02/22/2000 00:00"</f>
        <v>02/22/2000 00:00</v>
      </c>
      <c r="C5259">
        <v>82.8</v>
      </c>
      <c r="D5259" t="s">
        <v>7</v>
      </c>
      <c r="E5259" s="2" t="s">
        <v>12</v>
      </c>
      <c r="F5259">
        <f t="shared" si="82"/>
        <v>164.19239999999999</v>
      </c>
      <c r="G5259" t="s">
        <v>16</v>
      </c>
      <c r="J5259" t="str">
        <f>"02/22/2000 23:45"</f>
        <v>02/22/2000 23:45</v>
      </c>
    </row>
    <row r="5260" spans="1:10" x14ac:dyDescent="0.3">
      <c r="A5260" t="s">
        <v>6</v>
      </c>
      <c r="B5260" t="str">
        <f>"02/23/2000 00:00"</f>
        <v>02/23/2000 00:00</v>
      </c>
      <c r="C5260">
        <v>82.2</v>
      </c>
      <c r="D5260" t="s">
        <v>7</v>
      </c>
      <c r="E5260" s="2" t="s">
        <v>12</v>
      </c>
      <c r="F5260">
        <f t="shared" si="82"/>
        <v>163.0026</v>
      </c>
      <c r="G5260" t="s">
        <v>16</v>
      </c>
      <c r="J5260" t="str">
        <f>"02/23/2000 23:45"</f>
        <v>02/23/2000 23:45</v>
      </c>
    </row>
    <row r="5261" spans="1:10" x14ac:dyDescent="0.3">
      <c r="A5261" t="s">
        <v>6</v>
      </c>
      <c r="B5261" t="str">
        <f>"02/24/2000 00:00"</f>
        <v>02/24/2000 00:00</v>
      </c>
      <c r="C5261">
        <v>81.400000000000006</v>
      </c>
      <c r="D5261" t="s">
        <v>7</v>
      </c>
      <c r="E5261" s="2" t="s">
        <v>12</v>
      </c>
      <c r="F5261">
        <f t="shared" si="82"/>
        <v>161.41620000000003</v>
      </c>
      <c r="G5261" t="s">
        <v>16</v>
      </c>
      <c r="J5261" t="str">
        <f>"02/24/2000 23:45"</f>
        <v>02/24/2000 23:45</v>
      </c>
    </row>
    <row r="5262" spans="1:10" x14ac:dyDescent="0.3">
      <c r="A5262" t="s">
        <v>6</v>
      </c>
      <c r="B5262" t="str">
        <f>"02/25/2000 00:00"</f>
        <v>02/25/2000 00:00</v>
      </c>
      <c r="C5262">
        <v>80.400000000000006</v>
      </c>
      <c r="D5262" t="s">
        <v>7</v>
      </c>
      <c r="E5262" s="2" t="s">
        <v>12</v>
      </c>
      <c r="F5262">
        <f t="shared" si="82"/>
        <v>159.43320000000003</v>
      </c>
      <c r="G5262" t="s">
        <v>16</v>
      </c>
      <c r="J5262" t="str">
        <f>"02/25/2000 21:45"</f>
        <v>02/25/2000 21:45</v>
      </c>
    </row>
    <row r="5263" spans="1:10" x14ac:dyDescent="0.3">
      <c r="A5263" t="s">
        <v>6</v>
      </c>
      <c r="B5263" t="str">
        <f>"02/26/2000 00:00"</f>
        <v>02/26/2000 00:00</v>
      </c>
      <c r="C5263">
        <v>77.7</v>
      </c>
      <c r="D5263" t="s">
        <v>7</v>
      </c>
      <c r="E5263" s="2" t="s">
        <v>12</v>
      </c>
      <c r="F5263">
        <f t="shared" si="82"/>
        <v>154.07910000000001</v>
      </c>
      <c r="G5263" t="s">
        <v>16</v>
      </c>
      <c r="J5263" t="str">
        <f>"02/26/2000 23:45"</f>
        <v>02/26/2000 23:45</v>
      </c>
    </row>
    <row r="5264" spans="1:10" x14ac:dyDescent="0.3">
      <c r="A5264" t="s">
        <v>6</v>
      </c>
      <c r="B5264" t="str">
        <f>"02/27/2000 00:00"</f>
        <v>02/27/2000 00:00</v>
      </c>
      <c r="C5264">
        <v>82.9</v>
      </c>
      <c r="D5264" t="s">
        <v>7</v>
      </c>
      <c r="E5264" s="2" t="s">
        <v>12</v>
      </c>
      <c r="F5264">
        <f t="shared" si="82"/>
        <v>164.39070000000001</v>
      </c>
      <c r="G5264" t="s">
        <v>16</v>
      </c>
      <c r="J5264" t="str">
        <f>"02/27/2000 23:45"</f>
        <v>02/27/2000 23:45</v>
      </c>
    </row>
    <row r="5265" spans="1:10" x14ac:dyDescent="0.3">
      <c r="A5265" t="s">
        <v>6</v>
      </c>
      <c r="B5265" t="str">
        <f>"02/28/2000 00:00"</f>
        <v>02/28/2000 00:00</v>
      </c>
      <c r="C5265">
        <v>82.7</v>
      </c>
      <c r="D5265" t="s">
        <v>7</v>
      </c>
      <c r="E5265" s="2" t="s">
        <v>12</v>
      </c>
      <c r="F5265">
        <f t="shared" si="82"/>
        <v>163.9941</v>
      </c>
      <c r="G5265" t="s">
        <v>16</v>
      </c>
      <c r="J5265" t="str">
        <f>"02/28/2000 23:45"</f>
        <v>02/28/2000 23:45</v>
      </c>
    </row>
    <row r="5266" spans="1:10" x14ac:dyDescent="0.3">
      <c r="A5266" t="s">
        <v>6</v>
      </c>
      <c r="B5266" t="str">
        <f>"02/29/2000 00:00"</f>
        <v>02/29/2000 00:00</v>
      </c>
      <c r="C5266">
        <v>83.2</v>
      </c>
      <c r="D5266" t="s">
        <v>7</v>
      </c>
      <c r="E5266" s="2" t="s">
        <v>12</v>
      </c>
      <c r="F5266">
        <f t="shared" si="82"/>
        <v>164.98560000000001</v>
      </c>
      <c r="G5266" t="s">
        <v>16</v>
      </c>
      <c r="J5266" t="str">
        <f>"02/29/2000 23:45"</f>
        <v>02/29/2000 23:45</v>
      </c>
    </row>
    <row r="5267" spans="1:10" x14ac:dyDescent="0.3">
      <c r="A5267" t="s">
        <v>6</v>
      </c>
      <c r="B5267" t="str">
        <f>"03/01/2000 00:00"</f>
        <v>03/01/2000 00:00</v>
      </c>
      <c r="C5267">
        <v>83.3</v>
      </c>
      <c r="D5267" t="s">
        <v>7</v>
      </c>
      <c r="E5267" s="2" t="s">
        <v>12</v>
      </c>
      <c r="F5267">
        <f t="shared" si="82"/>
        <v>165.18389999999999</v>
      </c>
      <c r="G5267" t="s">
        <v>16</v>
      </c>
      <c r="J5267" t="str">
        <f>"03/01/2000 23:45"</f>
        <v>03/01/2000 23:45</v>
      </c>
    </row>
    <row r="5268" spans="1:10" x14ac:dyDescent="0.3">
      <c r="A5268" t="s">
        <v>6</v>
      </c>
      <c r="B5268" t="str">
        <f>"03/02/2000 00:00"</f>
        <v>03/02/2000 00:00</v>
      </c>
      <c r="C5268">
        <v>82.4</v>
      </c>
      <c r="D5268" t="s">
        <v>7</v>
      </c>
      <c r="E5268" s="2" t="s">
        <v>12</v>
      </c>
      <c r="F5268">
        <f t="shared" si="82"/>
        <v>163.39920000000001</v>
      </c>
      <c r="G5268" t="s">
        <v>16</v>
      </c>
      <c r="J5268" t="str">
        <f>"03/02/2000 23:45"</f>
        <v>03/02/2000 23:45</v>
      </c>
    </row>
    <row r="5269" spans="1:10" x14ac:dyDescent="0.3">
      <c r="A5269" t="s">
        <v>6</v>
      </c>
      <c r="B5269" t="str">
        <f>"03/03/2000 00:00"</f>
        <v>03/03/2000 00:00</v>
      </c>
      <c r="C5269">
        <v>83.1</v>
      </c>
      <c r="D5269" t="s">
        <v>7</v>
      </c>
      <c r="E5269" s="2" t="s">
        <v>12</v>
      </c>
      <c r="F5269">
        <f t="shared" si="82"/>
        <v>164.78729999999999</v>
      </c>
      <c r="G5269" t="s">
        <v>16</v>
      </c>
      <c r="J5269" t="str">
        <f>"03/03/2000 23:45"</f>
        <v>03/03/2000 23:45</v>
      </c>
    </row>
    <row r="5270" spans="1:10" x14ac:dyDescent="0.3">
      <c r="A5270" t="s">
        <v>6</v>
      </c>
      <c r="B5270" t="str">
        <f>"03/04/2000 00:00"</f>
        <v>03/04/2000 00:00</v>
      </c>
      <c r="C5270">
        <v>82.8</v>
      </c>
      <c r="D5270" t="s">
        <v>7</v>
      </c>
      <c r="E5270" s="2" t="s">
        <v>12</v>
      </c>
      <c r="F5270">
        <f t="shared" si="82"/>
        <v>164.19239999999999</v>
      </c>
      <c r="G5270" t="s">
        <v>16</v>
      </c>
      <c r="J5270" t="str">
        <f>"03/04/2000 23:45"</f>
        <v>03/04/2000 23:45</v>
      </c>
    </row>
    <row r="5271" spans="1:10" x14ac:dyDescent="0.3">
      <c r="A5271" t="s">
        <v>6</v>
      </c>
      <c r="B5271" t="str">
        <f>"03/05/2000 00:00"</f>
        <v>03/05/2000 00:00</v>
      </c>
      <c r="C5271">
        <v>83.3</v>
      </c>
      <c r="D5271" t="s">
        <v>7</v>
      </c>
      <c r="E5271" s="2" t="s">
        <v>12</v>
      </c>
      <c r="F5271">
        <f t="shared" si="82"/>
        <v>165.18389999999999</v>
      </c>
      <c r="G5271" t="s">
        <v>16</v>
      </c>
      <c r="J5271" t="str">
        <f>"03/05/2000 23:45"</f>
        <v>03/05/2000 23:45</v>
      </c>
    </row>
    <row r="5272" spans="1:10" x14ac:dyDescent="0.3">
      <c r="A5272" t="s">
        <v>6</v>
      </c>
      <c r="B5272" t="str">
        <f>"03/06/2000 00:00"</f>
        <v>03/06/2000 00:00</v>
      </c>
      <c r="C5272">
        <v>83.2</v>
      </c>
      <c r="D5272" t="s">
        <v>7</v>
      </c>
      <c r="E5272" s="2" t="s">
        <v>12</v>
      </c>
      <c r="F5272">
        <f t="shared" si="82"/>
        <v>164.98560000000001</v>
      </c>
      <c r="G5272" t="s">
        <v>16</v>
      </c>
      <c r="J5272" t="str">
        <f>"03/06/2000 23:45"</f>
        <v>03/06/2000 23:45</v>
      </c>
    </row>
    <row r="5273" spans="1:10" x14ac:dyDescent="0.3">
      <c r="A5273" t="s">
        <v>6</v>
      </c>
      <c r="B5273" t="str">
        <f>"03/07/2000 00:00"</f>
        <v>03/07/2000 00:00</v>
      </c>
      <c r="C5273">
        <v>83.3</v>
      </c>
      <c r="D5273" t="s">
        <v>7</v>
      </c>
      <c r="E5273" s="2" t="s">
        <v>12</v>
      </c>
      <c r="F5273">
        <f t="shared" si="82"/>
        <v>165.18389999999999</v>
      </c>
      <c r="G5273" t="s">
        <v>16</v>
      </c>
      <c r="J5273" t="str">
        <f>"03/07/2000 23:45"</f>
        <v>03/07/2000 23:45</v>
      </c>
    </row>
    <row r="5274" spans="1:10" x14ac:dyDescent="0.3">
      <c r="A5274" t="s">
        <v>6</v>
      </c>
      <c r="B5274" t="str">
        <f>"03/08/2000 00:00"</f>
        <v>03/08/2000 00:00</v>
      </c>
      <c r="C5274">
        <v>82.9</v>
      </c>
      <c r="D5274" t="s">
        <v>7</v>
      </c>
      <c r="E5274" s="2" t="s">
        <v>12</v>
      </c>
      <c r="F5274">
        <f t="shared" si="82"/>
        <v>164.39070000000001</v>
      </c>
      <c r="G5274" t="s">
        <v>16</v>
      </c>
      <c r="J5274" t="str">
        <f>"03/08/2000 23:45"</f>
        <v>03/08/2000 23:45</v>
      </c>
    </row>
    <row r="5275" spans="1:10" x14ac:dyDescent="0.3">
      <c r="A5275" t="s">
        <v>6</v>
      </c>
      <c r="B5275" t="str">
        <f>"03/09/2000 00:00"</f>
        <v>03/09/2000 00:00</v>
      </c>
      <c r="C5275">
        <v>83.2</v>
      </c>
      <c r="D5275" t="s">
        <v>7</v>
      </c>
      <c r="E5275" s="2" t="s">
        <v>12</v>
      </c>
      <c r="F5275">
        <f t="shared" si="82"/>
        <v>164.98560000000001</v>
      </c>
      <c r="G5275" t="s">
        <v>16</v>
      </c>
      <c r="J5275" t="str">
        <f>"03/09/2000 23:45"</f>
        <v>03/09/2000 23:45</v>
      </c>
    </row>
    <row r="5276" spans="1:10" x14ac:dyDescent="0.3">
      <c r="A5276" t="s">
        <v>6</v>
      </c>
      <c r="B5276" t="str">
        <f>"03/10/2000 00:00"</f>
        <v>03/10/2000 00:00</v>
      </c>
      <c r="C5276">
        <v>83.3</v>
      </c>
      <c r="D5276" t="s">
        <v>7</v>
      </c>
      <c r="E5276" s="2" t="s">
        <v>12</v>
      </c>
      <c r="F5276">
        <f t="shared" si="82"/>
        <v>165.18389999999999</v>
      </c>
      <c r="G5276" t="s">
        <v>16</v>
      </c>
      <c r="J5276" t="str">
        <f>"03/10/2000 23:45"</f>
        <v>03/10/2000 23:45</v>
      </c>
    </row>
    <row r="5277" spans="1:10" x14ac:dyDescent="0.3">
      <c r="A5277" t="s">
        <v>6</v>
      </c>
      <c r="B5277" t="str">
        <f>"03/11/2000 00:00"</f>
        <v>03/11/2000 00:00</v>
      </c>
      <c r="C5277">
        <v>83.2</v>
      </c>
      <c r="D5277" t="s">
        <v>7</v>
      </c>
      <c r="E5277" s="2" t="s">
        <v>12</v>
      </c>
      <c r="F5277">
        <f t="shared" si="82"/>
        <v>164.98560000000001</v>
      </c>
      <c r="G5277" t="s">
        <v>16</v>
      </c>
      <c r="J5277" t="str">
        <f>"03/11/2000 23:45"</f>
        <v>03/11/2000 23:45</v>
      </c>
    </row>
    <row r="5278" spans="1:10" x14ac:dyDescent="0.3">
      <c r="A5278" t="s">
        <v>6</v>
      </c>
      <c r="B5278" t="str">
        <f>"03/12/2000 00:00"</f>
        <v>03/12/2000 00:00</v>
      </c>
      <c r="C5278">
        <v>83.4</v>
      </c>
      <c r="D5278" t="s">
        <v>7</v>
      </c>
      <c r="E5278" s="2" t="s">
        <v>12</v>
      </c>
      <c r="F5278">
        <f t="shared" si="82"/>
        <v>165.38220000000001</v>
      </c>
      <c r="G5278" t="s">
        <v>16</v>
      </c>
      <c r="J5278" t="str">
        <f>"03/12/2000 23:45"</f>
        <v>03/12/2000 23:45</v>
      </c>
    </row>
    <row r="5279" spans="1:10" x14ac:dyDescent="0.3">
      <c r="A5279" t="s">
        <v>6</v>
      </c>
      <c r="B5279" t="str">
        <f>"03/13/2000 00:00"</f>
        <v>03/13/2000 00:00</v>
      </c>
      <c r="C5279">
        <v>83.3</v>
      </c>
      <c r="D5279" t="s">
        <v>7</v>
      </c>
      <c r="E5279" s="2" t="s">
        <v>12</v>
      </c>
      <c r="F5279">
        <f t="shared" si="82"/>
        <v>165.18389999999999</v>
      </c>
      <c r="G5279" t="s">
        <v>16</v>
      </c>
      <c r="J5279" t="str">
        <f>"03/13/2000 23:45"</f>
        <v>03/13/2000 23:45</v>
      </c>
    </row>
    <row r="5280" spans="1:10" x14ac:dyDescent="0.3">
      <c r="A5280" t="s">
        <v>6</v>
      </c>
      <c r="B5280" t="str">
        <f>"03/14/2000 00:00"</f>
        <v>03/14/2000 00:00</v>
      </c>
      <c r="C5280">
        <v>80.3</v>
      </c>
      <c r="D5280" t="s">
        <v>7</v>
      </c>
      <c r="E5280" s="2" t="s">
        <v>12</v>
      </c>
      <c r="F5280">
        <f t="shared" si="82"/>
        <v>159.23490000000001</v>
      </c>
      <c r="G5280" t="s">
        <v>16</v>
      </c>
      <c r="J5280" t="str">
        <f>"03/14/2000 23:45"</f>
        <v>03/14/2000 23:45</v>
      </c>
    </row>
    <row r="5281" spans="1:10" x14ac:dyDescent="0.3">
      <c r="A5281" t="s">
        <v>6</v>
      </c>
      <c r="B5281" t="str">
        <f>"03/15/2000 00:00"</f>
        <v>03/15/2000 00:00</v>
      </c>
      <c r="C5281">
        <v>96.5</v>
      </c>
      <c r="D5281" t="s">
        <v>7</v>
      </c>
      <c r="E5281" s="2" t="s">
        <v>12</v>
      </c>
      <c r="F5281">
        <f t="shared" si="82"/>
        <v>191.3595</v>
      </c>
      <c r="G5281" t="s">
        <v>16</v>
      </c>
      <c r="J5281" t="str">
        <f>"03/15/2000 23:45"</f>
        <v>03/15/2000 23:45</v>
      </c>
    </row>
    <row r="5282" spans="1:10" x14ac:dyDescent="0.3">
      <c r="A5282" t="s">
        <v>6</v>
      </c>
      <c r="B5282" t="str">
        <f>"03/16/2000 00:00"</f>
        <v>03/16/2000 00:00</v>
      </c>
      <c r="C5282">
        <v>107</v>
      </c>
      <c r="D5282" t="s">
        <v>7</v>
      </c>
      <c r="E5282" s="2" t="s">
        <v>12</v>
      </c>
      <c r="F5282">
        <f t="shared" si="82"/>
        <v>212.18100000000001</v>
      </c>
      <c r="G5282" t="s">
        <v>16</v>
      </c>
      <c r="J5282" t="str">
        <f>"03/16/2000 23:45"</f>
        <v>03/16/2000 23:45</v>
      </c>
    </row>
    <row r="5283" spans="1:10" x14ac:dyDescent="0.3">
      <c r="A5283" t="s">
        <v>6</v>
      </c>
      <c r="B5283" t="str">
        <f>"03/17/2000 00:00"</f>
        <v>03/17/2000 00:00</v>
      </c>
      <c r="C5283">
        <v>107</v>
      </c>
      <c r="D5283" t="s">
        <v>7</v>
      </c>
      <c r="E5283" s="2" t="s">
        <v>12</v>
      </c>
      <c r="F5283">
        <f t="shared" si="82"/>
        <v>212.18100000000001</v>
      </c>
      <c r="G5283" t="s">
        <v>16</v>
      </c>
      <c r="J5283" t="str">
        <f>"03/17/2000 23:45"</f>
        <v>03/17/2000 23:45</v>
      </c>
    </row>
    <row r="5284" spans="1:10" x14ac:dyDescent="0.3">
      <c r="A5284" t="s">
        <v>6</v>
      </c>
      <c r="B5284" t="str">
        <f>"03/18/2000 00:00"</f>
        <v>03/18/2000 00:00</v>
      </c>
      <c r="C5284">
        <v>105</v>
      </c>
      <c r="D5284" t="s">
        <v>7</v>
      </c>
      <c r="E5284" s="2" t="s">
        <v>12</v>
      </c>
      <c r="F5284">
        <f t="shared" si="82"/>
        <v>208.215</v>
      </c>
      <c r="G5284" t="s">
        <v>16</v>
      </c>
      <c r="J5284" t="str">
        <f>"03/18/2000 21:45"</f>
        <v>03/18/2000 21:45</v>
      </c>
    </row>
    <row r="5285" spans="1:10" x14ac:dyDescent="0.3">
      <c r="A5285" t="s">
        <v>6</v>
      </c>
      <c r="B5285" t="str">
        <f>"03/19/2000 00:00"</f>
        <v>03/19/2000 00:00</v>
      </c>
      <c r="C5285">
        <v>105</v>
      </c>
      <c r="D5285" t="s">
        <v>7</v>
      </c>
      <c r="E5285" s="2" t="s">
        <v>12</v>
      </c>
      <c r="F5285">
        <f t="shared" si="82"/>
        <v>208.215</v>
      </c>
      <c r="G5285" t="s">
        <v>16</v>
      </c>
      <c r="J5285" t="str">
        <f>"03/19/2000 23:45"</f>
        <v>03/19/2000 23:45</v>
      </c>
    </row>
    <row r="5286" spans="1:10" x14ac:dyDescent="0.3">
      <c r="A5286" t="s">
        <v>6</v>
      </c>
      <c r="B5286" t="str">
        <f>"03/20/2000 00:00"</f>
        <v>03/20/2000 00:00</v>
      </c>
      <c r="C5286">
        <v>104</v>
      </c>
      <c r="D5286" t="s">
        <v>7</v>
      </c>
      <c r="E5286" s="2" t="s">
        <v>12</v>
      </c>
      <c r="F5286">
        <f t="shared" si="82"/>
        <v>206.232</v>
      </c>
      <c r="G5286" t="s">
        <v>16</v>
      </c>
      <c r="J5286" t="str">
        <f>"03/20/2000 23:45"</f>
        <v>03/20/2000 23:45</v>
      </c>
    </row>
    <row r="5287" spans="1:10" x14ac:dyDescent="0.3">
      <c r="A5287" t="s">
        <v>6</v>
      </c>
      <c r="B5287" t="str">
        <f>"03/21/2000 00:00"</f>
        <v>03/21/2000 00:00</v>
      </c>
      <c r="C5287">
        <v>106</v>
      </c>
      <c r="D5287" t="s">
        <v>7</v>
      </c>
      <c r="E5287" s="2" t="s">
        <v>12</v>
      </c>
      <c r="F5287">
        <f t="shared" si="82"/>
        <v>210.19800000000001</v>
      </c>
      <c r="G5287" t="s">
        <v>16</v>
      </c>
      <c r="J5287" t="str">
        <f>"03/21/2000 23:45"</f>
        <v>03/21/2000 23:45</v>
      </c>
    </row>
    <row r="5288" spans="1:10" x14ac:dyDescent="0.3">
      <c r="A5288" t="s">
        <v>6</v>
      </c>
      <c r="B5288" t="str">
        <f>"03/22/2000 00:00"</f>
        <v>03/22/2000 00:00</v>
      </c>
      <c r="C5288">
        <v>108</v>
      </c>
      <c r="D5288" t="s">
        <v>7</v>
      </c>
      <c r="E5288" s="2" t="s">
        <v>12</v>
      </c>
      <c r="F5288">
        <f t="shared" si="82"/>
        <v>214.16400000000002</v>
      </c>
      <c r="G5288" t="s">
        <v>16</v>
      </c>
      <c r="J5288" t="str">
        <f>"03/22/2000 23:45"</f>
        <v>03/22/2000 23:45</v>
      </c>
    </row>
    <row r="5289" spans="1:10" x14ac:dyDescent="0.3">
      <c r="A5289" t="s">
        <v>6</v>
      </c>
      <c r="B5289" t="str">
        <f>"03/23/2000 00:00"</f>
        <v>03/23/2000 00:00</v>
      </c>
      <c r="C5289">
        <v>107</v>
      </c>
      <c r="D5289" t="s">
        <v>7</v>
      </c>
      <c r="E5289" s="2" t="s">
        <v>12</v>
      </c>
      <c r="F5289">
        <f t="shared" si="82"/>
        <v>212.18100000000001</v>
      </c>
      <c r="G5289" t="s">
        <v>16</v>
      </c>
      <c r="J5289" t="str">
        <f>"03/23/2000 23:45"</f>
        <v>03/23/2000 23:45</v>
      </c>
    </row>
    <row r="5290" spans="1:10" x14ac:dyDescent="0.3">
      <c r="A5290" t="s">
        <v>6</v>
      </c>
      <c r="B5290" t="str">
        <f>"03/24/2000 00:00"</f>
        <v>03/24/2000 00:00</v>
      </c>
      <c r="C5290">
        <v>106</v>
      </c>
      <c r="D5290" t="s">
        <v>7</v>
      </c>
      <c r="E5290" s="2" t="s">
        <v>12</v>
      </c>
      <c r="F5290">
        <f t="shared" si="82"/>
        <v>210.19800000000001</v>
      </c>
      <c r="G5290" t="s">
        <v>16</v>
      </c>
      <c r="J5290" t="str">
        <f>"03/24/2000 23:45"</f>
        <v>03/24/2000 23:45</v>
      </c>
    </row>
    <row r="5291" spans="1:10" x14ac:dyDescent="0.3">
      <c r="A5291" t="s">
        <v>6</v>
      </c>
      <c r="B5291" t="str">
        <f>"03/25/2000 00:00"</f>
        <v>03/25/2000 00:00</v>
      </c>
      <c r="C5291">
        <v>111</v>
      </c>
      <c r="D5291" t="s">
        <v>7</v>
      </c>
      <c r="E5291" s="2" t="s">
        <v>12</v>
      </c>
      <c r="F5291">
        <f t="shared" si="82"/>
        <v>220.113</v>
      </c>
      <c r="G5291" t="s">
        <v>16</v>
      </c>
      <c r="J5291" t="str">
        <f>"03/25/2000 23:45"</f>
        <v>03/25/2000 23:45</v>
      </c>
    </row>
    <row r="5292" spans="1:10" x14ac:dyDescent="0.3">
      <c r="A5292" t="s">
        <v>6</v>
      </c>
      <c r="B5292" t="str">
        <f>"03/26/2000 00:00"</f>
        <v>03/26/2000 00:00</v>
      </c>
      <c r="C5292">
        <v>109</v>
      </c>
      <c r="D5292" t="s">
        <v>7</v>
      </c>
      <c r="E5292" s="2" t="s">
        <v>12</v>
      </c>
      <c r="F5292">
        <f t="shared" si="82"/>
        <v>216.14700000000002</v>
      </c>
      <c r="G5292" t="s">
        <v>16</v>
      </c>
      <c r="J5292" t="str">
        <f>"03/26/2000 23:45"</f>
        <v>03/26/2000 23:45</v>
      </c>
    </row>
    <row r="5293" spans="1:10" x14ac:dyDescent="0.3">
      <c r="A5293" t="s">
        <v>6</v>
      </c>
      <c r="B5293" t="str">
        <f>"03/27/2000 00:00"</f>
        <v>03/27/2000 00:00</v>
      </c>
      <c r="C5293">
        <v>109</v>
      </c>
      <c r="D5293" t="s">
        <v>7</v>
      </c>
      <c r="E5293" s="2" t="s">
        <v>12</v>
      </c>
      <c r="F5293">
        <f t="shared" si="82"/>
        <v>216.14700000000002</v>
      </c>
      <c r="G5293" t="s">
        <v>16</v>
      </c>
      <c r="J5293" t="str">
        <f>"03/27/2000 23:45"</f>
        <v>03/27/2000 23:45</v>
      </c>
    </row>
    <row r="5294" spans="1:10" x14ac:dyDescent="0.3">
      <c r="A5294" t="s">
        <v>6</v>
      </c>
      <c r="B5294" t="str">
        <f>"03/28/2000 00:00"</f>
        <v>03/28/2000 00:00</v>
      </c>
      <c r="C5294">
        <v>106</v>
      </c>
      <c r="D5294" t="s">
        <v>7</v>
      </c>
      <c r="E5294" s="2" t="s">
        <v>12</v>
      </c>
      <c r="F5294">
        <f t="shared" si="82"/>
        <v>210.19800000000001</v>
      </c>
      <c r="G5294" t="s">
        <v>16</v>
      </c>
      <c r="J5294" t="str">
        <f>"03/28/2000 23:45"</f>
        <v>03/28/2000 23:45</v>
      </c>
    </row>
    <row r="5295" spans="1:10" x14ac:dyDescent="0.3">
      <c r="A5295" t="s">
        <v>6</v>
      </c>
      <c r="B5295" t="str">
        <f>"03/29/2000 00:00"</f>
        <v>03/29/2000 00:00</v>
      </c>
      <c r="C5295">
        <v>110</v>
      </c>
      <c r="D5295" t="s">
        <v>7</v>
      </c>
      <c r="E5295" s="2" t="s">
        <v>12</v>
      </c>
      <c r="F5295">
        <f t="shared" si="82"/>
        <v>218.13000000000002</v>
      </c>
      <c r="G5295" t="s">
        <v>16</v>
      </c>
      <c r="J5295" t="str">
        <f>"03/29/2000 23:45"</f>
        <v>03/29/2000 23:45</v>
      </c>
    </row>
    <row r="5296" spans="1:10" x14ac:dyDescent="0.3">
      <c r="A5296" t="s">
        <v>6</v>
      </c>
      <c r="B5296" t="str">
        <f>"03/30/2000 00:00"</f>
        <v>03/30/2000 00:00</v>
      </c>
      <c r="C5296">
        <v>110</v>
      </c>
      <c r="D5296" t="s">
        <v>7</v>
      </c>
      <c r="E5296" s="2" t="s">
        <v>12</v>
      </c>
      <c r="F5296">
        <f t="shared" si="82"/>
        <v>218.13000000000002</v>
      </c>
      <c r="G5296" t="s">
        <v>16</v>
      </c>
      <c r="J5296" t="str">
        <f>"03/30/2000 21:45"</f>
        <v>03/30/2000 21:45</v>
      </c>
    </row>
    <row r="5297" spans="1:10" x14ac:dyDescent="0.3">
      <c r="A5297" t="s">
        <v>6</v>
      </c>
      <c r="B5297" t="str">
        <f>"03/31/2000 00:00"</f>
        <v>03/31/2000 00:00</v>
      </c>
      <c r="C5297">
        <v>89.6</v>
      </c>
      <c r="D5297" t="s">
        <v>7</v>
      </c>
      <c r="E5297" s="2" t="s">
        <v>12</v>
      </c>
      <c r="F5297">
        <f t="shared" si="82"/>
        <v>177.67679999999999</v>
      </c>
      <c r="G5297" t="s">
        <v>16</v>
      </c>
      <c r="J5297" t="str">
        <f>"03/31/2000 23:45"</f>
        <v>03/31/2000 23:45</v>
      </c>
    </row>
    <row r="5298" spans="1:10" x14ac:dyDescent="0.3">
      <c r="A5298" t="s">
        <v>6</v>
      </c>
      <c r="B5298" t="str">
        <f>"04/01/2000 00:00"</f>
        <v>04/01/2000 00:00</v>
      </c>
      <c r="C5298">
        <v>61.8</v>
      </c>
      <c r="D5298" t="s">
        <v>7</v>
      </c>
      <c r="E5298" s="2" t="s">
        <v>12</v>
      </c>
      <c r="F5298">
        <f t="shared" si="82"/>
        <v>122.54940000000001</v>
      </c>
      <c r="G5298" t="s">
        <v>16</v>
      </c>
      <c r="J5298" t="str">
        <f>"04/01/2000 23:45"</f>
        <v>04/01/2000 23:45</v>
      </c>
    </row>
    <row r="5299" spans="1:10" x14ac:dyDescent="0.3">
      <c r="A5299" t="s">
        <v>6</v>
      </c>
      <c r="B5299" t="str">
        <f>"04/02/2000 00:00"</f>
        <v>04/02/2000 00:00</v>
      </c>
      <c r="C5299">
        <v>35.200000000000003</v>
      </c>
      <c r="D5299" t="s">
        <v>7</v>
      </c>
      <c r="E5299" s="2" t="s">
        <v>12</v>
      </c>
      <c r="F5299">
        <f t="shared" si="82"/>
        <v>69.801600000000008</v>
      </c>
      <c r="G5299" t="s">
        <v>16</v>
      </c>
      <c r="J5299" t="str">
        <f>"04/02/2000 23:45"</f>
        <v>04/02/2000 23:45</v>
      </c>
    </row>
    <row r="5300" spans="1:10" x14ac:dyDescent="0.3">
      <c r="A5300" t="s">
        <v>6</v>
      </c>
      <c r="B5300" t="str">
        <f>"04/03/2000 00:00"</f>
        <v>04/03/2000 00:00</v>
      </c>
      <c r="C5300">
        <v>10.9</v>
      </c>
      <c r="D5300" t="s">
        <v>7</v>
      </c>
      <c r="E5300" s="2" t="s">
        <v>12</v>
      </c>
      <c r="F5300">
        <f t="shared" si="82"/>
        <v>21.614700000000003</v>
      </c>
      <c r="G5300" t="s">
        <v>16</v>
      </c>
      <c r="J5300" t="str">
        <f>"04/03/2000 23:45"</f>
        <v>04/03/2000 23:45</v>
      </c>
    </row>
    <row r="5301" spans="1:10" x14ac:dyDescent="0.3">
      <c r="A5301" t="s">
        <v>6</v>
      </c>
      <c r="B5301" t="str">
        <f>"04/04/2000 00:00"</f>
        <v>04/04/2000 00:00</v>
      </c>
      <c r="C5301">
        <v>3.62</v>
      </c>
      <c r="D5301" t="s">
        <v>7</v>
      </c>
      <c r="E5301" s="2" t="s">
        <v>12</v>
      </c>
      <c r="F5301">
        <f t="shared" si="82"/>
        <v>7.1784600000000003</v>
      </c>
      <c r="G5301" t="s">
        <v>16</v>
      </c>
      <c r="J5301" t="str">
        <f>"04/04/2000 23:45"</f>
        <v>04/04/2000 23:45</v>
      </c>
    </row>
    <row r="5302" spans="1:10" x14ac:dyDescent="0.3">
      <c r="A5302" t="s">
        <v>6</v>
      </c>
      <c r="B5302" t="str">
        <f>"04/05/2000 00:00"</f>
        <v>04/05/2000 00:00</v>
      </c>
      <c r="C5302">
        <v>3.66</v>
      </c>
      <c r="D5302" t="s">
        <v>7</v>
      </c>
      <c r="E5302" s="2" t="s">
        <v>12</v>
      </c>
      <c r="F5302">
        <f t="shared" si="82"/>
        <v>7.2577800000000003</v>
      </c>
      <c r="G5302" t="s">
        <v>16</v>
      </c>
      <c r="J5302" t="str">
        <f>"04/05/2000 23:45"</f>
        <v>04/05/2000 23:45</v>
      </c>
    </row>
    <row r="5303" spans="1:10" x14ac:dyDescent="0.3">
      <c r="A5303" t="s">
        <v>6</v>
      </c>
      <c r="B5303" t="str">
        <f>"04/06/2000 00:00"</f>
        <v>04/06/2000 00:00</v>
      </c>
      <c r="C5303">
        <v>3.62</v>
      </c>
      <c r="D5303" t="s">
        <v>7</v>
      </c>
      <c r="E5303" s="2" t="s">
        <v>12</v>
      </c>
      <c r="F5303">
        <f t="shared" si="82"/>
        <v>7.1784600000000003</v>
      </c>
      <c r="G5303" t="s">
        <v>16</v>
      </c>
      <c r="J5303" t="str">
        <f>"04/06/2000 23:45"</f>
        <v>04/06/2000 23:45</v>
      </c>
    </row>
    <row r="5304" spans="1:10" x14ac:dyDescent="0.3">
      <c r="A5304" t="s">
        <v>6</v>
      </c>
      <c r="B5304" t="str">
        <f>"04/07/2000 00:00"</f>
        <v>04/07/2000 00:00</v>
      </c>
      <c r="C5304">
        <v>3.44</v>
      </c>
      <c r="D5304" t="s">
        <v>7</v>
      </c>
      <c r="E5304" s="2" t="s">
        <v>12</v>
      </c>
      <c r="F5304">
        <f t="shared" si="82"/>
        <v>6.8215200000000005</v>
      </c>
      <c r="G5304" t="s">
        <v>16</v>
      </c>
      <c r="J5304" t="str">
        <f>"04/07/2000 23:45"</f>
        <v>04/07/2000 23:45</v>
      </c>
    </row>
    <row r="5305" spans="1:10" x14ac:dyDescent="0.3">
      <c r="A5305" t="s">
        <v>6</v>
      </c>
      <c r="B5305" t="str">
        <f>"04/08/2000 00:00"</f>
        <v>04/08/2000 00:00</v>
      </c>
      <c r="C5305">
        <v>3.25</v>
      </c>
      <c r="D5305" t="s">
        <v>7</v>
      </c>
      <c r="E5305" s="2" t="s">
        <v>12</v>
      </c>
      <c r="F5305">
        <f t="shared" si="82"/>
        <v>6.44475</v>
      </c>
      <c r="G5305" t="s">
        <v>16</v>
      </c>
      <c r="J5305" t="str">
        <f>"04/08/2000 23:45"</f>
        <v>04/08/2000 23:45</v>
      </c>
    </row>
    <row r="5306" spans="1:10" x14ac:dyDescent="0.3">
      <c r="A5306" t="s">
        <v>6</v>
      </c>
      <c r="B5306" t="str">
        <f>"04/09/2000 00:00"</f>
        <v>04/09/2000 00:00</v>
      </c>
      <c r="C5306">
        <v>3.14</v>
      </c>
      <c r="D5306" t="s">
        <v>7</v>
      </c>
      <c r="E5306" s="2" t="s">
        <v>12</v>
      </c>
      <c r="F5306">
        <f t="shared" si="82"/>
        <v>6.2266200000000005</v>
      </c>
      <c r="G5306" t="s">
        <v>16</v>
      </c>
      <c r="J5306" t="str">
        <f>"04/09/2000 23:45"</f>
        <v>04/09/2000 23:45</v>
      </c>
    </row>
    <row r="5307" spans="1:10" x14ac:dyDescent="0.3">
      <c r="A5307" t="s">
        <v>6</v>
      </c>
      <c r="B5307" t="str">
        <f>"04/10/2000 00:00"</f>
        <v>04/10/2000 00:00</v>
      </c>
      <c r="C5307">
        <v>3.26</v>
      </c>
      <c r="D5307" t="s">
        <v>7</v>
      </c>
      <c r="E5307" s="2" t="s">
        <v>12</v>
      </c>
      <c r="F5307">
        <f t="shared" si="82"/>
        <v>6.4645799999999998</v>
      </c>
      <c r="G5307" t="s">
        <v>16</v>
      </c>
      <c r="J5307" t="str">
        <f>"04/10/2000 23:45"</f>
        <v>04/10/2000 23:45</v>
      </c>
    </row>
    <row r="5308" spans="1:10" x14ac:dyDescent="0.3">
      <c r="A5308" t="s">
        <v>6</v>
      </c>
      <c r="B5308" t="str">
        <f>"04/11/2000 00:00"</f>
        <v>04/11/2000 00:00</v>
      </c>
      <c r="C5308">
        <v>3.11</v>
      </c>
      <c r="D5308" t="s">
        <v>7</v>
      </c>
      <c r="E5308" s="2" t="s">
        <v>12</v>
      </c>
      <c r="F5308">
        <f t="shared" si="82"/>
        <v>6.1671300000000002</v>
      </c>
      <c r="G5308" t="s">
        <v>16</v>
      </c>
      <c r="J5308" t="str">
        <f>"04/11/2000 23:45"</f>
        <v>04/11/2000 23:45</v>
      </c>
    </row>
    <row r="5309" spans="1:10" x14ac:dyDescent="0.3">
      <c r="A5309" t="s">
        <v>6</v>
      </c>
      <c r="B5309" t="str">
        <f>"04/12/2000 00:00"</f>
        <v>04/12/2000 00:00</v>
      </c>
      <c r="C5309">
        <v>2.99</v>
      </c>
      <c r="D5309" t="s">
        <v>7</v>
      </c>
      <c r="E5309" s="2" t="s">
        <v>12</v>
      </c>
      <c r="F5309">
        <f t="shared" si="82"/>
        <v>5.9291700000000009</v>
      </c>
      <c r="G5309" t="s">
        <v>16</v>
      </c>
      <c r="J5309" t="str">
        <f>"04/12/2000 23:45"</f>
        <v>04/12/2000 23:45</v>
      </c>
    </row>
    <row r="5310" spans="1:10" x14ac:dyDescent="0.3">
      <c r="A5310" t="s">
        <v>6</v>
      </c>
      <c r="B5310" t="str">
        <f>"04/13/2000 00:00"</f>
        <v>04/13/2000 00:00</v>
      </c>
      <c r="C5310">
        <v>3.12</v>
      </c>
      <c r="D5310" t="s">
        <v>7</v>
      </c>
      <c r="E5310" s="2" t="s">
        <v>12</v>
      </c>
      <c r="F5310">
        <f t="shared" si="82"/>
        <v>6.1869600000000009</v>
      </c>
      <c r="G5310" t="s">
        <v>16</v>
      </c>
      <c r="J5310" t="str">
        <f>"04/13/2000 23:45"</f>
        <v>04/13/2000 23:45</v>
      </c>
    </row>
    <row r="5311" spans="1:10" x14ac:dyDescent="0.3">
      <c r="A5311" t="s">
        <v>6</v>
      </c>
      <c r="B5311" t="str">
        <f>"04/14/2000 00:00"</f>
        <v>04/14/2000 00:00</v>
      </c>
      <c r="C5311">
        <v>2.91</v>
      </c>
      <c r="D5311" t="s">
        <v>7</v>
      </c>
      <c r="E5311" s="2" t="s">
        <v>12</v>
      </c>
      <c r="F5311">
        <f t="shared" si="82"/>
        <v>5.7705300000000008</v>
      </c>
      <c r="G5311" t="s">
        <v>16</v>
      </c>
      <c r="J5311" t="str">
        <f>"04/14/2000 23:45"</f>
        <v>04/14/2000 23:45</v>
      </c>
    </row>
    <row r="5312" spans="1:10" x14ac:dyDescent="0.3">
      <c r="A5312" t="s">
        <v>6</v>
      </c>
      <c r="B5312" t="str">
        <f>"04/15/2000 00:00"</f>
        <v>04/15/2000 00:00</v>
      </c>
      <c r="C5312">
        <v>2.82</v>
      </c>
      <c r="D5312" t="s">
        <v>7</v>
      </c>
      <c r="E5312" s="2" t="s">
        <v>12</v>
      </c>
      <c r="F5312">
        <f t="shared" si="82"/>
        <v>5.59206</v>
      </c>
      <c r="G5312" t="s">
        <v>16</v>
      </c>
      <c r="J5312" t="str">
        <f>"04/15/2000 22:45"</f>
        <v>04/15/2000 22:45</v>
      </c>
    </row>
    <row r="5313" spans="1:10" x14ac:dyDescent="0.3">
      <c r="A5313" t="s">
        <v>6</v>
      </c>
      <c r="B5313" t="str">
        <f>"04/16/2000 00:00"</f>
        <v>04/16/2000 00:00</v>
      </c>
      <c r="C5313">
        <v>3.2</v>
      </c>
      <c r="D5313" t="s">
        <v>7</v>
      </c>
      <c r="E5313" s="2" t="s">
        <v>12</v>
      </c>
      <c r="F5313">
        <f t="shared" si="82"/>
        <v>6.345600000000001</v>
      </c>
      <c r="G5313" t="s">
        <v>16</v>
      </c>
      <c r="J5313" t="str">
        <f>"04/16/2000 23:45"</f>
        <v>04/16/2000 23:45</v>
      </c>
    </row>
    <row r="5314" spans="1:10" x14ac:dyDescent="0.3">
      <c r="A5314" t="s">
        <v>6</v>
      </c>
      <c r="B5314" t="str">
        <f>"04/17/2000 00:00"</f>
        <v>04/17/2000 00:00</v>
      </c>
      <c r="C5314">
        <v>3.12</v>
      </c>
      <c r="D5314" t="s">
        <v>7</v>
      </c>
      <c r="E5314" s="2" t="s">
        <v>12</v>
      </c>
      <c r="F5314">
        <f t="shared" si="82"/>
        <v>6.1869600000000009</v>
      </c>
      <c r="G5314" t="s">
        <v>16</v>
      </c>
      <c r="J5314" t="str">
        <f>"04/17/2000 23:45"</f>
        <v>04/17/2000 23:45</v>
      </c>
    </row>
    <row r="5315" spans="1:10" x14ac:dyDescent="0.3">
      <c r="A5315" t="s">
        <v>6</v>
      </c>
      <c r="B5315" t="str">
        <f>"04/18/2000 00:00"</f>
        <v>04/18/2000 00:00</v>
      </c>
      <c r="C5315">
        <v>3.11</v>
      </c>
      <c r="D5315" t="s">
        <v>7</v>
      </c>
      <c r="E5315" s="2" t="s">
        <v>12</v>
      </c>
      <c r="F5315">
        <f t="shared" ref="F5315:F5378" si="83">C5315*1.983</f>
        <v>6.1671300000000002</v>
      </c>
      <c r="G5315" t="s">
        <v>16</v>
      </c>
      <c r="J5315" t="str">
        <f>"04/18/2000 23:45"</f>
        <v>04/18/2000 23:45</v>
      </c>
    </row>
    <row r="5316" spans="1:10" x14ac:dyDescent="0.3">
      <c r="A5316" t="s">
        <v>6</v>
      </c>
      <c r="B5316" t="str">
        <f>"04/19/2000 00:00"</f>
        <v>04/19/2000 00:00</v>
      </c>
      <c r="C5316">
        <v>2.92</v>
      </c>
      <c r="D5316" t="s">
        <v>7</v>
      </c>
      <c r="E5316" s="2" t="s">
        <v>12</v>
      </c>
      <c r="F5316">
        <f t="shared" si="83"/>
        <v>5.7903599999999997</v>
      </c>
      <c r="G5316" t="s">
        <v>16</v>
      </c>
      <c r="J5316" t="str">
        <f>"04/19/2000 23:45"</f>
        <v>04/19/2000 23:45</v>
      </c>
    </row>
    <row r="5317" spans="1:10" x14ac:dyDescent="0.3">
      <c r="A5317" t="s">
        <v>6</v>
      </c>
      <c r="B5317" t="str">
        <f>"04/20/2000 00:00"</f>
        <v>04/20/2000 00:00</v>
      </c>
      <c r="C5317">
        <v>2.91</v>
      </c>
      <c r="D5317" t="s">
        <v>7</v>
      </c>
      <c r="E5317" s="2" t="s">
        <v>12</v>
      </c>
      <c r="F5317">
        <f t="shared" si="83"/>
        <v>5.7705300000000008</v>
      </c>
      <c r="G5317" t="s">
        <v>16</v>
      </c>
      <c r="J5317" t="str">
        <f>"04/20/2000 23:45"</f>
        <v>04/20/2000 23:45</v>
      </c>
    </row>
    <row r="5318" spans="1:10" x14ac:dyDescent="0.3">
      <c r="A5318" t="s">
        <v>6</v>
      </c>
      <c r="B5318" t="str">
        <f>"04/21/2000 00:00"</f>
        <v>04/21/2000 00:00</v>
      </c>
      <c r="C5318">
        <v>3.1</v>
      </c>
      <c r="D5318" t="s">
        <v>7</v>
      </c>
      <c r="E5318" s="2" t="s">
        <v>12</v>
      </c>
      <c r="F5318">
        <f t="shared" si="83"/>
        <v>6.1473000000000004</v>
      </c>
      <c r="G5318" t="s">
        <v>16</v>
      </c>
      <c r="J5318" t="str">
        <f>"04/21/2000 23:45"</f>
        <v>04/21/2000 23:45</v>
      </c>
    </row>
    <row r="5319" spans="1:10" x14ac:dyDescent="0.3">
      <c r="A5319" t="s">
        <v>6</v>
      </c>
      <c r="B5319" t="str">
        <f>"04/22/2000 00:00"</f>
        <v>04/22/2000 00:00</v>
      </c>
      <c r="C5319">
        <v>2.91</v>
      </c>
      <c r="D5319" t="s">
        <v>7</v>
      </c>
      <c r="E5319" s="2" t="s">
        <v>12</v>
      </c>
      <c r="F5319">
        <f t="shared" si="83"/>
        <v>5.7705300000000008</v>
      </c>
      <c r="G5319" t="s">
        <v>16</v>
      </c>
      <c r="J5319" t="str">
        <f>"04/22/2000 23:45"</f>
        <v>04/22/2000 23:45</v>
      </c>
    </row>
    <row r="5320" spans="1:10" x14ac:dyDescent="0.3">
      <c r="A5320" t="s">
        <v>6</v>
      </c>
      <c r="B5320" t="str">
        <f>"04/23/2000 00:00"</f>
        <v>04/23/2000 00:00</v>
      </c>
      <c r="C5320">
        <v>2.91</v>
      </c>
      <c r="D5320" t="s">
        <v>7</v>
      </c>
      <c r="E5320" s="2" t="s">
        <v>12</v>
      </c>
      <c r="F5320">
        <f t="shared" si="83"/>
        <v>5.7705300000000008</v>
      </c>
      <c r="G5320" t="s">
        <v>16</v>
      </c>
      <c r="J5320" t="str">
        <f>"04/23/2000 23:45"</f>
        <v>04/23/2000 23:45</v>
      </c>
    </row>
    <row r="5321" spans="1:10" x14ac:dyDescent="0.3">
      <c r="A5321" t="s">
        <v>6</v>
      </c>
      <c r="B5321" t="str">
        <f>"04/24/2000 00:00"</f>
        <v>04/24/2000 00:00</v>
      </c>
      <c r="C5321">
        <v>2.91</v>
      </c>
      <c r="D5321" t="s">
        <v>7</v>
      </c>
      <c r="E5321" s="2" t="s">
        <v>12</v>
      </c>
      <c r="F5321">
        <f t="shared" si="83"/>
        <v>5.7705300000000008</v>
      </c>
      <c r="G5321" t="s">
        <v>16</v>
      </c>
      <c r="J5321" t="str">
        <f>"04/24/2000 23:45"</f>
        <v>04/24/2000 23:45</v>
      </c>
    </row>
    <row r="5322" spans="1:10" x14ac:dyDescent="0.3">
      <c r="A5322" t="s">
        <v>6</v>
      </c>
      <c r="B5322" t="str">
        <f>"04/25/2000 00:00"</f>
        <v>04/25/2000 00:00</v>
      </c>
      <c r="C5322">
        <v>2.91</v>
      </c>
      <c r="D5322" t="s">
        <v>7</v>
      </c>
      <c r="E5322" s="2" t="s">
        <v>12</v>
      </c>
      <c r="F5322">
        <f t="shared" si="83"/>
        <v>5.7705300000000008</v>
      </c>
      <c r="G5322" t="s">
        <v>16</v>
      </c>
      <c r="J5322" t="str">
        <f>"04/25/2000 23:45"</f>
        <v>04/25/2000 23:45</v>
      </c>
    </row>
    <row r="5323" spans="1:10" x14ac:dyDescent="0.3">
      <c r="A5323" t="s">
        <v>6</v>
      </c>
      <c r="B5323" t="str">
        <f>"04/26/2000 00:00"</f>
        <v>04/26/2000 00:00</v>
      </c>
      <c r="C5323">
        <v>2.91</v>
      </c>
      <c r="D5323" t="s">
        <v>7</v>
      </c>
      <c r="E5323" s="2" t="s">
        <v>12</v>
      </c>
      <c r="F5323">
        <f t="shared" si="83"/>
        <v>5.7705300000000008</v>
      </c>
      <c r="G5323" t="s">
        <v>16</v>
      </c>
      <c r="J5323" t="str">
        <f>"04/26/2000 23:45"</f>
        <v>04/26/2000 23:45</v>
      </c>
    </row>
    <row r="5324" spans="1:10" x14ac:dyDescent="0.3">
      <c r="A5324" t="s">
        <v>6</v>
      </c>
      <c r="B5324" t="str">
        <f>"04/27/2000 00:00"</f>
        <v>04/27/2000 00:00</v>
      </c>
      <c r="C5324">
        <v>2.58</v>
      </c>
      <c r="D5324" t="s">
        <v>7</v>
      </c>
      <c r="E5324" s="2" t="s">
        <v>12</v>
      </c>
      <c r="F5324">
        <f t="shared" si="83"/>
        <v>5.1161400000000006</v>
      </c>
      <c r="G5324" t="s">
        <v>16</v>
      </c>
      <c r="J5324" t="str">
        <f>"04/27/2000 23:45"</f>
        <v>04/27/2000 23:45</v>
      </c>
    </row>
    <row r="5325" spans="1:10" x14ac:dyDescent="0.3">
      <c r="A5325" t="s">
        <v>6</v>
      </c>
      <c r="B5325" t="str">
        <f>"04/28/2000 00:00"</f>
        <v>04/28/2000 00:00</v>
      </c>
      <c r="C5325">
        <v>2.91</v>
      </c>
      <c r="D5325" t="s">
        <v>7</v>
      </c>
      <c r="E5325" s="2" t="s">
        <v>12</v>
      </c>
      <c r="F5325">
        <f t="shared" si="83"/>
        <v>5.7705300000000008</v>
      </c>
      <c r="G5325" t="s">
        <v>16</v>
      </c>
      <c r="J5325" t="str">
        <f>"04/28/2000 23:45"</f>
        <v>04/28/2000 23:45</v>
      </c>
    </row>
    <row r="5326" spans="1:10" x14ac:dyDescent="0.3">
      <c r="A5326" t="s">
        <v>6</v>
      </c>
      <c r="B5326" t="str">
        <f>"04/29/2000 00:00"</f>
        <v>04/29/2000 00:00</v>
      </c>
      <c r="C5326">
        <v>2.91</v>
      </c>
      <c r="D5326" t="s">
        <v>7</v>
      </c>
      <c r="E5326" s="2" t="s">
        <v>12</v>
      </c>
      <c r="F5326">
        <f t="shared" si="83"/>
        <v>5.7705300000000008</v>
      </c>
      <c r="G5326" t="s">
        <v>16</v>
      </c>
      <c r="J5326" t="str">
        <f>"04/29/2000 23:45"</f>
        <v>04/29/2000 23:45</v>
      </c>
    </row>
    <row r="5327" spans="1:10" x14ac:dyDescent="0.3">
      <c r="A5327" t="s">
        <v>6</v>
      </c>
      <c r="B5327" t="str">
        <f>"04/30/2000 00:00"</f>
        <v>04/30/2000 00:00</v>
      </c>
      <c r="C5327">
        <v>2.91</v>
      </c>
      <c r="D5327" t="s">
        <v>7</v>
      </c>
      <c r="E5327" s="2" t="s">
        <v>12</v>
      </c>
      <c r="F5327">
        <f t="shared" si="83"/>
        <v>5.7705300000000008</v>
      </c>
      <c r="G5327" t="s">
        <v>16</v>
      </c>
      <c r="J5327" t="str">
        <f>"04/30/2000 23:45"</f>
        <v>04/30/2000 23:45</v>
      </c>
    </row>
    <row r="5328" spans="1:10" x14ac:dyDescent="0.3">
      <c r="A5328" t="s">
        <v>6</v>
      </c>
      <c r="B5328" t="str">
        <f>"05/01/2000 00:00"</f>
        <v>05/01/2000 00:00</v>
      </c>
      <c r="C5328">
        <v>3.04</v>
      </c>
      <c r="D5328" t="s">
        <v>7</v>
      </c>
      <c r="E5328" s="2" t="s">
        <v>12</v>
      </c>
      <c r="F5328">
        <f t="shared" si="83"/>
        <v>6.0283200000000008</v>
      </c>
      <c r="G5328" t="s">
        <v>16</v>
      </c>
      <c r="J5328" t="str">
        <f>"05/01/2000 23:45"</f>
        <v>05/01/2000 23:45</v>
      </c>
    </row>
    <row r="5329" spans="1:10" x14ac:dyDescent="0.3">
      <c r="A5329" t="s">
        <v>6</v>
      </c>
      <c r="B5329" t="str">
        <f>"05/02/2000 00:00"</f>
        <v>05/02/2000 00:00</v>
      </c>
      <c r="C5329">
        <v>2.91</v>
      </c>
      <c r="D5329" t="s">
        <v>7</v>
      </c>
      <c r="E5329" s="2" t="s">
        <v>12</v>
      </c>
      <c r="F5329">
        <f t="shared" si="83"/>
        <v>5.7705300000000008</v>
      </c>
      <c r="G5329" t="s">
        <v>16</v>
      </c>
      <c r="J5329" t="str">
        <f>"05/02/2000 23:45"</f>
        <v>05/02/2000 23:45</v>
      </c>
    </row>
    <row r="5330" spans="1:10" x14ac:dyDescent="0.3">
      <c r="A5330" t="s">
        <v>6</v>
      </c>
      <c r="B5330" t="str">
        <f>"05/03/2000 00:00"</f>
        <v>05/03/2000 00:00</v>
      </c>
      <c r="C5330">
        <v>2.84</v>
      </c>
      <c r="D5330" t="s">
        <v>7</v>
      </c>
      <c r="E5330" s="2" t="s">
        <v>12</v>
      </c>
      <c r="F5330">
        <f t="shared" si="83"/>
        <v>5.6317199999999996</v>
      </c>
      <c r="G5330" t="s">
        <v>16</v>
      </c>
      <c r="J5330" t="str">
        <f>"05/03/2000 23:45"</f>
        <v>05/03/2000 23:45</v>
      </c>
    </row>
    <row r="5331" spans="1:10" x14ac:dyDescent="0.3">
      <c r="A5331" t="s">
        <v>6</v>
      </c>
      <c r="B5331" t="str">
        <f>"05/04/2000 00:00"</f>
        <v>05/04/2000 00:00</v>
      </c>
      <c r="C5331">
        <v>2.73</v>
      </c>
      <c r="D5331" t="s">
        <v>7</v>
      </c>
      <c r="E5331" s="2" t="s">
        <v>12</v>
      </c>
      <c r="F5331">
        <f t="shared" si="83"/>
        <v>5.4135900000000001</v>
      </c>
      <c r="G5331" t="s">
        <v>16</v>
      </c>
      <c r="J5331" t="str">
        <f>"05/04/2000 23:45"</f>
        <v>05/04/2000 23:45</v>
      </c>
    </row>
    <row r="5332" spans="1:10" x14ac:dyDescent="0.3">
      <c r="A5332" t="s">
        <v>6</v>
      </c>
      <c r="B5332" t="str">
        <f>"05/05/2000 00:00"</f>
        <v>05/05/2000 00:00</v>
      </c>
      <c r="C5332">
        <v>2.71</v>
      </c>
      <c r="D5332" t="s">
        <v>7</v>
      </c>
      <c r="E5332" s="2" t="s">
        <v>12</v>
      </c>
      <c r="F5332">
        <f t="shared" si="83"/>
        <v>5.3739300000000005</v>
      </c>
      <c r="G5332" t="s">
        <v>16</v>
      </c>
      <c r="J5332" t="str">
        <f>"05/05/2000 23:45"</f>
        <v>05/05/2000 23:45</v>
      </c>
    </row>
    <row r="5333" spans="1:10" x14ac:dyDescent="0.3">
      <c r="A5333" t="s">
        <v>6</v>
      </c>
      <c r="B5333" t="str">
        <f>"05/06/2000 00:00"</f>
        <v>05/06/2000 00:00</v>
      </c>
      <c r="C5333">
        <v>2.86</v>
      </c>
      <c r="D5333" t="s">
        <v>7</v>
      </c>
      <c r="E5333" s="2" t="s">
        <v>12</v>
      </c>
      <c r="F5333">
        <f t="shared" si="83"/>
        <v>5.6713800000000001</v>
      </c>
      <c r="G5333" t="s">
        <v>16</v>
      </c>
      <c r="J5333" t="str">
        <f>"05/06/2000 23:45"</f>
        <v>05/06/2000 23:45</v>
      </c>
    </row>
    <row r="5334" spans="1:10" x14ac:dyDescent="0.3">
      <c r="A5334" t="s">
        <v>6</v>
      </c>
      <c r="B5334" t="str">
        <f>"05/07/2000 00:00"</f>
        <v>05/07/2000 00:00</v>
      </c>
      <c r="C5334">
        <v>2.73</v>
      </c>
      <c r="D5334" t="s">
        <v>7</v>
      </c>
      <c r="E5334" s="2" t="s">
        <v>12</v>
      </c>
      <c r="F5334">
        <f t="shared" si="83"/>
        <v>5.4135900000000001</v>
      </c>
      <c r="G5334" t="s">
        <v>16</v>
      </c>
      <c r="J5334" t="str">
        <f>"05/07/2000 23:45"</f>
        <v>05/07/2000 23:45</v>
      </c>
    </row>
    <row r="5335" spans="1:10" x14ac:dyDescent="0.3">
      <c r="A5335" t="s">
        <v>6</v>
      </c>
      <c r="B5335" t="str">
        <f>"05/08/2000 00:00"</f>
        <v>05/08/2000 00:00</v>
      </c>
      <c r="C5335">
        <v>2.81</v>
      </c>
      <c r="D5335" t="s">
        <v>7</v>
      </c>
      <c r="E5335" s="2" t="s">
        <v>12</v>
      </c>
      <c r="F5335">
        <f t="shared" si="83"/>
        <v>5.5722300000000002</v>
      </c>
      <c r="G5335" t="s">
        <v>16</v>
      </c>
      <c r="J5335" t="str">
        <f>"05/08/2000 23:45"</f>
        <v>05/08/2000 23:45</v>
      </c>
    </row>
    <row r="5336" spans="1:10" x14ac:dyDescent="0.3">
      <c r="A5336" t="s">
        <v>6</v>
      </c>
      <c r="B5336" t="str">
        <f>"05/09/2000 00:00"</f>
        <v>05/09/2000 00:00</v>
      </c>
      <c r="C5336">
        <v>2.91</v>
      </c>
      <c r="D5336" t="s">
        <v>7</v>
      </c>
      <c r="E5336" s="2" t="s">
        <v>12</v>
      </c>
      <c r="F5336">
        <f t="shared" si="83"/>
        <v>5.7705300000000008</v>
      </c>
      <c r="G5336" t="s">
        <v>16</v>
      </c>
      <c r="J5336" t="str">
        <f>"05/09/2000 23:45"</f>
        <v>05/09/2000 23:45</v>
      </c>
    </row>
    <row r="5337" spans="1:10" x14ac:dyDescent="0.3">
      <c r="A5337" t="s">
        <v>6</v>
      </c>
      <c r="B5337" t="str">
        <f>"05/10/2000 00:00"</f>
        <v>05/10/2000 00:00</v>
      </c>
      <c r="C5337">
        <v>2.79</v>
      </c>
      <c r="D5337" t="s">
        <v>7</v>
      </c>
      <c r="E5337" s="2" t="s">
        <v>12</v>
      </c>
      <c r="F5337">
        <f t="shared" si="83"/>
        <v>5.5325700000000007</v>
      </c>
      <c r="G5337" t="s">
        <v>16</v>
      </c>
      <c r="J5337" t="str">
        <f>"05/10/2000 23:45"</f>
        <v>05/10/2000 23:45</v>
      </c>
    </row>
    <row r="5338" spans="1:10" x14ac:dyDescent="0.3">
      <c r="A5338" t="s">
        <v>6</v>
      </c>
      <c r="B5338" t="str">
        <f>"05/11/2000 00:00"</f>
        <v>05/11/2000 00:00</v>
      </c>
      <c r="C5338">
        <v>2.9</v>
      </c>
      <c r="D5338" t="s">
        <v>7</v>
      </c>
      <c r="E5338" s="2" t="s">
        <v>12</v>
      </c>
      <c r="F5338">
        <f t="shared" si="83"/>
        <v>5.7507000000000001</v>
      </c>
      <c r="G5338" t="s">
        <v>16</v>
      </c>
      <c r="J5338" t="str">
        <f>"05/11/2000 23:45"</f>
        <v>05/11/2000 23:45</v>
      </c>
    </row>
    <row r="5339" spans="1:10" x14ac:dyDescent="0.3">
      <c r="A5339" t="s">
        <v>6</v>
      </c>
      <c r="B5339" t="str">
        <f>"05/12/2000 00:00"</f>
        <v>05/12/2000 00:00</v>
      </c>
      <c r="C5339">
        <v>3.23</v>
      </c>
      <c r="D5339" t="s">
        <v>7</v>
      </c>
      <c r="E5339" s="2" t="s">
        <v>12</v>
      </c>
      <c r="F5339">
        <f t="shared" si="83"/>
        <v>6.4050900000000004</v>
      </c>
      <c r="G5339" t="s">
        <v>16</v>
      </c>
      <c r="J5339" t="str">
        <f>"05/12/2000 23:45"</f>
        <v>05/12/2000 23:45</v>
      </c>
    </row>
    <row r="5340" spans="1:10" x14ac:dyDescent="0.3">
      <c r="A5340" t="s">
        <v>6</v>
      </c>
      <c r="B5340" t="str">
        <f>"05/13/2000 00:00"</f>
        <v>05/13/2000 00:00</v>
      </c>
      <c r="C5340">
        <v>48.1</v>
      </c>
      <c r="D5340" t="s">
        <v>7</v>
      </c>
      <c r="E5340" s="2" t="s">
        <v>12</v>
      </c>
      <c r="F5340">
        <f t="shared" si="83"/>
        <v>95.382300000000001</v>
      </c>
      <c r="G5340" t="s">
        <v>16</v>
      </c>
      <c r="J5340" t="str">
        <f>"05/13/2000 23:45"</f>
        <v>05/13/2000 23:45</v>
      </c>
    </row>
    <row r="5341" spans="1:10" x14ac:dyDescent="0.3">
      <c r="A5341" t="s">
        <v>6</v>
      </c>
      <c r="B5341" t="str">
        <f>"05/14/2000 00:00"</f>
        <v>05/14/2000 00:00</v>
      </c>
      <c r="C5341">
        <v>152</v>
      </c>
      <c r="D5341" t="s">
        <v>7</v>
      </c>
      <c r="E5341" s="2" t="s">
        <v>12</v>
      </c>
      <c r="F5341">
        <f t="shared" si="83"/>
        <v>301.416</v>
      </c>
      <c r="G5341" t="s">
        <v>16</v>
      </c>
      <c r="J5341" t="str">
        <f>"05/14/2000 23:45"</f>
        <v>05/14/2000 23:45</v>
      </c>
    </row>
    <row r="5342" spans="1:10" x14ac:dyDescent="0.3">
      <c r="A5342" t="s">
        <v>6</v>
      </c>
      <c r="B5342" t="str">
        <f>"05/15/2000 00:00"</f>
        <v>05/15/2000 00:00</v>
      </c>
      <c r="C5342">
        <v>217</v>
      </c>
      <c r="D5342" t="s">
        <v>7</v>
      </c>
      <c r="E5342" s="2" t="s">
        <v>12</v>
      </c>
      <c r="F5342">
        <f t="shared" si="83"/>
        <v>430.31100000000004</v>
      </c>
      <c r="G5342" t="s">
        <v>16</v>
      </c>
      <c r="J5342" t="str">
        <f>"05/15/2000 23:45"</f>
        <v>05/15/2000 23:45</v>
      </c>
    </row>
    <row r="5343" spans="1:10" x14ac:dyDescent="0.3">
      <c r="A5343" t="s">
        <v>6</v>
      </c>
      <c r="B5343" t="str">
        <f>"05/16/2000 00:00"</f>
        <v>05/16/2000 00:00</v>
      </c>
      <c r="C5343">
        <v>229</v>
      </c>
      <c r="D5343" t="s">
        <v>7</v>
      </c>
      <c r="E5343" s="2" t="s">
        <v>12</v>
      </c>
      <c r="F5343">
        <f t="shared" si="83"/>
        <v>454.10700000000003</v>
      </c>
      <c r="G5343" t="s">
        <v>16</v>
      </c>
      <c r="J5343" t="str">
        <f>"05/16/2000 23:45"</f>
        <v>05/16/2000 23:45</v>
      </c>
    </row>
    <row r="5344" spans="1:10" x14ac:dyDescent="0.3">
      <c r="A5344" t="s">
        <v>6</v>
      </c>
      <c r="B5344" t="str">
        <f>"05/17/2000 00:00"</f>
        <v>05/17/2000 00:00</v>
      </c>
      <c r="C5344">
        <v>229</v>
      </c>
      <c r="D5344" t="s">
        <v>7</v>
      </c>
      <c r="E5344" s="2" t="s">
        <v>12</v>
      </c>
      <c r="F5344">
        <f t="shared" si="83"/>
        <v>454.10700000000003</v>
      </c>
      <c r="G5344" t="s">
        <v>16</v>
      </c>
      <c r="J5344" t="str">
        <f>"05/17/2000 23:45"</f>
        <v>05/17/2000 23:45</v>
      </c>
    </row>
    <row r="5345" spans="1:10" x14ac:dyDescent="0.3">
      <c r="A5345" t="s">
        <v>6</v>
      </c>
      <c r="B5345" t="str">
        <f>"05/18/2000 00:00"</f>
        <v>05/18/2000 00:00</v>
      </c>
      <c r="C5345">
        <v>229</v>
      </c>
      <c r="D5345" t="s">
        <v>7</v>
      </c>
      <c r="E5345" s="2" t="s">
        <v>12</v>
      </c>
      <c r="F5345">
        <f t="shared" si="83"/>
        <v>454.10700000000003</v>
      </c>
      <c r="G5345" t="s">
        <v>16</v>
      </c>
      <c r="J5345" t="str">
        <f>"05/18/2000 23:45"</f>
        <v>05/18/2000 23:45</v>
      </c>
    </row>
    <row r="5346" spans="1:10" x14ac:dyDescent="0.3">
      <c r="A5346" t="s">
        <v>6</v>
      </c>
      <c r="B5346" t="str">
        <f>"05/19/2000 00:00"</f>
        <v>05/19/2000 00:00</v>
      </c>
      <c r="C5346">
        <v>229</v>
      </c>
      <c r="D5346" t="s">
        <v>7</v>
      </c>
      <c r="E5346" s="2" t="s">
        <v>12</v>
      </c>
      <c r="F5346">
        <f t="shared" si="83"/>
        <v>454.10700000000003</v>
      </c>
      <c r="G5346" t="s">
        <v>16</v>
      </c>
      <c r="J5346" t="str">
        <f>"05/19/2000 23:45"</f>
        <v>05/19/2000 23:45</v>
      </c>
    </row>
    <row r="5347" spans="1:10" x14ac:dyDescent="0.3">
      <c r="A5347" t="s">
        <v>6</v>
      </c>
      <c r="B5347" t="str">
        <f>"05/20/2000 00:00"</f>
        <v>05/20/2000 00:00</v>
      </c>
      <c r="C5347">
        <v>229</v>
      </c>
      <c r="D5347" t="s">
        <v>7</v>
      </c>
      <c r="E5347" s="2" t="s">
        <v>12</v>
      </c>
      <c r="F5347">
        <f t="shared" si="83"/>
        <v>454.10700000000003</v>
      </c>
      <c r="G5347" t="s">
        <v>16</v>
      </c>
      <c r="J5347" t="str">
        <f>"05/20/2000 23:45"</f>
        <v>05/20/2000 23:45</v>
      </c>
    </row>
    <row r="5348" spans="1:10" x14ac:dyDescent="0.3">
      <c r="A5348" t="s">
        <v>6</v>
      </c>
      <c r="B5348" t="str">
        <f>"05/21/2000 00:00"</f>
        <v>05/21/2000 00:00</v>
      </c>
      <c r="C5348">
        <v>253</v>
      </c>
      <c r="D5348" t="s">
        <v>7</v>
      </c>
      <c r="E5348" s="2" t="s">
        <v>12</v>
      </c>
      <c r="F5348">
        <f t="shared" si="83"/>
        <v>501.69900000000001</v>
      </c>
      <c r="G5348" t="s">
        <v>16</v>
      </c>
      <c r="J5348" t="str">
        <f>"05/21/2000 23:45"</f>
        <v>05/21/2000 23:45</v>
      </c>
    </row>
    <row r="5349" spans="1:10" x14ac:dyDescent="0.3">
      <c r="A5349" t="s">
        <v>6</v>
      </c>
      <c r="B5349" t="str">
        <f>"05/22/2000 00:00"</f>
        <v>05/22/2000 00:00</v>
      </c>
      <c r="C5349">
        <v>307</v>
      </c>
      <c r="D5349" t="s">
        <v>7</v>
      </c>
      <c r="E5349" s="2" t="s">
        <v>12</v>
      </c>
      <c r="F5349">
        <f t="shared" si="83"/>
        <v>608.78100000000006</v>
      </c>
      <c r="G5349" t="s">
        <v>16</v>
      </c>
      <c r="J5349" t="str">
        <f>"05/22/2000 23:45"</f>
        <v>05/22/2000 23:45</v>
      </c>
    </row>
    <row r="5350" spans="1:10" x14ac:dyDescent="0.3">
      <c r="A5350" t="s">
        <v>6</v>
      </c>
      <c r="B5350" t="str">
        <f>"05/23/2000 00:00"</f>
        <v>05/23/2000 00:00</v>
      </c>
      <c r="C5350">
        <v>399</v>
      </c>
      <c r="D5350" t="s">
        <v>7</v>
      </c>
      <c r="E5350" s="2" t="s">
        <v>12</v>
      </c>
      <c r="F5350">
        <f t="shared" si="83"/>
        <v>791.21699999999998</v>
      </c>
      <c r="G5350" t="s">
        <v>16</v>
      </c>
      <c r="J5350" t="str">
        <f>"05/23/2000 23:45"</f>
        <v>05/23/2000 23:45</v>
      </c>
    </row>
    <row r="5351" spans="1:10" x14ac:dyDescent="0.3">
      <c r="A5351" t="s">
        <v>6</v>
      </c>
      <c r="B5351" t="str">
        <f>"05/24/2000 00:00"</f>
        <v>05/24/2000 00:00</v>
      </c>
      <c r="C5351">
        <v>449</v>
      </c>
      <c r="D5351" t="s">
        <v>7</v>
      </c>
      <c r="E5351" s="2" t="s">
        <v>12</v>
      </c>
      <c r="F5351">
        <f t="shared" si="83"/>
        <v>890.36700000000008</v>
      </c>
      <c r="G5351" t="s">
        <v>16</v>
      </c>
      <c r="J5351" t="str">
        <f>"05/24/2000 23:45"</f>
        <v>05/24/2000 23:45</v>
      </c>
    </row>
    <row r="5352" spans="1:10" x14ac:dyDescent="0.3">
      <c r="A5352" t="s">
        <v>6</v>
      </c>
      <c r="B5352" t="str">
        <f>"05/25/2000 00:00"</f>
        <v>05/25/2000 00:00</v>
      </c>
      <c r="C5352">
        <v>489</v>
      </c>
      <c r="D5352" t="s">
        <v>7</v>
      </c>
      <c r="E5352" s="2" t="s">
        <v>12</v>
      </c>
      <c r="F5352">
        <f t="shared" si="83"/>
        <v>969.68700000000001</v>
      </c>
      <c r="G5352" t="s">
        <v>16</v>
      </c>
      <c r="J5352" t="str">
        <f>"05/25/2000 23:45"</f>
        <v>05/25/2000 23:45</v>
      </c>
    </row>
    <row r="5353" spans="1:10" x14ac:dyDescent="0.3">
      <c r="A5353" t="s">
        <v>6</v>
      </c>
      <c r="B5353" t="str">
        <f>"05/26/2000 00:00"</f>
        <v>05/26/2000 00:00</v>
      </c>
      <c r="C5353">
        <v>366</v>
      </c>
      <c r="D5353" t="s">
        <v>7</v>
      </c>
      <c r="E5353" s="2" t="s">
        <v>12</v>
      </c>
      <c r="F5353">
        <f t="shared" si="83"/>
        <v>725.77800000000002</v>
      </c>
      <c r="G5353" t="s">
        <v>16</v>
      </c>
      <c r="J5353" t="str">
        <f>"05/26/2000 18:45"</f>
        <v>05/26/2000 18:45</v>
      </c>
    </row>
    <row r="5354" spans="1:10" x14ac:dyDescent="0.3">
      <c r="A5354" t="s">
        <v>6</v>
      </c>
      <c r="B5354" t="str">
        <f>"05/27/2000 00:00"</f>
        <v>05/27/2000 00:00</v>
      </c>
      <c r="C5354">
        <v>299</v>
      </c>
      <c r="D5354" t="s">
        <v>7</v>
      </c>
      <c r="E5354" s="2" t="s">
        <v>12</v>
      </c>
      <c r="F5354">
        <f t="shared" si="83"/>
        <v>592.91700000000003</v>
      </c>
      <c r="G5354" t="s">
        <v>16</v>
      </c>
      <c r="J5354" t="str">
        <f>"05/27/2000 23:45"</f>
        <v>05/27/2000 23:45</v>
      </c>
    </row>
    <row r="5355" spans="1:10" x14ac:dyDescent="0.3">
      <c r="A5355" t="s">
        <v>6</v>
      </c>
      <c r="B5355" t="str">
        <f>"05/28/2000 00:00"</f>
        <v>05/28/2000 00:00</v>
      </c>
      <c r="C5355">
        <v>318</v>
      </c>
      <c r="D5355" t="s">
        <v>7</v>
      </c>
      <c r="E5355" s="2" t="s">
        <v>12</v>
      </c>
      <c r="F5355">
        <f t="shared" si="83"/>
        <v>630.59400000000005</v>
      </c>
      <c r="G5355" t="s">
        <v>16</v>
      </c>
      <c r="J5355" t="str">
        <f>"05/28/2000 23:45"</f>
        <v>05/28/2000 23:45</v>
      </c>
    </row>
    <row r="5356" spans="1:10" x14ac:dyDescent="0.3">
      <c r="A5356" t="s">
        <v>6</v>
      </c>
      <c r="B5356" t="str">
        <f>"05/29/2000 00:00"</f>
        <v>05/29/2000 00:00</v>
      </c>
      <c r="C5356">
        <v>386</v>
      </c>
      <c r="D5356" t="s">
        <v>7</v>
      </c>
      <c r="E5356" s="2" t="s">
        <v>12</v>
      </c>
      <c r="F5356">
        <f t="shared" si="83"/>
        <v>765.43799999999999</v>
      </c>
      <c r="G5356" t="s">
        <v>16</v>
      </c>
      <c r="J5356" t="str">
        <f>"05/29/2000 23:45"</f>
        <v>05/29/2000 23:45</v>
      </c>
    </row>
    <row r="5357" spans="1:10" x14ac:dyDescent="0.3">
      <c r="A5357" t="s">
        <v>6</v>
      </c>
      <c r="B5357" t="str">
        <f>"05/30/2000 00:00"</f>
        <v>05/30/2000 00:00</v>
      </c>
      <c r="C5357">
        <v>368</v>
      </c>
      <c r="D5357" t="s">
        <v>7</v>
      </c>
      <c r="E5357" s="2" t="s">
        <v>12</v>
      </c>
      <c r="F5357">
        <f t="shared" si="83"/>
        <v>729.74400000000003</v>
      </c>
      <c r="G5357" t="s">
        <v>16</v>
      </c>
      <c r="J5357" t="str">
        <f>"05/30/2000 23:45"</f>
        <v>05/30/2000 23:45</v>
      </c>
    </row>
    <row r="5358" spans="1:10" x14ac:dyDescent="0.3">
      <c r="A5358" t="s">
        <v>6</v>
      </c>
      <c r="B5358" t="str">
        <f>"05/31/2000 00:00"</f>
        <v>05/31/2000 00:00</v>
      </c>
      <c r="C5358">
        <v>383</v>
      </c>
      <c r="D5358" t="s">
        <v>7</v>
      </c>
      <c r="E5358" s="2" t="s">
        <v>12</v>
      </c>
      <c r="F5358">
        <f t="shared" si="83"/>
        <v>759.48900000000003</v>
      </c>
      <c r="G5358" t="s">
        <v>16</v>
      </c>
      <c r="J5358" t="str">
        <f>"05/31/2000 23:45"</f>
        <v>05/31/2000 23:45</v>
      </c>
    </row>
    <row r="5359" spans="1:10" x14ac:dyDescent="0.3">
      <c r="A5359" t="s">
        <v>6</v>
      </c>
      <c r="B5359" t="str">
        <f>"06/01/2000 00:00"</f>
        <v>06/01/2000 00:00</v>
      </c>
      <c r="C5359">
        <v>390</v>
      </c>
      <c r="D5359" t="s">
        <v>7</v>
      </c>
      <c r="E5359" s="2" t="s">
        <v>12</v>
      </c>
      <c r="F5359">
        <f t="shared" si="83"/>
        <v>773.37</v>
      </c>
      <c r="G5359" t="s">
        <v>16</v>
      </c>
      <c r="J5359" t="str">
        <f>"06/01/2000 23:45"</f>
        <v>06/01/2000 23:45</v>
      </c>
    </row>
    <row r="5360" spans="1:10" x14ac:dyDescent="0.3">
      <c r="A5360" t="s">
        <v>6</v>
      </c>
      <c r="B5360" t="str">
        <f>"06/02/2000 00:00"</f>
        <v>06/02/2000 00:00</v>
      </c>
      <c r="C5360">
        <v>387</v>
      </c>
      <c r="D5360" t="s">
        <v>7</v>
      </c>
      <c r="E5360" s="2" t="s">
        <v>12</v>
      </c>
      <c r="F5360">
        <f t="shared" si="83"/>
        <v>767.42100000000005</v>
      </c>
      <c r="G5360" t="s">
        <v>16</v>
      </c>
      <c r="J5360" t="str">
        <f>"06/02/2000 23:45"</f>
        <v>06/02/2000 23:45</v>
      </c>
    </row>
    <row r="5361" spans="1:10" x14ac:dyDescent="0.3">
      <c r="A5361" t="s">
        <v>6</v>
      </c>
      <c r="B5361" t="str">
        <f>"06/03/2000 00:00"</f>
        <v>06/03/2000 00:00</v>
      </c>
      <c r="C5361">
        <v>385</v>
      </c>
      <c r="D5361" t="s">
        <v>7</v>
      </c>
      <c r="E5361" s="2" t="s">
        <v>12</v>
      </c>
      <c r="F5361">
        <f t="shared" si="83"/>
        <v>763.45500000000004</v>
      </c>
      <c r="G5361" t="s">
        <v>16</v>
      </c>
      <c r="J5361" t="str">
        <f>"06/03/2000 23:45"</f>
        <v>06/03/2000 23:45</v>
      </c>
    </row>
    <row r="5362" spans="1:10" x14ac:dyDescent="0.3">
      <c r="A5362" t="s">
        <v>6</v>
      </c>
      <c r="B5362" t="str">
        <f>"06/04/2000 00:00"</f>
        <v>06/04/2000 00:00</v>
      </c>
      <c r="C5362">
        <v>393</v>
      </c>
      <c r="D5362" t="s">
        <v>7</v>
      </c>
      <c r="E5362" s="2" t="s">
        <v>12</v>
      </c>
      <c r="F5362">
        <f t="shared" si="83"/>
        <v>779.31900000000007</v>
      </c>
      <c r="G5362" t="s">
        <v>16</v>
      </c>
      <c r="J5362" t="str">
        <f>"06/04/2000 23:45"</f>
        <v>06/04/2000 23:45</v>
      </c>
    </row>
    <row r="5363" spans="1:10" x14ac:dyDescent="0.3">
      <c r="A5363" t="s">
        <v>6</v>
      </c>
      <c r="B5363" t="str">
        <f>"06/05/2000 00:00"</f>
        <v>06/05/2000 00:00</v>
      </c>
      <c r="C5363">
        <v>376</v>
      </c>
      <c r="D5363" t="s">
        <v>7</v>
      </c>
      <c r="E5363" s="2" t="s">
        <v>12</v>
      </c>
      <c r="F5363">
        <f t="shared" si="83"/>
        <v>745.60800000000006</v>
      </c>
      <c r="G5363" t="s">
        <v>16</v>
      </c>
      <c r="J5363" t="str">
        <f>"06/05/2000 23:45"</f>
        <v>06/05/2000 23:45</v>
      </c>
    </row>
    <row r="5364" spans="1:10" x14ac:dyDescent="0.3">
      <c r="A5364" t="s">
        <v>6</v>
      </c>
      <c r="B5364" t="str">
        <f>"06/06/2000 00:00"</f>
        <v>06/06/2000 00:00</v>
      </c>
      <c r="C5364">
        <v>410</v>
      </c>
      <c r="D5364" t="s">
        <v>7</v>
      </c>
      <c r="E5364" s="2" t="s">
        <v>12</v>
      </c>
      <c r="F5364">
        <f t="shared" si="83"/>
        <v>813.03000000000009</v>
      </c>
      <c r="G5364" t="s">
        <v>16</v>
      </c>
      <c r="J5364" t="str">
        <f>"06/06/2000 23:45"</f>
        <v>06/06/2000 23:45</v>
      </c>
    </row>
    <row r="5365" spans="1:10" x14ac:dyDescent="0.3">
      <c r="A5365" t="s">
        <v>6</v>
      </c>
      <c r="B5365" t="str">
        <f>"06/07/2000 00:00"</f>
        <v>06/07/2000 00:00</v>
      </c>
      <c r="C5365">
        <v>432</v>
      </c>
      <c r="D5365" t="s">
        <v>7</v>
      </c>
      <c r="E5365" s="2" t="s">
        <v>12</v>
      </c>
      <c r="F5365">
        <f t="shared" si="83"/>
        <v>856.65600000000006</v>
      </c>
      <c r="G5365" t="s">
        <v>16</v>
      </c>
      <c r="J5365" t="str">
        <f>"06/07/2000 23:45"</f>
        <v>06/07/2000 23:45</v>
      </c>
    </row>
    <row r="5366" spans="1:10" x14ac:dyDescent="0.3">
      <c r="A5366" t="s">
        <v>6</v>
      </c>
      <c r="B5366" t="str">
        <f>"06/08/2000 00:00"</f>
        <v>06/08/2000 00:00</v>
      </c>
      <c r="C5366">
        <v>434</v>
      </c>
      <c r="D5366" t="s">
        <v>7</v>
      </c>
      <c r="E5366" s="2" t="s">
        <v>12</v>
      </c>
      <c r="F5366">
        <f t="shared" si="83"/>
        <v>860.62200000000007</v>
      </c>
      <c r="G5366" t="s">
        <v>16</v>
      </c>
      <c r="J5366" t="str">
        <f>"06/08/2000 23:45"</f>
        <v>06/08/2000 23:45</v>
      </c>
    </row>
    <row r="5367" spans="1:10" x14ac:dyDescent="0.3">
      <c r="A5367" t="s">
        <v>6</v>
      </c>
      <c r="B5367" t="str">
        <f>"06/09/2000 00:00"</f>
        <v>06/09/2000 00:00</v>
      </c>
      <c r="C5367">
        <v>449</v>
      </c>
      <c r="D5367" t="s">
        <v>7</v>
      </c>
      <c r="E5367" s="2" t="s">
        <v>12</v>
      </c>
      <c r="F5367">
        <f t="shared" si="83"/>
        <v>890.36700000000008</v>
      </c>
      <c r="G5367" t="s">
        <v>16</v>
      </c>
      <c r="J5367" t="str">
        <f>"06/09/2000 23:45"</f>
        <v>06/09/2000 23:45</v>
      </c>
    </row>
    <row r="5368" spans="1:10" x14ac:dyDescent="0.3">
      <c r="A5368" t="s">
        <v>6</v>
      </c>
      <c r="B5368" t="str">
        <f>"06/10/2000 00:00"</f>
        <v>06/10/2000 00:00</v>
      </c>
      <c r="C5368">
        <v>461</v>
      </c>
      <c r="D5368" t="s">
        <v>7</v>
      </c>
      <c r="E5368" s="2" t="s">
        <v>12</v>
      </c>
      <c r="F5368">
        <f t="shared" si="83"/>
        <v>914.16300000000001</v>
      </c>
      <c r="G5368" t="s">
        <v>16</v>
      </c>
      <c r="J5368" t="str">
        <f>"06/10/2000 23:45"</f>
        <v>06/10/2000 23:45</v>
      </c>
    </row>
    <row r="5369" spans="1:10" x14ac:dyDescent="0.3">
      <c r="A5369" t="s">
        <v>6</v>
      </c>
      <c r="B5369" t="str">
        <f>"06/11/2000 00:00"</f>
        <v>06/11/2000 00:00</v>
      </c>
      <c r="C5369">
        <v>460</v>
      </c>
      <c r="D5369" t="s">
        <v>7</v>
      </c>
      <c r="E5369" s="2" t="s">
        <v>12</v>
      </c>
      <c r="F5369">
        <f t="shared" si="83"/>
        <v>912.18000000000006</v>
      </c>
      <c r="G5369" t="s">
        <v>16</v>
      </c>
      <c r="J5369" t="str">
        <f>"06/11/2000 10:45"</f>
        <v>06/11/2000 10:45</v>
      </c>
    </row>
    <row r="5370" spans="1:10" x14ac:dyDescent="0.3">
      <c r="A5370" t="s">
        <v>6</v>
      </c>
      <c r="B5370" t="str">
        <f>"06/12/2000 00:00"</f>
        <v>06/12/2000 00:00</v>
      </c>
      <c r="C5370">
        <v>487</v>
      </c>
      <c r="D5370" t="s">
        <v>7</v>
      </c>
      <c r="E5370" s="2" t="s">
        <v>12</v>
      </c>
      <c r="F5370">
        <f t="shared" si="83"/>
        <v>965.721</v>
      </c>
      <c r="G5370" t="s">
        <v>16</v>
      </c>
      <c r="J5370" t="str">
        <f>"06/12/2000 23:45"</f>
        <v>06/12/2000 23:45</v>
      </c>
    </row>
    <row r="5371" spans="1:10" x14ac:dyDescent="0.3">
      <c r="A5371" t="s">
        <v>6</v>
      </c>
      <c r="B5371" t="str">
        <f>"06/13/2000 00:00"</f>
        <v>06/13/2000 00:00</v>
      </c>
      <c r="C5371">
        <v>487</v>
      </c>
      <c r="D5371" t="s">
        <v>7</v>
      </c>
      <c r="E5371" s="2" t="s">
        <v>12</v>
      </c>
      <c r="F5371">
        <f t="shared" si="83"/>
        <v>965.721</v>
      </c>
      <c r="G5371" t="s">
        <v>16</v>
      </c>
      <c r="J5371" t="str">
        <f>"06/13/2000 23:45"</f>
        <v>06/13/2000 23:45</v>
      </c>
    </row>
    <row r="5372" spans="1:10" x14ac:dyDescent="0.3">
      <c r="A5372" t="s">
        <v>6</v>
      </c>
      <c r="B5372" t="str">
        <f>"06/14/2000 00:00"</f>
        <v>06/14/2000 00:00</v>
      </c>
      <c r="C5372">
        <v>485</v>
      </c>
      <c r="D5372" t="s">
        <v>7</v>
      </c>
      <c r="E5372" s="2" t="s">
        <v>12</v>
      </c>
      <c r="F5372">
        <f t="shared" si="83"/>
        <v>961.755</v>
      </c>
      <c r="G5372" t="s">
        <v>16</v>
      </c>
      <c r="J5372" t="str">
        <f>"06/14/2000 23:45"</f>
        <v>06/14/2000 23:45</v>
      </c>
    </row>
    <row r="5373" spans="1:10" x14ac:dyDescent="0.3">
      <c r="A5373" t="s">
        <v>6</v>
      </c>
      <c r="B5373" t="str">
        <f>"06/15/2000 00:00"</f>
        <v>06/15/2000 00:00</v>
      </c>
      <c r="C5373">
        <v>484</v>
      </c>
      <c r="D5373" t="s">
        <v>7</v>
      </c>
      <c r="E5373" s="2" t="s">
        <v>12</v>
      </c>
      <c r="F5373">
        <f t="shared" si="83"/>
        <v>959.77200000000005</v>
      </c>
      <c r="G5373" t="s">
        <v>16</v>
      </c>
      <c r="J5373" t="str">
        <f>"06/15/2000 23:45"</f>
        <v>06/15/2000 23:45</v>
      </c>
    </row>
    <row r="5374" spans="1:10" x14ac:dyDescent="0.3">
      <c r="A5374" t="s">
        <v>6</v>
      </c>
      <c r="B5374" t="str">
        <f>"06/16/2000 00:00"</f>
        <v>06/16/2000 00:00</v>
      </c>
      <c r="C5374">
        <v>484</v>
      </c>
      <c r="D5374" t="s">
        <v>7</v>
      </c>
      <c r="E5374" s="2" t="s">
        <v>12</v>
      </c>
      <c r="F5374">
        <f t="shared" si="83"/>
        <v>959.77200000000005</v>
      </c>
      <c r="G5374" t="s">
        <v>16</v>
      </c>
      <c r="J5374" t="str">
        <f>"06/16/2000 23:45"</f>
        <v>06/16/2000 23:45</v>
      </c>
    </row>
    <row r="5375" spans="1:10" x14ac:dyDescent="0.3">
      <c r="A5375" t="s">
        <v>6</v>
      </c>
      <c r="B5375" t="str">
        <f>"06/17/2000 00:00"</f>
        <v>06/17/2000 00:00</v>
      </c>
      <c r="C5375">
        <v>396</v>
      </c>
      <c r="D5375" t="s">
        <v>7</v>
      </c>
      <c r="E5375" s="2" t="s">
        <v>12</v>
      </c>
      <c r="F5375">
        <f t="shared" si="83"/>
        <v>785.26800000000003</v>
      </c>
      <c r="G5375" t="s">
        <v>16</v>
      </c>
      <c r="J5375" t="str">
        <f>"06/17/2000 23:45"</f>
        <v>06/17/2000 23:45</v>
      </c>
    </row>
    <row r="5376" spans="1:10" x14ac:dyDescent="0.3">
      <c r="A5376" t="s">
        <v>6</v>
      </c>
      <c r="B5376" t="str">
        <f>"06/18/2000 00:00"</f>
        <v>06/18/2000 00:00</v>
      </c>
      <c r="C5376">
        <v>199</v>
      </c>
      <c r="D5376" t="s">
        <v>7</v>
      </c>
      <c r="E5376" s="2" t="s">
        <v>12</v>
      </c>
      <c r="F5376">
        <f t="shared" si="83"/>
        <v>394.61700000000002</v>
      </c>
      <c r="G5376" t="s">
        <v>16</v>
      </c>
      <c r="J5376" t="str">
        <f>"06/18/2000 23:45"</f>
        <v>06/18/2000 23:45</v>
      </c>
    </row>
    <row r="5377" spans="1:10" x14ac:dyDescent="0.3">
      <c r="A5377" t="s">
        <v>6</v>
      </c>
      <c r="B5377" t="str">
        <f>"06/19/2000 00:00"</f>
        <v>06/19/2000 00:00</v>
      </c>
      <c r="C5377">
        <v>99.2</v>
      </c>
      <c r="D5377" t="s">
        <v>7</v>
      </c>
      <c r="E5377" s="2" t="s">
        <v>12</v>
      </c>
      <c r="F5377">
        <f t="shared" si="83"/>
        <v>196.71360000000001</v>
      </c>
      <c r="G5377" t="s">
        <v>16</v>
      </c>
      <c r="J5377" t="str">
        <f>"06/19/2000 23:45"</f>
        <v>06/19/2000 23:45</v>
      </c>
    </row>
    <row r="5378" spans="1:10" x14ac:dyDescent="0.3">
      <c r="A5378" t="s">
        <v>6</v>
      </c>
      <c r="B5378" t="str">
        <f>"06/20/2000 00:00"</f>
        <v>06/20/2000 00:00</v>
      </c>
      <c r="C5378">
        <v>99.2</v>
      </c>
      <c r="D5378" t="s">
        <v>7</v>
      </c>
      <c r="E5378" s="2" t="s">
        <v>12</v>
      </c>
      <c r="F5378">
        <f t="shared" si="83"/>
        <v>196.71360000000001</v>
      </c>
      <c r="G5378" t="s">
        <v>16</v>
      </c>
      <c r="J5378" t="str">
        <f>"06/20/2000 23:45"</f>
        <v>06/20/2000 23:45</v>
      </c>
    </row>
    <row r="5379" spans="1:10" x14ac:dyDescent="0.3">
      <c r="A5379" t="s">
        <v>6</v>
      </c>
      <c r="B5379" t="str">
        <f>"06/21/2000 00:00"</f>
        <v>06/21/2000 00:00</v>
      </c>
      <c r="C5379">
        <v>155</v>
      </c>
      <c r="D5379" t="s">
        <v>7</v>
      </c>
      <c r="E5379" s="2" t="s">
        <v>12</v>
      </c>
      <c r="F5379">
        <f t="shared" ref="F5379:F5442" si="84">C5379*1.983</f>
        <v>307.36500000000001</v>
      </c>
      <c r="G5379" t="s">
        <v>16</v>
      </c>
      <c r="J5379" t="str">
        <f>"06/21/2000 23:45"</f>
        <v>06/21/2000 23:45</v>
      </c>
    </row>
    <row r="5380" spans="1:10" x14ac:dyDescent="0.3">
      <c r="A5380" t="s">
        <v>6</v>
      </c>
      <c r="B5380" t="str">
        <f>"06/22/2000 00:00"</f>
        <v>06/22/2000 00:00</v>
      </c>
      <c r="C5380">
        <v>238</v>
      </c>
      <c r="D5380" t="s">
        <v>7</v>
      </c>
      <c r="E5380" s="2" t="s">
        <v>12</v>
      </c>
      <c r="F5380">
        <f t="shared" si="84"/>
        <v>471.95400000000001</v>
      </c>
      <c r="G5380" t="s">
        <v>16</v>
      </c>
      <c r="J5380" t="str">
        <f>"06/22/2000 23:45"</f>
        <v>06/22/2000 23:45</v>
      </c>
    </row>
    <row r="5381" spans="1:10" x14ac:dyDescent="0.3">
      <c r="A5381" t="s">
        <v>6</v>
      </c>
      <c r="B5381" t="str">
        <f>"06/23/2000 00:00"</f>
        <v>06/23/2000 00:00</v>
      </c>
      <c r="C5381">
        <v>233</v>
      </c>
      <c r="D5381" t="s">
        <v>7</v>
      </c>
      <c r="E5381" s="2" t="s">
        <v>12</v>
      </c>
      <c r="F5381">
        <f t="shared" si="84"/>
        <v>462.03900000000004</v>
      </c>
      <c r="G5381" t="s">
        <v>16</v>
      </c>
      <c r="J5381" t="str">
        <f>"06/23/2000 23:45"</f>
        <v>06/23/2000 23:45</v>
      </c>
    </row>
    <row r="5382" spans="1:10" x14ac:dyDescent="0.3">
      <c r="A5382" t="s">
        <v>6</v>
      </c>
      <c r="B5382" t="str">
        <f>"06/24/2000 00:00"</f>
        <v>06/24/2000 00:00</v>
      </c>
      <c r="C5382">
        <v>275</v>
      </c>
      <c r="D5382" t="s">
        <v>7</v>
      </c>
      <c r="E5382" s="2" t="s">
        <v>12</v>
      </c>
      <c r="F5382">
        <f t="shared" si="84"/>
        <v>545.32500000000005</v>
      </c>
      <c r="G5382" t="s">
        <v>16</v>
      </c>
      <c r="J5382" t="str">
        <f>"06/24/2000 23:45"</f>
        <v>06/24/2000 23:45</v>
      </c>
    </row>
    <row r="5383" spans="1:10" x14ac:dyDescent="0.3">
      <c r="A5383" t="s">
        <v>6</v>
      </c>
      <c r="B5383" t="str">
        <f>"06/25/2000 00:00"</f>
        <v>06/25/2000 00:00</v>
      </c>
      <c r="C5383">
        <v>322</v>
      </c>
      <c r="D5383" t="s">
        <v>7</v>
      </c>
      <c r="E5383" s="2" t="s">
        <v>12</v>
      </c>
      <c r="F5383">
        <f t="shared" si="84"/>
        <v>638.52600000000007</v>
      </c>
      <c r="G5383" t="s">
        <v>16</v>
      </c>
      <c r="J5383" t="str">
        <f>"06/25/2000 23:45"</f>
        <v>06/25/2000 23:45</v>
      </c>
    </row>
    <row r="5384" spans="1:10" x14ac:dyDescent="0.3">
      <c r="A5384" t="s">
        <v>6</v>
      </c>
      <c r="B5384" t="str">
        <f>"06/26/2000 00:00"</f>
        <v>06/26/2000 00:00</v>
      </c>
      <c r="C5384">
        <v>280</v>
      </c>
      <c r="D5384" t="s">
        <v>7</v>
      </c>
      <c r="E5384" s="2" t="s">
        <v>12</v>
      </c>
      <c r="F5384">
        <f t="shared" si="84"/>
        <v>555.24</v>
      </c>
      <c r="G5384" t="s">
        <v>16</v>
      </c>
      <c r="J5384" t="str">
        <f>"06/26/2000 22:45"</f>
        <v>06/26/2000 22:45</v>
      </c>
    </row>
    <row r="5385" spans="1:10" x14ac:dyDescent="0.3">
      <c r="A5385" t="s">
        <v>6</v>
      </c>
      <c r="B5385" t="str">
        <f>"06/27/2000 00:00"</f>
        <v>06/27/2000 00:00</v>
      </c>
      <c r="C5385">
        <v>159</v>
      </c>
      <c r="D5385" t="s">
        <v>7</v>
      </c>
      <c r="E5385" s="2" t="s">
        <v>12</v>
      </c>
      <c r="F5385">
        <f t="shared" si="84"/>
        <v>315.29700000000003</v>
      </c>
      <c r="G5385" t="s">
        <v>16</v>
      </c>
      <c r="J5385" t="str">
        <f>"06/27/2000 23:45"</f>
        <v>06/27/2000 23:45</v>
      </c>
    </row>
    <row r="5386" spans="1:10" x14ac:dyDescent="0.3">
      <c r="A5386" t="s">
        <v>6</v>
      </c>
      <c r="B5386" t="str">
        <f>"06/28/2000 00:00"</f>
        <v>06/28/2000 00:00</v>
      </c>
      <c r="C5386">
        <v>128</v>
      </c>
      <c r="D5386" t="s">
        <v>7</v>
      </c>
      <c r="E5386" s="2" t="s">
        <v>12</v>
      </c>
      <c r="F5386">
        <f t="shared" si="84"/>
        <v>253.82400000000001</v>
      </c>
      <c r="G5386" t="s">
        <v>16</v>
      </c>
      <c r="J5386" t="str">
        <f>"06/28/2000 23:45"</f>
        <v>06/28/2000 23:45</v>
      </c>
    </row>
    <row r="5387" spans="1:10" x14ac:dyDescent="0.3">
      <c r="A5387" t="s">
        <v>6</v>
      </c>
      <c r="B5387" t="str">
        <f>"06/29/2000 00:00"</f>
        <v>06/29/2000 00:00</v>
      </c>
      <c r="C5387">
        <v>163</v>
      </c>
      <c r="D5387" t="s">
        <v>7</v>
      </c>
      <c r="E5387" s="2" t="s">
        <v>12</v>
      </c>
      <c r="F5387">
        <f t="shared" si="84"/>
        <v>323.22900000000004</v>
      </c>
      <c r="G5387" t="s">
        <v>16</v>
      </c>
      <c r="J5387" t="str">
        <f>"06/29/2000 23:45"</f>
        <v>06/29/2000 23:45</v>
      </c>
    </row>
    <row r="5388" spans="1:10" x14ac:dyDescent="0.3">
      <c r="A5388" t="s">
        <v>6</v>
      </c>
      <c r="B5388" t="str">
        <f>"06/30/2000 00:00"</f>
        <v>06/30/2000 00:00</v>
      </c>
      <c r="C5388">
        <v>257</v>
      </c>
      <c r="D5388" t="s">
        <v>7</v>
      </c>
      <c r="E5388" s="2" t="s">
        <v>12</v>
      </c>
      <c r="F5388">
        <f t="shared" si="84"/>
        <v>509.63100000000003</v>
      </c>
      <c r="G5388" t="s">
        <v>16</v>
      </c>
      <c r="J5388" t="str">
        <f>"06/30/2000 23:45"</f>
        <v>06/30/2000 23:45</v>
      </c>
    </row>
    <row r="5389" spans="1:10" x14ac:dyDescent="0.3">
      <c r="A5389" t="s">
        <v>6</v>
      </c>
      <c r="B5389" t="str">
        <f>"07/01/2000 00:00"</f>
        <v>07/01/2000 00:00</v>
      </c>
      <c r="C5389">
        <v>301</v>
      </c>
      <c r="D5389" t="s">
        <v>7</v>
      </c>
      <c r="E5389" s="2" t="s">
        <v>12</v>
      </c>
      <c r="F5389">
        <f t="shared" si="84"/>
        <v>596.88300000000004</v>
      </c>
      <c r="G5389" t="s">
        <v>16</v>
      </c>
      <c r="J5389" t="str">
        <f>"07/01/2000 23:45"</f>
        <v>07/01/2000 23:45</v>
      </c>
    </row>
    <row r="5390" spans="1:10" x14ac:dyDescent="0.3">
      <c r="A5390" t="s">
        <v>6</v>
      </c>
      <c r="B5390" t="str">
        <f>"07/02/2000 00:00"</f>
        <v>07/02/2000 00:00</v>
      </c>
      <c r="C5390">
        <v>301</v>
      </c>
      <c r="D5390" t="s">
        <v>7</v>
      </c>
      <c r="E5390" s="2" t="s">
        <v>12</v>
      </c>
      <c r="F5390">
        <f t="shared" si="84"/>
        <v>596.88300000000004</v>
      </c>
      <c r="G5390" t="s">
        <v>16</v>
      </c>
      <c r="J5390" t="str">
        <f>"07/02/2000 23:45"</f>
        <v>07/02/2000 23:45</v>
      </c>
    </row>
    <row r="5391" spans="1:10" x14ac:dyDescent="0.3">
      <c r="A5391" t="s">
        <v>6</v>
      </c>
      <c r="B5391" t="str">
        <f>"07/03/2000 00:00"</f>
        <v>07/03/2000 00:00</v>
      </c>
      <c r="C5391">
        <v>300</v>
      </c>
      <c r="D5391" t="s">
        <v>7</v>
      </c>
      <c r="E5391" s="2" t="s">
        <v>12</v>
      </c>
      <c r="F5391">
        <f t="shared" si="84"/>
        <v>594.9</v>
      </c>
      <c r="G5391" t="s">
        <v>16</v>
      </c>
      <c r="J5391" t="str">
        <f>"07/03/2000 23:45"</f>
        <v>07/03/2000 23:45</v>
      </c>
    </row>
    <row r="5392" spans="1:10" x14ac:dyDescent="0.3">
      <c r="A5392" t="s">
        <v>6</v>
      </c>
      <c r="B5392" t="str">
        <f>"07/04/2000 00:00"</f>
        <v>07/04/2000 00:00</v>
      </c>
      <c r="C5392">
        <v>300</v>
      </c>
      <c r="D5392" t="s">
        <v>7</v>
      </c>
      <c r="E5392" s="2" t="s">
        <v>12</v>
      </c>
      <c r="F5392">
        <f t="shared" si="84"/>
        <v>594.9</v>
      </c>
      <c r="G5392" t="s">
        <v>16</v>
      </c>
      <c r="J5392" t="str">
        <f>"07/04/2000 23:45"</f>
        <v>07/04/2000 23:45</v>
      </c>
    </row>
    <row r="5393" spans="1:10" x14ac:dyDescent="0.3">
      <c r="A5393" t="s">
        <v>6</v>
      </c>
      <c r="B5393" t="str">
        <f>"07/05/2000 00:00"</f>
        <v>07/05/2000 00:00</v>
      </c>
      <c r="C5393">
        <v>300</v>
      </c>
      <c r="D5393" t="s">
        <v>7</v>
      </c>
      <c r="E5393" s="2" t="s">
        <v>12</v>
      </c>
      <c r="F5393">
        <f t="shared" si="84"/>
        <v>594.9</v>
      </c>
      <c r="G5393" t="s">
        <v>16</v>
      </c>
      <c r="J5393" t="str">
        <f>"07/05/2000 22:45"</f>
        <v>07/05/2000 22:45</v>
      </c>
    </row>
    <row r="5394" spans="1:10" x14ac:dyDescent="0.3">
      <c r="A5394" t="s">
        <v>6</v>
      </c>
      <c r="B5394" t="str">
        <f>"07/06/2000 00:00"</f>
        <v>07/06/2000 00:00</v>
      </c>
      <c r="C5394">
        <v>333</v>
      </c>
      <c r="D5394" t="s">
        <v>7</v>
      </c>
      <c r="E5394" s="2" t="s">
        <v>12</v>
      </c>
      <c r="F5394">
        <f t="shared" si="84"/>
        <v>660.33900000000006</v>
      </c>
      <c r="G5394" t="s">
        <v>16</v>
      </c>
      <c r="J5394" t="str">
        <f>"07/06/2000 23:45"</f>
        <v>07/06/2000 23:45</v>
      </c>
    </row>
    <row r="5395" spans="1:10" x14ac:dyDescent="0.3">
      <c r="A5395" t="s">
        <v>6</v>
      </c>
      <c r="B5395" t="str">
        <f>"07/07/2000 00:00"</f>
        <v>07/07/2000 00:00</v>
      </c>
      <c r="C5395">
        <v>409</v>
      </c>
      <c r="D5395" t="s">
        <v>7</v>
      </c>
      <c r="E5395" s="2" t="s">
        <v>12</v>
      </c>
      <c r="F5395">
        <f t="shared" si="84"/>
        <v>811.04700000000003</v>
      </c>
      <c r="G5395" t="s">
        <v>16</v>
      </c>
      <c r="J5395" t="str">
        <f>"07/07/2000 23:45"</f>
        <v>07/07/2000 23:45</v>
      </c>
    </row>
    <row r="5396" spans="1:10" x14ac:dyDescent="0.3">
      <c r="A5396" t="s">
        <v>6</v>
      </c>
      <c r="B5396" t="str">
        <f>"07/08/2000 00:00"</f>
        <v>07/08/2000 00:00</v>
      </c>
      <c r="C5396">
        <v>449</v>
      </c>
      <c r="D5396" t="s">
        <v>7</v>
      </c>
      <c r="E5396" s="2" t="s">
        <v>12</v>
      </c>
      <c r="F5396">
        <f t="shared" si="84"/>
        <v>890.36700000000008</v>
      </c>
      <c r="G5396" t="s">
        <v>16</v>
      </c>
      <c r="J5396" t="str">
        <f>"07/08/2000 23:45"</f>
        <v>07/08/2000 23:45</v>
      </c>
    </row>
    <row r="5397" spans="1:10" x14ac:dyDescent="0.3">
      <c r="A5397" t="s">
        <v>6</v>
      </c>
      <c r="B5397" t="str">
        <f>"07/09/2000 00:00"</f>
        <v>07/09/2000 00:00</v>
      </c>
      <c r="C5397">
        <v>383</v>
      </c>
      <c r="D5397" t="s">
        <v>7</v>
      </c>
      <c r="E5397" s="2" t="s">
        <v>12</v>
      </c>
      <c r="F5397">
        <f t="shared" si="84"/>
        <v>759.48900000000003</v>
      </c>
      <c r="G5397" t="s">
        <v>16</v>
      </c>
      <c r="J5397" t="str">
        <f>"07/09/2000 23:45"</f>
        <v>07/09/2000 23:45</v>
      </c>
    </row>
    <row r="5398" spans="1:10" x14ac:dyDescent="0.3">
      <c r="A5398" t="s">
        <v>6</v>
      </c>
      <c r="B5398" t="str">
        <f>"07/10/2000 00:00"</f>
        <v>07/10/2000 00:00</v>
      </c>
      <c r="C5398">
        <v>276</v>
      </c>
      <c r="D5398" t="s">
        <v>7</v>
      </c>
      <c r="E5398" s="2" t="s">
        <v>12</v>
      </c>
      <c r="F5398">
        <f t="shared" si="84"/>
        <v>547.30799999999999</v>
      </c>
      <c r="G5398" t="s">
        <v>16</v>
      </c>
      <c r="J5398" t="str">
        <f>"07/10/2000 23:45"</f>
        <v>07/10/2000 23:45</v>
      </c>
    </row>
    <row r="5399" spans="1:10" x14ac:dyDescent="0.3">
      <c r="A5399" t="s">
        <v>6</v>
      </c>
      <c r="B5399" t="str">
        <f>"07/11/2000 00:00"</f>
        <v>07/11/2000 00:00</v>
      </c>
      <c r="C5399">
        <v>223</v>
      </c>
      <c r="D5399" t="s">
        <v>7</v>
      </c>
      <c r="E5399" s="2" t="s">
        <v>12</v>
      </c>
      <c r="F5399">
        <f t="shared" si="84"/>
        <v>442.209</v>
      </c>
      <c r="G5399" t="s">
        <v>16</v>
      </c>
      <c r="J5399" t="str">
        <f>"07/11/2000 23:45"</f>
        <v>07/11/2000 23:45</v>
      </c>
    </row>
    <row r="5400" spans="1:10" x14ac:dyDescent="0.3">
      <c r="A5400" t="s">
        <v>6</v>
      </c>
      <c r="B5400" t="str">
        <f>"07/12/2000 00:00"</f>
        <v>07/12/2000 00:00</v>
      </c>
      <c r="C5400">
        <v>271</v>
      </c>
      <c r="D5400" t="s">
        <v>7</v>
      </c>
      <c r="E5400" s="2" t="s">
        <v>12</v>
      </c>
      <c r="F5400">
        <f t="shared" si="84"/>
        <v>537.39300000000003</v>
      </c>
      <c r="G5400" t="s">
        <v>16</v>
      </c>
      <c r="J5400" t="str">
        <f>"07/12/2000 23:45"</f>
        <v>07/12/2000 23:45</v>
      </c>
    </row>
    <row r="5401" spans="1:10" x14ac:dyDescent="0.3">
      <c r="A5401" t="s">
        <v>6</v>
      </c>
      <c r="B5401" t="str">
        <f>"07/13/2000 00:00"</f>
        <v>07/13/2000 00:00</v>
      </c>
      <c r="C5401">
        <v>302</v>
      </c>
      <c r="D5401" t="s">
        <v>7</v>
      </c>
      <c r="E5401" s="2" t="s">
        <v>12</v>
      </c>
      <c r="F5401">
        <f t="shared" si="84"/>
        <v>598.86599999999999</v>
      </c>
      <c r="G5401" t="s">
        <v>16</v>
      </c>
      <c r="J5401" t="str">
        <f>"07/13/2000 23:45"</f>
        <v>07/13/2000 23:45</v>
      </c>
    </row>
    <row r="5402" spans="1:10" x14ac:dyDescent="0.3">
      <c r="A5402" t="s">
        <v>6</v>
      </c>
      <c r="B5402" t="str">
        <f>"07/14/2000 00:00"</f>
        <v>07/14/2000 00:00</v>
      </c>
      <c r="C5402">
        <v>302</v>
      </c>
      <c r="D5402" t="s">
        <v>7</v>
      </c>
      <c r="E5402" s="2" t="s">
        <v>12</v>
      </c>
      <c r="F5402">
        <f t="shared" si="84"/>
        <v>598.86599999999999</v>
      </c>
      <c r="G5402" t="s">
        <v>16</v>
      </c>
      <c r="J5402" t="str">
        <f>"07/14/2000 23:45"</f>
        <v>07/14/2000 23:45</v>
      </c>
    </row>
    <row r="5403" spans="1:10" x14ac:dyDescent="0.3">
      <c r="A5403" t="s">
        <v>6</v>
      </c>
      <c r="B5403" t="str">
        <f>"07/15/2000 00:00"</f>
        <v>07/15/2000 00:00</v>
      </c>
      <c r="C5403">
        <v>380</v>
      </c>
      <c r="D5403" t="s">
        <v>7</v>
      </c>
      <c r="E5403" s="2" t="s">
        <v>12</v>
      </c>
      <c r="F5403">
        <f t="shared" si="84"/>
        <v>753.54000000000008</v>
      </c>
      <c r="G5403" t="s">
        <v>16</v>
      </c>
      <c r="J5403" t="str">
        <f>"07/15/2000 23:45"</f>
        <v>07/15/2000 23:45</v>
      </c>
    </row>
    <row r="5404" spans="1:10" x14ac:dyDescent="0.3">
      <c r="A5404" t="s">
        <v>6</v>
      </c>
      <c r="B5404" t="str">
        <f>"07/16/2000 00:00"</f>
        <v>07/16/2000 00:00</v>
      </c>
      <c r="C5404">
        <v>414</v>
      </c>
      <c r="D5404" t="s">
        <v>7</v>
      </c>
      <c r="E5404" s="2" t="s">
        <v>12</v>
      </c>
      <c r="F5404">
        <f t="shared" si="84"/>
        <v>820.96199999999999</v>
      </c>
      <c r="G5404" t="s">
        <v>16</v>
      </c>
      <c r="J5404" t="str">
        <f>"07/16/2000 23:45"</f>
        <v>07/16/2000 23:45</v>
      </c>
    </row>
    <row r="5405" spans="1:10" x14ac:dyDescent="0.3">
      <c r="A5405" t="s">
        <v>6</v>
      </c>
      <c r="B5405" t="str">
        <f>"07/17/2000 00:00"</f>
        <v>07/17/2000 00:00</v>
      </c>
      <c r="C5405">
        <v>175</v>
      </c>
      <c r="D5405" t="s">
        <v>7</v>
      </c>
      <c r="E5405" s="2" t="s">
        <v>12</v>
      </c>
      <c r="F5405">
        <f t="shared" si="84"/>
        <v>347.02500000000003</v>
      </c>
      <c r="G5405" t="s">
        <v>16</v>
      </c>
      <c r="J5405" t="str">
        <f>"07/17/2000 23:45"</f>
        <v>07/17/2000 23:45</v>
      </c>
    </row>
    <row r="5406" spans="1:10" x14ac:dyDescent="0.3">
      <c r="A5406" t="s">
        <v>6</v>
      </c>
      <c r="B5406" t="str">
        <f>"07/18/2000 00:00"</f>
        <v>07/18/2000 00:00</v>
      </c>
      <c r="C5406">
        <v>1.93</v>
      </c>
      <c r="D5406" t="s">
        <v>7</v>
      </c>
      <c r="E5406" s="2" t="s">
        <v>12</v>
      </c>
      <c r="F5406">
        <f t="shared" si="84"/>
        <v>3.8271899999999999</v>
      </c>
      <c r="G5406" t="s">
        <v>16</v>
      </c>
      <c r="J5406" t="str">
        <f>"07/18/2000 23:45"</f>
        <v>07/18/2000 23:45</v>
      </c>
    </row>
    <row r="5407" spans="1:10" x14ac:dyDescent="0.3">
      <c r="A5407" t="s">
        <v>6</v>
      </c>
      <c r="B5407" t="str">
        <f>"07/19/2000 00:00"</f>
        <v>07/19/2000 00:00</v>
      </c>
      <c r="C5407">
        <v>1.96</v>
      </c>
      <c r="D5407" t="s">
        <v>7</v>
      </c>
      <c r="E5407" s="2" t="s">
        <v>12</v>
      </c>
      <c r="F5407">
        <f t="shared" si="84"/>
        <v>3.8866800000000001</v>
      </c>
      <c r="G5407" t="s">
        <v>16</v>
      </c>
      <c r="J5407" t="str">
        <f>"07/19/2000 23:45"</f>
        <v>07/19/2000 23:45</v>
      </c>
    </row>
    <row r="5408" spans="1:10" x14ac:dyDescent="0.3">
      <c r="A5408" t="s">
        <v>6</v>
      </c>
      <c r="B5408" t="str">
        <f>"07/20/2000 00:00"</f>
        <v>07/20/2000 00:00</v>
      </c>
      <c r="C5408">
        <v>1.92</v>
      </c>
      <c r="D5408" t="s">
        <v>7</v>
      </c>
      <c r="E5408" s="2" t="s">
        <v>12</v>
      </c>
      <c r="F5408">
        <f t="shared" si="84"/>
        <v>3.8073600000000001</v>
      </c>
      <c r="G5408" t="s">
        <v>16</v>
      </c>
      <c r="J5408" t="str">
        <f>"07/20/2000 23:45"</f>
        <v>07/20/2000 23:45</v>
      </c>
    </row>
    <row r="5409" spans="1:10" x14ac:dyDescent="0.3">
      <c r="A5409" t="s">
        <v>6</v>
      </c>
      <c r="B5409" t="str">
        <f>"07/21/2000 00:00"</f>
        <v>07/21/2000 00:00</v>
      </c>
      <c r="C5409">
        <v>1.92</v>
      </c>
      <c r="D5409" t="s">
        <v>7</v>
      </c>
      <c r="E5409" s="2" t="s">
        <v>12</v>
      </c>
      <c r="F5409">
        <f t="shared" si="84"/>
        <v>3.8073600000000001</v>
      </c>
      <c r="G5409" t="s">
        <v>16</v>
      </c>
      <c r="J5409" t="str">
        <f>"07/21/2000 23:45"</f>
        <v>07/21/2000 23:45</v>
      </c>
    </row>
    <row r="5410" spans="1:10" x14ac:dyDescent="0.3">
      <c r="A5410" t="s">
        <v>6</v>
      </c>
      <c r="B5410" t="str">
        <f>"07/22/2000 00:00"</f>
        <v>07/22/2000 00:00</v>
      </c>
      <c r="C5410">
        <v>1.92</v>
      </c>
      <c r="D5410" t="s">
        <v>7</v>
      </c>
      <c r="E5410" s="2" t="s">
        <v>12</v>
      </c>
      <c r="F5410">
        <f t="shared" si="84"/>
        <v>3.8073600000000001</v>
      </c>
      <c r="G5410" t="s">
        <v>16</v>
      </c>
      <c r="J5410" t="str">
        <f>"07/22/2000 23:45"</f>
        <v>07/22/2000 23:45</v>
      </c>
    </row>
    <row r="5411" spans="1:10" x14ac:dyDescent="0.3">
      <c r="A5411" t="s">
        <v>6</v>
      </c>
      <c r="B5411" t="str">
        <f>"07/23/2000 00:00"</f>
        <v>07/23/2000 00:00</v>
      </c>
      <c r="C5411">
        <v>1.92</v>
      </c>
      <c r="D5411" t="s">
        <v>7</v>
      </c>
      <c r="E5411" s="2" t="s">
        <v>12</v>
      </c>
      <c r="F5411">
        <f t="shared" si="84"/>
        <v>3.8073600000000001</v>
      </c>
      <c r="G5411" t="s">
        <v>16</v>
      </c>
      <c r="J5411" t="str">
        <f>"07/23/2000 23:45"</f>
        <v>07/23/2000 23:45</v>
      </c>
    </row>
    <row r="5412" spans="1:10" x14ac:dyDescent="0.3">
      <c r="A5412" t="s">
        <v>6</v>
      </c>
      <c r="B5412" t="str">
        <f>"07/24/2000 00:00"</f>
        <v>07/24/2000 00:00</v>
      </c>
      <c r="C5412">
        <v>1.92</v>
      </c>
      <c r="D5412" t="s">
        <v>7</v>
      </c>
      <c r="E5412" s="2" t="s">
        <v>12</v>
      </c>
      <c r="F5412">
        <f t="shared" si="84"/>
        <v>3.8073600000000001</v>
      </c>
      <c r="G5412" t="s">
        <v>16</v>
      </c>
      <c r="J5412" t="str">
        <f>"07/24/2000 23:45"</f>
        <v>07/24/2000 23:45</v>
      </c>
    </row>
    <row r="5413" spans="1:10" x14ac:dyDescent="0.3">
      <c r="A5413" t="s">
        <v>6</v>
      </c>
      <c r="B5413" t="str">
        <f>"07/25/2000 00:00"</f>
        <v>07/25/2000 00:00</v>
      </c>
      <c r="C5413">
        <v>45.1</v>
      </c>
      <c r="D5413" t="s">
        <v>7</v>
      </c>
      <c r="E5413" s="2" t="s">
        <v>12</v>
      </c>
      <c r="F5413">
        <f t="shared" si="84"/>
        <v>89.433300000000003</v>
      </c>
      <c r="G5413" t="s">
        <v>16</v>
      </c>
      <c r="J5413" t="str">
        <f>"07/25/2000 23:45"</f>
        <v>07/25/2000 23:45</v>
      </c>
    </row>
    <row r="5414" spans="1:10" x14ac:dyDescent="0.3">
      <c r="A5414" t="s">
        <v>6</v>
      </c>
      <c r="B5414" t="str">
        <f>"07/26/2000 00:00"</f>
        <v>07/26/2000 00:00</v>
      </c>
      <c r="C5414">
        <v>106</v>
      </c>
      <c r="D5414" t="s">
        <v>7</v>
      </c>
      <c r="E5414" s="2" t="s">
        <v>12</v>
      </c>
      <c r="F5414">
        <f t="shared" si="84"/>
        <v>210.19800000000001</v>
      </c>
      <c r="G5414" t="s">
        <v>16</v>
      </c>
      <c r="J5414" t="str">
        <f>"07/26/2000 23:45"</f>
        <v>07/26/2000 23:45</v>
      </c>
    </row>
    <row r="5415" spans="1:10" x14ac:dyDescent="0.3">
      <c r="A5415" t="s">
        <v>6</v>
      </c>
      <c r="B5415" t="str">
        <f>"07/27/2000 00:00"</f>
        <v>07/27/2000 00:00</v>
      </c>
      <c r="C5415">
        <v>146</v>
      </c>
      <c r="D5415" t="s">
        <v>7</v>
      </c>
      <c r="E5415" s="2" t="s">
        <v>12</v>
      </c>
      <c r="F5415">
        <f t="shared" si="84"/>
        <v>289.51800000000003</v>
      </c>
      <c r="G5415" t="s">
        <v>16</v>
      </c>
      <c r="J5415" t="str">
        <f>"07/27/2000 23:45"</f>
        <v>07/27/2000 23:45</v>
      </c>
    </row>
    <row r="5416" spans="1:10" x14ac:dyDescent="0.3">
      <c r="A5416" t="s">
        <v>6</v>
      </c>
      <c r="B5416" t="str">
        <f>"07/28/2000 00:00"</f>
        <v>07/28/2000 00:00</v>
      </c>
      <c r="C5416">
        <v>205</v>
      </c>
      <c r="D5416" t="s">
        <v>7</v>
      </c>
      <c r="E5416" s="2" t="s">
        <v>12</v>
      </c>
      <c r="F5416">
        <f t="shared" si="84"/>
        <v>406.51500000000004</v>
      </c>
      <c r="G5416" t="s">
        <v>16</v>
      </c>
      <c r="J5416" t="str">
        <f>"07/28/2000 23:45"</f>
        <v>07/28/2000 23:45</v>
      </c>
    </row>
    <row r="5417" spans="1:10" x14ac:dyDescent="0.3">
      <c r="A5417" t="s">
        <v>6</v>
      </c>
      <c r="B5417" t="str">
        <f>"07/29/2000 00:00"</f>
        <v>07/29/2000 00:00</v>
      </c>
      <c r="C5417">
        <v>204</v>
      </c>
      <c r="D5417" t="s">
        <v>7</v>
      </c>
      <c r="E5417" s="2" t="s">
        <v>12</v>
      </c>
      <c r="F5417">
        <f t="shared" si="84"/>
        <v>404.53200000000004</v>
      </c>
      <c r="G5417" t="s">
        <v>16</v>
      </c>
      <c r="J5417" t="str">
        <f>"07/29/2000 23:45"</f>
        <v>07/29/2000 23:45</v>
      </c>
    </row>
    <row r="5418" spans="1:10" x14ac:dyDescent="0.3">
      <c r="A5418" t="s">
        <v>6</v>
      </c>
      <c r="B5418" t="str">
        <f>"07/30/2000 00:00"</f>
        <v>07/30/2000 00:00</v>
      </c>
      <c r="C5418">
        <v>204</v>
      </c>
      <c r="D5418" t="s">
        <v>7</v>
      </c>
      <c r="E5418" s="2" t="s">
        <v>12</v>
      </c>
      <c r="F5418">
        <f t="shared" si="84"/>
        <v>404.53200000000004</v>
      </c>
      <c r="G5418" t="s">
        <v>16</v>
      </c>
      <c r="J5418" t="str">
        <f>"07/30/2000 23:45"</f>
        <v>07/30/2000 23:45</v>
      </c>
    </row>
    <row r="5419" spans="1:10" x14ac:dyDescent="0.3">
      <c r="A5419" t="s">
        <v>6</v>
      </c>
      <c r="B5419" t="str">
        <f>"07/31/2000 00:00"</f>
        <v>07/31/2000 00:00</v>
      </c>
      <c r="C5419">
        <v>248</v>
      </c>
      <c r="D5419" t="s">
        <v>7</v>
      </c>
      <c r="E5419" s="2" t="s">
        <v>12</v>
      </c>
      <c r="F5419">
        <f t="shared" si="84"/>
        <v>491.78400000000005</v>
      </c>
      <c r="G5419" t="s">
        <v>16</v>
      </c>
      <c r="J5419" t="str">
        <f>"07/31/2000 23:45"</f>
        <v>07/31/2000 23:45</v>
      </c>
    </row>
    <row r="5420" spans="1:10" x14ac:dyDescent="0.3">
      <c r="A5420" t="s">
        <v>6</v>
      </c>
      <c r="B5420" t="str">
        <f>"08/01/2000 00:00"</f>
        <v>08/01/2000 00:00</v>
      </c>
      <c r="C5420">
        <v>301</v>
      </c>
      <c r="D5420" t="s">
        <v>7</v>
      </c>
      <c r="E5420" s="2" t="s">
        <v>12</v>
      </c>
      <c r="F5420">
        <f t="shared" si="84"/>
        <v>596.88300000000004</v>
      </c>
      <c r="G5420" t="s">
        <v>16</v>
      </c>
      <c r="J5420" t="str">
        <f>"08/01/2000 23:45"</f>
        <v>08/01/2000 23:45</v>
      </c>
    </row>
    <row r="5421" spans="1:10" x14ac:dyDescent="0.3">
      <c r="A5421" t="s">
        <v>6</v>
      </c>
      <c r="B5421" t="str">
        <f>"08/02/2000 00:00"</f>
        <v>08/02/2000 00:00</v>
      </c>
      <c r="C5421">
        <v>332</v>
      </c>
      <c r="D5421" t="s">
        <v>7</v>
      </c>
      <c r="E5421" s="2" t="s">
        <v>12</v>
      </c>
      <c r="F5421">
        <f t="shared" si="84"/>
        <v>658.35599999999999</v>
      </c>
      <c r="G5421" t="s">
        <v>16</v>
      </c>
      <c r="J5421" t="str">
        <f>"08/02/2000 23:45"</f>
        <v>08/02/2000 23:45</v>
      </c>
    </row>
    <row r="5422" spans="1:10" x14ac:dyDescent="0.3">
      <c r="A5422" t="s">
        <v>6</v>
      </c>
      <c r="B5422" t="str">
        <f>"08/03/2000 00:00"</f>
        <v>08/03/2000 00:00</v>
      </c>
      <c r="C5422">
        <v>303</v>
      </c>
      <c r="D5422" t="s">
        <v>7</v>
      </c>
      <c r="E5422" s="2" t="s">
        <v>12</v>
      </c>
      <c r="F5422">
        <f t="shared" si="84"/>
        <v>600.84900000000005</v>
      </c>
      <c r="G5422" t="s">
        <v>16</v>
      </c>
      <c r="J5422" t="str">
        <f>"08/03/2000 23:45"</f>
        <v>08/03/2000 23:45</v>
      </c>
    </row>
    <row r="5423" spans="1:10" x14ac:dyDescent="0.3">
      <c r="A5423" t="s">
        <v>6</v>
      </c>
      <c r="B5423" t="str">
        <f>"08/04/2000 00:00"</f>
        <v>08/04/2000 00:00</v>
      </c>
      <c r="C5423">
        <v>283</v>
      </c>
      <c r="D5423" t="s">
        <v>7</v>
      </c>
      <c r="E5423" s="2" t="s">
        <v>12</v>
      </c>
      <c r="F5423">
        <f t="shared" si="84"/>
        <v>561.18900000000008</v>
      </c>
      <c r="G5423" t="s">
        <v>16</v>
      </c>
      <c r="J5423" t="str">
        <f>"08/04/2000 23:45"</f>
        <v>08/04/2000 23:45</v>
      </c>
    </row>
    <row r="5424" spans="1:10" x14ac:dyDescent="0.3">
      <c r="A5424" t="s">
        <v>6</v>
      </c>
      <c r="B5424" t="str">
        <f>"08/05/2000 00:00"</f>
        <v>08/05/2000 00:00</v>
      </c>
      <c r="C5424">
        <v>283</v>
      </c>
      <c r="D5424" t="s">
        <v>7</v>
      </c>
      <c r="E5424" s="2" t="s">
        <v>12</v>
      </c>
      <c r="F5424">
        <f t="shared" si="84"/>
        <v>561.18900000000008</v>
      </c>
      <c r="G5424" t="s">
        <v>16</v>
      </c>
      <c r="J5424" t="str">
        <f>"08/05/2000 23:45"</f>
        <v>08/05/2000 23:45</v>
      </c>
    </row>
    <row r="5425" spans="1:10" x14ac:dyDescent="0.3">
      <c r="A5425" t="s">
        <v>6</v>
      </c>
      <c r="B5425" t="str">
        <f>"08/06/2000 00:00"</f>
        <v>08/06/2000 00:00</v>
      </c>
      <c r="C5425">
        <v>259</v>
      </c>
      <c r="D5425" t="s">
        <v>7</v>
      </c>
      <c r="E5425" s="2" t="s">
        <v>12</v>
      </c>
      <c r="F5425">
        <f t="shared" si="84"/>
        <v>513.59699999999998</v>
      </c>
      <c r="G5425" t="s">
        <v>16</v>
      </c>
      <c r="J5425" t="str">
        <f>"08/06/2000 23:45"</f>
        <v>08/06/2000 23:45</v>
      </c>
    </row>
    <row r="5426" spans="1:10" x14ac:dyDescent="0.3">
      <c r="A5426" t="s">
        <v>6</v>
      </c>
      <c r="B5426" t="str">
        <f>"08/07/2000 00:00"</f>
        <v>08/07/2000 00:00</v>
      </c>
      <c r="C5426">
        <v>246</v>
      </c>
      <c r="D5426" t="s">
        <v>7</v>
      </c>
      <c r="E5426" s="2" t="s">
        <v>12</v>
      </c>
      <c r="F5426">
        <f t="shared" si="84"/>
        <v>487.81800000000004</v>
      </c>
      <c r="G5426" t="s">
        <v>16</v>
      </c>
      <c r="J5426" t="str">
        <f>"08/07/2000 23:45"</f>
        <v>08/07/2000 23:45</v>
      </c>
    </row>
    <row r="5427" spans="1:10" x14ac:dyDescent="0.3">
      <c r="A5427" t="s">
        <v>6</v>
      </c>
      <c r="B5427" t="str">
        <f>"08/08/2000 00:00"</f>
        <v>08/08/2000 00:00</v>
      </c>
      <c r="C5427">
        <v>249</v>
      </c>
      <c r="D5427" t="s">
        <v>7</v>
      </c>
      <c r="E5427" s="2" t="s">
        <v>12</v>
      </c>
      <c r="F5427">
        <f t="shared" si="84"/>
        <v>493.767</v>
      </c>
      <c r="G5427" t="s">
        <v>16</v>
      </c>
      <c r="J5427" t="str">
        <f>"08/08/2000 23:45"</f>
        <v>08/08/2000 23:45</v>
      </c>
    </row>
    <row r="5428" spans="1:10" x14ac:dyDescent="0.3">
      <c r="A5428" t="s">
        <v>6</v>
      </c>
      <c r="B5428" t="str">
        <f>"08/09/2000 00:00"</f>
        <v>08/09/2000 00:00</v>
      </c>
      <c r="C5428">
        <v>271</v>
      </c>
      <c r="D5428" t="s">
        <v>7</v>
      </c>
      <c r="E5428" s="2" t="s">
        <v>12</v>
      </c>
      <c r="F5428">
        <f t="shared" si="84"/>
        <v>537.39300000000003</v>
      </c>
      <c r="G5428" t="s">
        <v>16</v>
      </c>
      <c r="J5428" t="str">
        <f>"08/09/2000 23:45"</f>
        <v>08/09/2000 23:45</v>
      </c>
    </row>
    <row r="5429" spans="1:10" x14ac:dyDescent="0.3">
      <c r="A5429" t="s">
        <v>6</v>
      </c>
      <c r="B5429" t="str">
        <f>"08/10/2000 00:00"</f>
        <v>08/10/2000 00:00</v>
      </c>
      <c r="C5429">
        <v>326</v>
      </c>
      <c r="D5429" t="s">
        <v>7</v>
      </c>
      <c r="E5429" s="2" t="s">
        <v>12</v>
      </c>
      <c r="F5429">
        <f t="shared" si="84"/>
        <v>646.45800000000008</v>
      </c>
      <c r="G5429" t="s">
        <v>16</v>
      </c>
      <c r="J5429" t="str">
        <f>"08/10/2000 23:45"</f>
        <v>08/10/2000 23:45</v>
      </c>
    </row>
    <row r="5430" spans="1:10" x14ac:dyDescent="0.3">
      <c r="A5430" t="s">
        <v>6</v>
      </c>
      <c r="B5430" t="str">
        <f>"08/11/2000 00:00"</f>
        <v>08/11/2000 00:00</v>
      </c>
      <c r="C5430">
        <v>418</v>
      </c>
      <c r="D5430" t="s">
        <v>7</v>
      </c>
      <c r="E5430" s="2" t="s">
        <v>12</v>
      </c>
      <c r="F5430">
        <f t="shared" si="84"/>
        <v>828.89400000000001</v>
      </c>
      <c r="G5430" t="s">
        <v>16</v>
      </c>
      <c r="J5430" t="str">
        <f>"08/11/2000 23:45"</f>
        <v>08/11/2000 23:45</v>
      </c>
    </row>
    <row r="5431" spans="1:10" x14ac:dyDescent="0.3">
      <c r="A5431" t="s">
        <v>6</v>
      </c>
      <c r="B5431" t="str">
        <f>"08/12/2000 00:00"</f>
        <v>08/12/2000 00:00</v>
      </c>
      <c r="C5431">
        <v>297</v>
      </c>
      <c r="D5431" t="s">
        <v>7</v>
      </c>
      <c r="E5431" s="2" t="s">
        <v>12</v>
      </c>
      <c r="F5431">
        <f t="shared" si="84"/>
        <v>588.95100000000002</v>
      </c>
      <c r="G5431" t="s">
        <v>16</v>
      </c>
      <c r="J5431" t="str">
        <f>"08/12/2000 23:45"</f>
        <v>08/12/2000 23:45</v>
      </c>
    </row>
    <row r="5432" spans="1:10" x14ac:dyDescent="0.3">
      <c r="A5432" t="s">
        <v>6</v>
      </c>
      <c r="B5432" t="str">
        <f>"08/13/2000 00:00"</f>
        <v>08/13/2000 00:00</v>
      </c>
      <c r="C5432">
        <v>434</v>
      </c>
      <c r="D5432" t="s">
        <v>7</v>
      </c>
      <c r="E5432" s="2" t="s">
        <v>12</v>
      </c>
      <c r="F5432">
        <f t="shared" si="84"/>
        <v>860.62200000000007</v>
      </c>
      <c r="G5432" t="s">
        <v>16</v>
      </c>
      <c r="J5432" t="str">
        <f>"08/13/2000 23:45"</f>
        <v>08/13/2000 23:45</v>
      </c>
    </row>
    <row r="5433" spans="1:10" x14ac:dyDescent="0.3">
      <c r="A5433" t="s">
        <v>6</v>
      </c>
      <c r="B5433" t="str">
        <f>"08/14/2000 00:00"</f>
        <v>08/14/2000 00:00</v>
      </c>
      <c r="C5433">
        <v>438</v>
      </c>
      <c r="D5433" t="s">
        <v>7</v>
      </c>
      <c r="E5433" s="2" t="s">
        <v>12</v>
      </c>
      <c r="F5433">
        <f t="shared" si="84"/>
        <v>868.55400000000009</v>
      </c>
      <c r="G5433" t="s">
        <v>16</v>
      </c>
      <c r="J5433" t="str">
        <f>"08/14/2000 23:45"</f>
        <v>08/14/2000 23:45</v>
      </c>
    </row>
    <row r="5434" spans="1:10" x14ac:dyDescent="0.3">
      <c r="A5434" t="s">
        <v>6</v>
      </c>
      <c r="B5434" t="str">
        <f>"08/15/2000 00:00"</f>
        <v>08/15/2000 00:00</v>
      </c>
      <c r="C5434">
        <v>412</v>
      </c>
      <c r="D5434" t="s">
        <v>7</v>
      </c>
      <c r="E5434" s="2" t="s">
        <v>12</v>
      </c>
      <c r="F5434">
        <f t="shared" si="84"/>
        <v>816.99600000000009</v>
      </c>
      <c r="G5434" t="s">
        <v>16</v>
      </c>
      <c r="J5434" t="str">
        <f>"08/15/2000 23:45"</f>
        <v>08/15/2000 23:45</v>
      </c>
    </row>
    <row r="5435" spans="1:10" x14ac:dyDescent="0.3">
      <c r="A5435" t="s">
        <v>6</v>
      </c>
      <c r="B5435" t="str">
        <f>"08/16/2000 00:00"</f>
        <v>08/16/2000 00:00</v>
      </c>
      <c r="C5435">
        <v>322</v>
      </c>
      <c r="D5435" t="s">
        <v>7</v>
      </c>
      <c r="E5435" s="2" t="s">
        <v>12</v>
      </c>
      <c r="F5435">
        <f t="shared" si="84"/>
        <v>638.52600000000007</v>
      </c>
      <c r="G5435" t="s">
        <v>16</v>
      </c>
      <c r="J5435" t="str">
        <f>"08/16/2000 23:45"</f>
        <v>08/16/2000 23:45</v>
      </c>
    </row>
    <row r="5436" spans="1:10" x14ac:dyDescent="0.3">
      <c r="A5436" t="s">
        <v>6</v>
      </c>
      <c r="B5436" t="str">
        <f>"08/17/2000 00:00"</f>
        <v>08/17/2000 00:00</v>
      </c>
      <c r="C5436">
        <v>297</v>
      </c>
      <c r="D5436" t="s">
        <v>7</v>
      </c>
      <c r="E5436" s="2" t="s">
        <v>12</v>
      </c>
      <c r="F5436">
        <f t="shared" si="84"/>
        <v>588.95100000000002</v>
      </c>
      <c r="G5436" t="s">
        <v>16</v>
      </c>
      <c r="J5436" t="str">
        <f>"08/17/2000 23:45"</f>
        <v>08/17/2000 23:45</v>
      </c>
    </row>
    <row r="5437" spans="1:10" x14ac:dyDescent="0.3">
      <c r="A5437" t="s">
        <v>6</v>
      </c>
      <c r="B5437" t="str">
        <f>"08/18/2000 00:00"</f>
        <v>08/18/2000 00:00</v>
      </c>
      <c r="C5437">
        <v>224</v>
      </c>
      <c r="D5437" t="s">
        <v>7</v>
      </c>
      <c r="E5437" s="2" t="s">
        <v>12</v>
      </c>
      <c r="F5437">
        <f t="shared" si="84"/>
        <v>444.19200000000001</v>
      </c>
      <c r="G5437" t="s">
        <v>16</v>
      </c>
      <c r="J5437" t="str">
        <f>"08/18/2000 23:45"</f>
        <v>08/18/2000 23:45</v>
      </c>
    </row>
    <row r="5438" spans="1:10" x14ac:dyDescent="0.3">
      <c r="A5438" t="s">
        <v>6</v>
      </c>
      <c r="B5438" t="str">
        <f>"08/19/2000 00:00"</f>
        <v>08/19/2000 00:00</v>
      </c>
      <c r="C5438">
        <v>223</v>
      </c>
      <c r="D5438" t="s">
        <v>7</v>
      </c>
      <c r="E5438" s="2" t="s">
        <v>12</v>
      </c>
      <c r="F5438">
        <f t="shared" si="84"/>
        <v>442.209</v>
      </c>
      <c r="G5438" t="s">
        <v>16</v>
      </c>
      <c r="J5438" t="str">
        <f>"08/19/2000 23:45"</f>
        <v>08/19/2000 23:45</v>
      </c>
    </row>
    <row r="5439" spans="1:10" x14ac:dyDescent="0.3">
      <c r="A5439" t="s">
        <v>6</v>
      </c>
      <c r="B5439" t="str">
        <f>"08/20/2000 00:00"</f>
        <v>08/20/2000 00:00</v>
      </c>
      <c r="C5439">
        <v>250</v>
      </c>
      <c r="D5439" t="s">
        <v>7</v>
      </c>
      <c r="E5439" s="2" t="s">
        <v>12</v>
      </c>
      <c r="F5439">
        <f t="shared" si="84"/>
        <v>495.75</v>
      </c>
      <c r="G5439" t="s">
        <v>16</v>
      </c>
      <c r="J5439" t="str">
        <f>"08/20/2000 23:45"</f>
        <v>08/20/2000 23:45</v>
      </c>
    </row>
    <row r="5440" spans="1:10" x14ac:dyDescent="0.3">
      <c r="A5440" t="s">
        <v>6</v>
      </c>
      <c r="B5440" t="str">
        <f>"08/21/2000 00:00"</f>
        <v>08/21/2000 00:00</v>
      </c>
      <c r="C5440">
        <v>269</v>
      </c>
      <c r="D5440" t="s">
        <v>7</v>
      </c>
      <c r="E5440" s="2" t="s">
        <v>12</v>
      </c>
      <c r="F5440">
        <f t="shared" si="84"/>
        <v>533.42700000000002</v>
      </c>
      <c r="G5440" t="s">
        <v>16</v>
      </c>
      <c r="J5440" t="str">
        <f>"08/21/2000 23:45"</f>
        <v>08/21/2000 23:45</v>
      </c>
    </row>
    <row r="5441" spans="1:10" x14ac:dyDescent="0.3">
      <c r="A5441" t="s">
        <v>6</v>
      </c>
      <c r="B5441" t="str">
        <f>"08/22/2000 00:00"</f>
        <v>08/22/2000 00:00</v>
      </c>
      <c r="C5441">
        <v>274</v>
      </c>
      <c r="D5441" t="s">
        <v>7</v>
      </c>
      <c r="E5441" s="2" t="s">
        <v>12</v>
      </c>
      <c r="F5441">
        <f t="shared" si="84"/>
        <v>543.34199999999998</v>
      </c>
      <c r="G5441" t="s">
        <v>16</v>
      </c>
      <c r="J5441" t="str">
        <f>"08/22/2000 23:45"</f>
        <v>08/22/2000 23:45</v>
      </c>
    </row>
    <row r="5442" spans="1:10" x14ac:dyDescent="0.3">
      <c r="A5442" t="s">
        <v>6</v>
      </c>
      <c r="B5442" t="str">
        <f>"08/23/2000 00:00"</f>
        <v>08/23/2000 00:00</v>
      </c>
      <c r="C5442">
        <v>272</v>
      </c>
      <c r="D5442" t="s">
        <v>7</v>
      </c>
      <c r="E5442" s="2" t="s">
        <v>12</v>
      </c>
      <c r="F5442">
        <f t="shared" si="84"/>
        <v>539.37599999999998</v>
      </c>
      <c r="G5442" t="s">
        <v>16</v>
      </c>
      <c r="J5442" t="str">
        <f>"08/23/2000 23:45"</f>
        <v>08/23/2000 23:45</v>
      </c>
    </row>
    <row r="5443" spans="1:10" x14ac:dyDescent="0.3">
      <c r="A5443" t="s">
        <v>6</v>
      </c>
      <c r="B5443" t="str">
        <f>"08/24/2000 00:00"</f>
        <v>08/24/2000 00:00</v>
      </c>
      <c r="C5443">
        <v>233</v>
      </c>
      <c r="D5443" t="s">
        <v>7</v>
      </c>
      <c r="E5443" s="2" t="s">
        <v>12</v>
      </c>
      <c r="F5443">
        <f t="shared" ref="F5443:F5506" si="85">C5443*1.983</f>
        <v>462.03900000000004</v>
      </c>
      <c r="G5443" t="s">
        <v>16</v>
      </c>
      <c r="J5443" t="str">
        <f>"08/24/2000 23:45"</f>
        <v>08/24/2000 23:45</v>
      </c>
    </row>
    <row r="5444" spans="1:10" x14ac:dyDescent="0.3">
      <c r="A5444" t="s">
        <v>6</v>
      </c>
      <c r="B5444" t="str">
        <f>"08/25/2000 00:00"</f>
        <v>08/25/2000 00:00</v>
      </c>
      <c r="C5444">
        <v>205</v>
      </c>
      <c r="D5444" t="s">
        <v>7</v>
      </c>
      <c r="E5444" s="2" t="s">
        <v>12</v>
      </c>
      <c r="F5444">
        <f t="shared" si="85"/>
        <v>406.51500000000004</v>
      </c>
      <c r="G5444" t="s">
        <v>16</v>
      </c>
      <c r="J5444" t="str">
        <f>"08/25/2000 23:45"</f>
        <v>08/25/2000 23:45</v>
      </c>
    </row>
    <row r="5445" spans="1:10" x14ac:dyDescent="0.3">
      <c r="A5445" t="s">
        <v>6</v>
      </c>
      <c r="B5445" t="str">
        <f>"08/26/2000 00:00"</f>
        <v>08/26/2000 00:00</v>
      </c>
      <c r="C5445">
        <v>231</v>
      </c>
      <c r="D5445" t="s">
        <v>7</v>
      </c>
      <c r="E5445" s="2" t="s">
        <v>12</v>
      </c>
      <c r="F5445">
        <f t="shared" si="85"/>
        <v>458.07300000000004</v>
      </c>
      <c r="G5445" t="s">
        <v>16</v>
      </c>
      <c r="J5445" t="str">
        <f>"08/26/2000 23:45"</f>
        <v>08/26/2000 23:45</v>
      </c>
    </row>
    <row r="5446" spans="1:10" x14ac:dyDescent="0.3">
      <c r="A5446" t="s">
        <v>6</v>
      </c>
      <c r="B5446" t="str">
        <f>"08/27/2000 00:00"</f>
        <v>08/27/2000 00:00</v>
      </c>
      <c r="C5446">
        <v>261</v>
      </c>
      <c r="D5446" t="s">
        <v>7</v>
      </c>
      <c r="E5446" s="2" t="s">
        <v>12</v>
      </c>
      <c r="F5446">
        <f t="shared" si="85"/>
        <v>517.56299999999999</v>
      </c>
      <c r="G5446" t="s">
        <v>16</v>
      </c>
      <c r="J5446" t="str">
        <f>"08/27/2000 23:45"</f>
        <v>08/27/2000 23:45</v>
      </c>
    </row>
    <row r="5447" spans="1:10" x14ac:dyDescent="0.3">
      <c r="A5447" t="s">
        <v>6</v>
      </c>
      <c r="B5447" t="str">
        <f>"08/28/2000 00:00"</f>
        <v>08/28/2000 00:00</v>
      </c>
      <c r="C5447">
        <v>263</v>
      </c>
      <c r="D5447" t="s">
        <v>7</v>
      </c>
      <c r="E5447" s="2" t="s">
        <v>12</v>
      </c>
      <c r="F5447">
        <f t="shared" si="85"/>
        <v>521.529</v>
      </c>
      <c r="G5447" t="s">
        <v>16</v>
      </c>
      <c r="J5447" t="str">
        <f>"08/28/2000 23:45"</f>
        <v>08/28/2000 23:45</v>
      </c>
    </row>
    <row r="5448" spans="1:10" x14ac:dyDescent="0.3">
      <c r="A5448" t="s">
        <v>6</v>
      </c>
      <c r="B5448" t="str">
        <f>"08/29/2000 00:00"</f>
        <v>08/29/2000 00:00</v>
      </c>
      <c r="C5448">
        <v>243</v>
      </c>
      <c r="D5448" t="s">
        <v>7</v>
      </c>
      <c r="E5448" s="2" t="s">
        <v>12</v>
      </c>
      <c r="F5448">
        <f t="shared" si="85"/>
        <v>481.86900000000003</v>
      </c>
      <c r="G5448" t="s">
        <v>16</v>
      </c>
      <c r="J5448" t="str">
        <f>"08/29/2000 23:45"</f>
        <v>08/29/2000 23:45</v>
      </c>
    </row>
    <row r="5449" spans="1:10" x14ac:dyDescent="0.3">
      <c r="A5449" t="s">
        <v>6</v>
      </c>
      <c r="B5449" t="str">
        <f>"08/30/2000 00:00"</f>
        <v>08/30/2000 00:00</v>
      </c>
      <c r="C5449">
        <v>222</v>
      </c>
      <c r="D5449" t="s">
        <v>7</v>
      </c>
      <c r="E5449" s="2" t="s">
        <v>12</v>
      </c>
      <c r="F5449">
        <f t="shared" si="85"/>
        <v>440.226</v>
      </c>
      <c r="G5449" t="s">
        <v>16</v>
      </c>
      <c r="J5449" t="str">
        <f>"08/30/2000 23:45"</f>
        <v>08/30/2000 23:45</v>
      </c>
    </row>
    <row r="5450" spans="1:10" x14ac:dyDescent="0.3">
      <c r="A5450" t="s">
        <v>6</v>
      </c>
      <c r="B5450" t="str">
        <f>"08/31/2000 00:00"</f>
        <v>08/31/2000 00:00</v>
      </c>
      <c r="C5450">
        <v>244</v>
      </c>
      <c r="D5450" t="s">
        <v>7</v>
      </c>
      <c r="E5450" s="2" t="s">
        <v>12</v>
      </c>
      <c r="F5450">
        <f t="shared" si="85"/>
        <v>483.85200000000003</v>
      </c>
      <c r="G5450" t="s">
        <v>16</v>
      </c>
      <c r="J5450" t="str">
        <f>"08/31/2000 23:45"</f>
        <v>08/31/2000 23:45</v>
      </c>
    </row>
    <row r="5451" spans="1:10" x14ac:dyDescent="0.3">
      <c r="A5451" t="s">
        <v>6</v>
      </c>
      <c r="B5451" t="str">
        <f>"09/01/2000 00:00"</f>
        <v>09/01/2000 00:00</v>
      </c>
      <c r="C5451">
        <v>252</v>
      </c>
      <c r="D5451" t="s">
        <v>7</v>
      </c>
      <c r="E5451" s="2" t="s">
        <v>12</v>
      </c>
      <c r="F5451">
        <f t="shared" si="85"/>
        <v>499.71600000000001</v>
      </c>
      <c r="G5451" t="s">
        <v>16</v>
      </c>
      <c r="J5451" t="str">
        <f>"09/01/2000 23:45"</f>
        <v>09/01/2000 23:45</v>
      </c>
    </row>
    <row r="5452" spans="1:10" x14ac:dyDescent="0.3">
      <c r="A5452" t="s">
        <v>6</v>
      </c>
      <c r="B5452" t="str">
        <f>"09/02/2000 00:00"</f>
        <v>09/02/2000 00:00</v>
      </c>
      <c r="C5452">
        <v>254</v>
      </c>
      <c r="D5452" t="s">
        <v>7</v>
      </c>
      <c r="E5452" s="2" t="s">
        <v>12</v>
      </c>
      <c r="F5452">
        <f t="shared" si="85"/>
        <v>503.68200000000002</v>
      </c>
      <c r="G5452" t="s">
        <v>16</v>
      </c>
      <c r="J5452" t="str">
        <f>"09/02/2000 23:45"</f>
        <v>09/02/2000 23:45</v>
      </c>
    </row>
    <row r="5453" spans="1:10" x14ac:dyDescent="0.3">
      <c r="A5453" t="s">
        <v>6</v>
      </c>
      <c r="B5453" t="str">
        <f>"09/03/2000 00:00"</f>
        <v>09/03/2000 00:00</v>
      </c>
      <c r="C5453">
        <v>255</v>
      </c>
      <c r="D5453" t="s">
        <v>7</v>
      </c>
      <c r="E5453" s="2" t="s">
        <v>12</v>
      </c>
      <c r="F5453">
        <f t="shared" si="85"/>
        <v>505.66500000000002</v>
      </c>
      <c r="G5453" t="s">
        <v>16</v>
      </c>
      <c r="J5453" t="str">
        <f>"09/03/2000 23:45"</f>
        <v>09/03/2000 23:45</v>
      </c>
    </row>
    <row r="5454" spans="1:10" x14ac:dyDescent="0.3">
      <c r="A5454" t="s">
        <v>6</v>
      </c>
      <c r="B5454" t="str">
        <f>"09/04/2000 00:00"</f>
        <v>09/04/2000 00:00</v>
      </c>
      <c r="C5454">
        <v>300</v>
      </c>
      <c r="D5454" t="s">
        <v>7</v>
      </c>
      <c r="E5454" s="2" t="s">
        <v>12</v>
      </c>
      <c r="F5454">
        <f t="shared" si="85"/>
        <v>594.9</v>
      </c>
      <c r="G5454" t="s">
        <v>16</v>
      </c>
      <c r="J5454" t="str">
        <f>"09/04/2000 23:45"</f>
        <v>09/04/2000 23:45</v>
      </c>
    </row>
    <row r="5455" spans="1:10" x14ac:dyDescent="0.3">
      <c r="A5455" t="s">
        <v>6</v>
      </c>
      <c r="B5455" t="str">
        <f>"09/05/2000 00:00"</f>
        <v>09/05/2000 00:00</v>
      </c>
      <c r="C5455">
        <v>333</v>
      </c>
      <c r="D5455" t="s">
        <v>7</v>
      </c>
      <c r="E5455" s="2" t="s">
        <v>12</v>
      </c>
      <c r="F5455">
        <f t="shared" si="85"/>
        <v>660.33900000000006</v>
      </c>
      <c r="G5455" t="s">
        <v>16</v>
      </c>
      <c r="J5455" t="str">
        <f>"09/05/2000 23:45"</f>
        <v>09/05/2000 23:45</v>
      </c>
    </row>
    <row r="5456" spans="1:10" x14ac:dyDescent="0.3">
      <c r="A5456" t="s">
        <v>6</v>
      </c>
      <c r="B5456" t="str">
        <f>"09/06/2000 00:00"</f>
        <v>09/06/2000 00:00</v>
      </c>
      <c r="C5456">
        <v>334</v>
      </c>
      <c r="D5456" t="s">
        <v>7</v>
      </c>
      <c r="E5456" s="2" t="s">
        <v>12</v>
      </c>
      <c r="F5456">
        <f t="shared" si="85"/>
        <v>662.322</v>
      </c>
      <c r="G5456" t="s">
        <v>16</v>
      </c>
      <c r="J5456" t="str">
        <f>"09/06/2000 23:45"</f>
        <v>09/06/2000 23:45</v>
      </c>
    </row>
    <row r="5457" spans="1:10" x14ac:dyDescent="0.3">
      <c r="A5457" t="s">
        <v>6</v>
      </c>
      <c r="B5457" t="str">
        <f>"09/07/2000 00:00"</f>
        <v>09/07/2000 00:00</v>
      </c>
      <c r="C5457">
        <v>335</v>
      </c>
      <c r="D5457" t="s">
        <v>7</v>
      </c>
      <c r="E5457" s="2" t="s">
        <v>12</v>
      </c>
      <c r="F5457">
        <f t="shared" si="85"/>
        <v>664.30500000000006</v>
      </c>
      <c r="G5457" t="s">
        <v>16</v>
      </c>
      <c r="J5457" t="str">
        <f>"09/07/2000 23:45"</f>
        <v>09/07/2000 23:45</v>
      </c>
    </row>
    <row r="5458" spans="1:10" x14ac:dyDescent="0.3">
      <c r="A5458" t="s">
        <v>6</v>
      </c>
      <c r="B5458" t="str">
        <f>"09/08/2000 00:00"</f>
        <v>09/08/2000 00:00</v>
      </c>
      <c r="C5458">
        <v>323</v>
      </c>
      <c r="D5458" t="s">
        <v>7</v>
      </c>
      <c r="E5458" s="2" t="s">
        <v>12</v>
      </c>
      <c r="F5458">
        <f t="shared" si="85"/>
        <v>640.50900000000001</v>
      </c>
      <c r="G5458" t="s">
        <v>16</v>
      </c>
      <c r="J5458" t="str">
        <f>"09/08/2000 23:45"</f>
        <v>09/08/2000 23:45</v>
      </c>
    </row>
    <row r="5459" spans="1:10" x14ac:dyDescent="0.3">
      <c r="A5459" t="s">
        <v>6</v>
      </c>
      <c r="B5459" t="str">
        <f>"09/09/2000 00:00"</f>
        <v>09/09/2000 00:00</v>
      </c>
      <c r="C5459">
        <v>305</v>
      </c>
      <c r="D5459" t="s">
        <v>7</v>
      </c>
      <c r="E5459" s="2" t="s">
        <v>12</v>
      </c>
      <c r="F5459">
        <f t="shared" si="85"/>
        <v>604.81500000000005</v>
      </c>
      <c r="G5459" t="s">
        <v>16</v>
      </c>
      <c r="J5459" t="str">
        <f>"09/09/2000 23:45"</f>
        <v>09/09/2000 23:45</v>
      </c>
    </row>
    <row r="5460" spans="1:10" x14ac:dyDescent="0.3">
      <c r="A5460" t="s">
        <v>6</v>
      </c>
      <c r="B5460" t="str">
        <f>"09/10/2000 00:00"</f>
        <v>09/10/2000 00:00</v>
      </c>
      <c r="C5460">
        <v>346</v>
      </c>
      <c r="D5460" t="s">
        <v>7</v>
      </c>
      <c r="E5460" s="2" t="s">
        <v>12</v>
      </c>
      <c r="F5460">
        <f t="shared" si="85"/>
        <v>686.11800000000005</v>
      </c>
      <c r="G5460" t="s">
        <v>16</v>
      </c>
      <c r="J5460" t="str">
        <f>"09/10/2000 23:45"</f>
        <v>09/10/2000 23:45</v>
      </c>
    </row>
    <row r="5461" spans="1:10" x14ac:dyDescent="0.3">
      <c r="A5461" t="s">
        <v>6</v>
      </c>
      <c r="B5461" t="str">
        <f>"09/11/2000 00:00"</f>
        <v>09/11/2000 00:00</v>
      </c>
      <c r="C5461">
        <v>377</v>
      </c>
      <c r="D5461" t="s">
        <v>7</v>
      </c>
      <c r="E5461" s="2" t="s">
        <v>12</v>
      </c>
      <c r="F5461">
        <f t="shared" si="85"/>
        <v>747.59100000000001</v>
      </c>
      <c r="G5461" t="s">
        <v>16</v>
      </c>
      <c r="J5461" t="str">
        <f>"09/11/2000 23:45"</f>
        <v>09/11/2000 23:45</v>
      </c>
    </row>
    <row r="5462" spans="1:10" x14ac:dyDescent="0.3">
      <c r="A5462" t="s">
        <v>6</v>
      </c>
      <c r="B5462" t="str">
        <f>"09/12/2000 00:00"</f>
        <v>09/12/2000 00:00</v>
      </c>
      <c r="C5462">
        <v>377</v>
      </c>
      <c r="D5462" t="s">
        <v>7</v>
      </c>
      <c r="E5462" s="2" t="s">
        <v>12</v>
      </c>
      <c r="F5462">
        <f t="shared" si="85"/>
        <v>747.59100000000001</v>
      </c>
      <c r="G5462" t="s">
        <v>16</v>
      </c>
      <c r="J5462" t="str">
        <f>"09/12/2000 23:45"</f>
        <v>09/12/2000 23:45</v>
      </c>
    </row>
    <row r="5463" spans="1:10" x14ac:dyDescent="0.3">
      <c r="A5463" t="s">
        <v>6</v>
      </c>
      <c r="B5463" t="str">
        <f>"09/13/2000 00:00"</f>
        <v>09/13/2000 00:00</v>
      </c>
      <c r="C5463">
        <v>332</v>
      </c>
      <c r="D5463" t="s">
        <v>7</v>
      </c>
      <c r="E5463" s="2" t="s">
        <v>12</v>
      </c>
      <c r="F5463">
        <f t="shared" si="85"/>
        <v>658.35599999999999</v>
      </c>
      <c r="G5463" t="s">
        <v>16</v>
      </c>
      <c r="J5463" t="str">
        <f>"09/13/2000 23:45"</f>
        <v>09/13/2000 23:45</v>
      </c>
    </row>
    <row r="5464" spans="1:10" x14ac:dyDescent="0.3">
      <c r="A5464" t="s">
        <v>6</v>
      </c>
      <c r="B5464" t="str">
        <f>"09/14/2000 00:00"</f>
        <v>09/14/2000 00:00</v>
      </c>
      <c r="C5464">
        <v>287</v>
      </c>
      <c r="D5464" t="s">
        <v>7</v>
      </c>
      <c r="E5464" s="2" t="s">
        <v>12</v>
      </c>
      <c r="F5464">
        <f t="shared" si="85"/>
        <v>569.12099999999998</v>
      </c>
      <c r="G5464" t="s">
        <v>16</v>
      </c>
      <c r="J5464" t="str">
        <f>"09/14/2000 23:45"</f>
        <v>09/14/2000 23:45</v>
      </c>
    </row>
    <row r="5465" spans="1:10" x14ac:dyDescent="0.3">
      <c r="A5465" t="s">
        <v>6</v>
      </c>
      <c r="B5465" t="str">
        <f>"09/15/2000 00:00"</f>
        <v>09/15/2000 00:00</v>
      </c>
      <c r="C5465">
        <v>237</v>
      </c>
      <c r="D5465" t="s">
        <v>7</v>
      </c>
      <c r="E5465" s="2" t="s">
        <v>12</v>
      </c>
      <c r="F5465">
        <f t="shared" si="85"/>
        <v>469.971</v>
      </c>
      <c r="G5465" t="s">
        <v>16</v>
      </c>
      <c r="J5465" t="str">
        <f>"09/15/2000 23:45"</f>
        <v>09/15/2000 23:45</v>
      </c>
    </row>
    <row r="5466" spans="1:10" x14ac:dyDescent="0.3">
      <c r="A5466" t="s">
        <v>6</v>
      </c>
      <c r="B5466" t="str">
        <f>"09/16/2000 00:00"</f>
        <v>09/16/2000 00:00</v>
      </c>
      <c r="C5466">
        <v>167</v>
      </c>
      <c r="D5466" t="s">
        <v>7</v>
      </c>
      <c r="E5466" s="2" t="s">
        <v>12</v>
      </c>
      <c r="F5466">
        <f t="shared" si="85"/>
        <v>331.161</v>
      </c>
      <c r="G5466" t="s">
        <v>16</v>
      </c>
      <c r="J5466" t="str">
        <f>"09/16/2000 23:45"</f>
        <v>09/16/2000 23:45</v>
      </c>
    </row>
    <row r="5467" spans="1:10" x14ac:dyDescent="0.3">
      <c r="A5467" t="s">
        <v>6</v>
      </c>
      <c r="B5467" t="str">
        <f>"09/17/2000 00:00"</f>
        <v>09/17/2000 00:00</v>
      </c>
      <c r="C5467">
        <v>149</v>
      </c>
      <c r="D5467" t="s">
        <v>7</v>
      </c>
      <c r="E5467" s="2" t="s">
        <v>12</v>
      </c>
      <c r="F5467">
        <f t="shared" si="85"/>
        <v>295.46700000000004</v>
      </c>
      <c r="G5467" t="s">
        <v>16</v>
      </c>
      <c r="J5467" t="str">
        <f>"09/17/2000 23:45"</f>
        <v>09/17/2000 23:45</v>
      </c>
    </row>
    <row r="5468" spans="1:10" x14ac:dyDescent="0.3">
      <c r="A5468" t="s">
        <v>6</v>
      </c>
      <c r="B5468" t="str">
        <f>"09/18/2000 00:00"</f>
        <v>09/18/2000 00:00</v>
      </c>
      <c r="C5468">
        <v>89.5</v>
      </c>
      <c r="D5468" t="s">
        <v>7</v>
      </c>
      <c r="E5468" s="2" t="s">
        <v>12</v>
      </c>
      <c r="F5468">
        <f t="shared" si="85"/>
        <v>177.4785</v>
      </c>
      <c r="G5468" t="s">
        <v>16</v>
      </c>
      <c r="J5468" t="str">
        <f>"09/18/2000 23:45"</f>
        <v>09/18/2000 23:45</v>
      </c>
    </row>
    <row r="5469" spans="1:10" x14ac:dyDescent="0.3">
      <c r="A5469" t="s">
        <v>6</v>
      </c>
      <c r="B5469" t="str">
        <f>"09/19/2000 00:00"</f>
        <v>09/19/2000 00:00</v>
      </c>
      <c r="C5469">
        <v>73</v>
      </c>
      <c r="D5469" t="s">
        <v>7</v>
      </c>
      <c r="E5469" s="2" t="s">
        <v>12</v>
      </c>
      <c r="F5469">
        <f t="shared" si="85"/>
        <v>144.75900000000001</v>
      </c>
      <c r="G5469" t="s">
        <v>16</v>
      </c>
      <c r="J5469" t="str">
        <f>"09/19/2000 23:45"</f>
        <v>09/19/2000 23:45</v>
      </c>
    </row>
    <row r="5470" spans="1:10" x14ac:dyDescent="0.3">
      <c r="A5470" t="s">
        <v>6</v>
      </c>
      <c r="B5470" t="str">
        <f>"09/20/2000 00:00"</f>
        <v>09/20/2000 00:00</v>
      </c>
      <c r="C5470">
        <v>88.5</v>
      </c>
      <c r="D5470" t="s">
        <v>7</v>
      </c>
      <c r="E5470" s="2" t="s">
        <v>12</v>
      </c>
      <c r="F5470">
        <f t="shared" si="85"/>
        <v>175.49550000000002</v>
      </c>
      <c r="G5470" t="s">
        <v>16</v>
      </c>
      <c r="J5470" t="str">
        <f>"09/20/2000 23:45"</f>
        <v>09/20/2000 23:45</v>
      </c>
    </row>
    <row r="5471" spans="1:10" x14ac:dyDescent="0.3">
      <c r="A5471" t="s">
        <v>6</v>
      </c>
      <c r="B5471" t="str">
        <f>"09/21/2000 00:00"</f>
        <v>09/21/2000 00:00</v>
      </c>
      <c r="C5471">
        <v>59.1</v>
      </c>
      <c r="D5471" t="s">
        <v>7</v>
      </c>
      <c r="E5471" s="2" t="s">
        <v>12</v>
      </c>
      <c r="F5471">
        <f t="shared" si="85"/>
        <v>117.1953</v>
      </c>
      <c r="G5471" t="s">
        <v>16</v>
      </c>
      <c r="J5471" t="str">
        <f>"09/21/2000 23:45"</f>
        <v>09/21/2000 23:45</v>
      </c>
    </row>
    <row r="5472" spans="1:10" x14ac:dyDescent="0.3">
      <c r="A5472" t="s">
        <v>6</v>
      </c>
      <c r="B5472" t="str">
        <f>"09/22/2000 00:00"</f>
        <v>09/22/2000 00:00</v>
      </c>
      <c r="C5472">
        <v>24.7</v>
      </c>
      <c r="D5472" t="s">
        <v>7</v>
      </c>
      <c r="E5472" s="2" t="s">
        <v>12</v>
      </c>
      <c r="F5472">
        <f t="shared" si="85"/>
        <v>48.9801</v>
      </c>
      <c r="G5472" t="s">
        <v>16</v>
      </c>
      <c r="J5472" t="str">
        <f>"09/22/2000 23:45"</f>
        <v>09/22/2000 23:45</v>
      </c>
    </row>
    <row r="5473" spans="1:10" x14ac:dyDescent="0.3">
      <c r="A5473" t="s">
        <v>6</v>
      </c>
      <c r="B5473" t="str">
        <f>"09/23/2000 00:00"</f>
        <v>09/23/2000 00:00</v>
      </c>
      <c r="C5473">
        <v>23.6</v>
      </c>
      <c r="D5473" t="s">
        <v>7</v>
      </c>
      <c r="E5473" s="2" t="s">
        <v>12</v>
      </c>
      <c r="F5473">
        <f t="shared" si="85"/>
        <v>46.798800000000007</v>
      </c>
      <c r="G5473" t="s">
        <v>16</v>
      </c>
      <c r="J5473" t="str">
        <f>"09/23/2000 23:45"</f>
        <v>09/23/2000 23:45</v>
      </c>
    </row>
    <row r="5474" spans="1:10" x14ac:dyDescent="0.3">
      <c r="A5474" t="s">
        <v>6</v>
      </c>
      <c r="B5474" t="str">
        <f>"09/24/2000 00:00"</f>
        <v>09/24/2000 00:00</v>
      </c>
      <c r="C5474">
        <v>22.8</v>
      </c>
      <c r="D5474" t="s">
        <v>7</v>
      </c>
      <c r="E5474" s="2" t="s">
        <v>12</v>
      </c>
      <c r="F5474">
        <f t="shared" si="85"/>
        <v>45.212400000000002</v>
      </c>
      <c r="G5474" t="s">
        <v>16</v>
      </c>
      <c r="J5474" t="str">
        <f>"09/24/2000 23:45"</f>
        <v>09/24/2000 23:45</v>
      </c>
    </row>
    <row r="5475" spans="1:10" x14ac:dyDescent="0.3">
      <c r="A5475" t="s">
        <v>6</v>
      </c>
      <c r="B5475" t="str">
        <f>"09/25/2000 00:00"</f>
        <v>09/25/2000 00:00</v>
      </c>
      <c r="C5475">
        <v>18</v>
      </c>
      <c r="D5475" t="s">
        <v>7</v>
      </c>
      <c r="E5475" s="2" t="s">
        <v>12</v>
      </c>
      <c r="F5475">
        <f t="shared" si="85"/>
        <v>35.694000000000003</v>
      </c>
      <c r="G5475" t="s">
        <v>16</v>
      </c>
      <c r="J5475" t="str">
        <f>"09/25/2000 23:45"</f>
        <v>09/25/2000 23:45</v>
      </c>
    </row>
    <row r="5476" spans="1:10" x14ac:dyDescent="0.3">
      <c r="A5476" t="s">
        <v>6</v>
      </c>
      <c r="B5476" t="str">
        <f>"09/26/2000 00:00"</f>
        <v>09/26/2000 00:00</v>
      </c>
      <c r="C5476">
        <v>14.5</v>
      </c>
      <c r="D5476" t="s">
        <v>7</v>
      </c>
      <c r="E5476" s="2" t="s">
        <v>12</v>
      </c>
      <c r="F5476">
        <f t="shared" si="85"/>
        <v>28.753500000000003</v>
      </c>
      <c r="G5476" t="s">
        <v>16</v>
      </c>
      <c r="J5476" t="str">
        <f>"09/26/2000 23:45"</f>
        <v>09/26/2000 23:45</v>
      </c>
    </row>
    <row r="5477" spans="1:10" x14ac:dyDescent="0.3">
      <c r="A5477" t="s">
        <v>6</v>
      </c>
      <c r="B5477" t="str">
        <f>"09/27/2000 00:00"</f>
        <v>09/27/2000 00:00</v>
      </c>
      <c r="C5477">
        <v>14.2</v>
      </c>
      <c r="D5477" t="s">
        <v>7</v>
      </c>
      <c r="E5477" s="2" t="s">
        <v>12</v>
      </c>
      <c r="F5477">
        <f t="shared" si="85"/>
        <v>28.1586</v>
      </c>
      <c r="G5477" t="s">
        <v>16</v>
      </c>
      <c r="J5477" t="str">
        <f>"09/27/2000 23:45"</f>
        <v>09/27/2000 23:45</v>
      </c>
    </row>
    <row r="5478" spans="1:10" x14ac:dyDescent="0.3">
      <c r="A5478" t="s">
        <v>6</v>
      </c>
      <c r="B5478" t="str">
        <f>"09/28/2000 00:00"</f>
        <v>09/28/2000 00:00</v>
      </c>
      <c r="C5478">
        <v>14.2</v>
      </c>
      <c r="D5478" t="s">
        <v>7</v>
      </c>
      <c r="E5478" s="2" t="s">
        <v>12</v>
      </c>
      <c r="F5478">
        <f t="shared" si="85"/>
        <v>28.1586</v>
      </c>
      <c r="G5478" t="s">
        <v>16</v>
      </c>
      <c r="J5478" t="str">
        <f>"09/28/2000 23:45"</f>
        <v>09/28/2000 23:45</v>
      </c>
    </row>
    <row r="5479" spans="1:10" x14ac:dyDescent="0.3">
      <c r="A5479" t="s">
        <v>6</v>
      </c>
      <c r="B5479" t="str">
        <f>"09/29/2000 00:00"</f>
        <v>09/29/2000 00:00</v>
      </c>
      <c r="C5479">
        <v>14.2</v>
      </c>
      <c r="D5479" t="s">
        <v>7</v>
      </c>
      <c r="E5479" s="2" t="s">
        <v>12</v>
      </c>
      <c r="F5479">
        <f t="shared" si="85"/>
        <v>28.1586</v>
      </c>
      <c r="G5479" t="s">
        <v>16</v>
      </c>
      <c r="J5479" t="str">
        <f>"09/29/2000 18:45"</f>
        <v>09/29/2000 18:45</v>
      </c>
    </row>
    <row r="5480" spans="1:10" x14ac:dyDescent="0.3">
      <c r="A5480" t="s">
        <v>6</v>
      </c>
      <c r="B5480" t="str">
        <f>"09/30/2000 00:00"</f>
        <v>09/30/2000 00:00</v>
      </c>
      <c r="C5480">
        <v>14.1</v>
      </c>
      <c r="D5480" t="s">
        <v>7</v>
      </c>
      <c r="E5480" s="2" t="s">
        <v>12</v>
      </c>
      <c r="F5480">
        <f t="shared" si="85"/>
        <v>27.9603</v>
      </c>
      <c r="G5480" t="s">
        <v>16</v>
      </c>
      <c r="J5480" t="str">
        <f>"09/30/2000 23:45"</f>
        <v>09/30/2000 23:45</v>
      </c>
    </row>
    <row r="5481" spans="1:10" x14ac:dyDescent="0.3">
      <c r="A5481" t="s">
        <v>6</v>
      </c>
      <c r="B5481" t="str">
        <f>"10/01/2000 00:00"</f>
        <v>10/01/2000 00:00</v>
      </c>
      <c r="C5481">
        <v>13.6</v>
      </c>
      <c r="D5481" t="s">
        <v>7</v>
      </c>
      <c r="E5481" s="2" t="s">
        <v>12</v>
      </c>
      <c r="F5481">
        <f t="shared" si="85"/>
        <v>26.968800000000002</v>
      </c>
      <c r="G5481" t="s">
        <v>16</v>
      </c>
      <c r="J5481" t="str">
        <f>"10/01/2000 23:45"</f>
        <v>10/01/2000 23:45</v>
      </c>
    </row>
    <row r="5482" spans="1:10" x14ac:dyDescent="0.3">
      <c r="A5482" t="s">
        <v>6</v>
      </c>
      <c r="B5482" t="str">
        <f>"10/02/2000 00:00"</f>
        <v>10/02/2000 00:00</v>
      </c>
      <c r="C5482">
        <v>14.4</v>
      </c>
      <c r="D5482" t="s">
        <v>7</v>
      </c>
      <c r="E5482" s="2" t="s">
        <v>12</v>
      </c>
      <c r="F5482">
        <f t="shared" si="85"/>
        <v>28.555200000000003</v>
      </c>
      <c r="G5482" t="s">
        <v>16</v>
      </c>
      <c r="J5482" t="str">
        <f>"10/02/2000 23:45"</f>
        <v>10/02/2000 23:45</v>
      </c>
    </row>
    <row r="5483" spans="1:10" x14ac:dyDescent="0.3">
      <c r="A5483" t="s">
        <v>6</v>
      </c>
      <c r="B5483" t="str">
        <f>"10/03/2000 00:00"</f>
        <v>10/03/2000 00:00</v>
      </c>
      <c r="C5483">
        <v>14.9</v>
      </c>
      <c r="D5483" t="s">
        <v>7</v>
      </c>
      <c r="E5483" s="2" t="s">
        <v>12</v>
      </c>
      <c r="F5483">
        <f t="shared" si="85"/>
        <v>29.546700000000001</v>
      </c>
      <c r="G5483" t="s">
        <v>16</v>
      </c>
      <c r="J5483" t="str">
        <f>"10/03/2000 23:45"</f>
        <v>10/03/2000 23:45</v>
      </c>
    </row>
    <row r="5484" spans="1:10" x14ac:dyDescent="0.3">
      <c r="A5484" t="s">
        <v>6</v>
      </c>
      <c r="B5484" t="str">
        <f>"10/04/2000 00:00"</f>
        <v>10/04/2000 00:00</v>
      </c>
      <c r="C5484">
        <v>15.5</v>
      </c>
      <c r="D5484" t="s">
        <v>7</v>
      </c>
      <c r="E5484" s="2" t="s">
        <v>12</v>
      </c>
      <c r="F5484">
        <f t="shared" si="85"/>
        <v>30.736500000000003</v>
      </c>
      <c r="G5484" t="s">
        <v>16</v>
      </c>
      <c r="J5484" t="str">
        <f>"10/04/2000 23:45"</f>
        <v>10/04/2000 23:45</v>
      </c>
    </row>
    <row r="5485" spans="1:10" x14ac:dyDescent="0.3">
      <c r="A5485" t="s">
        <v>6</v>
      </c>
      <c r="B5485" t="str">
        <f>"10/05/2000 00:00"</f>
        <v>10/05/2000 00:00</v>
      </c>
      <c r="C5485">
        <v>15.5</v>
      </c>
      <c r="D5485" t="s">
        <v>7</v>
      </c>
      <c r="E5485" s="2" t="s">
        <v>12</v>
      </c>
      <c r="F5485">
        <f t="shared" si="85"/>
        <v>30.736500000000003</v>
      </c>
      <c r="G5485" t="s">
        <v>16</v>
      </c>
      <c r="J5485" t="str">
        <f>"10/05/2000 23:45"</f>
        <v>10/05/2000 23:45</v>
      </c>
    </row>
    <row r="5486" spans="1:10" x14ac:dyDescent="0.3">
      <c r="A5486" t="s">
        <v>6</v>
      </c>
      <c r="B5486" t="str">
        <f>"10/06/2000 00:00"</f>
        <v>10/06/2000 00:00</v>
      </c>
      <c r="C5486">
        <v>15.5</v>
      </c>
      <c r="D5486" t="s">
        <v>7</v>
      </c>
      <c r="E5486" s="2" t="s">
        <v>12</v>
      </c>
      <c r="F5486">
        <f t="shared" si="85"/>
        <v>30.736500000000003</v>
      </c>
      <c r="G5486" t="s">
        <v>16</v>
      </c>
      <c r="J5486" t="str">
        <f>"10/06/2000 23:45"</f>
        <v>10/06/2000 23:45</v>
      </c>
    </row>
    <row r="5487" spans="1:10" x14ac:dyDescent="0.3">
      <c r="A5487" t="s">
        <v>6</v>
      </c>
      <c r="B5487" t="str">
        <f>"10/07/2000 00:00"</f>
        <v>10/07/2000 00:00</v>
      </c>
      <c r="C5487">
        <v>15.5</v>
      </c>
      <c r="D5487" t="s">
        <v>7</v>
      </c>
      <c r="E5487" s="2" t="s">
        <v>12</v>
      </c>
      <c r="F5487">
        <f t="shared" si="85"/>
        <v>30.736500000000003</v>
      </c>
      <c r="G5487" t="s">
        <v>16</v>
      </c>
      <c r="J5487" t="str">
        <f>"10/07/2000 23:45"</f>
        <v>10/07/2000 23:45</v>
      </c>
    </row>
    <row r="5488" spans="1:10" x14ac:dyDescent="0.3">
      <c r="A5488" t="s">
        <v>6</v>
      </c>
      <c r="B5488" t="str">
        <f>"10/08/2000 00:00"</f>
        <v>10/08/2000 00:00</v>
      </c>
      <c r="C5488">
        <v>15.5</v>
      </c>
      <c r="D5488" t="s">
        <v>7</v>
      </c>
      <c r="E5488" s="2" t="s">
        <v>12</v>
      </c>
      <c r="F5488">
        <f t="shared" si="85"/>
        <v>30.736500000000003</v>
      </c>
      <c r="G5488" t="s">
        <v>16</v>
      </c>
      <c r="J5488" t="str">
        <f>"10/08/2000 23:45"</f>
        <v>10/08/2000 23:45</v>
      </c>
    </row>
    <row r="5489" spans="1:10" x14ac:dyDescent="0.3">
      <c r="A5489" t="s">
        <v>6</v>
      </c>
      <c r="B5489" t="str">
        <f>"10/09/2000 00:00"</f>
        <v>10/09/2000 00:00</v>
      </c>
      <c r="C5489">
        <v>15.5</v>
      </c>
      <c r="D5489" t="s">
        <v>7</v>
      </c>
      <c r="E5489" s="2" t="s">
        <v>12</v>
      </c>
      <c r="F5489">
        <f t="shared" si="85"/>
        <v>30.736500000000003</v>
      </c>
      <c r="G5489" t="s">
        <v>16</v>
      </c>
      <c r="J5489" t="str">
        <f>"10/09/2000 23:45"</f>
        <v>10/09/2000 23:45</v>
      </c>
    </row>
    <row r="5490" spans="1:10" x14ac:dyDescent="0.3">
      <c r="A5490" t="s">
        <v>6</v>
      </c>
      <c r="B5490" t="str">
        <f>"10/10/2000 00:00"</f>
        <v>10/10/2000 00:00</v>
      </c>
      <c r="C5490">
        <v>15.2</v>
      </c>
      <c r="D5490" t="s">
        <v>7</v>
      </c>
      <c r="E5490" s="2" t="s">
        <v>12</v>
      </c>
      <c r="F5490">
        <f t="shared" si="85"/>
        <v>30.1416</v>
      </c>
      <c r="G5490" t="s">
        <v>16</v>
      </c>
      <c r="J5490" t="str">
        <f>"10/10/2000 23:45"</f>
        <v>10/10/2000 23:45</v>
      </c>
    </row>
    <row r="5491" spans="1:10" x14ac:dyDescent="0.3">
      <c r="A5491" t="s">
        <v>6</v>
      </c>
      <c r="B5491" t="str">
        <f>"10/11/2000 00:00"</f>
        <v>10/11/2000 00:00</v>
      </c>
      <c r="C5491">
        <v>13.7</v>
      </c>
      <c r="D5491" t="s">
        <v>7</v>
      </c>
      <c r="E5491" s="2" t="s">
        <v>12</v>
      </c>
      <c r="F5491">
        <f t="shared" si="85"/>
        <v>27.167100000000001</v>
      </c>
      <c r="G5491" t="s">
        <v>16</v>
      </c>
      <c r="J5491" t="str">
        <f>"10/11/2000 23:45"</f>
        <v>10/11/2000 23:45</v>
      </c>
    </row>
    <row r="5492" spans="1:10" x14ac:dyDescent="0.3">
      <c r="A5492" t="s">
        <v>6</v>
      </c>
      <c r="B5492" t="str">
        <f>"10/12/2000 00:00"</f>
        <v>10/12/2000 00:00</v>
      </c>
      <c r="C5492">
        <v>12.9</v>
      </c>
      <c r="D5492" t="s">
        <v>7</v>
      </c>
      <c r="E5492" s="2" t="s">
        <v>12</v>
      </c>
      <c r="F5492">
        <f t="shared" si="85"/>
        <v>25.5807</v>
      </c>
      <c r="G5492" t="s">
        <v>16</v>
      </c>
      <c r="J5492" t="str">
        <f>"10/12/2000 23:45"</f>
        <v>10/12/2000 23:45</v>
      </c>
    </row>
    <row r="5493" spans="1:10" x14ac:dyDescent="0.3">
      <c r="A5493" t="s">
        <v>6</v>
      </c>
      <c r="B5493" t="str">
        <f>"10/13/2000 00:00"</f>
        <v>10/13/2000 00:00</v>
      </c>
      <c r="C5493">
        <v>12.8</v>
      </c>
      <c r="D5493" t="s">
        <v>7</v>
      </c>
      <c r="E5493" s="2" t="s">
        <v>12</v>
      </c>
      <c r="F5493">
        <f t="shared" si="85"/>
        <v>25.382400000000004</v>
      </c>
      <c r="G5493" t="s">
        <v>16</v>
      </c>
      <c r="J5493" t="str">
        <f>"10/13/2000 23:45"</f>
        <v>10/13/2000 23:45</v>
      </c>
    </row>
    <row r="5494" spans="1:10" x14ac:dyDescent="0.3">
      <c r="A5494" t="s">
        <v>6</v>
      </c>
      <c r="B5494" t="str">
        <f>"10/14/2000 00:00"</f>
        <v>10/14/2000 00:00</v>
      </c>
      <c r="C5494">
        <v>12.6</v>
      </c>
      <c r="D5494" t="s">
        <v>7</v>
      </c>
      <c r="E5494" s="2" t="s">
        <v>12</v>
      </c>
      <c r="F5494">
        <f t="shared" si="85"/>
        <v>24.985800000000001</v>
      </c>
      <c r="G5494" t="s">
        <v>16</v>
      </c>
      <c r="J5494" t="str">
        <f>"10/14/2000 23:45"</f>
        <v>10/14/2000 23:45</v>
      </c>
    </row>
    <row r="5495" spans="1:10" x14ac:dyDescent="0.3">
      <c r="A5495" t="s">
        <v>6</v>
      </c>
      <c r="B5495" t="str">
        <f>"10/15/2000 00:00"</f>
        <v>10/15/2000 00:00</v>
      </c>
      <c r="C5495">
        <v>12.3</v>
      </c>
      <c r="D5495" t="s">
        <v>7</v>
      </c>
      <c r="E5495" s="2" t="s">
        <v>12</v>
      </c>
      <c r="F5495">
        <f t="shared" si="85"/>
        <v>24.390900000000002</v>
      </c>
      <c r="G5495" t="s">
        <v>16</v>
      </c>
      <c r="J5495" t="str">
        <f>"10/15/2000 23:45"</f>
        <v>10/15/2000 23:45</v>
      </c>
    </row>
    <row r="5496" spans="1:10" x14ac:dyDescent="0.3">
      <c r="A5496" t="s">
        <v>6</v>
      </c>
      <c r="B5496" t="str">
        <f>"10/16/2000 00:00"</f>
        <v>10/16/2000 00:00</v>
      </c>
      <c r="C5496">
        <v>11.7</v>
      </c>
      <c r="D5496" t="s">
        <v>7</v>
      </c>
      <c r="E5496" s="2" t="s">
        <v>12</v>
      </c>
      <c r="F5496">
        <f t="shared" si="85"/>
        <v>23.2011</v>
      </c>
      <c r="G5496" t="s">
        <v>16</v>
      </c>
      <c r="J5496" t="str">
        <f>"10/16/2000 23:45"</f>
        <v>10/16/2000 23:45</v>
      </c>
    </row>
    <row r="5497" spans="1:10" x14ac:dyDescent="0.3">
      <c r="A5497" t="s">
        <v>6</v>
      </c>
      <c r="B5497" t="str">
        <f>"10/17/2000 00:00"</f>
        <v>10/17/2000 00:00</v>
      </c>
      <c r="C5497">
        <v>12.3</v>
      </c>
      <c r="D5497" t="s">
        <v>7</v>
      </c>
      <c r="E5497" s="2" t="s">
        <v>12</v>
      </c>
      <c r="F5497">
        <f t="shared" si="85"/>
        <v>24.390900000000002</v>
      </c>
      <c r="G5497" t="s">
        <v>16</v>
      </c>
      <c r="J5497" t="str">
        <f>"10/17/2000 23:45"</f>
        <v>10/17/2000 23:45</v>
      </c>
    </row>
    <row r="5498" spans="1:10" x14ac:dyDescent="0.3">
      <c r="A5498" t="s">
        <v>6</v>
      </c>
      <c r="B5498" t="str">
        <f>"10/18/2000 00:00"</f>
        <v>10/18/2000 00:00</v>
      </c>
      <c r="C5498">
        <v>12.3</v>
      </c>
      <c r="D5498" t="s">
        <v>7</v>
      </c>
      <c r="E5498" s="2" t="s">
        <v>12</v>
      </c>
      <c r="F5498">
        <f t="shared" si="85"/>
        <v>24.390900000000002</v>
      </c>
      <c r="G5498" t="s">
        <v>16</v>
      </c>
      <c r="J5498" t="str">
        <f>"10/18/2000 23:45"</f>
        <v>10/18/2000 23:45</v>
      </c>
    </row>
    <row r="5499" spans="1:10" x14ac:dyDescent="0.3">
      <c r="A5499" t="s">
        <v>6</v>
      </c>
      <c r="B5499" t="str">
        <f>"10/19/2000 00:00"</f>
        <v>10/19/2000 00:00</v>
      </c>
      <c r="C5499">
        <v>12</v>
      </c>
      <c r="D5499" t="s">
        <v>7</v>
      </c>
      <c r="E5499" s="2" t="s">
        <v>12</v>
      </c>
      <c r="F5499">
        <f t="shared" si="85"/>
        <v>23.795999999999999</v>
      </c>
      <c r="G5499" t="s">
        <v>16</v>
      </c>
      <c r="J5499" t="str">
        <f>"10/19/2000 23:45"</f>
        <v>10/19/2000 23:45</v>
      </c>
    </row>
    <row r="5500" spans="1:10" x14ac:dyDescent="0.3">
      <c r="A5500" t="s">
        <v>6</v>
      </c>
      <c r="B5500" t="str">
        <f>"10/20/2000 00:00"</f>
        <v>10/20/2000 00:00</v>
      </c>
      <c r="C5500">
        <v>12.3</v>
      </c>
      <c r="D5500" t="s">
        <v>7</v>
      </c>
      <c r="E5500" s="2" t="s">
        <v>12</v>
      </c>
      <c r="F5500">
        <f t="shared" si="85"/>
        <v>24.390900000000002</v>
      </c>
      <c r="G5500" t="s">
        <v>16</v>
      </c>
      <c r="J5500" t="str">
        <f>"10/20/2000 23:45"</f>
        <v>10/20/2000 23:45</v>
      </c>
    </row>
    <row r="5501" spans="1:10" x14ac:dyDescent="0.3">
      <c r="A5501" t="s">
        <v>6</v>
      </c>
      <c r="B5501" t="str">
        <f>"10/21/2000 00:00"</f>
        <v>10/21/2000 00:00</v>
      </c>
      <c r="C5501">
        <v>11.7</v>
      </c>
      <c r="D5501" t="s">
        <v>7</v>
      </c>
      <c r="E5501" s="2" t="s">
        <v>12</v>
      </c>
      <c r="F5501">
        <f t="shared" si="85"/>
        <v>23.2011</v>
      </c>
      <c r="G5501" t="s">
        <v>16</v>
      </c>
      <c r="J5501" t="str">
        <f>"10/21/2000 23:45"</f>
        <v>10/21/2000 23:45</v>
      </c>
    </row>
    <row r="5502" spans="1:10" x14ac:dyDescent="0.3">
      <c r="A5502" t="s">
        <v>6</v>
      </c>
      <c r="B5502" t="str">
        <f>"10/22/2000 00:00"</f>
        <v>10/22/2000 00:00</v>
      </c>
      <c r="C5502">
        <v>11.7</v>
      </c>
      <c r="D5502" t="s">
        <v>7</v>
      </c>
      <c r="E5502" s="2" t="s">
        <v>12</v>
      </c>
      <c r="F5502">
        <f t="shared" si="85"/>
        <v>23.2011</v>
      </c>
      <c r="G5502" t="s">
        <v>16</v>
      </c>
      <c r="J5502" t="str">
        <f>"10/22/2000 23:45"</f>
        <v>10/22/2000 23:45</v>
      </c>
    </row>
    <row r="5503" spans="1:10" x14ac:dyDescent="0.3">
      <c r="A5503" t="s">
        <v>6</v>
      </c>
      <c r="B5503" t="str">
        <f>"10/23/2000 00:00"</f>
        <v>10/23/2000 00:00</v>
      </c>
      <c r="C5503">
        <v>11.7</v>
      </c>
      <c r="D5503" t="s">
        <v>7</v>
      </c>
      <c r="E5503" s="2" t="s">
        <v>12</v>
      </c>
      <c r="F5503">
        <f t="shared" si="85"/>
        <v>23.2011</v>
      </c>
      <c r="G5503" t="s">
        <v>16</v>
      </c>
      <c r="J5503" t="str">
        <f>"10/23/2000 23:45"</f>
        <v>10/23/2000 23:45</v>
      </c>
    </row>
    <row r="5504" spans="1:10" x14ac:dyDescent="0.3">
      <c r="A5504" t="s">
        <v>6</v>
      </c>
      <c r="B5504" t="str">
        <f>"10/24/2000 00:00"</f>
        <v>10/24/2000 00:00</v>
      </c>
      <c r="C5504">
        <v>11.3</v>
      </c>
      <c r="D5504" t="s">
        <v>7</v>
      </c>
      <c r="E5504" s="2" t="s">
        <v>12</v>
      </c>
      <c r="F5504">
        <f t="shared" si="85"/>
        <v>22.407900000000001</v>
      </c>
      <c r="G5504" t="s">
        <v>16</v>
      </c>
      <c r="J5504" t="str">
        <f>"10/24/2000 23:45"</f>
        <v>10/24/2000 23:45</v>
      </c>
    </row>
    <row r="5505" spans="1:10" x14ac:dyDescent="0.3">
      <c r="A5505" t="s">
        <v>6</v>
      </c>
      <c r="B5505" t="str">
        <f>"10/25/2000 00:00"</f>
        <v>10/25/2000 00:00</v>
      </c>
      <c r="C5505">
        <v>11.1</v>
      </c>
      <c r="D5505" t="s">
        <v>7</v>
      </c>
      <c r="E5505" s="2" t="s">
        <v>12</v>
      </c>
      <c r="F5505">
        <f t="shared" si="85"/>
        <v>22.011300000000002</v>
      </c>
      <c r="G5505" t="s">
        <v>16</v>
      </c>
      <c r="J5505" t="str">
        <f>"10/25/2000 23:45"</f>
        <v>10/25/2000 23:45</v>
      </c>
    </row>
    <row r="5506" spans="1:10" x14ac:dyDescent="0.3">
      <c r="A5506" t="s">
        <v>6</v>
      </c>
      <c r="B5506" t="str">
        <f>"10/26/2000 00:00"</f>
        <v>10/26/2000 00:00</v>
      </c>
      <c r="C5506">
        <v>11.1</v>
      </c>
      <c r="D5506" t="s">
        <v>7</v>
      </c>
      <c r="E5506" s="2" t="s">
        <v>12</v>
      </c>
      <c r="F5506">
        <f t="shared" si="85"/>
        <v>22.011300000000002</v>
      </c>
      <c r="G5506" t="s">
        <v>16</v>
      </c>
      <c r="J5506" t="str">
        <f>"10/26/2000 23:45"</f>
        <v>10/26/2000 23:45</v>
      </c>
    </row>
    <row r="5507" spans="1:10" x14ac:dyDescent="0.3">
      <c r="A5507" t="s">
        <v>6</v>
      </c>
      <c r="B5507" t="str">
        <f>"10/27/2000 00:00"</f>
        <v>10/27/2000 00:00</v>
      </c>
      <c r="C5507">
        <v>11.1</v>
      </c>
      <c r="D5507" t="s">
        <v>7</v>
      </c>
      <c r="E5507" s="2" t="s">
        <v>12</v>
      </c>
      <c r="F5507">
        <f t="shared" ref="F5507:F5570" si="86">C5507*1.983</f>
        <v>22.011300000000002</v>
      </c>
      <c r="G5507" t="s">
        <v>16</v>
      </c>
      <c r="J5507" t="str">
        <f>"10/27/2000 23:45"</f>
        <v>10/27/2000 23:45</v>
      </c>
    </row>
    <row r="5508" spans="1:10" x14ac:dyDescent="0.3">
      <c r="A5508" t="s">
        <v>6</v>
      </c>
      <c r="B5508" t="str">
        <f>"10/28/2000 00:00"</f>
        <v>10/28/2000 00:00</v>
      </c>
      <c r="C5508">
        <v>11.1</v>
      </c>
      <c r="D5508" t="s">
        <v>7</v>
      </c>
      <c r="E5508" s="2" t="s">
        <v>12</v>
      </c>
      <c r="F5508">
        <f t="shared" si="86"/>
        <v>22.011300000000002</v>
      </c>
      <c r="G5508" t="s">
        <v>16</v>
      </c>
      <c r="J5508" t="str">
        <f>"10/28/2000 23:45"</f>
        <v>10/28/2000 23:45</v>
      </c>
    </row>
    <row r="5509" spans="1:10" x14ac:dyDescent="0.3">
      <c r="A5509" t="s">
        <v>6</v>
      </c>
      <c r="B5509" t="str">
        <f>"10/29/2000 00:00"</f>
        <v>10/29/2000 00:00</v>
      </c>
      <c r="C5509">
        <v>10.6</v>
      </c>
      <c r="D5509" t="s">
        <v>7</v>
      </c>
      <c r="E5509" s="2" t="s">
        <v>12</v>
      </c>
      <c r="F5509">
        <f t="shared" si="86"/>
        <v>21.0198</v>
      </c>
      <c r="G5509" t="s">
        <v>16</v>
      </c>
      <c r="J5509" t="str">
        <f>"10/29/2000 23:45"</f>
        <v>10/29/2000 23:45</v>
      </c>
    </row>
    <row r="5510" spans="1:10" x14ac:dyDescent="0.3">
      <c r="A5510" t="s">
        <v>6</v>
      </c>
      <c r="B5510" t="str">
        <f>"10/30/2000 00:00"</f>
        <v>10/30/2000 00:00</v>
      </c>
      <c r="C5510">
        <v>10.5</v>
      </c>
      <c r="D5510" t="s">
        <v>7</v>
      </c>
      <c r="E5510" s="2" t="s">
        <v>12</v>
      </c>
      <c r="F5510">
        <f t="shared" si="86"/>
        <v>20.8215</v>
      </c>
      <c r="G5510" t="s">
        <v>16</v>
      </c>
      <c r="J5510" t="str">
        <f>"10/30/2000 23:45"</f>
        <v>10/30/2000 23:45</v>
      </c>
    </row>
    <row r="5511" spans="1:10" x14ac:dyDescent="0.3">
      <c r="A5511" t="s">
        <v>6</v>
      </c>
      <c r="B5511" t="str">
        <f>"10/31/2000 00:00"</f>
        <v>10/31/2000 00:00</v>
      </c>
      <c r="C5511">
        <v>9.0299999999999994</v>
      </c>
      <c r="D5511" t="s">
        <v>7</v>
      </c>
      <c r="E5511" s="2" t="s">
        <v>12</v>
      </c>
      <c r="F5511">
        <f t="shared" si="86"/>
        <v>17.906489999999998</v>
      </c>
      <c r="G5511" t="s">
        <v>16</v>
      </c>
      <c r="J5511" t="str">
        <f>"10/31/2000 23:45"</f>
        <v>10/31/2000 23:45</v>
      </c>
    </row>
    <row r="5512" spans="1:10" x14ac:dyDescent="0.3">
      <c r="A5512" t="s">
        <v>6</v>
      </c>
      <c r="B5512" t="str">
        <f>"11/01/2000 00:00"</f>
        <v>11/01/2000 00:00</v>
      </c>
      <c r="C5512">
        <v>7.8</v>
      </c>
      <c r="D5512" t="s">
        <v>7</v>
      </c>
      <c r="E5512" s="2" t="s">
        <v>12</v>
      </c>
      <c r="F5512">
        <f t="shared" si="86"/>
        <v>15.4674</v>
      </c>
      <c r="G5512" t="s">
        <v>16</v>
      </c>
      <c r="J5512" t="str">
        <f>"11/01/2000 23:45"</f>
        <v>11/01/2000 23:45</v>
      </c>
    </row>
    <row r="5513" spans="1:10" x14ac:dyDescent="0.3">
      <c r="A5513" t="s">
        <v>6</v>
      </c>
      <c r="B5513" t="str">
        <f>"11/02/2000 00:00"</f>
        <v>11/02/2000 00:00</v>
      </c>
      <c r="C5513">
        <v>7.38</v>
      </c>
      <c r="D5513" t="s">
        <v>7</v>
      </c>
      <c r="E5513" s="2" t="s">
        <v>12</v>
      </c>
      <c r="F5513">
        <f t="shared" si="86"/>
        <v>14.634540000000001</v>
      </c>
      <c r="G5513" t="s">
        <v>16</v>
      </c>
      <c r="J5513" t="str">
        <f>"11/02/2000 23:45"</f>
        <v>11/02/2000 23:45</v>
      </c>
    </row>
    <row r="5514" spans="1:10" x14ac:dyDescent="0.3">
      <c r="A5514" t="s">
        <v>6</v>
      </c>
      <c r="B5514" t="str">
        <f>"11/03/2000 00:00"</f>
        <v>11/03/2000 00:00</v>
      </c>
      <c r="C5514">
        <v>7.27</v>
      </c>
      <c r="D5514" t="s">
        <v>7</v>
      </c>
      <c r="E5514" s="2" t="s">
        <v>12</v>
      </c>
      <c r="F5514">
        <f t="shared" si="86"/>
        <v>14.416409999999999</v>
      </c>
      <c r="G5514" t="s">
        <v>16</v>
      </c>
      <c r="J5514" t="str">
        <f>"11/03/2000 23:45"</f>
        <v>11/03/2000 23:45</v>
      </c>
    </row>
    <row r="5515" spans="1:10" x14ac:dyDescent="0.3">
      <c r="A5515" t="s">
        <v>6</v>
      </c>
      <c r="B5515" t="str">
        <f>"11/04/2000 00:00"</f>
        <v>11/04/2000 00:00</v>
      </c>
      <c r="C5515">
        <v>7.08</v>
      </c>
      <c r="D5515" t="s">
        <v>7</v>
      </c>
      <c r="E5515" s="2" t="s">
        <v>12</v>
      </c>
      <c r="F5515">
        <f t="shared" si="86"/>
        <v>14.03964</v>
      </c>
      <c r="G5515" t="s">
        <v>16</v>
      </c>
      <c r="J5515" t="str">
        <f>"11/04/2000 23:45"</f>
        <v>11/04/2000 23:45</v>
      </c>
    </row>
    <row r="5516" spans="1:10" x14ac:dyDescent="0.3">
      <c r="A5516" t="s">
        <v>6</v>
      </c>
      <c r="B5516" t="str">
        <f>"11/05/2000 00:00"</f>
        <v>11/05/2000 00:00</v>
      </c>
      <c r="C5516">
        <v>6.54</v>
      </c>
      <c r="D5516" t="s">
        <v>7</v>
      </c>
      <c r="E5516" s="2" t="s">
        <v>12</v>
      </c>
      <c r="F5516">
        <f t="shared" si="86"/>
        <v>12.968820000000001</v>
      </c>
      <c r="G5516" t="s">
        <v>16</v>
      </c>
      <c r="J5516" t="str">
        <f>"11/05/2000 23:45"</f>
        <v>11/05/2000 23:45</v>
      </c>
    </row>
    <row r="5517" spans="1:10" x14ac:dyDescent="0.3">
      <c r="A5517" t="s">
        <v>6</v>
      </c>
      <c r="B5517" t="str">
        <f>"11/06/2000 00:00"</f>
        <v>11/06/2000 00:00</v>
      </c>
      <c r="C5517">
        <v>3.27</v>
      </c>
      <c r="D5517" t="s">
        <v>7</v>
      </c>
      <c r="E5517" s="2" t="s">
        <v>12</v>
      </c>
      <c r="F5517">
        <f t="shared" si="86"/>
        <v>6.4844100000000005</v>
      </c>
      <c r="G5517" t="s">
        <v>16</v>
      </c>
      <c r="J5517" t="str">
        <f>"11/06/2000 23:45"</f>
        <v>11/06/2000 23:45</v>
      </c>
    </row>
    <row r="5518" spans="1:10" x14ac:dyDescent="0.3">
      <c r="A5518" t="s">
        <v>6</v>
      </c>
      <c r="B5518" t="str">
        <f>"11/07/2000 00:00"</f>
        <v>11/07/2000 00:00</v>
      </c>
      <c r="C5518">
        <v>1.34</v>
      </c>
      <c r="D5518" t="s">
        <v>7</v>
      </c>
      <c r="E5518" s="2" t="s">
        <v>12</v>
      </c>
      <c r="F5518">
        <f t="shared" si="86"/>
        <v>2.6572200000000001</v>
      </c>
      <c r="G5518" t="s">
        <v>16</v>
      </c>
      <c r="J5518" t="str">
        <f>"11/07/2000 23:45"</f>
        <v>11/07/2000 23:45</v>
      </c>
    </row>
    <row r="5519" spans="1:10" x14ac:dyDescent="0.3">
      <c r="A5519" t="s">
        <v>6</v>
      </c>
      <c r="B5519" t="str">
        <f>"11/08/2000 00:00"</f>
        <v>11/08/2000 00:00</v>
      </c>
      <c r="C5519">
        <v>3.62</v>
      </c>
      <c r="D5519" t="s">
        <v>7</v>
      </c>
      <c r="E5519" s="2" t="s">
        <v>12</v>
      </c>
      <c r="F5519">
        <f t="shared" si="86"/>
        <v>7.1784600000000003</v>
      </c>
      <c r="G5519" t="s">
        <v>16</v>
      </c>
      <c r="J5519" t="str">
        <f>"11/08/2000 23:45"</f>
        <v>11/08/2000 23:45</v>
      </c>
    </row>
    <row r="5520" spans="1:10" x14ac:dyDescent="0.3">
      <c r="A5520" t="s">
        <v>6</v>
      </c>
      <c r="B5520" t="str">
        <f>"11/09/2000 00:00"</f>
        <v>11/09/2000 00:00</v>
      </c>
      <c r="C5520">
        <v>4.43</v>
      </c>
      <c r="D5520" t="s">
        <v>7</v>
      </c>
      <c r="E5520" s="2" t="s">
        <v>12</v>
      </c>
      <c r="F5520">
        <f t="shared" si="86"/>
        <v>8.7846899999999994</v>
      </c>
      <c r="G5520" t="s">
        <v>16</v>
      </c>
      <c r="J5520" t="str">
        <f>"11/09/2000 23:45"</f>
        <v>11/09/2000 23:45</v>
      </c>
    </row>
    <row r="5521" spans="1:10" x14ac:dyDescent="0.3">
      <c r="A5521" t="s">
        <v>6</v>
      </c>
      <c r="B5521" t="str">
        <f>"11/10/2000 00:00"</f>
        <v>11/10/2000 00:00</v>
      </c>
      <c r="C5521">
        <v>1.36</v>
      </c>
      <c r="D5521" t="s">
        <v>7</v>
      </c>
      <c r="E5521" s="2" t="s">
        <v>12</v>
      </c>
      <c r="F5521">
        <f t="shared" si="86"/>
        <v>2.6968800000000002</v>
      </c>
      <c r="G5521" t="s">
        <v>16</v>
      </c>
      <c r="J5521" t="str">
        <f>"11/10/2000 23:45"</f>
        <v>11/10/2000 23:45</v>
      </c>
    </row>
    <row r="5522" spans="1:10" x14ac:dyDescent="0.3">
      <c r="A5522" t="s">
        <v>6</v>
      </c>
      <c r="B5522" t="str">
        <f>"11/11/2000 00:00"</f>
        <v>11/11/2000 00:00</v>
      </c>
      <c r="C5522">
        <v>1.47</v>
      </c>
      <c r="D5522" t="s">
        <v>7</v>
      </c>
      <c r="E5522" s="2" t="s">
        <v>12</v>
      </c>
      <c r="F5522">
        <f t="shared" si="86"/>
        <v>2.9150100000000001</v>
      </c>
      <c r="G5522" t="s">
        <v>16</v>
      </c>
      <c r="J5522" t="str">
        <f>"11/11/2000 23:45"</f>
        <v>11/11/2000 23:45</v>
      </c>
    </row>
    <row r="5523" spans="1:10" x14ac:dyDescent="0.3">
      <c r="A5523" t="s">
        <v>6</v>
      </c>
      <c r="B5523" t="str">
        <f>"11/12/2000 00:00"</f>
        <v>11/12/2000 00:00</v>
      </c>
      <c r="C5523">
        <v>8.5</v>
      </c>
      <c r="D5523" t="s">
        <v>7</v>
      </c>
      <c r="E5523" s="2" t="s">
        <v>12</v>
      </c>
      <c r="F5523">
        <f t="shared" si="86"/>
        <v>16.855499999999999</v>
      </c>
      <c r="G5523" t="s">
        <v>16</v>
      </c>
      <c r="J5523" t="str">
        <f>"11/12/2000 23:45"</f>
        <v>11/12/2000 23:45</v>
      </c>
    </row>
    <row r="5524" spans="1:10" x14ac:dyDescent="0.3">
      <c r="A5524" t="s">
        <v>6</v>
      </c>
      <c r="B5524" t="str">
        <f>"11/13/2000 00:00"</f>
        <v>11/13/2000 00:00</v>
      </c>
      <c r="C5524">
        <v>22.1</v>
      </c>
      <c r="D5524" t="s">
        <v>7</v>
      </c>
      <c r="E5524" s="2" t="s">
        <v>12</v>
      </c>
      <c r="F5524">
        <f t="shared" si="86"/>
        <v>43.824300000000008</v>
      </c>
      <c r="G5524" t="s">
        <v>16</v>
      </c>
      <c r="J5524" t="str">
        <f>"11/13/2000 23:45"</f>
        <v>11/13/2000 23:45</v>
      </c>
    </row>
    <row r="5525" spans="1:10" x14ac:dyDescent="0.3">
      <c r="A5525" t="s">
        <v>6</v>
      </c>
      <c r="B5525" t="str">
        <f>"11/14/2000 00:00"</f>
        <v>11/14/2000 00:00</v>
      </c>
      <c r="C5525">
        <v>30.3</v>
      </c>
      <c r="D5525" t="s">
        <v>7</v>
      </c>
      <c r="E5525" s="2" t="s">
        <v>12</v>
      </c>
      <c r="F5525">
        <f t="shared" si="86"/>
        <v>60.084900000000005</v>
      </c>
      <c r="G5525" t="s">
        <v>16</v>
      </c>
      <c r="J5525" t="str">
        <f>"11/14/2000 23:45"</f>
        <v>11/14/2000 23:45</v>
      </c>
    </row>
    <row r="5526" spans="1:10" x14ac:dyDescent="0.3">
      <c r="A5526" t="s">
        <v>6</v>
      </c>
      <c r="B5526" t="str">
        <f>"11/15/2000 00:00"</f>
        <v>11/15/2000 00:00</v>
      </c>
      <c r="C5526">
        <v>44.9</v>
      </c>
      <c r="D5526" t="s">
        <v>7</v>
      </c>
      <c r="E5526" s="2" t="s">
        <v>12</v>
      </c>
      <c r="F5526">
        <f t="shared" si="86"/>
        <v>89.036699999999996</v>
      </c>
      <c r="G5526" t="s">
        <v>16</v>
      </c>
      <c r="J5526" t="str">
        <f>"11/15/2000 23:45"</f>
        <v>11/15/2000 23:45</v>
      </c>
    </row>
    <row r="5527" spans="1:10" x14ac:dyDescent="0.3">
      <c r="A5527" t="s">
        <v>6</v>
      </c>
      <c r="B5527" t="str">
        <f>"11/16/2000 00:00"</f>
        <v>11/16/2000 00:00</v>
      </c>
      <c r="C5527">
        <v>64.5</v>
      </c>
      <c r="D5527" t="s">
        <v>7</v>
      </c>
      <c r="E5527" s="2" t="s">
        <v>12</v>
      </c>
      <c r="F5527">
        <f t="shared" si="86"/>
        <v>127.90350000000001</v>
      </c>
      <c r="G5527" t="s">
        <v>16</v>
      </c>
      <c r="J5527" t="str">
        <f>"11/16/2000 23:45"</f>
        <v>11/16/2000 23:45</v>
      </c>
    </row>
    <row r="5528" spans="1:10" x14ac:dyDescent="0.3">
      <c r="A5528" t="s">
        <v>6</v>
      </c>
      <c r="B5528" t="str">
        <f>"11/17/2000 00:00"</f>
        <v>11/17/2000 00:00</v>
      </c>
      <c r="C5528">
        <v>71.8</v>
      </c>
      <c r="D5528" t="s">
        <v>7</v>
      </c>
      <c r="E5528" s="2" t="s">
        <v>12</v>
      </c>
      <c r="F5528">
        <f t="shared" si="86"/>
        <v>142.3794</v>
      </c>
      <c r="G5528" t="s">
        <v>16</v>
      </c>
      <c r="J5528" t="str">
        <f>"11/17/2000 23:45"</f>
        <v>11/17/2000 23:45</v>
      </c>
    </row>
    <row r="5529" spans="1:10" x14ac:dyDescent="0.3">
      <c r="A5529" t="s">
        <v>6</v>
      </c>
      <c r="B5529" t="str">
        <f>"11/18/2000 00:00"</f>
        <v>11/18/2000 00:00</v>
      </c>
      <c r="C5529">
        <v>75.8</v>
      </c>
      <c r="D5529" t="s">
        <v>7</v>
      </c>
      <c r="E5529" s="2" t="s">
        <v>12</v>
      </c>
      <c r="F5529">
        <f t="shared" si="86"/>
        <v>150.31139999999999</v>
      </c>
      <c r="G5529" t="s">
        <v>16</v>
      </c>
      <c r="J5529" t="str">
        <f>"11/18/2000 23:45"</f>
        <v>11/18/2000 23:45</v>
      </c>
    </row>
    <row r="5530" spans="1:10" x14ac:dyDescent="0.3">
      <c r="A5530" t="s">
        <v>6</v>
      </c>
      <c r="B5530" t="str">
        <f>"11/19/2000 00:00"</f>
        <v>11/19/2000 00:00</v>
      </c>
      <c r="C5530">
        <v>85.6</v>
      </c>
      <c r="D5530" t="s">
        <v>7</v>
      </c>
      <c r="E5530" s="2" t="s">
        <v>12</v>
      </c>
      <c r="F5530">
        <f t="shared" si="86"/>
        <v>169.7448</v>
      </c>
      <c r="G5530" t="s">
        <v>16</v>
      </c>
      <c r="J5530" t="str">
        <f>"11/19/2000 23:45"</f>
        <v>11/19/2000 23:45</v>
      </c>
    </row>
    <row r="5531" spans="1:10" x14ac:dyDescent="0.3">
      <c r="A5531" t="s">
        <v>6</v>
      </c>
      <c r="B5531" t="str">
        <f>"11/20/2000 00:00"</f>
        <v>11/20/2000 00:00</v>
      </c>
      <c r="C5531">
        <v>99.4</v>
      </c>
      <c r="D5531" t="s">
        <v>7</v>
      </c>
      <c r="E5531" s="2" t="s">
        <v>12</v>
      </c>
      <c r="F5531">
        <f t="shared" si="86"/>
        <v>197.11020000000002</v>
      </c>
      <c r="G5531" t="s">
        <v>16</v>
      </c>
      <c r="J5531" t="str">
        <f>"11/20/2000 23:45"</f>
        <v>11/20/2000 23:45</v>
      </c>
    </row>
    <row r="5532" spans="1:10" x14ac:dyDescent="0.3">
      <c r="A5532" t="s">
        <v>6</v>
      </c>
      <c r="B5532" t="str">
        <f>"11/21/2000 00:00"</f>
        <v>11/21/2000 00:00</v>
      </c>
      <c r="C5532">
        <v>106</v>
      </c>
      <c r="D5532" t="s">
        <v>7</v>
      </c>
      <c r="E5532" s="2" t="s">
        <v>12</v>
      </c>
      <c r="F5532">
        <f t="shared" si="86"/>
        <v>210.19800000000001</v>
      </c>
      <c r="G5532" t="s">
        <v>16</v>
      </c>
      <c r="J5532" t="str">
        <f>"11/21/2000 21:45"</f>
        <v>11/21/2000 21:45</v>
      </c>
    </row>
    <row r="5533" spans="1:10" x14ac:dyDescent="0.3">
      <c r="A5533" t="s">
        <v>6</v>
      </c>
      <c r="B5533" t="str">
        <f>"11/22/2000 00:00"</f>
        <v>11/22/2000 00:00</v>
      </c>
      <c r="C5533">
        <v>96.6</v>
      </c>
      <c r="D5533" t="s">
        <v>7</v>
      </c>
      <c r="E5533" s="2" t="s">
        <v>12</v>
      </c>
      <c r="F5533">
        <f t="shared" si="86"/>
        <v>191.55779999999999</v>
      </c>
      <c r="G5533" t="s">
        <v>16</v>
      </c>
      <c r="J5533" t="str">
        <f>"11/22/2000 23:45"</f>
        <v>11/22/2000 23:45</v>
      </c>
    </row>
    <row r="5534" spans="1:10" x14ac:dyDescent="0.3">
      <c r="A5534" t="s">
        <v>6</v>
      </c>
      <c r="B5534" t="str">
        <f>"11/23/2000 00:00"</f>
        <v>11/23/2000 00:00</v>
      </c>
      <c r="C5534">
        <v>89.2</v>
      </c>
      <c r="D5534" t="s">
        <v>7</v>
      </c>
      <c r="E5534" s="2" t="s">
        <v>12</v>
      </c>
      <c r="F5534">
        <f t="shared" si="86"/>
        <v>176.8836</v>
      </c>
      <c r="G5534" t="s">
        <v>16</v>
      </c>
      <c r="J5534" t="str">
        <f>"11/23/2000 23:45"</f>
        <v>11/23/2000 23:45</v>
      </c>
    </row>
    <row r="5535" spans="1:10" x14ac:dyDescent="0.3">
      <c r="A5535" t="s">
        <v>6</v>
      </c>
      <c r="B5535" t="str">
        <f>"11/24/2000 00:00"</f>
        <v>11/24/2000 00:00</v>
      </c>
      <c r="C5535">
        <v>88.1</v>
      </c>
      <c r="D5535" t="s">
        <v>7</v>
      </c>
      <c r="E5535" s="2" t="s">
        <v>12</v>
      </c>
      <c r="F5535">
        <f t="shared" si="86"/>
        <v>174.70230000000001</v>
      </c>
      <c r="G5535" t="s">
        <v>16</v>
      </c>
      <c r="J5535" t="str">
        <f>"11/24/2000 23:45"</f>
        <v>11/24/2000 23:45</v>
      </c>
    </row>
    <row r="5536" spans="1:10" x14ac:dyDescent="0.3">
      <c r="A5536" t="s">
        <v>6</v>
      </c>
      <c r="B5536" t="str">
        <f>"11/25/2000 00:00"</f>
        <v>11/25/2000 00:00</v>
      </c>
      <c r="C5536">
        <v>89.7</v>
      </c>
      <c r="D5536" t="s">
        <v>7</v>
      </c>
      <c r="E5536" s="2" t="s">
        <v>12</v>
      </c>
      <c r="F5536">
        <f t="shared" si="86"/>
        <v>177.8751</v>
      </c>
      <c r="G5536" t="s">
        <v>16</v>
      </c>
      <c r="J5536" t="str">
        <f>"11/25/2000 23:45"</f>
        <v>11/25/2000 23:45</v>
      </c>
    </row>
    <row r="5537" spans="1:10" x14ac:dyDescent="0.3">
      <c r="A5537" t="s">
        <v>6</v>
      </c>
      <c r="B5537" t="str">
        <f>"11/26/2000 00:00"</f>
        <v>11/26/2000 00:00</v>
      </c>
      <c r="C5537">
        <v>90.4</v>
      </c>
      <c r="D5537" t="s">
        <v>7</v>
      </c>
      <c r="E5537" s="2" t="s">
        <v>12</v>
      </c>
      <c r="F5537">
        <f t="shared" si="86"/>
        <v>179.26320000000001</v>
      </c>
      <c r="G5537" t="s">
        <v>16</v>
      </c>
      <c r="J5537" t="str">
        <f>"11/26/2000 23:45"</f>
        <v>11/26/2000 23:45</v>
      </c>
    </row>
    <row r="5538" spans="1:10" x14ac:dyDescent="0.3">
      <c r="A5538" t="s">
        <v>6</v>
      </c>
      <c r="B5538" t="str">
        <f>"11/27/2000 00:00"</f>
        <v>11/27/2000 00:00</v>
      </c>
      <c r="C5538">
        <v>92.5</v>
      </c>
      <c r="D5538" t="s">
        <v>7</v>
      </c>
      <c r="E5538" s="2" t="s">
        <v>12</v>
      </c>
      <c r="F5538">
        <f t="shared" si="86"/>
        <v>183.42750000000001</v>
      </c>
      <c r="G5538" t="s">
        <v>16</v>
      </c>
      <c r="J5538" t="str">
        <f>"11/27/2000 23:45"</f>
        <v>11/27/2000 23:45</v>
      </c>
    </row>
    <row r="5539" spans="1:10" x14ac:dyDescent="0.3">
      <c r="A5539" t="s">
        <v>6</v>
      </c>
      <c r="B5539" t="str">
        <f>"11/28/2000 00:00"</f>
        <v>11/28/2000 00:00</v>
      </c>
      <c r="C5539">
        <v>98.5</v>
      </c>
      <c r="D5539" t="s">
        <v>7</v>
      </c>
      <c r="E5539" s="2" t="s">
        <v>12</v>
      </c>
      <c r="F5539">
        <f t="shared" si="86"/>
        <v>195.32550000000001</v>
      </c>
      <c r="G5539" t="s">
        <v>16</v>
      </c>
      <c r="J5539" t="str">
        <f>"11/28/2000 23:45"</f>
        <v>11/28/2000 23:45</v>
      </c>
    </row>
    <row r="5540" spans="1:10" x14ac:dyDescent="0.3">
      <c r="A5540" t="s">
        <v>6</v>
      </c>
      <c r="B5540" t="str">
        <f>"11/29/2000 00:00"</f>
        <v>11/29/2000 00:00</v>
      </c>
      <c r="C5540">
        <v>101</v>
      </c>
      <c r="D5540" t="s">
        <v>7</v>
      </c>
      <c r="E5540" s="2" t="s">
        <v>12</v>
      </c>
      <c r="F5540">
        <f t="shared" si="86"/>
        <v>200.28300000000002</v>
      </c>
      <c r="G5540" t="s">
        <v>16</v>
      </c>
      <c r="J5540" t="str">
        <f>"11/29/2000 23:45"</f>
        <v>11/29/2000 23:45</v>
      </c>
    </row>
    <row r="5541" spans="1:10" x14ac:dyDescent="0.3">
      <c r="A5541" t="s">
        <v>6</v>
      </c>
      <c r="B5541" t="str">
        <f>"11/30/2000 00:00"</f>
        <v>11/30/2000 00:00</v>
      </c>
      <c r="C5541">
        <v>102</v>
      </c>
      <c r="D5541" t="s">
        <v>7</v>
      </c>
      <c r="E5541" s="2" t="s">
        <v>12</v>
      </c>
      <c r="F5541">
        <f t="shared" si="86"/>
        <v>202.26600000000002</v>
      </c>
      <c r="G5541" t="s">
        <v>16</v>
      </c>
      <c r="J5541" t="str">
        <f>"11/30/2000 23:45"</f>
        <v>11/30/2000 23:45</v>
      </c>
    </row>
    <row r="5542" spans="1:10" x14ac:dyDescent="0.3">
      <c r="A5542" t="s">
        <v>6</v>
      </c>
      <c r="B5542" t="str">
        <f>"12/01/2000 00:00"</f>
        <v>12/01/2000 00:00</v>
      </c>
      <c r="C5542">
        <v>102</v>
      </c>
      <c r="D5542" t="s">
        <v>7</v>
      </c>
      <c r="E5542" s="2" t="s">
        <v>12</v>
      </c>
      <c r="F5542">
        <f t="shared" si="86"/>
        <v>202.26600000000002</v>
      </c>
      <c r="G5542" t="s">
        <v>16</v>
      </c>
      <c r="J5542" t="str">
        <f>"12/01/2000 23:45"</f>
        <v>12/01/2000 23:45</v>
      </c>
    </row>
    <row r="5543" spans="1:10" x14ac:dyDescent="0.3">
      <c r="A5543" t="s">
        <v>6</v>
      </c>
      <c r="B5543" t="str">
        <f>"12/02/2000 00:00"</f>
        <v>12/02/2000 00:00</v>
      </c>
      <c r="C5543">
        <v>101</v>
      </c>
      <c r="D5543" t="s">
        <v>7</v>
      </c>
      <c r="E5543" s="2" t="s">
        <v>12</v>
      </c>
      <c r="F5543">
        <f t="shared" si="86"/>
        <v>200.28300000000002</v>
      </c>
      <c r="G5543" t="s">
        <v>16</v>
      </c>
      <c r="J5543" t="str">
        <f>"12/02/2000 23:45"</f>
        <v>12/02/2000 23:45</v>
      </c>
    </row>
    <row r="5544" spans="1:10" x14ac:dyDescent="0.3">
      <c r="A5544" t="s">
        <v>6</v>
      </c>
      <c r="B5544" t="str">
        <f>"12/03/2000 00:00"</f>
        <v>12/03/2000 00:00</v>
      </c>
      <c r="C5544">
        <v>101</v>
      </c>
      <c r="D5544" t="s">
        <v>7</v>
      </c>
      <c r="E5544" s="2" t="s">
        <v>12</v>
      </c>
      <c r="F5544">
        <f t="shared" si="86"/>
        <v>200.28300000000002</v>
      </c>
      <c r="G5544" t="s">
        <v>16</v>
      </c>
      <c r="J5544" t="str">
        <f>"12/03/2000 23:45"</f>
        <v>12/03/2000 23:45</v>
      </c>
    </row>
    <row r="5545" spans="1:10" x14ac:dyDescent="0.3">
      <c r="A5545" t="s">
        <v>6</v>
      </c>
      <c r="B5545" t="str">
        <f>"12/04/2000 00:00"</f>
        <v>12/04/2000 00:00</v>
      </c>
      <c r="C5545">
        <v>100</v>
      </c>
      <c r="D5545" t="s">
        <v>7</v>
      </c>
      <c r="E5545" s="2" t="s">
        <v>12</v>
      </c>
      <c r="F5545">
        <f t="shared" si="86"/>
        <v>198.3</v>
      </c>
      <c r="G5545" t="s">
        <v>16</v>
      </c>
      <c r="J5545" t="str">
        <f>"12/04/2000 23:45"</f>
        <v>12/04/2000 23:45</v>
      </c>
    </row>
    <row r="5546" spans="1:10" x14ac:dyDescent="0.3">
      <c r="A5546" t="s">
        <v>6</v>
      </c>
      <c r="B5546" t="str">
        <f>"12/05/2000 00:00"</f>
        <v>12/05/2000 00:00</v>
      </c>
      <c r="C5546">
        <v>97.9</v>
      </c>
      <c r="D5546" t="s">
        <v>7</v>
      </c>
      <c r="E5546" s="2" t="s">
        <v>12</v>
      </c>
      <c r="F5546">
        <f t="shared" si="86"/>
        <v>194.13570000000001</v>
      </c>
      <c r="G5546" t="s">
        <v>16</v>
      </c>
      <c r="J5546" t="str">
        <f>"12/05/2000 23:45"</f>
        <v>12/05/2000 23:45</v>
      </c>
    </row>
    <row r="5547" spans="1:10" x14ac:dyDescent="0.3">
      <c r="A5547" t="s">
        <v>6</v>
      </c>
      <c r="B5547" t="str">
        <f>"12/06/2000 00:00"</f>
        <v>12/06/2000 00:00</v>
      </c>
      <c r="C5547">
        <v>97.6</v>
      </c>
      <c r="D5547" t="s">
        <v>7</v>
      </c>
      <c r="E5547" s="2" t="s">
        <v>12</v>
      </c>
      <c r="F5547">
        <f t="shared" si="86"/>
        <v>193.54079999999999</v>
      </c>
      <c r="G5547" t="s">
        <v>16</v>
      </c>
      <c r="J5547" t="str">
        <f>"12/06/2000 23:45"</f>
        <v>12/06/2000 23:45</v>
      </c>
    </row>
    <row r="5548" spans="1:10" x14ac:dyDescent="0.3">
      <c r="A5548" t="s">
        <v>6</v>
      </c>
      <c r="B5548" t="str">
        <f>"12/07/2000 00:00"</f>
        <v>12/07/2000 00:00</v>
      </c>
      <c r="C5548">
        <v>99.1</v>
      </c>
      <c r="D5548" t="s">
        <v>7</v>
      </c>
      <c r="E5548" s="2" t="s">
        <v>12</v>
      </c>
      <c r="F5548">
        <f t="shared" si="86"/>
        <v>196.5153</v>
      </c>
      <c r="G5548" t="s">
        <v>16</v>
      </c>
      <c r="J5548" t="str">
        <f>"12/07/2000 23:45"</f>
        <v>12/07/2000 23:45</v>
      </c>
    </row>
    <row r="5549" spans="1:10" x14ac:dyDescent="0.3">
      <c r="A5549" t="s">
        <v>6</v>
      </c>
      <c r="B5549" t="str">
        <f>"12/08/2000 00:00"</f>
        <v>12/08/2000 00:00</v>
      </c>
      <c r="C5549">
        <v>99.2</v>
      </c>
      <c r="D5549" t="s">
        <v>7</v>
      </c>
      <c r="E5549" s="2" t="s">
        <v>12</v>
      </c>
      <c r="F5549">
        <f t="shared" si="86"/>
        <v>196.71360000000001</v>
      </c>
      <c r="G5549" t="s">
        <v>16</v>
      </c>
      <c r="J5549" t="str">
        <f>"12/08/2000 23:45"</f>
        <v>12/08/2000 23:45</v>
      </c>
    </row>
    <row r="5550" spans="1:10" x14ac:dyDescent="0.3">
      <c r="A5550" t="s">
        <v>6</v>
      </c>
      <c r="B5550" t="str">
        <f>"12/09/2000 00:00"</f>
        <v>12/09/2000 00:00</v>
      </c>
      <c r="C5550">
        <v>98.9</v>
      </c>
      <c r="D5550" t="s">
        <v>7</v>
      </c>
      <c r="E5550" s="2" t="s">
        <v>12</v>
      </c>
      <c r="F5550">
        <f t="shared" si="86"/>
        <v>196.11870000000002</v>
      </c>
      <c r="G5550" t="s">
        <v>16</v>
      </c>
      <c r="J5550" t="str">
        <f>"12/09/2000 23:45"</f>
        <v>12/09/2000 23:45</v>
      </c>
    </row>
    <row r="5551" spans="1:10" x14ac:dyDescent="0.3">
      <c r="A5551" t="s">
        <v>6</v>
      </c>
      <c r="B5551" t="str">
        <f>"12/10/2000 00:00"</f>
        <v>12/10/2000 00:00</v>
      </c>
      <c r="C5551">
        <v>99.6</v>
      </c>
      <c r="D5551" t="s">
        <v>7</v>
      </c>
      <c r="E5551" s="2" t="s">
        <v>12</v>
      </c>
      <c r="F5551">
        <f t="shared" si="86"/>
        <v>197.5068</v>
      </c>
      <c r="G5551" t="s">
        <v>16</v>
      </c>
      <c r="J5551" t="str">
        <f>"12/10/2000 23:45"</f>
        <v>12/10/2000 23:45</v>
      </c>
    </row>
    <row r="5552" spans="1:10" x14ac:dyDescent="0.3">
      <c r="A5552" t="s">
        <v>6</v>
      </c>
      <c r="B5552" t="str">
        <f>"12/11/2000 00:00"</f>
        <v>12/11/2000 00:00</v>
      </c>
      <c r="C5552">
        <v>99.2</v>
      </c>
      <c r="D5552" t="s">
        <v>7</v>
      </c>
      <c r="E5552" s="2" t="s">
        <v>12</v>
      </c>
      <c r="F5552">
        <f t="shared" si="86"/>
        <v>196.71360000000001</v>
      </c>
      <c r="G5552" t="s">
        <v>16</v>
      </c>
      <c r="J5552" t="str">
        <f>"12/11/2000 23:45"</f>
        <v>12/11/2000 23:45</v>
      </c>
    </row>
    <row r="5553" spans="1:10" x14ac:dyDescent="0.3">
      <c r="A5553" t="s">
        <v>6</v>
      </c>
      <c r="B5553" t="str">
        <f>"12/12/2000 00:00"</f>
        <v>12/12/2000 00:00</v>
      </c>
      <c r="C5553">
        <v>98</v>
      </c>
      <c r="D5553" t="s">
        <v>7</v>
      </c>
      <c r="E5553" s="2" t="s">
        <v>12</v>
      </c>
      <c r="F5553">
        <f t="shared" si="86"/>
        <v>194.334</v>
      </c>
      <c r="G5553" t="s">
        <v>16</v>
      </c>
      <c r="J5553" t="str">
        <f>"12/12/2000 23:45"</f>
        <v>12/12/2000 23:45</v>
      </c>
    </row>
    <row r="5554" spans="1:10" x14ac:dyDescent="0.3">
      <c r="A5554" t="s">
        <v>6</v>
      </c>
      <c r="B5554" t="str">
        <f>"12/13/2000 00:00"</f>
        <v>12/13/2000 00:00</v>
      </c>
      <c r="C5554">
        <v>97.8</v>
      </c>
      <c r="D5554" t="s">
        <v>7</v>
      </c>
      <c r="E5554" s="2" t="s">
        <v>12</v>
      </c>
      <c r="F5554">
        <f t="shared" si="86"/>
        <v>193.9374</v>
      </c>
      <c r="G5554" t="s">
        <v>16</v>
      </c>
      <c r="J5554" t="str">
        <f>"12/13/2000 23:45"</f>
        <v>12/13/2000 23:45</v>
      </c>
    </row>
    <row r="5555" spans="1:10" x14ac:dyDescent="0.3">
      <c r="A5555" t="s">
        <v>6</v>
      </c>
      <c r="B5555" t="str">
        <f>"12/14/2000 00:00"</f>
        <v>12/14/2000 00:00</v>
      </c>
      <c r="C5555">
        <v>97.4</v>
      </c>
      <c r="D5555" t="s">
        <v>7</v>
      </c>
      <c r="E5555" s="2" t="s">
        <v>12</v>
      </c>
      <c r="F5555">
        <f t="shared" si="86"/>
        <v>193.14420000000001</v>
      </c>
      <c r="G5555" t="s">
        <v>16</v>
      </c>
      <c r="J5555" t="str">
        <f>"12/14/2000 23:45"</f>
        <v>12/14/2000 23:45</v>
      </c>
    </row>
    <row r="5556" spans="1:10" x14ac:dyDescent="0.3">
      <c r="A5556" t="s">
        <v>6</v>
      </c>
      <c r="B5556" t="str">
        <f>"12/15/2000 00:00"</f>
        <v>12/15/2000 00:00</v>
      </c>
      <c r="C5556">
        <v>98.7</v>
      </c>
      <c r="D5556" t="s">
        <v>7</v>
      </c>
      <c r="E5556" s="2" t="s">
        <v>12</v>
      </c>
      <c r="F5556">
        <f t="shared" si="86"/>
        <v>195.72210000000001</v>
      </c>
      <c r="G5556" t="s">
        <v>16</v>
      </c>
      <c r="J5556" t="str">
        <f>"12/15/2000 23:45"</f>
        <v>12/15/2000 23:45</v>
      </c>
    </row>
    <row r="5557" spans="1:10" x14ac:dyDescent="0.3">
      <c r="A5557" t="s">
        <v>6</v>
      </c>
      <c r="B5557" t="str">
        <f>"12/16/2000 00:00"</f>
        <v>12/16/2000 00:00</v>
      </c>
      <c r="C5557">
        <v>98.1</v>
      </c>
      <c r="D5557" t="s">
        <v>7</v>
      </c>
      <c r="E5557" s="2" t="s">
        <v>12</v>
      </c>
      <c r="F5557">
        <f t="shared" si="86"/>
        <v>194.53229999999999</v>
      </c>
      <c r="G5557" t="s">
        <v>16</v>
      </c>
      <c r="J5557" t="str">
        <f>"12/16/2000 23:45"</f>
        <v>12/16/2000 23:45</v>
      </c>
    </row>
    <row r="5558" spans="1:10" x14ac:dyDescent="0.3">
      <c r="A5558" t="s">
        <v>6</v>
      </c>
      <c r="B5558" t="str">
        <f>"12/17/2000 00:00"</f>
        <v>12/17/2000 00:00</v>
      </c>
      <c r="C5558">
        <v>97.5</v>
      </c>
      <c r="D5558" t="s">
        <v>7</v>
      </c>
      <c r="E5558" s="2" t="s">
        <v>12</v>
      </c>
      <c r="F5558">
        <f t="shared" si="86"/>
        <v>193.3425</v>
      </c>
      <c r="G5558" t="s">
        <v>16</v>
      </c>
      <c r="J5558" t="str">
        <f>"12/17/2000 23:45"</f>
        <v>12/17/2000 23:45</v>
      </c>
    </row>
    <row r="5559" spans="1:10" x14ac:dyDescent="0.3">
      <c r="A5559" t="s">
        <v>6</v>
      </c>
      <c r="B5559" t="str">
        <f>"12/18/2000 00:00"</f>
        <v>12/18/2000 00:00</v>
      </c>
      <c r="C5559">
        <v>98</v>
      </c>
      <c r="D5559" t="s">
        <v>7</v>
      </c>
      <c r="E5559" s="2" t="s">
        <v>12</v>
      </c>
      <c r="F5559">
        <f t="shared" si="86"/>
        <v>194.334</v>
      </c>
      <c r="G5559" t="s">
        <v>16</v>
      </c>
      <c r="J5559" t="str">
        <f>"12/18/2000 23:45"</f>
        <v>12/18/2000 23:45</v>
      </c>
    </row>
    <row r="5560" spans="1:10" x14ac:dyDescent="0.3">
      <c r="A5560" t="s">
        <v>6</v>
      </c>
      <c r="B5560" t="str">
        <f>"12/19/2000 00:00"</f>
        <v>12/19/2000 00:00</v>
      </c>
      <c r="C5560">
        <v>98.6</v>
      </c>
      <c r="D5560" t="s">
        <v>7</v>
      </c>
      <c r="E5560" s="2" t="s">
        <v>12</v>
      </c>
      <c r="F5560">
        <f t="shared" si="86"/>
        <v>195.52379999999999</v>
      </c>
      <c r="G5560" t="s">
        <v>16</v>
      </c>
      <c r="J5560" t="str">
        <f>"12/19/2000 23:45"</f>
        <v>12/19/2000 23:45</v>
      </c>
    </row>
    <row r="5561" spans="1:10" x14ac:dyDescent="0.3">
      <c r="A5561" t="s">
        <v>6</v>
      </c>
      <c r="B5561" t="str">
        <f>"12/20/2000 00:00"</f>
        <v>12/20/2000 00:00</v>
      </c>
      <c r="C5561">
        <v>101</v>
      </c>
      <c r="D5561" t="s">
        <v>7</v>
      </c>
      <c r="E5561" s="2" t="s">
        <v>12</v>
      </c>
      <c r="F5561">
        <f t="shared" si="86"/>
        <v>200.28300000000002</v>
      </c>
      <c r="G5561" t="s">
        <v>16</v>
      </c>
      <c r="J5561" t="str">
        <f>"12/20/2000 23:45"</f>
        <v>12/20/2000 23:45</v>
      </c>
    </row>
    <row r="5562" spans="1:10" x14ac:dyDescent="0.3">
      <c r="A5562" t="s">
        <v>6</v>
      </c>
      <c r="B5562" t="str">
        <f>"12/21/2000 00:00"</f>
        <v>12/21/2000 00:00</v>
      </c>
      <c r="C5562">
        <v>99.3</v>
      </c>
      <c r="D5562" t="s">
        <v>7</v>
      </c>
      <c r="E5562" s="2" t="s">
        <v>12</v>
      </c>
      <c r="F5562">
        <f t="shared" si="86"/>
        <v>196.9119</v>
      </c>
      <c r="G5562" t="s">
        <v>16</v>
      </c>
      <c r="J5562" t="str">
        <f>"12/21/2000 23:45"</f>
        <v>12/21/2000 23:45</v>
      </c>
    </row>
    <row r="5563" spans="1:10" x14ac:dyDescent="0.3">
      <c r="A5563" t="s">
        <v>6</v>
      </c>
      <c r="B5563" t="str">
        <f>"12/22/2000 00:00"</f>
        <v>12/22/2000 00:00</v>
      </c>
      <c r="C5563">
        <v>99.2</v>
      </c>
      <c r="D5563" t="s">
        <v>7</v>
      </c>
      <c r="E5563" s="2" t="s">
        <v>12</v>
      </c>
      <c r="F5563">
        <f t="shared" si="86"/>
        <v>196.71360000000001</v>
      </c>
      <c r="G5563" t="s">
        <v>16</v>
      </c>
      <c r="J5563" t="str">
        <f>"12/22/2000 23:45"</f>
        <v>12/22/2000 23:45</v>
      </c>
    </row>
    <row r="5564" spans="1:10" x14ac:dyDescent="0.3">
      <c r="A5564" t="s">
        <v>6</v>
      </c>
      <c r="B5564" t="str">
        <f>"12/23/2000 00:00"</f>
        <v>12/23/2000 00:00</v>
      </c>
      <c r="C5564">
        <v>99.3</v>
      </c>
      <c r="D5564" t="s">
        <v>7</v>
      </c>
      <c r="E5564" s="2" t="s">
        <v>12</v>
      </c>
      <c r="F5564">
        <f t="shared" si="86"/>
        <v>196.9119</v>
      </c>
      <c r="G5564" t="s">
        <v>16</v>
      </c>
      <c r="J5564" t="str">
        <f>"12/23/2000 23:45"</f>
        <v>12/23/2000 23:45</v>
      </c>
    </row>
    <row r="5565" spans="1:10" x14ac:dyDescent="0.3">
      <c r="A5565" t="s">
        <v>6</v>
      </c>
      <c r="B5565" t="str">
        <f>"12/24/2000 00:00"</f>
        <v>12/24/2000 00:00</v>
      </c>
      <c r="C5565">
        <v>99.3</v>
      </c>
      <c r="D5565" t="s">
        <v>7</v>
      </c>
      <c r="E5565" s="2" t="s">
        <v>12</v>
      </c>
      <c r="F5565">
        <f t="shared" si="86"/>
        <v>196.9119</v>
      </c>
      <c r="G5565" t="s">
        <v>16</v>
      </c>
      <c r="J5565" t="str">
        <f>"12/24/2000 23:45"</f>
        <v>12/24/2000 23:45</v>
      </c>
    </row>
    <row r="5566" spans="1:10" x14ac:dyDescent="0.3">
      <c r="A5566" t="s">
        <v>6</v>
      </c>
      <c r="B5566" t="str">
        <f>"12/25/2000 00:00"</f>
        <v>12/25/2000 00:00</v>
      </c>
      <c r="C5566">
        <v>99.6</v>
      </c>
      <c r="D5566" t="s">
        <v>7</v>
      </c>
      <c r="E5566" s="2" t="s">
        <v>12</v>
      </c>
      <c r="F5566">
        <f t="shared" si="86"/>
        <v>197.5068</v>
      </c>
      <c r="G5566" t="s">
        <v>16</v>
      </c>
      <c r="J5566" t="str">
        <f>"12/25/2000 23:45"</f>
        <v>12/25/2000 23:45</v>
      </c>
    </row>
    <row r="5567" spans="1:10" x14ac:dyDescent="0.3">
      <c r="A5567" t="s">
        <v>6</v>
      </c>
      <c r="B5567" t="str">
        <f>"12/26/2000 00:00"</f>
        <v>12/26/2000 00:00</v>
      </c>
      <c r="C5567">
        <v>102</v>
      </c>
      <c r="D5567" t="s">
        <v>7</v>
      </c>
      <c r="E5567" s="2" t="s">
        <v>12</v>
      </c>
      <c r="F5567">
        <f t="shared" si="86"/>
        <v>202.26600000000002</v>
      </c>
      <c r="G5567" t="s">
        <v>16</v>
      </c>
      <c r="J5567" t="str">
        <f>"12/26/2000 23:45"</f>
        <v>12/26/2000 23:45</v>
      </c>
    </row>
    <row r="5568" spans="1:10" x14ac:dyDescent="0.3">
      <c r="A5568" t="s">
        <v>6</v>
      </c>
      <c r="B5568" t="str">
        <f>"12/27/2000 00:00"</f>
        <v>12/27/2000 00:00</v>
      </c>
      <c r="C5568">
        <v>101</v>
      </c>
      <c r="D5568" t="s">
        <v>7</v>
      </c>
      <c r="E5568" s="2" t="s">
        <v>12</v>
      </c>
      <c r="F5568">
        <f t="shared" si="86"/>
        <v>200.28300000000002</v>
      </c>
      <c r="G5568" t="s">
        <v>16</v>
      </c>
      <c r="J5568" t="str">
        <f>"12/27/2000 23:45"</f>
        <v>12/27/2000 23:45</v>
      </c>
    </row>
    <row r="5569" spans="1:10" x14ac:dyDescent="0.3">
      <c r="A5569" t="s">
        <v>6</v>
      </c>
      <c r="B5569" t="str">
        <f>"12/28/2000 00:00"</f>
        <v>12/28/2000 00:00</v>
      </c>
      <c r="C5569">
        <v>101</v>
      </c>
      <c r="D5569" t="s">
        <v>7</v>
      </c>
      <c r="E5569" s="2" t="s">
        <v>12</v>
      </c>
      <c r="F5569">
        <f t="shared" si="86"/>
        <v>200.28300000000002</v>
      </c>
      <c r="G5569" t="s">
        <v>16</v>
      </c>
      <c r="J5569" t="str">
        <f>"12/28/2000 23:45"</f>
        <v>12/28/2000 23:45</v>
      </c>
    </row>
    <row r="5570" spans="1:10" x14ac:dyDescent="0.3">
      <c r="A5570" t="s">
        <v>6</v>
      </c>
      <c r="B5570" t="str">
        <f>"12/29/2000 00:00"</f>
        <v>12/29/2000 00:00</v>
      </c>
      <c r="C5570">
        <v>100</v>
      </c>
      <c r="D5570" t="s">
        <v>7</v>
      </c>
      <c r="E5570" s="2" t="s">
        <v>12</v>
      </c>
      <c r="F5570">
        <f t="shared" si="86"/>
        <v>198.3</v>
      </c>
      <c r="G5570" t="s">
        <v>16</v>
      </c>
      <c r="J5570" t="str">
        <f>"12/29/2000 23:45"</f>
        <v>12/29/2000 23:45</v>
      </c>
    </row>
    <row r="5571" spans="1:10" x14ac:dyDescent="0.3">
      <c r="A5571" t="s">
        <v>6</v>
      </c>
      <c r="B5571" t="str">
        <f>"12/30/2000 00:00"</f>
        <v>12/30/2000 00:00</v>
      </c>
      <c r="C5571">
        <v>99.2</v>
      </c>
      <c r="D5571" t="s">
        <v>7</v>
      </c>
      <c r="E5571" s="2" t="s">
        <v>12</v>
      </c>
      <c r="F5571">
        <f t="shared" ref="F5571:F5634" si="87">C5571*1.983</f>
        <v>196.71360000000001</v>
      </c>
      <c r="G5571" t="s">
        <v>16</v>
      </c>
      <c r="J5571" t="str">
        <f>"12/30/2000 23:45"</f>
        <v>12/30/2000 23:45</v>
      </c>
    </row>
    <row r="5572" spans="1:10" x14ac:dyDescent="0.3">
      <c r="A5572" t="s">
        <v>6</v>
      </c>
      <c r="B5572" t="str">
        <f>"12/31/2000 00:00"</f>
        <v>12/31/2000 00:00</v>
      </c>
      <c r="C5572">
        <v>99.7</v>
      </c>
      <c r="D5572" t="s">
        <v>7</v>
      </c>
      <c r="E5572" s="2" t="s">
        <v>12</v>
      </c>
      <c r="F5572">
        <f t="shared" si="87"/>
        <v>197.70510000000002</v>
      </c>
      <c r="G5572" t="s">
        <v>16</v>
      </c>
      <c r="J5572" t="str">
        <f>"12/31/2000 23:45"</f>
        <v>12/31/2000 23:45</v>
      </c>
    </row>
    <row r="5573" spans="1:10" x14ac:dyDescent="0.3">
      <c r="A5573" t="s">
        <v>6</v>
      </c>
      <c r="B5573" t="str">
        <f>"01/01/2001 00:00"</f>
        <v>01/01/2001 00:00</v>
      </c>
      <c r="C5573">
        <v>101</v>
      </c>
      <c r="D5573" t="s">
        <v>7</v>
      </c>
      <c r="E5573" s="2" t="s">
        <v>12</v>
      </c>
      <c r="F5573">
        <f t="shared" si="87"/>
        <v>200.28300000000002</v>
      </c>
      <c r="G5573" t="s">
        <v>16</v>
      </c>
      <c r="J5573" t="str">
        <f>"01/01/2001 23:45"</f>
        <v>01/01/2001 23:45</v>
      </c>
    </row>
    <row r="5574" spans="1:10" x14ac:dyDescent="0.3">
      <c r="A5574" t="s">
        <v>6</v>
      </c>
      <c r="B5574" t="str">
        <f>"01/02/2001 00:00"</f>
        <v>01/02/2001 00:00</v>
      </c>
      <c r="C5574">
        <v>101</v>
      </c>
      <c r="D5574" t="s">
        <v>7</v>
      </c>
      <c r="E5574" s="2" t="s">
        <v>12</v>
      </c>
      <c r="F5574">
        <f t="shared" si="87"/>
        <v>200.28300000000002</v>
      </c>
      <c r="G5574" t="s">
        <v>16</v>
      </c>
      <c r="J5574" t="str">
        <f>"01/02/2001 23:45"</f>
        <v>01/02/2001 23:45</v>
      </c>
    </row>
    <row r="5575" spans="1:10" x14ac:dyDescent="0.3">
      <c r="A5575" t="s">
        <v>6</v>
      </c>
      <c r="B5575" t="str">
        <f>"01/03/2001 00:00"</f>
        <v>01/03/2001 00:00</v>
      </c>
      <c r="C5575">
        <v>101</v>
      </c>
      <c r="D5575" t="s">
        <v>7</v>
      </c>
      <c r="E5575" s="2" t="s">
        <v>12</v>
      </c>
      <c r="F5575">
        <f t="shared" si="87"/>
        <v>200.28300000000002</v>
      </c>
      <c r="G5575" t="s">
        <v>16</v>
      </c>
      <c r="J5575" t="str">
        <f>"01/03/2001 23:45"</f>
        <v>01/03/2001 23:45</v>
      </c>
    </row>
    <row r="5576" spans="1:10" x14ac:dyDescent="0.3">
      <c r="A5576" t="s">
        <v>6</v>
      </c>
      <c r="B5576" t="str">
        <f>"01/04/2001 00:00"</f>
        <v>01/04/2001 00:00</v>
      </c>
      <c r="C5576">
        <v>112</v>
      </c>
      <c r="D5576" t="s">
        <v>7</v>
      </c>
      <c r="E5576" s="2" t="s">
        <v>12</v>
      </c>
      <c r="F5576">
        <f t="shared" si="87"/>
        <v>222.096</v>
      </c>
      <c r="G5576" t="s">
        <v>16</v>
      </c>
      <c r="J5576" t="str">
        <f>"01/04/2001 23:45"</f>
        <v>01/04/2001 23:45</v>
      </c>
    </row>
    <row r="5577" spans="1:10" x14ac:dyDescent="0.3">
      <c r="A5577" t="s">
        <v>6</v>
      </c>
      <c r="B5577" t="str">
        <f>"01/05/2001 00:00"</f>
        <v>01/05/2001 00:00</v>
      </c>
      <c r="C5577">
        <v>133</v>
      </c>
      <c r="D5577" t="s">
        <v>7</v>
      </c>
      <c r="E5577" s="2" t="s">
        <v>12</v>
      </c>
      <c r="F5577">
        <f t="shared" si="87"/>
        <v>263.73900000000003</v>
      </c>
      <c r="G5577" t="s">
        <v>16</v>
      </c>
      <c r="J5577" t="str">
        <f>"01/05/2001 23:45"</f>
        <v>01/05/2001 23:45</v>
      </c>
    </row>
    <row r="5578" spans="1:10" x14ac:dyDescent="0.3">
      <c r="A5578" t="s">
        <v>6</v>
      </c>
      <c r="B5578" t="str">
        <f>"01/06/2001 00:00"</f>
        <v>01/06/2001 00:00</v>
      </c>
      <c r="C5578">
        <v>141</v>
      </c>
      <c r="D5578" t="s">
        <v>7</v>
      </c>
      <c r="E5578" s="2" t="s">
        <v>12</v>
      </c>
      <c r="F5578">
        <f t="shared" si="87"/>
        <v>279.60300000000001</v>
      </c>
      <c r="G5578" t="s">
        <v>16</v>
      </c>
      <c r="J5578" t="str">
        <f>"01/06/2001 23:45"</f>
        <v>01/06/2001 23:45</v>
      </c>
    </row>
    <row r="5579" spans="1:10" x14ac:dyDescent="0.3">
      <c r="A5579" t="s">
        <v>6</v>
      </c>
      <c r="B5579" t="str">
        <f>"01/07/2001 00:00"</f>
        <v>01/07/2001 00:00</v>
      </c>
      <c r="C5579">
        <v>142</v>
      </c>
      <c r="D5579" t="s">
        <v>7</v>
      </c>
      <c r="E5579" s="2" t="s">
        <v>12</v>
      </c>
      <c r="F5579">
        <f t="shared" si="87"/>
        <v>281.58600000000001</v>
      </c>
      <c r="G5579" t="s">
        <v>16</v>
      </c>
      <c r="J5579" t="str">
        <f>"01/07/2001 23:45"</f>
        <v>01/07/2001 23:45</v>
      </c>
    </row>
    <row r="5580" spans="1:10" x14ac:dyDescent="0.3">
      <c r="A5580" t="s">
        <v>6</v>
      </c>
      <c r="B5580" t="str">
        <f>"01/08/2001 00:00"</f>
        <v>01/08/2001 00:00</v>
      </c>
      <c r="C5580">
        <v>142</v>
      </c>
      <c r="D5580" t="s">
        <v>7</v>
      </c>
      <c r="E5580" s="2" t="s">
        <v>12</v>
      </c>
      <c r="F5580">
        <f t="shared" si="87"/>
        <v>281.58600000000001</v>
      </c>
      <c r="G5580" t="s">
        <v>16</v>
      </c>
      <c r="J5580" t="str">
        <f>"01/08/2001 23:45"</f>
        <v>01/08/2001 23:45</v>
      </c>
    </row>
    <row r="5581" spans="1:10" x14ac:dyDescent="0.3">
      <c r="A5581" t="s">
        <v>6</v>
      </c>
      <c r="B5581" t="str">
        <f>"01/09/2001 00:00"</f>
        <v>01/09/2001 00:00</v>
      </c>
      <c r="C5581">
        <v>141</v>
      </c>
      <c r="D5581" t="s">
        <v>7</v>
      </c>
      <c r="E5581" s="2" t="s">
        <v>12</v>
      </c>
      <c r="F5581">
        <f t="shared" si="87"/>
        <v>279.60300000000001</v>
      </c>
      <c r="G5581" t="s">
        <v>16</v>
      </c>
      <c r="J5581" t="str">
        <f>"01/09/2001 23:45"</f>
        <v>01/09/2001 23:45</v>
      </c>
    </row>
    <row r="5582" spans="1:10" x14ac:dyDescent="0.3">
      <c r="A5582" t="s">
        <v>6</v>
      </c>
      <c r="B5582" t="str">
        <f>"01/10/2001 00:00"</f>
        <v>01/10/2001 00:00</v>
      </c>
      <c r="C5582">
        <v>138</v>
      </c>
      <c r="D5582" t="s">
        <v>7</v>
      </c>
      <c r="E5582" s="2" t="s">
        <v>12</v>
      </c>
      <c r="F5582">
        <f t="shared" si="87"/>
        <v>273.654</v>
      </c>
      <c r="G5582" t="s">
        <v>16</v>
      </c>
      <c r="J5582" t="str">
        <f>"01/10/2001 23:45"</f>
        <v>01/10/2001 23:45</v>
      </c>
    </row>
    <row r="5583" spans="1:10" x14ac:dyDescent="0.3">
      <c r="A5583" t="s">
        <v>6</v>
      </c>
      <c r="B5583" t="str">
        <f>"01/11/2001 00:00"</f>
        <v>01/11/2001 00:00</v>
      </c>
      <c r="C5583">
        <v>144</v>
      </c>
      <c r="D5583" t="s">
        <v>7</v>
      </c>
      <c r="E5583" s="2" t="s">
        <v>12</v>
      </c>
      <c r="F5583">
        <f t="shared" si="87"/>
        <v>285.55200000000002</v>
      </c>
      <c r="G5583" t="s">
        <v>16</v>
      </c>
      <c r="J5583" t="str">
        <f>"01/11/2001 23:45"</f>
        <v>01/11/2001 23:45</v>
      </c>
    </row>
    <row r="5584" spans="1:10" x14ac:dyDescent="0.3">
      <c r="A5584" t="s">
        <v>6</v>
      </c>
      <c r="B5584" t="str">
        <f>"01/12/2001 00:00"</f>
        <v>01/12/2001 00:00</v>
      </c>
      <c r="C5584">
        <v>147</v>
      </c>
      <c r="D5584" t="s">
        <v>7</v>
      </c>
      <c r="E5584" s="2" t="s">
        <v>12</v>
      </c>
      <c r="F5584">
        <f t="shared" si="87"/>
        <v>291.50100000000003</v>
      </c>
      <c r="G5584" t="s">
        <v>16</v>
      </c>
      <c r="J5584" t="str">
        <f>"01/12/2001 23:45"</f>
        <v>01/12/2001 23:45</v>
      </c>
    </row>
    <row r="5585" spans="1:10" x14ac:dyDescent="0.3">
      <c r="A5585" t="s">
        <v>6</v>
      </c>
      <c r="B5585" t="str">
        <f>"01/13/2001 00:00"</f>
        <v>01/13/2001 00:00</v>
      </c>
      <c r="C5585">
        <v>144</v>
      </c>
      <c r="D5585" t="s">
        <v>7</v>
      </c>
      <c r="E5585" s="2" t="s">
        <v>12</v>
      </c>
      <c r="F5585">
        <f t="shared" si="87"/>
        <v>285.55200000000002</v>
      </c>
      <c r="G5585" t="s">
        <v>16</v>
      </c>
      <c r="J5585" t="str">
        <f>"01/13/2001 23:45"</f>
        <v>01/13/2001 23:45</v>
      </c>
    </row>
    <row r="5586" spans="1:10" x14ac:dyDescent="0.3">
      <c r="A5586" t="s">
        <v>6</v>
      </c>
      <c r="B5586" t="str">
        <f>"01/14/2001 00:00"</f>
        <v>01/14/2001 00:00</v>
      </c>
      <c r="C5586">
        <v>140</v>
      </c>
      <c r="D5586" t="s">
        <v>7</v>
      </c>
      <c r="E5586" s="2" t="s">
        <v>12</v>
      </c>
      <c r="F5586">
        <f t="shared" si="87"/>
        <v>277.62</v>
      </c>
      <c r="G5586" t="s">
        <v>16</v>
      </c>
      <c r="J5586" t="str">
        <f>"01/14/2001 23:45"</f>
        <v>01/14/2001 23:45</v>
      </c>
    </row>
    <row r="5587" spans="1:10" x14ac:dyDescent="0.3">
      <c r="A5587" t="s">
        <v>6</v>
      </c>
      <c r="B5587" t="str">
        <f>"01/15/2001 00:00"</f>
        <v>01/15/2001 00:00</v>
      </c>
      <c r="C5587">
        <v>137</v>
      </c>
      <c r="D5587" t="s">
        <v>7</v>
      </c>
      <c r="E5587" s="2" t="s">
        <v>12</v>
      </c>
      <c r="F5587">
        <f t="shared" si="87"/>
        <v>271.67099999999999</v>
      </c>
      <c r="G5587" t="s">
        <v>16</v>
      </c>
      <c r="J5587" t="str">
        <f>"01/15/2001 23:45"</f>
        <v>01/15/2001 23:45</v>
      </c>
    </row>
    <row r="5588" spans="1:10" x14ac:dyDescent="0.3">
      <c r="A5588" t="s">
        <v>6</v>
      </c>
      <c r="B5588" t="str">
        <f>"01/16/2001 00:00"</f>
        <v>01/16/2001 00:00</v>
      </c>
      <c r="C5588">
        <v>137</v>
      </c>
      <c r="D5588" t="s">
        <v>7</v>
      </c>
      <c r="E5588" s="2" t="s">
        <v>12</v>
      </c>
      <c r="F5588">
        <f t="shared" si="87"/>
        <v>271.67099999999999</v>
      </c>
      <c r="G5588" t="s">
        <v>16</v>
      </c>
      <c r="J5588" t="str">
        <f>"01/16/2001 23:45"</f>
        <v>01/16/2001 23:45</v>
      </c>
    </row>
    <row r="5589" spans="1:10" x14ac:dyDescent="0.3">
      <c r="A5589" t="s">
        <v>6</v>
      </c>
      <c r="B5589" t="str">
        <f>"01/17/2001 00:00"</f>
        <v>01/17/2001 00:00</v>
      </c>
      <c r="C5589">
        <v>137</v>
      </c>
      <c r="D5589" t="s">
        <v>7</v>
      </c>
      <c r="E5589" s="2" t="s">
        <v>12</v>
      </c>
      <c r="F5589">
        <f t="shared" si="87"/>
        <v>271.67099999999999</v>
      </c>
      <c r="G5589" t="s">
        <v>16</v>
      </c>
      <c r="J5589" t="str">
        <f>"01/17/2001 23:45"</f>
        <v>01/17/2001 23:45</v>
      </c>
    </row>
    <row r="5590" spans="1:10" x14ac:dyDescent="0.3">
      <c r="A5590" t="s">
        <v>6</v>
      </c>
      <c r="B5590" t="str">
        <f>"01/18/2001 00:00"</f>
        <v>01/18/2001 00:00</v>
      </c>
      <c r="C5590">
        <v>137</v>
      </c>
      <c r="D5590" t="s">
        <v>7</v>
      </c>
      <c r="E5590" s="2" t="s">
        <v>12</v>
      </c>
      <c r="F5590">
        <f t="shared" si="87"/>
        <v>271.67099999999999</v>
      </c>
      <c r="G5590" t="s">
        <v>16</v>
      </c>
      <c r="J5590" t="str">
        <f>"01/18/2001 23:45"</f>
        <v>01/18/2001 23:45</v>
      </c>
    </row>
    <row r="5591" spans="1:10" x14ac:dyDescent="0.3">
      <c r="A5591" t="s">
        <v>6</v>
      </c>
      <c r="B5591" t="str">
        <f>"01/19/2001 00:00"</f>
        <v>01/19/2001 00:00</v>
      </c>
      <c r="C5591">
        <v>137</v>
      </c>
      <c r="D5591" t="s">
        <v>7</v>
      </c>
      <c r="E5591" s="2" t="s">
        <v>12</v>
      </c>
      <c r="F5591">
        <f t="shared" si="87"/>
        <v>271.67099999999999</v>
      </c>
      <c r="G5591" t="s">
        <v>16</v>
      </c>
      <c r="J5591" t="str">
        <f>"01/19/2001 23:45"</f>
        <v>01/19/2001 23:45</v>
      </c>
    </row>
    <row r="5592" spans="1:10" x14ac:dyDescent="0.3">
      <c r="A5592" t="s">
        <v>6</v>
      </c>
      <c r="B5592" t="str">
        <f>"01/20/2001 00:00"</f>
        <v>01/20/2001 00:00</v>
      </c>
      <c r="C5592">
        <v>136</v>
      </c>
      <c r="D5592" t="s">
        <v>7</v>
      </c>
      <c r="E5592" s="2" t="s">
        <v>12</v>
      </c>
      <c r="F5592">
        <f t="shared" si="87"/>
        <v>269.68799999999999</v>
      </c>
      <c r="G5592" t="s">
        <v>16</v>
      </c>
      <c r="J5592" t="str">
        <f>"01/20/2001 23:45"</f>
        <v>01/20/2001 23:45</v>
      </c>
    </row>
    <row r="5593" spans="1:10" x14ac:dyDescent="0.3">
      <c r="A5593" t="s">
        <v>6</v>
      </c>
      <c r="B5593" t="str">
        <f>"01/21/2001 00:00"</f>
        <v>01/21/2001 00:00</v>
      </c>
      <c r="C5593">
        <v>137</v>
      </c>
      <c r="D5593" t="s">
        <v>7</v>
      </c>
      <c r="E5593" s="2" t="s">
        <v>12</v>
      </c>
      <c r="F5593">
        <f t="shared" si="87"/>
        <v>271.67099999999999</v>
      </c>
      <c r="G5593" t="s">
        <v>16</v>
      </c>
      <c r="J5593" t="str">
        <f>"01/21/2001 23:45"</f>
        <v>01/21/2001 23:45</v>
      </c>
    </row>
    <row r="5594" spans="1:10" x14ac:dyDescent="0.3">
      <c r="A5594" t="s">
        <v>6</v>
      </c>
      <c r="B5594" t="str">
        <f>"01/22/2001 00:00"</f>
        <v>01/22/2001 00:00</v>
      </c>
      <c r="C5594">
        <v>138</v>
      </c>
      <c r="D5594" t="s">
        <v>7</v>
      </c>
      <c r="E5594" s="2" t="s">
        <v>12</v>
      </c>
      <c r="F5594">
        <f t="shared" si="87"/>
        <v>273.654</v>
      </c>
      <c r="G5594" t="s">
        <v>16</v>
      </c>
      <c r="J5594" t="str">
        <f>"01/22/2001 23:45"</f>
        <v>01/22/2001 23:45</v>
      </c>
    </row>
    <row r="5595" spans="1:10" x14ac:dyDescent="0.3">
      <c r="A5595" t="s">
        <v>6</v>
      </c>
      <c r="B5595" t="str">
        <f>"01/23/2001 00:00"</f>
        <v>01/23/2001 00:00</v>
      </c>
      <c r="C5595">
        <v>149</v>
      </c>
      <c r="D5595" t="s">
        <v>7</v>
      </c>
      <c r="E5595" s="2" t="s">
        <v>12</v>
      </c>
      <c r="F5595">
        <f t="shared" si="87"/>
        <v>295.46700000000004</v>
      </c>
      <c r="G5595" t="s">
        <v>16</v>
      </c>
      <c r="J5595" t="str">
        <f>"01/23/2001 23:45"</f>
        <v>01/23/2001 23:45</v>
      </c>
    </row>
    <row r="5596" spans="1:10" x14ac:dyDescent="0.3">
      <c r="A5596" t="s">
        <v>6</v>
      </c>
      <c r="B5596" t="str">
        <f>"01/24/2001 00:00"</f>
        <v>01/24/2001 00:00</v>
      </c>
      <c r="C5596">
        <v>159</v>
      </c>
      <c r="D5596" t="s">
        <v>7</v>
      </c>
      <c r="E5596" s="2" t="s">
        <v>12</v>
      </c>
      <c r="F5596">
        <f t="shared" si="87"/>
        <v>315.29700000000003</v>
      </c>
      <c r="G5596" t="s">
        <v>16</v>
      </c>
      <c r="J5596" t="str">
        <f>"01/24/2001 23:45"</f>
        <v>01/24/2001 23:45</v>
      </c>
    </row>
    <row r="5597" spans="1:10" x14ac:dyDescent="0.3">
      <c r="A5597" t="s">
        <v>6</v>
      </c>
      <c r="B5597" t="str">
        <f>"01/25/2001 00:00"</f>
        <v>01/25/2001 00:00</v>
      </c>
      <c r="C5597">
        <v>160</v>
      </c>
      <c r="D5597" t="s">
        <v>7</v>
      </c>
      <c r="E5597" s="2" t="s">
        <v>12</v>
      </c>
      <c r="F5597">
        <f t="shared" si="87"/>
        <v>317.28000000000003</v>
      </c>
      <c r="G5597" t="s">
        <v>16</v>
      </c>
      <c r="J5597" t="str">
        <f>"01/25/2001 23:45"</f>
        <v>01/25/2001 23:45</v>
      </c>
    </row>
    <row r="5598" spans="1:10" x14ac:dyDescent="0.3">
      <c r="A5598" t="s">
        <v>6</v>
      </c>
      <c r="B5598" t="str">
        <f>"01/26/2001 00:00"</f>
        <v>01/26/2001 00:00</v>
      </c>
      <c r="C5598">
        <v>159</v>
      </c>
      <c r="D5598" t="s">
        <v>7</v>
      </c>
      <c r="E5598" s="2" t="s">
        <v>12</v>
      </c>
      <c r="F5598">
        <f t="shared" si="87"/>
        <v>315.29700000000003</v>
      </c>
      <c r="G5598" t="s">
        <v>16</v>
      </c>
      <c r="J5598" t="str">
        <f>"01/26/2001 23:45"</f>
        <v>01/26/2001 23:45</v>
      </c>
    </row>
    <row r="5599" spans="1:10" x14ac:dyDescent="0.3">
      <c r="A5599" t="s">
        <v>6</v>
      </c>
      <c r="B5599" t="str">
        <f>"01/27/2001 00:00"</f>
        <v>01/27/2001 00:00</v>
      </c>
      <c r="C5599">
        <v>159</v>
      </c>
      <c r="D5599" t="s">
        <v>7</v>
      </c>
      <c r="E5599" s="2" t="s">
        <v>12</v>
      </c>
      <c r="F5599">
        <f t="shared" si="87"/>
        <v>315.29700000000003</v>
      </c>
      <c r="G5599" t="s">
        <v>16</v>
      </c>
      <c r="J5599" t="str">
        <f>"01/27/2001 23:45"</f>
        <v>01/27/2001 23:45</v>
      </c>
    </row>
    <row r="5600" spans="1:10" x14ac:dyDescent="0.3">
      <c r="A5600" t="s">
        <v>6</v>
      </c>
      <c r="B5600" t="str">
        <f>"01/28/2001 00:00"</f>
        <v>01/28/2001 00:00</v>
      </c>
      <c r="C5600">
        <v>159</v>
      </c>
      <c r="D5600" t="s">
        <v>7</v>
      </c>
      <c r="E5600" s="2" t="s">
        <v>12</v>
      </c>
      <c r="F5600">
        <f t="shared" si="87"/>
        <v>315.29700000000003</v>
      </c>
      <c r="G5600" t="s">
        <v>16</v>
      </c>
      <c r="J5600" t="str">
        <f>"01/28/2001 23:45"</f>
        <v>01/28/2001 23:45</v>
      </c>
    </row>
    <row r="5601" spans="1:10" x14ac:dyDescent="0.3">
      <c r="A5601" t="s">
        <v>6</v>
      </c>
      <c r="B5601" t="str">
        <f>"01/29/2001 00:00"</f>
        <v>01/29/2001 00:00</v>
      </c>
      <c r="C5601">
        <v>159</v>
      </c>
      <c r="D5601" t="s">
        <v>7</v>
      </c>
      <c r="E5601" s="2" t="s">
        <v>12</v>
      </c>
      <c r="F5601">
        <f t="shared" si="87"/>
        <v>315.29700000000003</v>
      </c>
      <c r="G5601" t="s">
        <v>16</v>
      </c>
      <c r="J5601" t="str">
        <f>"01/29/2001 23:45"</f>
        <v>01/29/2001 23:45</v>
      </c>
    </row>
    <row r="5602" spans="1:10" x14ac:dyDescent="0.3">
      <c r="A5602" t="s">
        <v>6</v>
      </c>
      <c r="B5602" t="str">
        <f>"01/30/2001 00:00"</f>
        <v>01/30/2001 00:00</v>
      </c>
      <c r="C5602">
        <v>159</v>
      </c>
      <c r="D5602" t="s">
        <v>7</v>
      </c>
      <c r="E5602" s="2" t="s">
        <v>12</v>
      </c>
      <c r="F5602">
        <f t="shared" si="87"/>
        <v>315.29700000000003</v>
      </c>
      <c r="G5602" t="s">
        <v>16</v>
      </c>
      <c r="J5602" t="str">
        <f>"01/30/2001 23:45"</f>
        <v>01/30/2001 23:45</v>
      </c>
    </row>
    <row r="5603" spans="1:10" x14ac:dyDescent="0.3">
      <c r="A5603" t="s">
        <v>6</v>
      </c>
      <c r="B5603" t="str">
        <f>"01/31/2001 00:00"</f>
        <v>01/31/2001 00:00</v>
      </c>
      <c r="C5603">
        <v>160</v>
      </c>
      <c r="D5603" t="s">
        <v>7</v>
      </c>
      <c r="E5603" s="2" t="s">
        <v>12</v>
      </c>
      <c r="F5603">
        <f t="shared" si="87"/>
        <v>317.28000000000003</v>
      </c>
      <c r="G5603" t="s">
        <v>16</v>
      </c>
      <c r="J5603" t="str">
        <f>"01/31/2001 23:45"</f>
        <v>01/31/2001 23:45</v>
      </c>
    </row>
    <row r="5604" spans="1:10" x14ac:dyDescent="0.3">
      <c r="A5604" t="s">
        <v>6</v>
      </c>
      <c r="B5604" t="str">
        <f>"02/01/2001 00:00"</f>
        <v>02/01/2001 00:00</v>
      </c>
      <c r="C5604">
        <v>160</v>
      </c>
      <c r="D5604" t="s">
        <v>7</v>
      </c>
      <c r="E5604" s="2" t="s">
        <v>12</v>
      </c>
      <c r="F5604">
        <f t="shared" si="87"/>
        <v>317.28000000000003</v>
      </c>
      <c r="G5604" t="s">
        <v>16</v>
      </c>
      <c r="J5604" t="str">
        <f>"02/01/2001 23:45"</f>
        <v>02/01/2001 23:45</v>
      </c>
    </row>
    <row r="5605" spans="1:10" x14ac:dyDescent="0.3">
      <c r="A5605" t="s">
        <v>6</v>
      </c>
      <c r="B5605" t="str">
        <f>"02/02/2001 00:00"</f>
        <v>02/02/2001 00:00</v>
      </c>
      <c r="C5605">
        <v>160</v>
      </c>
      <c r="D5605" t="s">
        <v>7</v>
      </c>
      <c r="E5605" s="2" t="s">
        <v>12</v>
      </c>
      <c r="F5605">
        <f t="shared" si="87"/>
        <v>317.28000000000003</v>
      </c>
      <c r="G5605" t="s">
        <v>16</v>
      </c>
      <c r="J5605" t="str">
        <f>"02/02/2001 23:45"</f>
        <v>02/02/2001 23:45</v>
      </c>
    </row>
    <row r="5606" spans="1:10" x14ac:dyDescent="0.3">
      <c r="A5606" t="s">
        <v>6</v>
      </c>
      <c r="B5606" t="str">
        <f>"02/03/2001 00:00"</f>
        <v>02/03/2001 00:00</v>
      </c>
      <c r="C5606">
        <v>160</v>
      </c>
      <c r="D5606" t="s">
        <v>7</v>
      </c>
      <c r="E5606" s="2" t="s">
        <v>12</v>
      </c>
      <c r="F5606">
        <f t="shared" si="87"/>
        <v>317.28000000000003</v>
      </c>
      <c r="G5606" t="s">
        <v>16</v>
      </c>
      <c r="J5606" t="str">
        <f>"02/03/2001 23:45"</f>
        <v>02/03/2001 23:45</v>
      </c>
    </row>
    <row r="5607" spans="1:10" x14ac:dyDescent="0.3">
      <c r="A5607" t="s">
        <v>6</v>
      </c>
      <c r="B5607" t="str">
        <f>"02/04/2001 00:00"</f>
        <v>02/04/2001 00:00</v>
      </c>
      <c r="C5607">
        <v>160</v>
      </c>
      <c r="D5607" t="s">
        <v>7</v>
      </c>
      <c r="E5607" s="2" t="s">
        <v>12</v>
      </c>
      <c r="F5607">
        <f t="shared" si="87"/>
        <v>317.28000000000003</v>
      </c>
      <c r="G5607" t="s">
        <v>16</v>
      </c>
      <c r="J5607" t="str">
        <f>"02/04/2001 23:45"</f>
        <v>02/04/2001 23:45</v>
      </c>
    </row>
    <row r="5608" spans="1:10" x14ac:dyDescent="0.3">
      <c r="A5608" t="s">
        <v>6</v>
      </c>
      <c r="B5608" t="str">
        <f>"02/05/2001 00:00"</f>
        <v>02/05/2001 00:00</v>
      </c>
      <c r="C5608">
        <v>158</v>
      </c>
      <c r="D5608" t="s">
        <v>7</v>
      </c>
      <c r="E5608" s="2" t="s">
        <v>12</v>
      </c>
      <c r="F5608">
        <f t="shared" si="87"/>
        <v>313.31400000000002</v>
      </c>
      <c r="G5608" t="s">
        <v>16</v>
      </c>
      <c r="J5608" t="str">
        <f>"02/05/2001 23:45"</f>
        <v>02/05/2001 23:45</v>
      </c>
    </row>
    <row r="5609" spans="1:10" x14ac:dyDescent="0.3">
      <c r="A5609" t="s">
        <v>6</v>
      </c>
      <c r="B5609" t="str">
        <f>"02/06/2001 00:00"</f>
        <v>02/06/2001 00:00</v>
      </c>
      <c r="C5609">
        <v>156</v>
      </c>
      <c r="D5609" t="s">
        <v>7</v>
      </c>
      <c r="E5609" s="2" t="s">
        <v>12</v>
      </c>
      <c r="F5609">
        <f t="shared" si="87"/>
        <v>309.34800000000001</v>
      </c>
      <c r="G5609" t="s">
        <v>16</v>
      </c>
      <c r="J5609" t="str">
        <f>"02/06/2001 23:45"</f>
        <v>02/06/2001 23:45</v>
      </c>
    </row>
    <row r="5610" spans="1:10" x14ac:dyDescent="0.3">
      <c r="A5610" t="s">
        <v>6</v>
      </c>
      <c r="B5610" t="str">
        <f>"02/07/2001 00:00"</f>
        <v>02/07/2001 00:00</v>
      </c>
      <c r="C5610">
        <v>159</v>
      </c>
      <c r="D5610" t="s">
        <v>7</v>
      </c>
      <c r="E5610" s="2" t="s">
        <v>12</v>
      </c>
      <c r="F5610">
        <f t="shared" si="87"/>
        <v>315.29700000000003</v>
      </c>
      <c r="G5610" t="s">
        <v>16</v>
      </c>
      <c r="J5610" t="str">
        <f>"02/07/2001 23:45"</f>
        <v>02/07/2001 23:45</v>
      </c>
    </row>
    <row r="5611" spans="1:10" x14ac:dyDescent="0.3">
      <c r="A5611" t="s">
        <v>6</v>
      </c>
      <c r="B5611" t="str">
        <f>"02/08/2001 00:00"</f>
        <v>02/08/2001 00:00</v>
      </c>
      <c r="C5611">
        <v>162</v>
      </c>
      <c r="D5611" t="s">
        <v>7</v>
      </c>
      <c r="E5611" s="2" t="s">
        <v>12</v>
      </c>
      <c r="F5611">
        <f t="shared" si="87"/>
        <v>321.24600000000004</v>
      </c>
      <c r="G5611" t="s">
        <v>16</v>
      </c>
      <c r="J5611" t="str">
        <f>"02/08/2001 23:45"</f>
        <v>02/08/2001 23:45</v>
      </c>
    </row>
    <row r="5612" spans="1:10" x14ac:dyDescent="0.3">
      <c r="A5612" t="s">
        <v>6</v>
      </c>
      <c r="B5612" t="str">
        <f>"02/09/2001 00:00"</f>
        <v>02/09/2001 00:00</v>
      </c>
      <c r="C5612">
        <v>164</v>
      </c>
      <c r="D5612" t="s">
        <v>7</v>
      </c>
      <c r="E5612" s="2" t="s">
        <v>12</v>
      </c>
      <c r="F5612">
        <f t="shared" si="87"/>
        <v>325.21199999999999</v>
      </c>
      <c r="G5612" t="s">
        <v>16</v>
      </c>
      <c r="J5612" t="str">
        <f>"02/09/2001 23:45"</f>
        <v>02/09/2001 23:45</v>
      </c>
    </row>
    <row r="5613" spans="1:10" x14ac:dyDescent="0.3">
      <c r="A5613" t="s">
        <v>6</v>
      </c>
      <c r="B5613" t="str">
        <f>"02/10/2001 00:00"</f>
        <v>02/10/2001 00:00</v>
      </c>
      <c r="C5613">
        <v>162</v>
      </c>
      <c r="D5613" t="s">
        <v>7</v>
      </c>
      <c r="E5613" s="2" t="s">
        <v>12</v>
      </c>
      <c r="F5613">
        <f t="shared" si="87"/>
        <v>321.24600000000004</v>
      </c>
      <c r="G5613" t="s">
        <v>16</v>
      </c>
      <c r="J5613" t="str">
        <f>"02/10/2001 23:45"</f>
        <v>02/10/2001 23:45</v>
      </c>
    </row>
    <row r="5614" spans="1:10" x14ac:dyDescent="0.3">
      <c r="A5614" t="s">
        <v>6</v>
      </c>
      <c r="B5614" t="str">
        <f>"02/11/2001 00:00"</f>
        <v>02/11/2001 00:00</v>
      </c>
      <c r="C5614">
        <v>160</v>
      </c>
      <c r="D5614" t="s">
        <v>7</v>
      </c>
      <c r="E5614" s="2" t="s">
        <v>12</v>
      </c>
      <c r="F5614">
        <f t="shared" si="87"/>
        <v>317.28000000000003</v>
      </c>
      <c r="G5614" t="s">
        <v>16</v>
      </c>
      <c r="J5614" t="str">
        <f>"02/11/2001 23:45"</f>
        <v>02/11/2001 23:45</v>
      </c>
    </row>
    <row r="5615" spans="1:10" x14ac:dyDescent="0.3">
      <c r="A5615" t="s">
        <v>6</v>
      </c>
      <c r="B5615" t="str">
        <f>"02/12/2001 00:00"</f>
        <v>02/12/2001 00:00</v>
      </c>
      <c r="C5615">
        <v>149</v>
      </c>
      <c r="D5615" t="s">
        <v>7</v>
      </c>
      <c r="E5615" s="2" t="s">
        <v>12</v>
      </c>
      <c r="F5615">
        <f t="shared" si="87"/>
        <v>295.46700000000004</v>
      </c>
      <c r="G5615" t="s">
        <v>16</v>
      </c>
      <c r="J5615" t="str">
        <f>"02/12/2001 23:45"</f>
        <v>02/12/2001 23:45</v>
      </c>
    </row>
    <row r="5616" spans="1:10" x14ac:dyDescent="0.3">
      <c r="A5616" t="s">
        <v>6</v>
      </c>
      <c r="B5616" t="str">
        <f>"02/13/2001 00:00"</f>
        <v>02/13/2001 00:00</v>
      </c>
      <c r="C5616">
        <v>152</v>
      </c>
      <c r="D5616" t="s">
        <v>7</v>
      </c>
      <c r="E5616" s="2" t="s">
        <v>12</v>
      </c>
      <c r="F5616">
        <f t="shared" si="87"/>
        <v>301.416</v>
      </c>
      <c r="G5616" t="s">
        <v>16</v>
      </c>
      <c r="J5616" t="str">
        <f>"02/13/2001 23:45"</f>
        <v>02/13/2001 23:45</v>
      </c>
    </row>
    <row r="5617" spans="1:10" x14ac:dyDescent="0.3">
      <c r="A5617" t="s">
        <v>6</v>
      </c>
      <c r="B5617" t="str">
        <f>"02/14/2001 00:00"</f>
        <v>02/14/2001 00:00</v>
      </c>
      <c r="C5617">
        <v>173</v>
      </c>
      <c r="D5617" t="s">
        <v>7</v>
      </c>
      <c r="E5617" s="2" t="s">
        <v>12</v>
      </c>
      <c r="F5617">
        <f t="shared" si="87"/>
        <v>343.05900000000003</v>
      </c>
      <c r="G5617" t="s">
        <v>16</v>
      </c>
      <c r="J5617" t="str">
        <f>"02/14/2001 23:45"</f>
        <v>02/14/2001 23:45</v>
      </c>
    </row>
    <row r="5618" spans="1:10" x14ac:dyDescent="0.3">
      <c r="A5618" t="s">
        <v>6</v>
      </c>
      <c r="B5618" t="str">
        <f>"02/15/2001 00:00"</f>
        <v>02/15/2001 00:00</v>
      </c>
      <c r="C5618">
        <v>186</v>
      </c>
      <c r="D5618" t="s">
        <v>7</v>
      </c>
      <c r="E5618" s="2" t="s">
        <v>12</v>
      </c>
      <c r="F5618">
        <f t="shared" si="87"/>
        <v>368.83800000000002</v>
      </c>
      <c r="G5618" t="s">
        <v>16</v>
      </c>
      <c r="J5618" t="str">
        <f>"02/15/2001 23:45"</f>
        <v>02/15/2001 23:45</v>
      </c>
    </row>
    <row r="5619" spans="1:10" x14ac:dyDescent="0.3">
      <c r="A5619" t="s">
        <v>6</v>
      </c>
      <c r="B5619" t="str">
        <f>"02/16/2001 00:00"</f>
        <v>02/16/2001 00:00</v>
      </c>
      <c r="C5619">
        <v>186</v>
      </c>
      <c r="D5619" t="s">
        <v>7</v>
      </c>
      <c r="E5619" s="2" t="s">
        <v>12</v>
      </c>
      <c r="F5619">
        <f t="shared" si="87"/>
        <v>368.83800000000002</v>
      </c>
      <c r="G5619" t="s">
        <v>16</v>
      </c>
      <c r="J5619" t="str">
        <f>"02/16/2001 23:45"</f>
        <v>02/16/2001 23:45</v>
      </c>
    </row>
    <row r="5620" spans="1:10" x14ac:dyDescent="0.3">
      <c r="A5620" t="s">
        <v>6</v>
      </c>
      <c r="B5620" t="str">
        <f>"02/17/2001 00:00"</f>
        <v>02/17/2001 00:00</v>
      </c>
      <c r="C5620">
        <v>186</v>
      </c>
      <c r="D5620" t="s">
        <v>7</v>
      </c>
      <c r="E5620" s="2" t="s">
        <v>12</v>
      </c>
      <c r="F5620">
        <f t="shared" si="87"/>
        <v>368.83800000000002</v>
      </c>
      <c r="G5620" t="s">
        <v>16</v>
      </c>
      <c r="J5620" t="str">
        <f>"02/17/2001 23:45"</f>
        <v>02/17/2001 23:45</v>
      </c>
    </row>
    <row r="5621" spans="1:10" x14ac:dyDescent="0.3">
      <c r="A5621" t="s">
        <v>6</v>
      </c>
      <c r="B5621" t="str">
        <f>"02/18/2001 00:00"</f>
        <v>02/18/2001 00:00</v>
      </c>
      <c r="C5621">
        <v>186</v>
      </c>
      <c r="D5621" t="s">
        <v>7</v>
      </c>
      <c r="E5621" s="2" t="s">
        <v>12</v>
      </c>
      <c r="F5621">
        <f t="shared" si="87"/>
        <v>368.83800000000002</v>
      </c>
      <c r="G5621" t="s">
        <v>16</v>
      </c>
      <c r="J5621" t="str">
        <f>"02/18/2001 23:45"</f>
        <v>02/18/2001 23:45</v>
      </c>
    </row>
    <row r="5622" spans="1:10" x14ac:dyDescent="0.3">
      <c r="A5622" t="s">
        <v>6</v>
      </c>
      <c r="B5622" t="str">
        <f>"02/19/2001 00:00"</f>
        <v>02/19/2001 00:00</v>
      </c>
      <c r="C5622">
        <v>186</v>
      </c>
      <c r="D5622" t="s">
        <v>7</v>
      </c>
      <c r="E5622" s="2" t="s">
        <v>12</v>
      </c>
      <c r="F5622">
        <f t="shared" si="87"/>
        <v>368.83800000000002</v>
      </c>
      <c r="G5622" t="s">
        <v>16</v>
      </c>
      <c r="J5622" t="str">
        <f>"02/19/2001 23:45"</f>
        <v>02/19/2001 23:45</v>
      </c>
    </row>
    <row r="5623" spans="1:10" x14ac:dyDescent="0.3">
      <c r="A5623" t="s">
        <v>6</v>
      </c>
      <c r="B5623" t="str">
        <f>"02/20/2001 00:00"</f>
        <v>02/20/2001 00:00</v>
      </c>
      <c r="C5623">
        <v>186</v>
      </c>
      <c r="D5623" t="s">
        <v>7</v>
      </c>
      <c r="E5623" s="2" t="s">
        <v>12</v>
      </c>
      <c r="F5623">
        <f t="shared" si="87"/>
        <v>368.83800000000002</v>
      </c>
      <c r="G5623" t="s">
        <v>16</v>
      </c>
      <c r="J5623" t="str">
        <f>"02/20/2001 23:45"</f>
        <v>02/20/2001 23:45</v>
      </c>
    </row>
    <row r="5624" spans="1:10" x14ac:dyDescent="0.3">
      <c r="A5624" t="s">
        <v>6</v>
      </c>
      <c r="B5624" t="str">
        <f>"02/21/2001 00:00"</f>
        <v>02/21/2001 00:00</v>
      </c>
      <c r="C5624">
        <v>186</v>
      </c>
      <c r="D5624" t="s">
        <v>7</v>
      </c>
      <c r="E5624" s="2" t="s">
        <v>12</v>
      </c>
      <c r="F5624">
        <f t="shared" si="87"/>
        <v>368.83800000000002</v>
      </c>
      <c r="G5624" t="s">
        <v>16</v>
      </c>
      <c r="J5624" t="str">
        <f>"02/21/2001 23:45"</f>
        <v>02/21/2001 23:45</v>
      </c>
    </row>
    <row r="5625" spans="1:10" x14ac:dyDescent="0.3">
      <c r="A5625" t="s">
        <v>6</v>
      </c>
      <c r="B5625" t="str">
        <f>"02/22/2001 00:00"</f>
        <v>02/22/2001 00:00</v>
      </c>
      <c r="C5625">
        <v>186</v>
      </c>
      <c r="D5625" t="s">
        <v>7</v>
      </c>
      <c r="E5625" s="2" t="s">
        <v>12</v>
      </c>
      <c r="F5625">
        <f t="shared" si="87"/>
        <v>368.83800000000002</v>
      </c>
      <c r="G5625" t="s">
        <v>16</v>
      </c>
      <c r="J5625" t="str">
        <f>"02/22/2001 23:45"</f>
        <v>02/22/2001 23:45</v>
      </c>
    </row>
    <row r="5626" spans="1:10" x14ac:dyDescent="0.3">
      <c r="A5626" t="s">
        <v>6</v>
      </c>
      <c r="B5626" t="str">
        <f>"02/23/2001 00:00"</f>
        <v>02/23/2001 00:00</v>
      </c>
      <c r="C5626">
        <v>186</v>
      </c>
      <c r="D5626" t="s">
        <v>7</v>
      </c>
      <c r="E5626" s="2" t="s">
        <v>12</v>
      </c>
      <c r="F5626">
        <f t="shared" si="87"/>
        <v>368.83800000000002</v>
      </c>
      <c r="G5626" t="s">
        <v>16</v>
      </c>
      <c r="J5626" t="str">
        <f>"02/23/2001 23:45"</f>
        <v>02/23/2001 23:45</v>
      </c>
    </row>
    <row r="5627" spans="1:10" x14ac:dyDescent="0.3">
      <c r="A5627" t="s">
        <v>6</v>
      </c>
      <c r="B5627" t="str">
        <f>"02/24/2001 00:00"</f>
        <v>02/24/2001 00:00</v>
      </c>
      <c r="C5627">
        <v>186</v>
      </c>
      <c r="D5627" t="s">
        <v>7</v>
      </c>
      <c r="E5627" s="2" t="s">
        <v>12</v>
      </c>
      <c r="F5627">
        <f t="shared" si="87"/>
        <v>368.83800000000002</v>
      </c>
      <c r="G5627" t="s">
        <v>16</v>
      </c>
      <c r="J5627" t="str">
        <f>"02/24/2001 23:45"</f>
        <v>02/24/2001 23:45</v>
      </c>
    </row>
    <row r="5628" spans="1:10" x14ac:dyDescent="0.3">
      <c r="A5628" t="s">
        <v>6</v>
      </c>
      <c r="B5628" t="str">
        <f>"02/25/2001 00:00"</f>
        <v>02/25/2001 00:00</v>
      </c>
      <c r="C5628">
        <v>186</v>
      </c>
      <c r="D5628" t="s">
        <v>7</v>
      </c>
      <c r="E5628" s="2" t="s">
        <v>12</v>
      </c>
      <c r="F5628">
        <f t="shared" si="87"/>
        <v>368.83800000000002</v>
      </c>
      <c r="G5628" t="s">
        <v>16</v>
      </c>
      <c r="J5628" t="str">
        <f>"02/25/2001 23:45"</f>
        <v>02/25/2001 23:45</v>
      </c>
    </row>
    <row r="5629" spans="1:10" x14ac:dyDescent="0.3">
      <c r="A5629" t="s">
        <v>6</v>
      </c>
      <c r="B5629" t="str">
        <f>"02/26/2001 00:00"</f>
        <v>02/26/2001 00:00</v>
      </c>
      <c r="C5629">
        <v>202</v>
      </c>
      <c r="D5629" t="s">
        <v>7</v>
      </c>
      <c r="E5629" s="2" t="s">
        <v>12</v>
      </c>
      <c r="F5629">
        <f t="shared" si="87"/>
        <v>400.56600000000003</v>
      </c>
      <c r="G5629" t="s">
        <v>16</v>
      </c>
      <c r="J5629" t="str">
        <f>"02/26/2001 23:45"</f>
        <v>02/26/2001 23:45</v>
      </c>
    </row>
    <row r="5630" spans="1:10" x14ac:dyDescent="0.3">
      <c r="A5630" t="s">
        <v>6</v>
      </c>
      <c r="B5630" t="str">
        <f>"02/27/2001 00:00"</f>
        <v>02/27/2001 00:00</v>
      </c>
      <c r="C5630">
        <v>217</v>
      </c>
      <c r="D5630" t="s">
        <v>7</v>
      </c>
      <c r="E5630" s="2" t="s">
        <v>12</v>
      </c>
      <c r="F5630">
        <f t="shared" si="87"/>
        <v>430.31100000000004</v>
      </c>
      <c r="G5630" t="s">
        <v>16</v>
      </c>
      <c r="J5630" t="str">
        <f>"02/27/2001 23:45"</f>
        <v>02/27/2001 23:45</v>
      </c>
    </row>
    <row r="5631" spans="1:10" x14ac:dyDescent="0.3">
      <c r="A5631" t="s">
        <v>6</v>
      </c>
      <c r="B5631" t="str">
        <f>"02/28/2001 00:00"</f>
        <v>02/28/2001 00:00</v>
      </c>
      <c r="C5631">
        <v>231</v>
      </c>
      <c r="D5631" t="s">
        <v>7</v>
      </c>
      <c r="E5631" s="2" t="s">
        <v>12</v>
      </c>
      <c r="F5631">
        <f t="shared" si="87"/>
        <v>458.07300000000004</v>
      </c>
      <c r="G5631" t="s">
        <v>16</v>
      </c>
      <c r="J5631" t="str">
        <f>"02/28/2001 23:45"</f>
        <v>02/28/2001 23:45</v>
      </c>
    </row>
    <row r="5632" spans="1:10" x14ac:dyDescent="0.3">
      <c r="A5632" t="s">
        <v>6</v>
      </c>
      <c r="B5632" t="str">
        <f>"03/01/2001 00:00"</f>
        <v>03/01/2001 00:00</v>
      </c>
      <c r="C5632">
        <v>241</v>
      </c>
      <c r="D5632" t="s">
        <v>7</v>
      </c>
      <c r="E5632" s="2" t="s">
        <v>12</v>
      </c>
      <c r="F5632">
        <f t="shared" si="87"/>
        <v>477.90300000000002</v>
      </c>
      <c r="G5632" t="s">
        <v>16</v>
      </c>
      <c r="J5632" t="str">
        <f>"03/01/2001 23:45"</f>
        <v>03/01/2001 23:45</v>
      </c>
    </row>
    <row r="5633" spans="1:10" x14ac:dyDescent="0.3">
      <c r="A5633" t="s">
        <v>6</v>
      </c>
      <c r="B5633" t="str">
        <f>"03/02/2001 00:00"</f>
        <v>03/02/2001 00:00</v>
      </c>
      <c r="C5633">
        <v>240</v>
      </c>
      <c r="D5633" t="s">
        <v>7</v>
      </c>
      <c r="E5633" s="2" t="s">
        <v>12</v>
      </c>
      <c r="F5633">
        <f t="shared" si="87"/>
        <v>475.92</v>
      </c>
      <c r="G5633" t="s">
        <v>16</v>
      </c>
      <c r="J5633" t="str">
        <f>"03/02/2001 23:45"</f>
        <v>03/02/2001 23:45</v>
      </c>
    </row>
    <row r="5634" spans="1:10" x14ac:dyDescent="0.3">
      <c r="A5634" t="s">
        <v>6</v>
      </c>
      <c r="B5634" t="str">
        <f>"03/03/2001 00:00"</f>
        <v>03/03/2001 00:00</v>
      </c>
      <c r="C5634">
        <v>240</v>
      </c>
      <c r="D5634" t="s">
        <v>7</v>
      </c>
      <c r="E5634" s="2" t="s">
        <v>12</v>
      </c>
      <c r="F5634">
        <f t="shared" si="87"/>
        <v>475.92</v>
      </c>
      <c r="G5634" t="s">
        <v>16</v>
      </c>
      <c r="J5634" t="str">
        <f>"03/03/2001 23:45"</f>
        <v>03/03/2001 23:45</v>
      </c>
    </row>
    <row r="5635" spans="1:10" x14ac:dyDescent="0.3">
      <c r="A5635" t="s">
        <v>6</v>
      </c>
      <c r="B5635" t="str">
        <f>"03/04/2001 00:00"</f>
        <v>03/04/2001 00:00</v>
      </c>
      <c r="C5635">
        <v>240</v>
      </c>
      <c r="D5635" t="s">
        <v>7</v>
      </c>
      <c r="E5635" s="2" t="s">
        <v>12</v>
      </c>
      <c r="F5635">
        <f t="shared" ref="F5635:F5698" si="88">C5635*1.983</f>
        <v>475.92</v>
      </c>
      <c r="G5635" t="s">
        <v>16</v>
      </c>
      <c r="J5635" t="str">
        <f>"03/04/2001 23:45"</f>
        <v>03/04/2001 23:45</v>
      </c>
    </row>
    <row r="5636" spans="1:10" x14ac:dyDescent="0.3">
      <c r="A5636" t="s">
        <v>6</v>
      </c>
      <c r="B5636" t="str">
        <f>"03/05/2001 00:00"</f>
        <v>03/05/2001 00:00</v>
      </c>
      <c r="C5636">
        <v>240</v>
      </c>
      <c r="D5636" t="s">
        <v>7</v>
      </c>
      <c r="E5636" s="2" t="s">
        <v>12</v>
      </c>
      <c r="F5636">
        <f t="shared" si="88"/>
        <v>475.92</v>
      </c>
      <c r="G5636" t="s">
        <v>16</v>
      </c>
      <c r="J5636" t="str">
        <f>"03/05/2001 23:45"</f>
        <v>03/05/2001 23:45</v>
      </c>
    </row>
    <row r="5637" spans="1:10" x14ac:dyDescent="0.3">
      <c r="A5637" t="s">
        <v>6</v>
      </c>
      <c r="B5637" t="str">
        <f>"03/06/2001 00:00"</f>
        <v>03/06/2001 00:00</v>
      </c>
      <c r="C5637">
        <v>240</v>
      </c>
      <c r="D5637" t="s">
        <v>7</v>
      </c>
      <c r="E5637" s="2" t="s">
        <v>12</v>
      </c>
      <c r="F5637">
        <f t="shared" si="88"/>
        <v>475.92</v>
      </c>
      <c r="G5637" t="s">
        <v>16</v>
      </c>
      <c r="J5637" t="str">
        <f>"03/06/2001 23:45"</f>
        <v>03/06/2001 23:45</v>
      </c>
    </row>
    <row r="5638" spans="1:10" x14ac:dyDescent="0.3">
      <c r="A5638" t="s">
        <v>6</v>
      </c>
      <c r="B5638" t="str">
        <f>"03/07/2001 00:00"</f>
        <v>03/07/2001 00:00</v>
      </c>
      <c r="C5638">
        <v>240</v>
      </c>
      <c r="D5638" t="s">
        <v>7</v>
      </c>
      <c r="E5638" s="2" t="s">
        <v>12</v>
      </c>
      <c r="F5638">
        <f t="shared" si="88"/>
        <v>475.92</v>
      </c>
      <c r="G5638" t="s">
        <v>16</v>
      </c>
      <c r="J5638" t="str">
        <f>"03/07/2001 23:45"</f>
        <v>03/07/2001 23:45</v>
      </c>
    </row>
    <row r="5639" spans="1:10" x14ac:dyDescent="0.3">
      <c r="A5639" t="s">
        <v>6</v>
      </c>
      <c r="B5639" t="str">
        <f>"03/08/2001 00:00"</f>
        <v>03/08/2001 00:00</v>
      </c>
      <c r="C5639">
        <v>240</v>
      </c>
      <c r="D5639" t="s">
        <v>7</v>
      </c>
      <c r="E5639" s="2" t="s">
        <v>12</v>
      </c>
      <c r="F5639">
        <f t="shared" si="88"/>
        <v>475.92</v>
      </c>
      <c r="G5639" t="s">
        <v>16</v>
      </c>
      <c r="J5639" t="str">
        <f>"03/08/2001 23:45"</f>
        <v>03/08/2001 23:45</v>
      </c>
    </row>
    <row r="5640" spans="1:10" x14ac:dyDescent="0.3">
      <c r="A5640" t="s">
        <v>6</v>
      </c>
      <c r="B5640" t="str">
        <f>"03/09/2001 00:00"</f>
        <v>03/09/2001 00:00</v>
      </c>
      <c r="C5640">
        <v>240</v>
      </c>
      <c r="D5640" t="s">
        <v>7</v>
      </c>
      <c r="E5640" s="2" t="s">
        <v>12</v>
      </c>
      <c r="F5640">
        <f t="shared" si="88"/>
        <v>475.92</v>
      </c>
      <c r="G5640" t="s">
        <v>16</v>
      </c>
      <c r="J5640" t="str">
        <f>"03/09/2001 23:45"</f>
        <v>03/09/2001 23:45</v>
      </c>
    </row>
    <row r="5641" spans="1:10" x14ac:dyDescent="0.3">
      <c r="A5641" t="s">
        <v>6</v>
      </c>
      <c r="B5641" t="str">
        <f>"03/10/2001 00:00"</f>
        <v>03/10/2001 00:00</v>
      </c>
      <c r="C5641">
        <v>240</v>
      </c>
      <c r="D5641" t="s">
        <v>7</v>
      </c>
      <c r="E5641" s="2" t="s">
        <v>12</v>
      </c>
      <c r="F5641">
        <f t="shared" si="88"/>
        <v>475.92</v>
      </c>
      <c r="G5641" t="s">
        <v>16</v>
      </c>
      <c r="J5641" t="str">
        <f>"03/10/2001 23:45"</f>
        <v>03/10/2001 23:45</v>
      </c>
    </row>
    <row r="5642" spans="1:10" x14ac:dyDescent="0.3">
      <c r="A5642" t="s">
        <v>6</v>
      </c>
      <c r="B5642" t="str">
        <f>"03/11/2001 00:00"</f>
        <v>03/11/2001 00:00</v>
      </c>
      <c r="C5642">
        <v>240</v>
      </c>
      <c r="D5642" t="s">
        <v>7</v>
      </c>
      <c r="E5642" s="2" t="s">
        <v>12</v>
      </c>
      <c r="F5642">
        <f t="shared" si="88"/>
        <v>475.92</v>
      </c>
      <c r="G5642" t="s">
        <v>16</v>
      </c>
      <c r="J5642" t="str">
        <f>"03/11/2001 23:45"</f>
        <v>03/11/2001 23:45</v>
      </c>
    </row>
    <row r="5643" spans="1:10" x14ac:dyDescent="0.3">
      <c r="A5643" t="s">
        <v>6</v>
      </c>
      <c r="B5643" t="str">
        <f>"03/12/2001 00:00"</f>
        <v>03/12/2001 00:00</v>
      </c>
      <c r="C5643">
        <v>240</v>
      </c>
      <c r="D5643" t="s">
        <v>7</v>
      </c>
      <c r="E5643" s="2" t="s">
        <v>12</v>
      </c>
      <c r="F5643">
        <f t="shared" si="88"/>
        <v>475.92</v>
      </c>
      <c r="G5643" t="s">
        <v>16</v>
      </c>
      <c r="J5643" t="str">
        <f>"03/12/2001 23:45"</f>
        <v>03/12/2001 23:45</v>
      </c>
    </row>
    <row r="5644" spans="1:10" x14ac:dyDescent="0.3">
      <c r="A5644" t="s">
        <v>6</v>
      </c>
      <c r="B5644" t="str">
        <f>"03/13/2001 00:00"</f>
        <v>03/13/2001 00:00</v>
      </c>
      <c r="C5644">
        <v>242</v>
      </c>
      <c r="D5644" t="s">
        <v>7</v>
      </c>
      <c r="E5644" s="2" t="s">
        <v>12</v>
      </c>
      <c r="F5644">
        <f t="shared" si="88"/>
        <v>479.88600000000002</v>
      </c>
      <c r="G5644" t="s">
        <v>16</v>
      </c>
      <c r="J5644" t="str">
        <f>"03/13/2001 23:45"</f>
        <v>03/13/2001 23:45</v>
      </c>
    </row>
    <row r="5645" spans="1:10" x14ac:dyDescent="0.3">
      <c r="A5645" t="s">
        <v>6</v>
      </c>
      <c r="B5645" t="str">
        <f>"03/14/2001 00:00"</f>
        <v>03/14/2001 00:00</v>
      </c>
      <c r="C5645">
        <v>242</v>
      </c>
      <c r="D5645" t="s">
        <v>7</v>
      </c>
      <c r="E5645" s="2" t="s">
        <v>12</v>
      </c>
      <c r="F5645">
        <f t="shared" si="88"/>
        <v>479.88600000000002</v>
      </c>
      <c r="G5645" t="s">
        <v>16</v>
      </c>
      <c r="J5645" t="str">
        <f>"03/14/2001 23:45"</f>
        <v>03/14/2001 23:45</v>
      </c>
    </row>
    <row r="5646" spans="1:10" x14ac:dyDescent="0.3">
      <c r="A5646" t="s">
        <v>6</v>
      </c>
      <c r="B5646" t="str">
        <f>"03/15/2001 00:00"</f>
        <v>03/15/2001 00:00</v>
      </c>
      <c r="C5646">
        <v>242</v>
      </c>
      <c r="D5646" t="s">
        <v>7</v>
      </c>
      <c r="E5646" s="2" t="s">
        <v>12</v>
      </c>
      <c r="F5646">
        <f t="shared" si="88"/>
        <v>479.88600000000002</v>
      </c>
      <c r="G5646" t="s">
        <v>16</v>
      </c>
      <c r="J5646" t="str">
        <f>"03/15/2001 23:45"</f>
        <v>03/15/2001 23:45</v>
      </c>
    </row>
    <row r="5647" spans="1:10" x14ac:dyDescent="0.3">
      <c r="A5647" t="s">
        <v>6</v>
      </c>
      <c r="B5647" t="str">
        <f>"03/16/2001 00:00"</f>
        <v>03/16/2001 00:00</v>
      </c>
      <c r="C5647">
        <v>241</v>
      </c>
      <c r="D5647" t="s">
        <v>7</v>
      </c>
      <c r="E5647" s="2" t="s">
        <v>12</v>
      </c>
      <c r="F5647">
        <f t="shared" si="88"/>
        <v>477.90300000000002</v>
      </c>
      <c r="G5647" t="s">
        <v>16</v>
      </c>
      <c r="J5647" t="str">
        <f>"03/16/2001 23:45"</f>
        <v>03/16/2001 23:45</v>
      </c>
    </row>
    <row r="5648" spans="1:10" x14ac:dyDescent="0.3">
      <c r="A5648" t="s">
        <v>6</v>
      </c>
      <c r="B5648" t="str">
        <f>"03/17/2001 00:00"</f>
        <v>03/17/2001 00:00</v>
      </c>
      <c r="C5648">
        <v>240</v>
      </c>
      <c r="D5648" t="s">
        <v>7</v>
      </c>
      <c r="E5648" s="2" t="s">
        <v>12</v>
      </c>
      <c r="F5648">
        <f t="shared" si="88"/>
        <v>475.92</v>
      </c>
      <c r="G5648" t="s">
        <v>16</v>
      </c>
      <c r="J5648" t="str">
        <f>"03/17/2001 23:45"</f>
        <v>03/17/2001 23:45</v>
      </c>
    </row>
    <row r="5649" spans="1:10" x14ac:dyDescent="0.3">
      <c r="A5649" t="s">
        <v>6</v>
      </c>
      <c r="B5649" t="str">
        <f>"03/18/2001 00:00"</f>
        <v>03/18/2001 00:00</v>
      </c>
      <c r="C5649">
        <v>240</v>
      </c>
      <c r="D5649" t="s">
        <v>7</v>
      </c>
      <c r="E5649" s="2" t="s">
        <v>12</v>
      </c>
      <c r="F5649">
        <f t="shared" si="88"/>
        <v>475.92</v>
      </c>
      <c r="G5649" t="s">
        <v>16</v>
      </c>
      <c r="J5649" t="str">
        <f>"03/18/2001 23:45"</f>
        <v>03/18/2001 23:45</v>
      </c>
    </row>
    <row r="5650" spans="1:10" x14ac:dyDescent="0.3">
      <c r="A5650" t="s">
        <v>6</v>
      </c>
      <c r="B5650" t="str">
        <f>"03/19/2001 00:00"</f>
        <v>03/19/2001 00:00</v>
      </c>
      <c r="C5650">
        <v>217</v>
      </c>
      <c r="D5650" t="s">
        <v>7</v>
      </c>
      <c r="E5650" s="2" t="s">
        <v>12</v>
      </c>
      <c r="F5650">
        <f t="shared" si="88"/>
        <v>430.31100000000004</v>
      </c>
      <c r="G5650" t="s">
        <v>16</v>
      </c>
      <c r="J5650" t="str">
        <f>"03/19/2001 23:45"</f>
        <v>03/19/2001 23:45</v>
      </c>
    </row>
    <row r="5651" spans="1:10" x14ac:dyDescent="0.3">
      <c r="A5651" t="s">
        <v>6</v>
      </c>
      <c r="B5651" t="str">
        <f>"03/20/2001 00:00"</f>
        <v>03/20/2001 00:00</v>
      </c>
      <c r="C5651">
        <v>199</v>
      </c>
      <c r="D5651" t="s">
        <v>7</v>
      </c>
      <c r="E5651" s="2" t="s">
        <v>12</v>
      </c>
      <c r="F5651">
        <f t="shared" si="88"/>
        <v>394.61700000000002</v>
      </c>
      <c r="G5651" t="s">
        <v>16</v>
      </c>
      <c r="J5651" t="str">
        <f>"03/20/2001 23:45"</f>
        <v>03/20/2001 23:45</v>
      </c>
    </row>
    <row r="5652" spans="1:10" x14ac:dyDescent="0.3">
      <c r="A5652" t="s">
        <v>6</v>
      </c>
      <c r="B5652" t="str">
        <f>"03/21/2001 00:00"</f>
        <v>03/21/2001 00:00</v>
      </c>
      <c r="C5652">
        <v>199</v>
      </c>
      <c r="D5652" t="s">
        <v>7</v>
      </c>
      <c r="E5652" s="2" t="s">
        <v>12</v>
      </c>
      <c r="F5652">
        <f t="shared" si="88"/>
        <v>394.61700000000002</v>
      </c>
      <c r="G5652" t="s">
        <v>16</v>
      </c>
      <c r="J5652" t="str">
        <f>"03/21/2001 23:45"</f>
        <v>03/21/2001 23:45</v>
      </c>
    </row>
    <row r="5653" spans="1:10" x14ac:dyDescent="0.3">
      <c r="A5653" t="s">
        <v>6</v>
      </c>
      <c r="B5653" t="str">
        <f>"03/22/2001 00:00"</f>
        <v>03/22/2001 00:00</v>
      </c>
      <c r="C5653">
        <v>199</v>
      </c>
      <c r="D5653" t="s">
        <v>7</v>
      </c>
      <c r="E5653" s="2" t="s">
        <v>12</v>
      </c>
      <c r="F5653">
        <f t="shared" si="88"/>
        <v>394.61700000000002</v>
      </c>
      <c r="G5653" t="s">
        <v>16</v>
      </c>
      <c r="J5653" t="str">
        <f>"03/22/2001 23:45"</f>
        <v>03/22/2001 23:45</v>
      </c>
    </row>
    <row r="5654" spans="1:10" x14ac:dyDescent="0.3">
      <c r="A5654" t="s">
        <v>6</v>
      </c>
      <c r="B5654" t="str">
        <f>"03/23/2001 00:00"</f>
        <v>03/23/2001 00:00</v>
      </c>
      <c r="C5654">
        <v>200</v>
      </c>
      <c r="D5654" t="s">
        <v>7</v>
      </c>
      <c r="E5654" s="2" t="s">
        <v>12</v>
      </c>
      <c r="F5654">
        <f t="shared" si="88"/>
        <v>396.6</v>
      </c>
      <c r="G5654" t="s">
        <v>16</v>
      </c>
      <c r="J5654" t="str">
        <f>"03/23/2001 23:45"</f>
        <v>03/23/2001 23:45</v>
      </c>
    </row>
    <row r="5655" spans="1:10" x14ac:dyDescent="0.3">
      <c r="A5655" t="s">
        <v>6</v>
      </c>
      <c r="B5655" t="str">
        <f>"03/24/2001 00:00"</f>
        <v>03/24/2001 00:00</v>
      </c>
      <c r="C5655">
        <v>200</v>
      </c>
      <c r="D5655" t="s">
        <v>7</v>
      </c>
      <c r="E5655" s="2" t="s">
        <v>12</v>
      </c>
      <c r="F5655">
        <f t="shared" si="88"/>
        <v>396.6</v>
      </c>
      <c r="G5655" t="s">
        <v>16</v>
      </c>
      <c r="J5655" t="str">
        <f>"03/24/2001 23:45"</f>
        <v>03/24/2001 23:45</v>
      </c>
    </row>
    <row r="5656" spans="1:10" x14ac:dyDescent="0.3">
      <c r="A5656" t="s">
        <v>6</v>
      </c>
      <c r="B5656" t="str">
        <f>"03/25/2001 00:00"</f>
        <v>03/25/2001 00:00</v>
      </c>
      <c r="C5656">
        <v>200</v>
      </c>
      <c r="D5656" t="s">
        <v>7</v>
      </c>
      <c r="E5656" s="2" t="s">
        <v>12</v>
      </c>
      <c r="F5656">
        <f t="shared" si="88"/>
        <v>396.6</v>
      </c>
      <c r="G5656" t="s">
        <v>16</v>
      </c>
      <c r="J5656" t="str">
        <f>"03/25/2001 23:45"</f>
        <v>03/25/2001 23:45</v>
      </c>
    </row>
    <row r="5657" spans="1:10" x14ac:dyDescent="0.3">
      <c r="A5657" t="s">
        <v>6</v>
      </c>
      <c r="B5657" t="str">
        <f>"03/26/2001 00:00"</f>
        <v>03/26/2001 00:00</v>
      </c>
      <c r="C5657">
        <v>171</v>
      </c>
      <c r="D5657" t="s">
        <v>7</v>
      </c>
      <c r="E5657" s="2" t="s">
        <v>12</v>
      </c>
      <c r="F5657">
        <f t="shared" si="88"/>
        <v>339.09300000000002</v>
      </c>
      <c r="G5657" t="s">
        <v>16</v>
      </c>
      <c r="J5657" t="str">
        <f>"03/26/2001 23:45"</f>
        <v>03/26/2001 23:45</v>
      </c>
    </row>
    <row r="5658" spans="1:10" x14ac:dyDescent="0.3">
      <c r="A5658" t="s">
        <v>6</v>
      </c>
      <c r="B5658" t="str">
        <f>"03/27/2001 00:00"</f>
        <v>03/27/2001 00:00</v>
      </c>
      <c r="C5658">
        <v>148</v>
      </c>
      <c r="D5658" t="s">
        <v>7</v>
      </c>
      <c r="E5658" s="2" t="s">
        <v>12</v>
      </c>
      <c r="F5658">
        <f t="shared" si="88"/>
        <v>293.48400000000004</v>
      </c>
      <c r="G5658" t="s">
        <v>16</v>
      </c>
      <c r="J5658" t="str">
        <f>"03/27/2001 23:45"</f>
        <v>03/27/2001 23:45</v>
      </c>
    </row>
    <row r="5659" spans="1:10" x14ac:dyDescent="0.3">
      <c r="A5659" t="s">
        <v>6</v>
      </c>
      <c r="B5659" t="str">
        <f>"03/28/2001 00:00"</f>
        <v>03/28/2001 00:00</v>
      </c>
      <c r="C5659">
        <v>148</v>
      </c>
      <c r="D5659" t="s">
        <v>7</v>
      </c>
      <c r="E5659" s="2" t="s">
        <v>12</v>
      </c>
      <c r="F5659">
        <f t="shared" si="88"/>
        <v>293.48400000000004</v>
      </c>
      <c r="G5659" t="s">
        <v>16</v>
      </c>
      <c r="J5659" t="str">
        <f>"03/28/2001 23:45"</f>
        <v>03/28/2001 23:45</v>
      </c>
    </row>
    <row r="5660" spans="1:10" x14ac:dyDescent="0.3">
      <c r="A5660" t="s">
        <v>6</v>
      </c>
      <c r="B5660" t="str">
        <f>"03/29/2001 00:00"</f>
        <v>03/29/2001 00:00</v>
      </c>
      <c r="C5660">
        <v>149</v>
      </c>
      <c r="D5660" t="s">
        <v>7</v>
      </c>
      <c r="E5660" s="2" t="s">
        <v>12</v>
      </c>
      <c r="F5660">
        <f t="shared" si="88"/>
        <v>295.46700000000004</v>
      </c>
      <c r="G5660" t="s">
        <v>16</v>
      </c>
      <c r="J5660" t="str">
        <f>"03/29/2001 23:45"</f>
        <v>03/29/2001 23:45</v>
      </c>
    </row>
    <row r="5661" spans="1:10" x14ac:dyDescent="0.3">
      <c r="A5661" t="s">
        <v>6</v>
      </c>
      <c r="B5661" t="str">
        <f>"03/30/2001 00:00"</f>
        <v>03/30/2001 00:00</v>
      </c>
      <c r="C5661">
        <v>149</v>
      </c>
      <c r="D5661" t="s">
        <v>7</v>
      </c>
      <c r="E5661" s="2" t="s">
        <v>12</v>
      </c>
      <c r="F5661">
        <f t="shared" si="88"/>
        <v>295.46700000000004</v>
      </c>
      <c r="G5661" t="s">
        <v>16</v>
      </c>
      <c r="J5661" t="str">
        <f>"03/30/2001 23:45"</f>
        <v>03/30/2001 23:45</v>
      </c>
    </row>
    <row r="5662" spans="1:10" x14ac:dyDescent="0.3">
      <c r="A5662" t="s">
        <v>6</v>
      </c>
      <c r="B5662" t="str">
        <f>"03/31/2001 00:00"</f>
        <v>03/31/2001 00:00</v>
      </c>
      <c r="C5662">
        <v>149</v>
      </c>
      <c r="D5662" t="s">
        <v>7</v>
      </c>
      <c r="E5662" s="2" t="s">
        <v>12</v>
      </c>
      <c r="F5662">
        <f t="shared" si="88"/>
        <v>295.46700000000004</v>
      </c>
      <c r="G5662" t="s">
        <v>16</v>
      </c>
      <c r="J5662" t="str">
        <f>"03/31/2001 23:45"</f>
        <v>03/31/2001 23:45</v>
      </c>
    </row>
    <row r="5663" spans="1:10" x14ac:dyDescent="0.3">
      <c r="A5663" t="s">
        <v>6</v>
      </c>
      <c r="B5663" t="str">
        <f>"04/01/2001 00:00"</f>
        <v>04/01/2001 00:00</v>
      </c>
      <c r="C5663">
        <v>151</v>
      </c>
      <c r="D5663" t="s">
        <v>7</v>
      </c>
      <c r="E5663" s="2" t="s">
        <v>12</v>
      </c>
      <c r="F5663">
        <f t="shared" si="88"/>
        <v>299.43299999999999</v>
      </c>
      <c r="G5663" t="s">
        <v>16</v>
      </c>
      <c r="J5663" t="str">
        <f>"04/01/2001 23:45"</f>
        <v>04/01/2001 23:45</v>
      </c>
    </row>
    <row r="5664" spans="1:10" x14ac:dyDescent="0.3">
      <c r="A5664" t="s">
        <v>6</v>
      </c>
      <c r="B5664" t="str">
        <f>"04/02/2001 00:00"</f>
        <v>04/02/2001 00:00</v>
      </c>
      <c r="C5664">
        <v>151</v>
      </c>
      <c r="D5664" t="s">
        <v>7</v>
      </c>
      <c r="E5664" s="2" t="s">
        <v>12</v>
      </c>
      <c r="F5664">
        <f t="shared" si="88"/>
        <v>299.43299999999999</v>
      </c>
      <c r="G5664" t="s">
        <v>16</v>
      </c>
      <c r="J5664" t="str">
        <f>"04/02/2001 23:45"</f>
        <v>04/02/2001 23:45</v>
      </c>
    </row>
    <row r="5665" spans="1:10" x14ac:dyDescent="0.3">
      <c r="A5665" t="s">
        <v>6</v>
      </c>
      <c r="B5665" t="str">
        <f>"04/03/2001 00:00"</f>
        <v>04/03/2001 00:00</v>
      </c>
      <c r="C5665">
        <v>164</v>
      </c>
      <c r="D5665" t="s">
        <v>7</v>
      </c>
      <c r="E5665" s="2" t="s">
        <v>12</v>
      </c>
      <c r="F5665">
        <f t="shared" si="88"/>
        <v>325.21199999999999</v>
      </c>
      <c r="G5665" t="s">
        <v>16</v>
      </c>
      <c r="J5665" t="str">
        <f>"04/03/2001 23:45"</f>
        <v>04/03/2001 23:45</v>
      </c>
    </row>
    <row r="5666" spans="1:10" x14ac:dyDescent="0.3">
      <c r="A5666" t="s">
        <v>6</v>
      </c>
      <c r="B5666" t="str">
        <f>"04/04/2001 00:00"</f>
        <v>04/04/2001 00:00</v>
      </c>
      <c r="C5666">
        <v>227</v>
      </c>
      <c r="D5666" t="s">
        <v>7</v>
      </c>
      <c r="E5666" s="2" t="s">
        <v>12</v>
      </c>
      <c r="F5666">
        <f t="shared" si="88"/>
        <v>450.14100000000002</v>
      </c>
      <c r="G5666" t="s">
        <v>16</v>
      </c>
      <c r="J5666" t="str">
        <f>"04/04/2001 23:45"</f>
        <v>04/04/2001 23:45</v>
      </c>
    </row>
    <row r="5667" spans="1:10" x14ac:dyDescent="0.3">
      <c r="A5667" t="s">
        <v>6</v>
      </c>
      <c r="B5667" t="str">
        <f>"04/05/2001 00:00"</f>
        <v>04/05/2001 00:00</v>
      </c>
      <c r="C5667">
        <v>247</v>
      </c>
      <c r="D5667" t="s">
        <v>7</v>
      </c>
      <c r="E5667" s="2" t="s">
        <v>12</v>
      </c>
      <c r="F5667">
        <f t="shared" si="88"/>
        <v>489.80100000000004</v>
      </c>
      <c r="G5667" t="s">
        <v>16</v>
      </c>
      <c r="J5667" t="str">
        <f>"04/05/2001 23:45"</f>
        <v>04/05/2001 23:45</v>
      </c>
    </row>
    <row r="5668" spans="1:10" x14ac:dyDescent="0.3">
      <c r="A5668" t="s">
        <v>6</v>
      </c>
      <c r="B5668" t="str">
        <f>"04/06/2001 00:00"</f>
        <v>04/06/2001 00:00</v>
      </c>
      <c r="C5668">
        <v>246</v>
      </c>
      <c r="D5668" t="s">
        <v>7</v>
      </c>
      <c r="E5668" s="2" t="s">
        <v>12</v>
      </c>
      <c r="F5668">
        <f t="shared" si="88"/>
        <v>487.81800000000004</v>
      </c>
      <c r="G5668" t="s">
        <v>16</v>
      </c>
      <c r="J5668" t="str">
        <f>"04/06/2001 23:45"</f>
        <v>04/06/2001 23:45</v>
      </c>
    </row>
    <row r="5669" spans="1:10" x14ac:dyDescent="0.3">
      <c r="A5669" t="s">
        <v>6</v>
      </c>
      <c r="B5669" t="str">
        <f>"04/07/2001 00:00"</f>
        <v>04/07/2001 00:00</v>
      </c>
      <c r="C5669">
        <v>246</v>
      </c>
      <c r="D5669" t="s">
        <v>7</v>
      </c>
      <c r="E5669" s="2" t="s">
        <v>12</v>
      </c>
      <c r="F5669">
        <f t="shared" si="88"/>
        <v>487.81800000000004</v>
      </c>
      <c r="G5669" t="s">
        <v>16</v>
      </c>
      <c r="J5669" t="str">
        <f>"04/07/2001 23:45"</f>
        <v>04/07/2001 23:45</v>
      </c>
    </row>
    <row r="5670" spans="1:10" x14ac:dyDescent="0.3">
      <c r="A5670" t="s">
        <v>6</v>
      </c>
      <c r="B5670" t="str">
        <f>"04/08/2001 00:00"</f>
        <v>04/08/2001 00:00</v>
      </c>
      <c r="C5670">
        <v>246</v>
      </c>
      <c r="D5670" t="s">
        <v>7</v>
      </c>
      <c r="E5670" s="2" t="s">
        <v>12</v>
      </c>
      <c r="F5670">
        <f t="shared" si="88"/>
        <v>487.81800000000004</v>
      </c>
      <c r="G5670" t="s">
        <v>16</v>
      </c>
      <c r="J5670" t="str">
        <f>"04/08/2001 23:45"</f>
        <v>04/08/2001 23:45</v>
      </c>
    </row>
    <row r="5671" spans="1:10" x14ac:dyDescent="0.3">
      <c r="A5671" t="s">
        <v>6</v>
      </c>
      <c r="B5671" t="str">
        <f>"04/09/2001 00:00"</f>
        <v>04/09/2001 00:00</v>
      </c>
      <c r="C5671">
        <v>250</v>
      </c>
      <c r="D5671" t="s">
        <v>7</v>
      </c>
      <c r="E5671" s="2" t="s">
        <v>12</v>
      </c>
      <c r="F5671">
        <f t="shared" si="88"/>
        <v>495.75</v>
      </c>
      <c r="G5671" t="s">
        <v>16</v>
      </c>
      <c r="J5671" t="str">
        <f>"04/09/2001 23:45"</f>
        <v>04/09/2001 23:45</v>
      </c>
    </row>
    <row r="5672" spans="1:10" x14ac:dyDescent="0.3">
      <c r="A5672" t="s">
        <v>6</v>
      </c>
      <c r="B5672" t="str">
        <f>"04/10/2001 00:00"</f>
        <v>04/10/2001 00:00</v>
      </c>
      <c r="C5672">
        <v>247</v>
      </c>
      <c r="D5672" t="s">
        <v>7</v>
      </c>
      <c r="E5672" s="2" t="s">
        <v>12</v>
      </c>
      <c r="F5672">
        <f t="shared" si="88"/>
        <v>489.80100000000004</v>
      </c>
      <c r="G5672" t="s">
        <v>16</v>
      </c>
      <c r="J5672" t="str">
        <f>"04/10/2001 23:45"</f>
        <v>04/10/2001 23:45</v>
      </c>
    </row>
    <row r="5673" spans="1:10" x14ac:dyDescent="0.3">
      <c r="A5673" t="s">
        <v>6</v>
      </c>
      <c r="B5673" t="str">
        <f>"04/11/2001 00:00"</f>
        <v>04/11/2001 00:00</v>
      </c>
      <c r="C5673">
        <v>197</v>
      </c>
      <c r="D5673" t="s">
        <v>7</v>
      </c>
      <c r="E5673" s="2" t="s">
        <v>12</v>
      </c>
      <c r="F5673">
        <f t="shared" si="88"/>
        <v>390.65100000000001</v>
      </c>
      <c r="G5673" t="s">
        <v>16</v>
      </c>
      <c r="J5673" t="str">
        <f>"04/11/2001 23:45"</f>
        <v>04/11/2001 23:45</v>
      </c>
    </row>
    <row r="5674" spans="1:10" x14ac:dyDescent="0.3">
      <c r="A5674" t="s">
        <v>6</v>
      </c>
      <c r="B5674" t="str">
        <f>"04/12/2001 00:00"</f>
        <v>04/12/2001 00:00</v>
      </c>
      <c r="C5674">
        <v>164</v>
      </c>
      <c r="D5674" t="s">
        <v>7</v>
      </c>
      <c r="E5674" s="2" t="s">
        <v>12</v>
      </c>
      <c r="F5674">
        <f t="shared" si="88"/>
        <v>325.21199999999999</v>
      </c>
      <c r="G5674" t="s">
        <v>16</v>
      </c>
      <c r="J5674" t="str">
        <f>"04/12/2001 23:45"</f>
        <v>04/12/2001 23:45</v>
      </c>
    </row>
    <row r="5675" spans="1:10" x14ac:dyDescent="0.3">
      <c r="A5675" t="s">
        <v>6</v>
      </c>
      <c r="B5675" t="str">
        <f>"04/13/2001 00:00"</f>
        <v>04/13/2001 00:00</v>
      </c>
      <c r="C5675">
        <v>164</v>
      </c>
      <c r="D5675" t="s">
        <v>7</v>
      </c>
      <c r="E5675" s="2" t="s">
        <v>12</v>
      </c>
      <c r="F5675">
        <f t="shared" si="88"/>
        <v>325.21199999999999</v>
      </c>
      <c r="G5675" t="s">
        <v>16</v>
      </c>
      <c r="J5675" t="str">
        <f>"04/13/2001 23:45"</f>
        <v>04/13/2001 23:45</v>
      </c>
    </row>
    <row r="5676" spans="1:10" x14ac:dyDescent="0.3">
      <c r="A5676" t="s">
        <v>6</v>
      </c>
      <c r="B5676" t="str">
        <f>"04/14/2001 00:00"</f>
        <v>04/14/2001 00:00</v>
      </c>
      <c r="C5676">
        <v>163</v>
      </c>
      <c r="D5676" t="s">
        <v>7</v>
      </c>
      <c r="E5676" s="2" t="s">
        <v>12</v>
      </c>
      <c r="F5676">
        <f t="shared" si="88"/>
        <v>323.22900000000004</v>
      </c>
      <c r="G5676" t="s">
        <v>16</v>
      </c>
      <c r="J5676" t="str">
        <f>"04/14/2001 23:45"</f>
        <v>04/14/2001 23:45</v>
      </c>
    </row>
    <row r="5677" spans="1:10" x14ac:dyDescent="0.3">
      <c r="A5677" t="s">
        <v>6</v>
      </c>
      <c r="B5677" t="str">
        <f>"04/15/2001 00:00"</f>
        <v>04/15/2001 00:00</v>
      </c>
      <c r="C5677">
        <v>208</v>
      </c>
      <c r="D5677" t="s">
        <v>7</v>
      </c>
      <c r="E5677" s="2" t="s">
        <v>12</v>
      </c>
      <c r="F5677">
        <f t="shared" si="88"/>
        <v>412.464</v>
      </c>
      <c r="G5677" t="s">
        <v>16</v>
      </c>
      <c r="J5677" t="str">
        <f>"04/15/2001 23:45"</f>
        <v>04/15/2001 23:45</v>
      </c>
    </row>
    <row r="5678" spans="1:10" x14ac:dyDescent="0.3">
      <c r="A5678" t="s">
        <v>6</v>
      </c>
      <c r="B5678" t="str">
        <f>"04/16/2001 00:00"</f>
        <v>04/16/2001 00:00</v>
      </c>
      <c r="C5678">
        <v>250</v>
      </c>
      <c r="D5678" t="s">
        <v>7</v>
      </c>
      <c r="E5678" s="2" t="s">
        <v>12</v>
      </c>
      <c r="F5678">
        <f t="shared" si="88"/>
        <v>495.75</v>
      </c>
      <c r="G5678" t="s">
        <v>16</v>
      </c>
      <c r="J5678" t="str">
        <f>"04/16/2001 23:45"</f>
        <v>04/16/2001 23:45</v>
      </c>
    </row>
    <row r="5679" spans="1:10" x14ac:dyDescent="0.3">
      <c r="A5679" t="s">
        <v>6</v>
      </c>
      <c r="B5679" t="str">
        <f>"04/17/2001 00:00"</f>
        <v>04/17/2001 00:00</v>
      </c>
      <c r="C5679">
        <v>250</v>
      </c>
      <c r="D5679" t="s">
        <v>7</v>
      </c>
      <c r="E5679" s="2" t="s">
        <v>12</v>
      </c>
      <c r="F5679">
        <f t="shared" si="88"/>
        <v>495.75</v>
      </c>
      <c r="G5679" t="s">
        <v>16</v>
      </c>
      <c r="J5679" t="str">
        <f>"04/17/2001 23:45"</f>
        <v>04/17/2001 23:45</v>
      </c>
    </row>
    <row r="5680" spans="1:10" x14ac:dyDescent="0.3">
      <c r="A5680" t="s">
        <v>6</v>
      </c>
      <c r="B5680" t="str">
        <f>"04/18/2001 00:00"</f>
        <v>04/18/2001 00:00</v>
      </c>
      <c r="C5680">
        <v>250</v>
      </c>
      <c r="D5680" t="s">
        <v>7</v>
      </c>
      <c r="E5680" s="2" t="s">
        <v>12</v>
      </c>
      <c r="F5680">
        <f t="shared" si="88"/>
        <v>495.75</v>
      </c>
      <c r="G5680" t="s">
        <v>16</v>
      </c>
      <c r="J5680" t="str">
        <f>"04/18/2001 23:45"</f>
        <v>04/18/2001 23:45</v>
      </c>
    </row>
    <row r="5681" spans="1:10" x14ac:dyDescent="0.3">
      <c r="A5681" t="s">
        <v>6</v>
      </c>
      <c r="B5681" t="str">
        <f>"04/19/2001 00:00"</f>
        <v>04/19/2001 00:00</v>
      </c>
      <c r="C5681">
        <v>250</v>
      </c>
      <c r="D5681" t="s">
        <v>7</v>
      </c>
      <c r="E5681" s="2" t="s">
        <v>12</v>
      </c>
      <c r="F5681">
        <f t="shared" si="88"/>
        <v>495.75</v>
      </c>
      <c r="G5681" t="s">
        <v>16</v>
      </c>
      <c r="J5681" t="str">
        <f>"04/19/2001 23:45"</f>
        <v>04/19/2001 23:45</v>
      </c>
    </row>
    <row r="5682" spans="1:10" x14ac:dyDescent="0.3">
      <c r="A5682" t="s">
        <v>6</v>
      </c>
      <c r="B5682" t="str">
        <f>"04/20/2001 00:00"</f>
        <v>04/20/2001 00:00</v>
      </c>
      <c r="C5682">
        <v>250</v>
      </c>
      <c r="D5682" t="s">
        <v>7</v>
      </c>
      <c r="E5682" s="2" t="s">
        <v>12</v>
      </c>
      <c r="F5682">
        <f t="shared" si="88"/>
        <v>495.75</v>
      </c>
      <c r="G5682" t="s">
        <v>16</v>
      </c>
      <c r="J5682" t="str">
        <f>"04/20/2001 23:45"</f>
        <v>04/20/2001 23:45</v>
      </c>
    </row>
    <row r="5683" spans="1:10" x14ac:dyDescent="0.3">
      <c r="A5683" t="s">
        <v>6</v>
      </c>
      <c r="B5683" t="str">
        <f>"04/21/2001 00:00"</f>
        <v>04/21/2001 00:00</v>
      </c>
      <c r="C5683">
        <v>250</v>
      </c>
      <c r="D5683" t="s">
        <v>7</v>
      </c>
      <c r="E5683" s="2" t="s">
        <v>12</v>
      </c>
      <c r="F5683">
        <f t="shared" si="88"/>
        <v>495.75</v>
      </c>
      <c r="G5683" t="s">
        <v>16</v>
      </c>
      <c r="J5683" t="str">
        <f>"04/21/2001 23:45"</f>
        <v>04/21/2001 23:45</v>
      </c>
    </row>
    <row r="5684" spans="1:10" x14ac:dyDescent="0.3">
      <c r="A5684" t="s">
        <v>6</v>
      </c>
      <c r="B5684" t="str">
        <f>"04/22/2001 00:00"</f>
        <v>04/22/2001 00:00</v>
      </c>
      <c r="C5684">
        <v>178</v>
      </c>
      <c r="D5684" t="s">
        <v>7</v>
      </c>
      <c r="E5684" s="2" t="s">
        <v>12</v>
      </c>
      <c r="F5684">
        <f t="shared" si="88"/>
        <v>352.97399999999999</v>
      </c>
      <c r="G5684" t="s">
        <v>16</v>
      </c>
      <c r="J5684" t="str">
        <f>"04/22/2001 23:45"</f>
        <v>04/22/2001 23:45</v>
      </c>
    </row>
    <row r="5685" spans="1:10" x14ac:dyDescent="0.3">
      <c r="A5685" t="s">
        <v>6</v>
      </c>
      <c r="B5685" t="str">
        <f>"04/23/2001 00:00"</f>
        <v>04/23/2001 00:00</v>
      </c>
      <c r="C5685">
        <v>99.8</v>
      </c>
      <c r="D5685" t="s">
        <v>7</v>
      </c>
      <c r="E5685" s="2" t="s">
        <v>12</v>
      </c>
      <c r="F5685">
        <f t="shared" si="88"/>
        <v>197.9034</v>
      </c>
      <c r="G5685" t="s">
        <v>16</v>
      </c>
      <c r="J5685" t="str">
        <f>"04/23/2001 23:45"</f>
        <v>04/23/2001 23:45</v>
      </c>
    </row>
    <row r="5686" spans="1:10" x14ac:dyDescent="0.3">
      <c r="A5686" t="s">
        <v>6</v>
      </c>
      <c r="B5686" t="str">
        <f>"04/24/2001 00:00"</f>
        <v>04/24/2001 00:00</v>
      </c>
      <c r="C5686">
        <v>101</v>
      </c>
      <c r="D5686" t="s">
        <v>7</v>
      </c>
      <c r="E5686" s="2" t="s">
        <v>12</v>
      </c>
      <c r="F5686">
        <f t="shared" si="88"/>
        <v>200.28300000000002</v>
      </c>
      <c r="G5686" t="s">
        <v>16</v>
      </c>
      <c r="J5686" t="str">
        <f>"04/24/2001 23:45"</f>
        <v>04/24/2001 23:45</v>
      </c>
    </row>
    <row r="5687" spans="1:10" x14ac:dyDescent="0.3">
      <c r="A5687" t="s">
        <v>6</v>
      </c>
      <c r="B5687" t="str">
        <f>"04/25/2001 00:00"</f>
        <v>04/25/2001 00:00</v>
      </c>
      <c r="C5687">
        <v>101</v>
      </c>
      <c r="D5687" t="s">
        <v>7</v>
      </c>
      <c r="E5687" s="2" t="s">
        <v>12</v>
      </c>
      <c r="F5687">
        <f t="shared" si="88"/>
        <v>200.28300000000002</v>
      </c>
      <c r="G5687" t="s">
        <v>16</v>
      </c>
      <c r="J5687" t="str">
        <f>"04/25/2001 23:45"</f>
        <v>04/25/2001 23:45</v>
      </c>
    </row>
    <row r="5688" spans="1:10" x14ac:dyDescent="0.3">
      <c r="A5688" t="s">
        <v>6</v>
      </c>
      <c r="B5688" t="str">
        <f>"04/26/2001 00:00"</f>
        <v>04/26/2001 00:00</v>
      </c>
      <c r="C5688">
        <v>160</v>
      </c>
      <c r="D5688" t="s">
        <v>7</v>
      </c>
      <c r="E5688" s="2" t="s">
        <v>12</v>
      </c>
      <c r="F5688">
        <f t="shared" si="88"/>
        <v>317.28000000000003</v>
      </c>
      <c r="G5688" t="s">
        <v>16</v>
      </c>
      <c r="J5688" t="str">
        <f>"04/26/2001 23:45"</f>
        <v>04/26/2001 23:45</v>
      </c>
    </row>
    <row r="5689" spans="1:10" x14ac:dyDescent="0.3">
      <c r="A5689" t="s">
        <v>6</v>
      </c>
      <c r="B5689" t="str">
        <f>"04/27/2001 00:00"</f>
        <v>04/27/2001 00:00</v>
      </c>
      <c r="C5689">
        <v>226</v>
      </c>
      <c r="D5689" t="s">
        <v>7</v>
      </c>
      <c r="E5689" s="2" t="s">
        <v>12</v>
      </c>
      <c r="F5689">
        <f t="shared" si="88"/>
        <v>448.15800000000002</v>
      </c>
      <c r="G5689" t="s">
        <v>16</v>
      </c>
      <c r="J5689" t="str">
        <f>"04/27/2001 23:45"</f>
        <v>04/27/2001 23:45</v>
      </c>
    </row>
    <row r="5690" spans="1:10" x14ac:dyDescent="0.3">
      <c r="A5690" t="s">
        <v>6</v>
      </c>
      <c r="B5690" t="str">
        <f>"04/28/2001 00:00"</f>
        <v>04/28/2001 00:00</v>
      </c>
      <c r="C5690">
        <v>237</v>
      </c>
      <c r="D5690" t="s">
        <v>7</v>
      </c>
      <c r="E5690" s="2" t="s">
        <v>12</v>
      </c>
      <c r="F5690">
        <f t="shared" si="88"/>
        <v>469.971</v>
      </c>
      <c r="G5690" t="s">
        <v>16</v>
      </c>
      <c r="J5690" t="str">
        <f>"04/28/2001 23:45"</f>
        <v>04/28/2001 23:45</v>
      </c>
    </row>
    <row r="5691" spans="1:10" x14ac:dyDescent="0.3">
      <c r="A5691" t="s">
        <v>6</v>
      </c>
      <c r="B5691" t="str">
        <f>"04/29/2001 00:00"</f>
        <v>04/29/2001 00:00</v>
      </c>
      <c r="C5691">
        <v>244</v>
      </c>
      <c r="D5691" t="s">
        <v>7</v>
      </c>
      <c r="E5691" s="2" t="s">
        <v>12</v>
      </c>
      <c r="F5691">
        <f t="shared" si="88"/>
        <v>483.85200000000003</v>
      </c>
      <c r="G5691" t="s">
        <v>16</v>
      </c>
      <c r="J5691" t="str">
        <f>"04/29/2001 23:45"</f>
        <v>04/29/2001 23:45</v>
      </c>
    </row>
    <row r="5692" spans="1:10" x14ac:dyDescent="0.3">
      <c r="A5692" t="s">
        <v>6</v>
      </c>
      <c r="B5692" t="str">
        <f>"04/30/2001 00:00"</f>
        <v>04/30/2001 00:00</v>
      </c>
      <c r="C5692">
        <v>244</v>
      </c>
      <c r="D5692" t="s">
        <v>7</v>
      </c>
      <c r="E5692" s="2" t="s">
        <v>12</v>
      </c>
      <c r="F5692">
        <f t="shared" si="88"/>
        <v>483.85200000000003</v>
      </c>
      <c r="G5692" t="s">
        <v>16</v>
      </c>
      <c r="J5692" t="str">
        <f>"04/30/2001 23:45"</f>
        <v>04/30/2001 23:45</v>
      </c>
    </row>
    <row r="5693" spans="1:10" x14ac:dyDescent="0.3">
      <c r="A5693" t="s">
        <v>6</v>
      </c>
      <c r="B5693" t="str">
        <f>"05/01/2001 00:00"</f>
        <v>05/01/2001 00:00</v>
      </c>
      <c r="C5693">
        <v>217</v>
      </c>
      <c r="D5693" t="s">
        <v>7</v>
      </c>
      <c r="E5693" s="2" t="s">
        <v>12</v>
      </c>
      <c r="F5693">
        <f t="shared" si="88"/>
        <v>430.31100000000004</v>
      </c>
      <c r="G5693" t="s">
        <v>16</v>
      </c>
      <c r="J5693" t="str">
        <f>"05/01/2001 23:45"</f>
        <v>05/01/2001 23:45</v>
      </c>
    </row>
    <row r="5694" spans="1:10" x14ac:dyDescent="0.3">
      <c r="A5694" t="s">
        <v>6</v>
      </c>
      <c r="B5694" t="str">
        <f>"05/02/2001 00:00"</f>
        <v>05/02/2001 00:00</v>
      </c>
      <c r="C5694">
        <v>145</v>
      </c>
      <c r="D5694" t="s">
        <v>7</v>
      </c>
      <c r="E5694" s="2" t="s">
        <v>12</v>
      </c>
      <c r="F5694">
        <f t="shared" si="88"/>
        <v>287.53500000000003</v>
      </c>
      <c r="G5694" t="s">
        <v>16</v>
      </c>
      <c r="J5694" t="str">
        <f>"05/02/2001 23:45"</f>
        <v>05/02/2001 23:45</v>
      </c>
    </row>
    <row r="5695" spans="1:10" x14ac:dyDescent="0.3">
      <c r="A5695" t="s">
        <v>6</v>
      </c>
      <c r="B5695" t="str">
        <f>"05/03/2001 00:00"</f>
        <v>05/03/2001 00:00</v>
      </c>
      <c r="C5695">
        <v>68.599999999999994</v>
      </c>
      <c r="D5695" t="s">
        <v>7</v>
      </c>
      <c r="E5695" s="2" t="s">
        <v>12</v>
      </c>
      <c r="F5695">
        <f t="shared" si="88"/>
        <v>136.03379999999999</v>
      </c>
      <c r="G5695" t="s">
        <v>16</v>
      </c>
      <c r="J5695" t="str">
        <f>"05/03/2001 23:45"</f>
        <v>05/03/2001 23:45</v>
      </c>
    </row>
    <row r="5696" spans="1:10" x14ac:dyDescent="0.3">
      <c r="A5696" t="s">
        <v>6</v>
      </c>
      <c r="B5696" t="str">
        <f>"05/04/2001 00:00"</f>
        <v>05/04/2001 00:00</v>
      </c>
      <c r="C5696">
        <v>52.3</v>
      </c>
      <c r="D5696" t="s">
        <v>7</v>
      </c>
      <c r="E5696" s="2" t="s">
        <v>12</v>
      </c>
      <c r="F5696">
        <f t="shared" si="88"/>
        <v>103.7109</v>
      </c>
      <c r="G5696" t="s">
        <v>16</v>
      </c>
      <c r="J5696" t="str">
        <f>"05/04/2001 23:45"</f>
        <v>05/04/2001 23:45</v>
      </c>
    </row>
    <row r="5697" spans="1:10" x14ac:dyDescent="0.3">
      <c r="A5697" t="s">
        <v>6</v>
      </c>
      <c r="B5697" t="str">
        <f>"05/05/2001 00:00"</f>
        <v>05/05/2001 00:00</v>
      </c>
      <c r="C5697">
        <v>23.1</v>
      </c>
      <c r="D5697" t="s">
        <v>7</v>
      </c>
      <c r="E5697" s="2" t="s">
        <v>12</v>
      </c>
      <c r="F5697">
        <f t="shared" si="88"/>
        <v>45.807300000000005</v>
      </c>
      <c r="G5697" t="s">
        <v>16</v>
      </c>
      <c r="J5697" t="str">
        <f>"05/05/2001 23:45"</f>
        <v>05/05/2001 23:45</v>
      </c>
    </row>
    <row r="5698" spans="1:10" x14ac:dyDescent="0.3">
      <c r="A5698" t="s">
        <v>6</v>
      </c>
      <c r="B5698" t="str">
        <f>"05/06/2001 00:00"</f>
        <v>05/06/2001 00:00</v>
      </c>
      <c r="C5698">
        <v>3.23</v>
      </c>
      <c r="D5698" t="s">
        <v>7</v>
      </c>
      <c r="E5698" s="2" t="s">
        <v>12</v>
      </c>
      <c r="F5698">
        <f t="shared" si="88"/>
        <v>6.4050900000000004</v>
      </c>
      <c r="G5698" t="s">
        <v>16</v>
      </c>
      <c r="J5698" t="str">
        <f>"05/06/2001 23:45"</f>
        <v>05/06/2001 23:45</v>
      </c>
    </row>
    <row r="5699" spans="1:10" x14ac:dyDescent="0.3">
      <c r="A5699" t="s">
        <v>6</v>
      </c>
      <c r="B5699" t="str">
        <f>"05/07/2001 00:00"</f>
        <v>05/07/2001 00:00</v>
      </c>
      <c r="C5699">
        <v>3.18</v>
      </c>
      <c r="D5699" t="s">
        <v>7</v>
      </c>
      <c r="E5699" s="2" t="s">
        <v>12</v>
      </c>
      <c r="F5699">
        <f t="shared" ref="F5699:F5762" si="89">C5699*1.983</f>
        <v>6.3059400000000005</v>
      </c>
      <c r="G5699" t="s">
        <v>16</v>
      </c>
      <c r="J5699" t="str">
        <f>"05/07/2001 23:45"</f>
        <v>05/07/2001 23:45</v>
      </c>
    </row>
    <row r="5700" spans="1:10" x14ac:dyDescent="0.3">
      <c r="A5700" t="s">
        <v>6</v>
      </c>
      <c r="B5700" t="str">
        <f>"05/08/2001 00:00"</f>
        <v>05/08/2001 00:00</v>
      </c>
      <c r="C5700">
        <v>2.91</v>
      </c>
      <c r="D5700" t="s">
        <v>7</v>
      </c>
      <c r="E5700" s="2" t="s">
        <v>12</v>
      </c>
      <c r="F5700">
        <f t="shared" si="89"/>
        <v>5.7705300000000008</v>
      </c>
      <c r="G5700" t="s">
        <v>16</v>
      </c>
      <c r="J5700" t="str">
        <f>"05/08/2001 23:45"</f>
        <v>05/08/2001 23:45</v>
      </c>
    </row>
    <row r="5701" spans="1:10" x14ac:dyDescent="0.3">
      <c r="A5701" t="s">
        <v>6</v>
      </c>
      <c r="B5701" t="str">
        <f>"05/09/2001 00:00"</f>
        <v>05/09/2001 00:00</v>
      </c>
      <c r="C5701">
        <v>2.91</v>
      </c>
      <c r="D5701" t="s">
        <v>7</v>
      </c>
      <c r="E5701" s="2" t="s">
        <v>12</v>
      </c>
      <c r="F5701">
        <f t="shared" si="89"/>
        <v>5.7705300000000008</v>
      </c>
      <c r="G5701" t="s">
        <v>16</v>
      </c>
      <c r="I5701" t="s">
        <v>8</v>
      </c>
      <c r="J5701" t="str">
        <f>"05/09/2001 23:45"</f>
        <v>05/09/2001 23:45</v>
      </c>
    </row>
    <row r="5702" spans="1:10" x14ac:dyDescent="0.3">
      <c r="A5702" t="s">
        <v>6</v>
      </c>
      <c r="B5702" t="str">
        <f>"05/10/2001 00:00"</f>
        <v>05/10/2001 00:00</v>
      </c>
      <c r="C5702">
        <v>2.84</v>
      </c>
      <c r="D5702" t="s">
        <v>7</v>
      </c>
      <c r="E5702" s="2" t="s">
        <v>12</v>
      </c>
      <c r="F5702">
        <f t="shared" si="89"/>
        <v>5.6317199999999996</v>
      </c>
      <c r="G5702" t="s">
        <v>16</v>
      </c>
      <c r="J5702" t="str">
        <f>"05/10/2001 23:45"</f>
        <v>05/10/2001 23:45</v>
      </c>
    </row>
    <row r="5703" spans="1:10" x14ac:dyDescent="0.3">
      <c r="A5703" t="s">
        <v>6</v>
      </c>
      <c r="B5703" t="str">
        <f>"05/11/2001 00:00"</f>
        <v>05/11/2001 00:00</v>
      </c>
      <c r="C5703">
        <v>2.56</v>
      </c>
      <c r="D5703" t="s">
        <v>7</v>
      </c>
      <c r="E5703" s="2" t="s">
        <v>12</v>
      </c>
      <c r="F5703">
        <f t="shared" si="89"/>
        <v>5.0764800000000001</v>
      </c>
      <c r="G5703" t="s">
        <v>16</v>
      </c>
      <c r="J5703" t="str">
        <f>"05/11/2001 23:45"</f>
        <v>05/11/2001 23:45</v>
      </c>
    </row>
    <row r="5704" spans="1:10" x14ac:dyDescent="0.3">
      <c r="A5704" t="s">
        <v>6</v>
      </c>
      <c r="B5704" t="str">
        <f>"05/12/2001 00:00"</f>
        <v>05/12/2001 00:00</v>
      </c>
      <c r="C5704">
        <v>66</v>
      </c>
      <c r="D5704" t="s">
        <v>7</v>
      </c>
      <c r="E5704" s="2" t="s">
        <v>12</v>
      </c>
      <c r="F5704">
        <f t="shared" si="89"/>
        <v>130.87800000000001</v>
      </c>
      <c r="G5704" t="s">
        <v>16</v>
      </c>
      <c r="J5704" t="str">
        <f>"05/12/2001 23:45"</f>
        <v>05/12/2001 23:45</v>
      </c>
    </row>
    <row r="5705" spans="1:10" x14ac:dyDescent="0.3">
      <c r="A5705" t="s">
        <v>6</v>
      </c>
      <c r="B5705" t="str">
        <f>"05/13/2001 00:00"</f>
        <v>05/13/2001 00:00</v>
      </c>
      <c r="C5705">
        <v>162</v>
      </c>
      <c r="D5705" t="s">
        <v>7</v>
      </c>
      <c r="E5705" s="2" t="s">
        <v>12</v>
      </c>
      <c r="F5705">
        <f t="shared" si="89"/>
        <v>321.24600000000004</v>
      </c>
      <c r="G5705" t="s">
        <v>16</v>
      </c>
      <c r="J5705" t="str">
        <f>"05/13/2001 23:45"</f>
        <v>05/13/2001 23:45</v>
      </c>
    </row>
    <row r="5706" spans="1:10" x14ac:dyDescent="0.3">
      <c r="A5706" t="s">
        <v>6</v>
      </c>
      <c r="B5706" t="str">
        <f>"05/14/2001 00:00"</f>
        <v>05/14/2001 00:00</v>
      </c>
      <c r="C5706">
        <v>199</v>
      </c>
      <c r="D5706" t="s">
        <v>7</v>
      </c>
      <c r="E5706" s="2" t="s">
        <v>12</v>
      </c>
      <c r="F5706">
        <f t="shared" si="89"/>
        <v>394.61700000000002</v>
      </c>
      <c r="G5706" t="s">
        <v>16</v>
      </c>
      <c r="J5706" t="str">
        <f>"05/14/2001 23:45"</f>
        <v>05/14/2001 23:45</v>
      </c>
    </row>
    <row r="5707" spans="1:10" x14ac:dyDescent="0.3">
      <c r="A5707" t="s">
        <v>6</v>
      </c>
      <c r="B5707" t="str">
        <f>"05/15/2001 00:00"</f>
        <v>05/15/2001 00:00</v>
      </c>
      <c r="C5707">
        <v>169</v>
      </c>
      <c r="D5707" t="s">
        <v>7</v>
      </c>
      <c r="E5707" s="2" t="s">
        <v>12</v>
      </c>
      <c r="F5707">
        <f t="shared" si="89"/>
        <v>335.12700000000001</v>
      </c>
      <c r="G5707" t="s">
        <v>16</v>
      </c>
      <c r="J5707" t="str">
        <f>"05/15/2001 23:45"</f>
        <v>05/15/2001 23:45</v>
      </c>
    </row>
    <row r="5708" spans="1:10" x14ac:dyDescent="0.3">
      <c r="A5708" t="s">
        <v>6</v>
      </c>
      <c r="B5708" t="str">
        <f>"05/16/2001 00:00"</f>
        <v>05/16/2001 00:00</v>
      </c>
      <c r="C5708">
        <v>129</v>
      </c>
      <c r="D5708" t="s">
        <v>7</v>
      </c>
      <c r="E5708" s="2" t="s">
        <v>12</v>
      </c>
      <c r="F5708">
        <f t="shared" si="89"/>
        <v>255.80700000000002</v>
      </c>
      <c r="G5708" t="s">
        <v>16</v>
      </c>
      <c r="J5708" t="str">
        <f>"05/16/2001 23:45"</f>
        <v>05/16/2001 23:45</v>
      </c>
    </row>
    <row r="5709" spans="1:10" x14ac:dyDescent="0.3">
      <c r="A5709" t="s">
        <v>6</v>
      </c>
      <c r="B5709" t="str">
        <f>"05/17/2001 00:00"</f>
        <v>05/17/2001 00:00</v>
      </c>
      <c r="C5709">
        <v>99.3</v>
      </c>
      <c r="D5709" t="s">
        <v>7</v>
      </c>
      <c r="E5709" s="2" t="s">
        <v>12</v>
      </c>
      <c r="F5709">
        <f t="shared" si="89"/>
        <v>196.9119</v>
      </c>
      <c r="G5709" t="s">
        <v>16</v>
      </c>
      <c r="J5709" t="str">
        <f>"05/17/2001 23:45"</f>
        <v>05/17/2001 23:45</v>
      </c>
    </row>
    <row r="5710" spans="1:10" x14ac:dyDescent="0.3">
      <c r="A5710" t="s">
        <v>6</v>
      </c>
      <c r="B5710" t="str">
        <f>"05/18/2001 00:00"</f>
        <v>05/18/2001 00:00</v>
      </c>
      <c r="C5710">
        <v>54</v>
      </c>
      <c r="D5710" t="s">
        <v>7</v>
      </c>
      <c r="E5710" s="2" t="s">
        <v>12</v>
      </c>
      <c r="F5710">
        <f t="shared" si="89"/>
        <v>107.08200000000001</v>
      </c>
      <c r="G5710" t="s">
        <v>16</v>
      </c>
      <c r="J5710" t="str">
        <f>"05/18/2001 23:45"</f>
        <v>05/18/2001 23:45</v>
      </c>
    </row>
    <row r="5711" spans="1:10" x14ac:dyDescent="0.3">
      <c r="A5711" t="s">
        <v>6</v>
      </c>
      <c r="B5711" t="str">
        <f>"05/19/2001 00:00"</f>
        <v>05/19/2001 00:00</v>
      </c>
      <c r="C5711">
        <v>4.0199999999999996</v>
      </c>
      <c r="D5711" t="s">
        <v>7</v>
      </c>
      <c r="E5711" s="2" t="s">
        <v>12</v>
      </c>
      <c r="F5711">
        <f t="shared" si="89"/>
        <v>7.97166</v>
      </c>
      <c r="G5711" t="s">
        <v>16</v>
      </c>
      <c r="J5711" t="str">
        <f>"05/19/2001 23:45"</f>
        <v>05/19/2001 23:45</v>
      </c>
    </row>
    <row r="5712" spans="1:10" x14ac:dyDescent="0.3">
      <c r="A5712" t="s">
        <v>6</v>
      </c>
      <c r="B5712" t="str">
        <f>"05/20/2001 00:00"</f>
        <v>05/20/2001 00:00</v>
      </c>
      <c r="C5712">
        <v>3.8</v>
      </c>
      <c r="D5712" t="s">
        <v>7</v>
      </c>
      <c r="E5712" s="2" t="s">
        <v>12</v>
      </c>
      <c r="F5712">
        <f t="shared" si="89"/>
        <v>7.5354000000000001</v>
      </c>
      <c r="G5712" t="s">
        <v>16</v>
      </c>
      <c r="J5712" t="str">
        <f>"05/20/2001 23:45"</f>
        <v>05/20/2001 23:45</v>
      </c>
    </row>
    <row r="5713" spans="1:10" x14ac:dyDescent="0.3">
      <c r="A5713" t="s">
        <v>6</v>
      </c>
      <c r="B5713" t="str">
        <f>"05/21/2001 00:00"</f>
        <v>05/21/2001 00:00</v>
      </c>
      <c r="C5713">
        <v>4.4000000000000004</v>
      </c>
      <c r="D5713" t="s">
        <v>7</v>
      </c>
      <c r="E5713" s="2" t="s">
        <v>12</v>
      </c>
      <c r="F5713">
        <f t="shared" si="89"/>
        <v>8.725200000000001</v>
      </c>
      <c r="G5713" t="s">
        <v>16</v>
      </c>
      <c r="J5713" t="str">
        <f>"05/21/2001 23:45"</f>
        <v>05/21/2001 23:45</v>
      </c>
    </row>
    <row r="5714" spans="1:10" x14ac:dyDescent="0.3">
      <c r="A5714" t="s">
        <v>6</v>
      </c>
      <c r="B5714" t="str">
        <f>"05/22/2001 00:00"</f>
        <v>05/22/2001 00:00</v>
      </c>
      <c r="C5714">
        <v>4.08</v>
      </c>
      <c r="D5714" t="s">
        <v>7</v>
      </c>
      <c r="E5714" s="2" t="s">
        <v>12</v>
      </c>
      <c r="F5714">
        <f t="shared" si="89"/>
        <v>8.0906400000000005</v>
      </c>
      <c r="G5714" t="s">
        <v>16</v>
      </c>
      <c r="J5714" t="str">
        <f>"05/22/2001 23:45"</f>
        <v>05/22/2001 23:45</v>
      </c>
    </row>
    <row r="5715" spans="1:10" x14ac:dyDescent="0.3">
      <c r="A5715" t="s">
        <v>6</v>
      </c>
      <c r="B5715" t="str">
        <f>"05/23/2001 00:00"</f>
        <v>05/23/2001 00:00</v>
      </c>
      <c r="C5715">
        <v>50.9</v>
      </c>
      <c r="D5715" t="s">
        <v>7</v>
      </c>
      <c r="E5715" s="2" t="s">
        <v>12</v>
      </c>
      <c r="F5715">
        <f t="shared" si="89"/>
        <v>100.93470000000001</v>
      </c>
      <c r="G5715" t="s">
        <v>16</v>
      </c>
      <c r="J5715" t="str">
        <f>"05/23/2001 23:45"</f>
        <v>05/23/2001 23:45</v>
      </c>
    </row>
    <row r="5716" spans="1:10" x14ac:dyDescent="0.3">
      <c r="A5716" t="s">
        <v>6</v>
      </c>
      <c r="B5716" t="str">
        <f>"05/24/2001 00:00"</f>
        <v>05/24/2001 00:00</v>
      </c>
      <c r="C5716">
        <v>159</v>
      </c>
      <c r="D5716" t="s">
        <v>7</v>
      </c>
      <c r="E5716" s="2" t="s">
        <v>12</v>
      </c>
      <c r="F5716">
        <f t="shared" si="89"/>
        <v>315.29700000000003</v>
      </c>
      <c r="G5716" t="s">
        <v>16</v>
      </c>
      <c r="J5716" t="str">
        <f>"05/24/2001 23:45"</f>
        <v>05/24/2001 23:45</v>
      </c>
    </row>
    <row r="5717" spans="1:10" x14ac:dyDescent="0.3">
      <c r="A5717" t="s">
        <v>6</v>
      </c>
      <c r="B5717" t="str">
        <f>"05/25/2001 00:00"</f>
        <v>05/25/2001 00:00</v>
      </c>
      <c r="C5717">
        <v>238</v>
      </c>
      <c r="D5717" t="s">
        <v>7</v>
      </c>
      <c r="E5717" s="2" t="s">
        <v>12</v>
      </c>
      <c r="F5717">
        <f t="shared" si="89"/>
        <v>471.95400000000001</v>
      </c>
      <c r="G5717" t="s">
        <v>16</v>
      </c>
      <c r="J5717" t="str">
        <f>"05/25/2001 23:45"</f>
        <v>05/25/2001 23:45</v>
      </c>
    </row>
    <row r="5718" spans="1:10" x14ac:dyDescent="0.3">
      <c r="A5718" t="s">
        <v>6</v>
      </c>
      <c r="B5718" t="str">
        <f>"05/26/2001 00:00"</f>
        <v>05/26/2001 00:00</v>
      </c>
      <c r="C5718">
        <v>298</v>
      </c>
      <c r="D5718" t="s">
        <v>7</v>
      </c>
      <c r="E5718" s="2" t="s">
        <v>12</v>
      </c>
      <c r="F5718">
        <f t="shared" si="89"/>
        <v>590.93400000000008</v>
      </c>
      <c r="G5718" t="s">
        <v>16</v>
      </c>
      <c r="J5718" t="str">
        <f>"05/26/2001 23:45"</f>
        <v>05/26/2001 23:45</v>
      </c>
    </row>
    <row r="5719" spans="1:10" x14ac:dyDescent="0.3">
      <c r="A5719" t="s">
        <v>6</v>
      </c>
      <c r="B5719" t="str">
        <f>"05/27/2001 00:00"</f>
        <v>05/27/2001 00:00</v>
      </c>
      <c r="C5719">
        <v>190</v>
      </c>
      <c r="D5719" t="s">
        <v>7</v>
      </c>
      <c r="E5719" s="2" t="s">
        <v>12</v>
      </c>
      <c r="F5719">
        <f t="shared" si="89"/>
        <v>376.77000000000004</v>
      </c>
      <c r="G5719" t="s">
        <v>16</v>
      </c>
      <c r="J5719" t="str">
        <f>"05/27/2001 23:45"</f>
        <v>05/27/2001 23:45</v>
      </c>
    </row>
    <row r="5720" spans="1:10" x14ac:dyDescent="0.3">
      <c r="A5720" t="s">
        <v>6</v>
      </c>
      <c r="B5720" t="str">
        <f>"05/28/2001 00:00"</f>
        <v>05/28/2001 00:00</v>
      </c>
      <c r="C5720">
        <v>101</v>
      </c>
      <c r="D5720" t="s">
        <v>7</v>
      </c>
      <c r="E5720" s="2" t="s">
        <v>12</v>
      </c>
      <c r="F5720">
        <f t="shared" si="89"/>
        <v>200.28300000000002</v>
      </c>
      <c r="G5720" t="s">
        <v>16</v>
      </c>
      <c r="J5720" t="str">
        <f>"05/28/2001 23:45"</f>
        <v>05/28/2001 23:45</v>
      </c>
    </row>
    <row r="5721" spans="1:10" x14ac:dyDescent="0.3">
      <c r="A5721" t="s">
        <v>6</v>
      </c>
      <c r="B5721" t="str">
        <f>"05/29/2001 00:00"</f>
        <v>05/29/2001 00:00</v>
      </c>
      <c r="C5721">
        <v>99.2</v>
      </c>
      <c r="D5721" t="s">
        <v>7</v>
      </c>
      <c r="E5721" s="2" t="s">
        <v>12</v>
      </c>
      <c r="F5721">
        <f t="shared" si="89"/>
        <v>196.71360000000001</v>
      </c>
      <c r="G5721" t="s">
        <v>16</v>
      </c>
      <c r="J5721" t="str">
        <f>"05/29/2001 23:45"</f>
        <v>05/29/2001 23:45</v>
      </c>
    </row>
    <row r="5722" spans="1:10" x14ac:dyDescent="0.3">
      <c r="A5722" t="s">
        <v>6</v>
      </c>
      <c r="B5722" t="str">
        <f>"05/30/2001 00:00"</f>
        <v>05/30/2001 00:00</v>
      </c>
      <c r="C5722">
        <v>51.8</v>
      </c>
      <c r="D5722" t="s">
        <v>7</v>
      </c>
      <c r="E5722" s="2" t="s">
        <v>12</v>
      </c>
      <c r="F5722">
        <f t="shared" si="89"/>
        <v>102.71939999999999</v>
      </c>
      <c r="G5722" t="s">
        <v>16</v>
      </c>
      <c r="J5722" t="str">
        <f>"05/30/2001 23:45"</f>
        <v>05/30/2001 23:45</v>
      </c>
    </row>
    <row r="5723" spans="1:10" x14ac:dyDescent="0.3">
      <c r="A5723" t="s">
        <v>6</v>
      </c>
      <c r="B5723" t="str">
        <f>"05/31/2001 00:00"</f>
        <v>05/31/2001 00:00</v>
      </c>
      <c r="C5723">
        <v>2.27</v>
      </c>
      <c r="D5723" t="s">
        <v>7</v>
      </c>
      <c r="E5723" s="2" t="s">
        <v>12</v>
      </c>
      <c r="F5723">
        <f t="shared" si="89"/>
        <v>4.5014099999999999</v>
      </c>
      <c r="G5723" t="s">
        <v>16</v>
      </c>
      <c r="J5723" t="str">
        <f>"05/31/2001 23:45"</f>
        <v>05/31/2001 23:45</v>
      </c>
    </row>
    <row r="5724" spans="1:10" x14ac:dyDescent="0.3">
      <c r="A5724" t="s">
        <v>6</v>
      </c>
      <c r="B5724" t="str">
        <f>"06/01/2001 00:00"</f>
        <v>06/01/2001 00:00</v>
      </c>
      <c r="C5724">
        <v>72.599999999999994</v>
      </c>
      <c r="D5724" t="s">
        <v>7</v>
      </c>
      <c r="E5724" s="2" t="s">
        <v>12</v>
      </c>
      <c r="F5724">
        <f t="shared" si="89"/>
        <v>143.9658</v>
      </c>
      <c r="G5724" t="s">
        <v>16</v>
      </c>
      <c r="J5724" t="str">
        <f>"06/01/2001 23:45"</f>
        <v>06/01/2001 23:45</v>
      </c>
    </row>
    <row r="5725" spans="1:10" x14ac:dyDescent="0.3">
      <c r="A5725" t="s">
        <v>6</v>
      </c>
      <c r="B5725" t="str">
        <f>"06/02/2001 00:00"</f>
        <v>06/02/2001 00:00</v>
      </c>
      <c r="C5725">
        <v>147</v>
      </c>
      <c r="D5725" t="s">
        <v>7</v>
      </c>
      <c r="E5725" s="2" t="s">
        <v>12</v>
      </c>
      <c r="F5725">
        <f t="shared" si="89"/>
        <v>291.50100000000003</v>
      </c>
      <c r="G5725" t="s">
        <v>16</v>
      </c>
      <c r="J5725" t="str">
        <f>"06/02/2001 23:45"</f>
        <v>06/02/2001 23:45</v>
      </c>
    </row>
    <row r="5726" spans="1:10" x14ac:dyDescent="0.3">
      <c r="A5726" t="s">
        <v>6</v>
      </c>
      <c r="B5726" t="str">
        <f>"06/03/2001 00:00"</f>
        <v>06/03/2001 00:00</v>
      </c>
      <c r="C5726">
        <v>148</v>
      </c>
      <c r="D5726" t="s">
        <v>7</v>
      </c>
      <c r="E5726" s="2" t="s">
        <v>12</v>
      </c>
      <c r="F5726">
        <f t="shared" si="89"/>
        <v>293.48400000000004</v>
      </c>
      <c r="G5726" t="s">
        <v>16</v>
      </c>
      <c r="J5726" t="str">
        <f>"06/03/2001 23:45"</f>
        <v>06/03/2001 23:45</v>
      </c>
    </row>
    <row r="5727" spans="1:10" x14ac:dyDescent="0.3">
      <c r="A5727" t="s">
        <v>6</v>
      </c>
      <c r="B5727" t="str">
        <f>"06/04/2001 00:00"</f>
        <v>06/04/2001 00:00</v>
      </c>
      <c r="C5727">
        <v>119</v>
      </c>
      <c r="D5727" t="s">
        <v>7</v>
      </c>
      <c r="E5727" s="2" t="s">
        <v>12</v>
      </c>
      <c r="F5727">
        <f t="shared" si="89"/>
        <v>235.977</v>
      </c>
      <c r="G5727" t="s">
        <v>16</v>
      </c>
      <c r="J5727" t="str">
        <f>"06/04/2001 23:45"</f>
        <v>06/04/2001 23:45</v>
      </c>
    </row>
    <row r="5728" spans="1:10" x14ac:dyDescent="0.3">
      <c r="A5728" t="s">
        <v>6</v>
      </c>
      <c r="B5728" t="str">
        <f>"06/05/2001 00:00"</f>
        <v>06/05/2001 00:00</v>
      </c>
      <c r="C5728">
        <v>99.6</v>
      </c>
      <c r="D5728" t="s">
        <v>7</v>
      </c>
      <c r="E5728" s="2" t="s">
        <v>12</v>
      </c>
      <c r="F5728">
        <f t="shared" si="89"/>
        <v>197.5068</v>
      </c>
      <c r="G5728" t="s">
        <v>16</v>
      </c>
      <c r="J5728" t="str">
        <f>"06/05/2001 23:45"</f>
        <v>06/05/2001 23:45</v>
      </c>
    </row>
    <row r="5729" spans="1:10" x14ac:dyDescent="0.3">
      <c r="A5729" t="s">
        <v>6</v>
      </c>
      <c r="B5729" t="str">
        <f>"06/06/2001 00:00"</f>
        <v>06/06/2001 00:00</v>
      </c>
      <c r="C5729">
        <v>168</v>
      </c>
      <c r="D5729" t="s">
        <v>7</v>
      </c>
      <c r="E5729" s="2" t="s">
        <v>12</v>
      </c>
      <c r="F5729">
        <f t="shared" si="89"/>
        <v>333.14400000000001</v>
      </c>
      <c r="G5729" t="s">
        <v>16</v>
      </c>
      <c r="J5729" t="str">
        <f>"06/06/2001 23:45"</f>
        <v>06/06/2001 23:45</v>
      </c>
    </row>
    <row r="5730" spans="1:10" x14ac:dyDescent="0.3">
      <c r="A5730" t="s">
        <v>6</v>
      </c>
      <c r="B5730" t="str">
        <f>"06/07/2001 00:00"</f>
        <v>06/07/2001 00:00</v>
      </c>
      <c r="C5730">
        <v>253</v>
      </c>
      <c r="D5730" t="s">
        <v>7</v>
      </c>
      <c r="E5730" s="2" t="s">
        <v>12</v>
      </c>
      <c r="F5730">
        <f t="shared" si="89"/>
        <v>501.69900000000001</v>
      </c>
      <c r="G5730" t="s">
        <v>16</v>
      </c>
      <c r="J5730" t="str">
        <f>"06/07/2001 23:45"</f>
        <v>06/07/2001 23:45</v>
      </c>
    </row>
    <row r="5731" spans="1:10" x14ac:dyDescent="0.3">
      <c r="A5731" t="s">
        <v>6</v>
      </c>
      <c r="B5731" t="str">
        <f>"06/08/2001 00:00"</f>
        <v>06/08/2001 00:00</v>
      </c>
      <c r="C5731">
        <v>361</v>
      </c>
      <c r="D5731" t="s">
        <v>7</v>
      </c>
      <c r="E5731" s="2" t="s">
        <v>12</v>
      </c>
      <c r="F5731">
        <f t="shared" si="89"/>
        <v>715.86300000000006</v>
      </c>
      <c r="G5731" t="s">
        <v>16</v>
      </c>
      <c r="J5731" t="str">
        <f>"06/08/2001 23:45"</f>
        <v>06/08/2001 23:45</v>
      </c>
    </row>
    <row r="5732" spans="1:10" x14ac:dyDescent="0.3">
      <c r="A5732" t="s">
        <v>6</v>
      </c>
      <c r="B5732" t="str">
        <f>"06/09/2001 00:00"</f>
        <v>06/09/2001 00:00</v>
      </c>
      <c r="C5732">
        <v>441</v>
      </c>
      <c r="D5732" t="s">
        <v>7</v>
      </c>
      <c r="E5732" s="2" t="s">
        <v>12</v>
      </c>
      <c r="F5732">
        <f t="shared" si="89"/>
        <v>874.50300000000004</v>
      </c>
      <c r="G5732" t="s">
        <v>16</v>
      </c>
      <c r="J5732" t="str">
        <f>"06/09/2001 23:45"</f>
        <v>06/09/2001 23:45</v>
      </c>
    </row>
    <row r="5733" spans="1:10" x14ac:dyDescent="0.3">
      <c r="A5733" t="s">
        <v>6</v>
      </c>
      <c r="B5733" t="str">
        <f>"06/10/2001 00:00"</f>
        <v>06/10/2001 00:00</v>
      </c>
      <c r="C5733">
        <v>413</v>
      </c>
      <c r="D5733" t="s">
        <v>7</v>
      </c>
      <c r="E5733" s="2" t="s">
        <v>12</v>
      </c>
      <c r="F5733">
        <f t="shared" si="89"/>
        <v>818.97900000000004</v>
      </c>
      <c r="G5733" t="s">
        <v>16</v>
      </c>
      <c r="J5733" t="str">
        <f>"06/10/2001 23:45"</f>
        <v>06/10/2001 23:45</v>
      </c>
    </row>
    <row r="5734" spans="1:10" x14ac:dyDescent="0.3">
      <c r="A5734" t="s">
        <v>6</v>
      </c>
      <c r="B5734" t="str">
        <f>"06/11/2001 00:00"</f>
        <v>06/11/2001 00:00</v>
      </c>
      <c r="C5734">
        <v>393</v>
      </c>
      <c r="D5734" t="s">
        <v>7</v>
      </c>
      <c r="E5734" s="2" t="s">
        <v>12</v>
      </c>
      <c r="F5734">
        <f t="shared" si="89"/>
        <v>779.31900000000007</v>
      </c>
      <c r="G5734" t="s">
        <v>16</v>
      </c>
      <c r="J5734" t="str">
        <f>"06/11/2001 23:45"</f>
        <v>06/11/2001 23:45</v>
      </c>
    </row>
    <row r="5735" spans="1:10" x14ac:dyDescent="0.3">
      <c r="A5735" t="s">
        <v>6</v>
      </c>
      <c r="B5735" t="str">
        <f>"06/12/2001 00:00"</f>
        <v>06/12/2001 00:00</v>
      </c>
      <c r="C5735">
        <v>394</v>
      </c>
      <c r="D5735" t="s">
        <v>7</v>
      </c>
      <c r="E5735" s="2" t="s">
        <v>12</v>
      </c>
      <c r="F5735">
        <f t="shared" si="89"/>
        <v>781.30200000000002</v>
      </c>
      <c r="G5735" t="s">
        <v>16</v>
      </c>
      <c r="J5735" t="str">
        <f>"06/12/2001 23:45"</f>
        <v>06/12/2001 23:45</v>
      </c>
    </row>
    <row r="5736" spans="1:10" x14ac:dyDescent="0.3">
      <c r="A5736" t="s">
        <v>6</v>
      </c>
      <c r="B5736" t="str">
        <f>"06/13/2001 00:00"</f>
        <v>06/13/2001 00:00</v>
      </c>
      <c r="C5736">
        <v>365</v>
      </c>
      <c r="D5736" t="s">
        <v>7</v>
      </c>
      <c r="E5736" s="2" t="s">
        <v>12</v>
      </c>
      <c r="F5736">
        <f t="shared" si="89"/>
        <v>723.79500000000007</v>
      </c>
      <c r="G5736" t="s">
        <v>16</v>
      </c>
      <c r="J5736" t="str">
        <f>"06/13/2001 23:45"</f>
        <v>06/13/2001 23:45</v>
      </c>
    </row>
    <row r="5737" spans="1:10" x14ac:dyDescent="0.3">
      <c r="A5737" t="s">
        <v>6</v>
      </c>
      <c r="B5737" t="str">
        <f>"06/14/2001 00:00"</f>
        <v>06/14/2001 00:00</v>
      </c>
      <c r="C5737">
        <v>219</v>
      </c>
      <c r="D5737" t="s">
        <v>7</v>
      </c>
      <c r="E5737" s="2" t="s">
        <v>12</v>
      </c>
      <c r="F5737">
        <f t="shared" si="89"/>
        <v>434.27700000000004</v>
      </c>
      <c r="G5737" t="s">
        <v>16</v>
      </c>
      <c r="J5737" t="str">
        <f>"06/14/2001 23:45"</f>
        <v>06/14/2001 23:45</v>
      </c>
    </row>
    <row r="5738" spans="1:10" x14ac:dyDescent="0.3">
      <c r="A5738" t="s">
        <v>6</v>
      </c>
      <c r="B5738" t="str">
        <f>"06/15/2001 00:00"</f>
        <v>06/15/2001 00:00</v>
      </c>
      <c r="C5738">
        <v>98.4</v>
      </c>
      <c r="D5738" t="s">
        <v>7</v>
      </c>
      <c r="E5738" s="2" t="s">
        <v>12</v>
      </c>
      <c r="F5738">
        <f t="shared" si="89"/>
        <v>195.12720000000002</v>
      </c>
      <c r="G5738" t="s">
        <v>16</v>
      </c>
      <c r="J5738" t="str">
        <f>"06/15/2001 23:45"</f>
        <v>06/15/2001 23:45</v>
      </c>
    </row>
    <row r="5739" spans="1:10" x14ac:dyDescent="0.3">
      <c r="A5739" t="s">
        <v>6</v>
      </c>
      <c r="B5739" t="str">
        <f>"06/16/2001 00:00"</f>
        <v>06/16/2001 00:00</v>
      </c>
      <c r="C5739">
        <v>161</v>
      </c>
      <c r="D5739" t="s">
        <v>7</v>
      </c>
      <c r="E5739" s="2" t="s">
        <v>12</v>
      </c>
      <c r="F5739">
        <f t="shared" si="89"/>
        <v>319.26300000000003</v>
      </c>
      <c r="G5739" t="s">
        <v>16</v>
      </c>
      <c r="J5739" t="str">
        <f>"06/16/2001 23:45"</f>
        <v>06/16/2001 23:45</v>
      </c>
    </row>
    <row r="5740" spans="1:10" x14ac:dyDescent="0.3">
      <c r="A5740" t="s">
        <v>6</v>
      </c>
      <c r="B5740" t="str">
        <f>"06/17/2001 00:00"</f>
        <v>06/17/2001 00:00</v>
      </c>
      <c r="C5740">
        <v>269</v>
      </c>
      <c r="D5740" t="s">
        <v>7</v>
      </c>
      <c r="E5740" s="2" t="s">
        <v>12</v>
      </c>
      <c r="F5740">
        <f t="shared" si="89"/>
        <v>533.42700000000002</v>
      </c>
      <c r="G5740" t="s">
        <v>16</v>
      </c>
      <c r="J5740" t="str">
        <f>"06/17/2001 23:45"</f>
        <v>06/17/2001 23:45</v>
      </c>
    </row>
    <row r="5741" spans="1:10" x14ac:dyDescent="0.3">
      <c r="A5741" t="s">
        <v>6</v>
      </c>
      <c r="B5741" t="str">
        <f>"06/18/2001 00:00"</f>
        <v>06/18/2001 00:00</v>
      </c>
      <c r="C5741">
        <v>213</v>
      </c>
      <c r="D5741" t="s">
        <v>7</v>
      </c>
      <c r="E5741" s="2" t="s">
        <v>12</v>
      </c>
      <c r="F5741">
        <f t="shared" si="89"/>
        <v>422.37900000000002</v>
      </c>
      <c r="G5741" t="s">
        <v>16</v>
      </c>
      <c r="J5741" t="str">
        <f>"06/18/2001 23:45"</f>
        <v>06/18/2001 23:45</v>
      </c>
    </row>
    <row r="5742" spans="1:10" x14ac:dyDescent="0.3">
      <c r="A5742" t="s">
        <v>6</v>
      </c>
      <c r="B5742" t="str">
        <f>"06/19/2001 00:00"</f>
        <v>06/19/2001 00:00</v>
      </c>
      <c r="C5742">
        <v>299</v>
      </c>
      <c r="D5742" t="s">
        <v>7</v>
      </c>
      <c r="E5742" s="2" t="s">
        <v>12</v>
      </c>
      <c r="F5742">
        <f t="shared" si="89"/>
        <v>592.91700000000003</v>
      </c>
      <c r="G5742" t="s">
        <v>16</v>
      </c>
      <c r="J5742" t="str">
        <f>"06/19/2001 23:45"</f>
        <v>06/19/2001 23:45</v>
      </c>
    </row>
    <row r="5743" spans="1:10" x14ac:dyDescent="0.3">
      <c r="A5743" t="s">
        <v>6</v>
      </c>
      <c r="B5743" t="str">
        <f>"06/20/2001 00:00"</f>
        <v>06/20/2001 00:00</v>
      </c>
      <c r="C5743">
        <v>229</v>
      </c>
      <c r="D5743" t="s">
        <v>7</v>
      </c>
      <c r="E5743" s="2" t="s">
        <v>12</v>
      </c>
      <c r="F5743">
        <f t="shared" si="89"/>
        <v>454.10700000000003</v>
      </c>
      <c r="G5743" t="s">
        <v>16</v>
      </c>
      <c r="J5743" t="str">
        <f>"06/20/2001 23:45"</f>
        <v>06/20/2001 23:45</v>
      </c>
    </row>
    <row r="5744" spans="1:10" x14ac:dyDescent="0.3">
      <c r="A5744" t="s">
        <v>6</v>
      </c>
      <c r="B5744" t="str">
        <f>"06/21/2001 00:00"</f>
        <v>06/21/2001 00:00</v>
      </c>
      <c r="C5744">
        <v>180</v>
      </c>
      <c r="D5744" t="s">
        <v>7</v>
      </c>
      <c r="E5744" s="2" t="s">
        <v>12</v>
      </c>
      <c r="F5744">
        <f t="shared" si="89"/>
        <v>356.94</v>
      </c>
      <c r="G5744" t="s">
        <v>16</v>
      </c>
      <c r="J5744" t="str">
        <f>"06/21/2001 23:45"</f>
        <v>06/21/2001 23:45</v>
      </c>
    </row>
    <row r="5745" spans="1:10" x14ac:dyDescent="0.3">
      <c r="A5745" t="s">
        <v>6</v>
      </c>
      <c r="B5745" t="str">
        <f>"06/22/2001 00:00"</f>
        <v>06/22/2001 00:00</v>
      </c>
      <c r="C5745">
        <v>156</v>
      </c>
      <c r="D5745" t="s">
        <v>7</v>
      </c>
      <c r="E5745" s="2" t="s">
        <v>12</v>
      </c>
      <c r="F5745">
        <f t="shared" si="89"/>
        <v>309.34800000000001</v>
      </c>
      <c r="G5745" t="s">
        <v>16</v>
      </c>
      <c r="J5745" t="str">
        <f>"06/22/2001 23:45"</f>
        <v>06/22/2001 23:45</v>
      </c>
    </row>
    <row r="5746" spans="1:10" x14ac:dyDescent="0.3">
      <c r="A5746" t="s">
        <v>6</v>
      </c>
      <c r="B5746" t="str">
        <f>"06/23/2001 00:00"</f>
        <v>06/23/2001 00:00</v>
      </c>
      <c r="C5746">
        <v>142</v>
      </c>
      <c r="D5746" t="s">
        <v>7</v>
      </c>
      <c r="E5746" s="2" t="s">
        <v>12</v>
      </c>
      <c r="F5746">
        <f t="shared" si="89"/>
        <v>281.58600000000001</v>
      </c>
      <c r="G5746" t="s">
        <v>16</v>
      </c>
      <c r="J5746" t="str">
        <f>"06/23/2001 22:45"</f>
        <v>06/23/2001 22:45</v>
      </c>
    </row>
    <row r="5747" spans="1:10" x14ac:dyDescent="0.3">
      <c r="A5747" t="s">
        <v>6</v>
      </c>
      <c r="B5747" t="str">
        <f>"06/24/2001 00:00"</f>
        <v>06/24/2001 00:00</v>
      </c>
      <c r="C5747">
        <v>367</v>
      </c>
      <c r="D5747" t="s">
        <v>7</v>
      </c>
      <c r="E5747" s="2" t="s">
        <v>12</v>
      </c>
      <c r="F5747">
        <f t="shared" si="89"/>
        <v>727.76100000000008</v>
      </c>
      <c r="G5747" t="s">
        <v>16</v>
      </c>
      <c r="J5747" t="str">
        <f>"06/24/2001 23:45"</f>
        <v>06/24/2001 23:45</v>
      </c>
    </row>
    <row r="5748" spans="1:10" x14ac:dyDescent="0.3">
      <c r="A5748" t="s">
        <v>6</v>
      </c>
      <c r="B5748" t="str">
        <f>"06/25/2001 00:00"</f>
        <v>06/25/2001 00:00</v>
      </c>
      <c r="C5748">
        <v>317</v>
      </c>
      <c r="D5748" t="s">
        <v>7</v>
      </c>
      <c r="E5748" s="2" t="s">
        <v>12</v>
      </c>
      <c r="F5748">
        <f t="shared" si="89"/>
        <v>628.61099999999999</v>
      </c>
      <c r="G5748" t="s">
        <v>16</v>
      </c>
      <c r="J5748" t="str">
        <f>"06/25/2001 23:45"</f>
        <v>06/25/2001 23:45</v>
      </c>
    </row>
    <row r="5749" spans="1:10" x14ac:dyDescent="0.3">
      <c r="A5749" t="s">
        <v>6</v>
      </c>
      <c r="B5749" t="str">
        <f>"06/26/2001 00:00"</f>
        <v>06/26/2001 00:00</v>
      </c>
      <c r="C5749">
        <v>299</v>
      </c>
      <c r="D5749" t="s">
        <v>7</v>
      </c>
      <c r="E5749" s="2" t="s">
        <v>12</v>
      </c>
      <c r="F5749">
        <f t="shared" si="89"/>
        <v>592.91700000000003</v>
      </c>
      <c r="G5749" t="s">
        <v>16</v>
      </c>
      <c r="J5749" t="str">
        <f>"06/26/2001 23:45"</f>
        <v>06/26/2001 23:45</v>
      </c>
    </row>
    <row r="5750" spans="1:10" x14ac:dyDescent="0.3">
      <c r="A5750" t="s">
        <v>6</v>
      </c>
      <c r="B5750" t="str">
        <f>"06/27/2001 00:00"</f>
        <v>06/27/2001 00:00</v>
      </c>
      <c r="C5750">
        <v>299</v>
      </c>
      <c r="D5750" t="s">
        <v>7</v>
      </c>
      <c r="E5750" s="2" t="s">
        <v>12</v>
      </c>
      <c r="F5750">
        <f t="shared" si="89"/>
        <v>592.91700000000003</v>
      </c>
      <c r="G5750" t="s">
        <v>16</v>
      </c>
      <c r="J5750" t="str">
        <f>"06/27/2001 23:45"</f>
        <v>06/27/2001 23:45</v>
      </c>
    </row>
    <row r="5751" spans="1:10" x14ac:dyDescent="0.3">
      <c r="A5751" t="s">
        <v>6</v>
      </c>
      <c r="B5751" t="str">
        <f>"06/28/2001 00:00"</f>
        <v>06/28/2001 00:00</v>
      </c>
      <c r="C5751">
        <v>298</v>
      </c>
      <c r="D5751" t="s">
        <v>7</v>
      </c>
      <c r="E5751" s="2" t="s">
        <v>12</v>
      </c>
      <c r="F5751">
        <f t="shared" si="89"/>
        <v>590.93400000000008</v>
      </c>
      <c r="G5751" t="s">
        <v>16</v>
      </c>
      <c r="J5751" t="str">
        <f>"06/28/2001 23:45"</f>
        <v>06/28/2001 23:45</v>
      </c>
    </row>
    <row r="5752" spans="1:10" x14ac:dyDescent="0.3">
      <c r="A5752" t="s">
        <v>6</v>
      </c>
      <c r="B5752" t="str">
        <f>"06/29/2001 00:00"</f>
        <v>06/29/2001 00:00</v>
      </c>
      <c r="C5752">
        <v>297</v>
      </c>
      <c r="D5752" t="s">
        <v>7</v>
      </c>
      <c r="E5752" s="2" t="s">
        <v>12</v>
      </c>
      <c r="F5752">
        <f t="shared" si="89"/>
        <v>588.95100000000002</v>
      </c>
      <c r="G5752" t="s">
        <v>16</v>
      </c>
      <c r="J5752" t="str">
        <f>"06/29/2001 23:45"</f>
        <v>06/29/2001 23:45</v>
      </c>
    </row>
    <row r="5753" spans="1:10" x14ac:dyDescent="0.3">
      <c r="A5753" t="s">
        <v>6</v>
      </c>
      <c r="B5753" t="str">
        <f>"06/30/2001 00:00"</f>
        <v>06/30/2001 00:00</v>
      </c>
      <c r="C5753">
        <v>296</v>
      </c>
      <c r="D5753" t="s">
        <v>7</v>
      </c>
      <c r="E5753" s="2" t="s">
        <v>12</v>
      </c>
      <c r="F5753">
        <f t="shared" si="89"/>
        <v>586.96800000000007</v>
      </c>
      <c r="G5753" t="s">
        <v>16</v>
      </c>
      <c r="J5753" t="str">
        <f>"06/30/2001 23:45"</f>
        <v>06/30/2001 23:45</v>
      </c>
    </row>
    <row r="5754" spans="1:10" x14ac:dyDescent="0.3">
      <c r="A5754" t="s">
        <v>6</v>
      </c>
      <c r="B5754" t="str">
        <f>"07/01/2001 00:00"</f>
        <v>07/01/2001 00:00</v>
      </c>
      <c r="C5754">
        <v>296</v>
      </c>
      <c r="D5754" t="s">
        <v>7</v>
      </c>
      <c r="E5754" s="2" t="s">
        <v>12</v>
      </c>
      <c r="F5754">
        <f t="shared" si="89"/>
        <v>586.96800000000007</v>
      </c>
      <c r="G5754" t="s">
        <v>16</v>
      </c>
      <c r="J5754" t="str">
        <f>"07/01/2001 23:45"</f>
        <v>07/01/2001 23:45</v>
      </c>
    </row>
    <row r="5755" spans="1:10" x14ac:dyDescent="0.3">
      <c r="A5755" t="s">
        <v>6</v>
      </c>
      <c r="B5755" t="str">
        <f>"07/02/2001 00:00"</f>
        <v>07/02/2001 00:00</v>
      </c>
      <c r="C5755">
        <v>297</v>
      </c>
      <c r="D5755" t="s">
        <v>7</v>
      </c>
      <c r="E5755" s="2" t="s">
        <v>12</v>
      </c>
      <c r="F5755">
        <f t="shared" si="89"/>
        <v>588.95100000000002</v>
      </c>
      <c r="G5755" t="s">
        <v>16</v>
      </c>
      <c r="J5755" t="str">
        <f>"07/02/2001 23:45"</f>
        <v>07/02/2001 23:45</v>
      </c>
    </row>
    <row r="5756" spans="1:10" x14ac:dyDescent="0.3">
      <c r="A5756" t="s">
        <v>6</v>
      </c>
      <c r="B5756" t="str">
        <f>"07/03/2001 00:00"</f>
        <v>07/03/2001 00:00</v>
      </c>
      <c r="C5756">
        <v>296</v>
      </c>
      <c r="D5756" t="s">
        <v>7</v>
      </c>
      <c r="E5756" s="2" t="s">
        <v>12</v>
      </c>
      <c r="F5756">
        <f t="shared" si="89"/>
        <v>586.96800000000007</v>
      </c>
      <c r="G5756" t="s">
        <v>16</v>
      </c>
      <c r="J5756" t="str">
        <f>"07/03/2001 23:45"</f>
        <v>07/03/2001 23:45</v>
      </c>
    </row>
    <row r="5757" spans="1:10" x14ac:dyDescent="0.3">
      <c r="A5757" t="s">
        <v>6</v>
      </c>
      <c r="B5757" t="str">
        <f>"07/04/2001 00:00"</f>
        <v>07/04/2001 00:00</v>
      </c>
      <c r="C5757">
        <v>252</v>
      </c>
      <c r="D5757" t="s">
        <v>7</v>
      </c>
      <c r="E5757" s="2" t="s">
        <v>12</v>
      </c>
      <c r="F5757">
        <f t="shared" si="89"/>
        <v>499.71600000000001</v>
      </c>
      <c r="G5757" t="s">
        <v>16</v>
      </c>
      <c r="J5757" t="str">
        <f>"07/04/2001 23:45"</f>
        <v>07/04/2001 23:45</v>
      </c>
    </row>
    <row r="5758" spans="1:10" x14ac:dyDescent="0.3">
      <c r="A5758" t="s">
        <v>6</v>
      </c>
      <c r="B5758" t="str">
        <f>"07/05/2001 00:00"</f>
        <v>07/05/2001 00:00</v>
      </c>
      <c r="C5758">
        <v>208</v>
      </c>
      <c r="D5758" t="s">
        <v>7</v>
      </c>
      <c r="E5758" s="2" t="s">
        <v>12</v>
      </c>
      <c r="F5758">
        <f t="shared" si="89"/>
        <v>412.464</v>
      </c>
      <c r="G5758" t="s">
        <v>16</v>
      </c>
      <c r="J5758" t="str">
        <f>"07/05/2001 18:45"</f>
        <v>07/05/2001 18:45</v>
      </c>
    </row>
    <row r="5759" spans="1:10" x14ac:dyDescent="0.3">
      <c r="A5759" t="s">
        <v>6</v>
      </c>
      <c r="B5759" t="str">
        <f>"07/06/2001 00:00"</f>
        <v>07/06/2001 00:00</v>
      </c>
      <c r="C5759">
        <v>208</v>
      </c>
      <c r="D5759" t="s">
        <v>7</v>
      </c>
      <c r="E5759" s="2" t="s">
        <v>12</v>
      </c>
      <c r="F5759">
        <f t="shared" si="89"/>
        <v>412.464</v>
      </c>
      <c r="G5759" t="s">
        <v>16</v>
      </c>
      <c r="J5759" t="str">
        <f>"07/06/2001 23:45"</f>
        <v>07/06/2001 23:45</v>
      </c>
    </row>
    <row r="5760" spans="1:10" x14ac:dyDescent="0.3">
      <c r="A5760" t="s">
        <v>6</v>
      </c>
      <c r="B5760" t="str">
        <f>"07/07/2001 00:00"</f>
        <v>07/07/2001 00:00</v>
      </c>
      <c r="C5760">
        <v>208</v>
      </c>
      <c r="D5760" t="s">
        <v>7</v>
      </c>
      <c r="E5760" s="2" t="s">
        <v>12</v>
      </c>
      <c r="F5760">
        <f t="shared" si="89"/>
        <v>412.464</v>
      </c>
      <c r="G5760" t="s">
        <v>16</v>
      </c>
      <c r="J5760" t="str">
        <f>"07/07/2001 23:45"</f>
        <v>07/07/2001 23:45</v>
      </c>
    </row>
    <row r="5761" spans="1:10" x14ac:dyDescent="0.3">
      <c r="A5761" t="s">
        <v>6</v>
      </c>
      <c r="B5761" t="str">
        <f>"07/08/2001 00:00"</f>
        <v>07/08/2001 00:00</v>
      </c>
      <c r="C5761">
        <v>254</v>
      </c>
      <c r="D5761" t="s">
        <v>7</v>
      </c>
      <c r="E5761" s="2" t="s">
        <v>12</v>
      </c>
      <c r="F5761">
        <f t="shared" si="89"/>
        <v>503.68200000000002</v>
      </c>
      <c r="G5761" t="s">
        <v>16</v>
      </c>
      <c r="J5761" t="str">
        <f>"07/08/2001 23:45"</f>
        <v>07/08/2001 23:45</v>
      </c>
    </row>
    <row r="5762" spans="1:10" x14ac:dyDescent="0.3">
      <c r="A5762" t="s">
        <v>6</v>
      </c>
      <c r="B5762" t="str">
        <f>"07/09/2001 00:00"</f>
        <v>07/09/2001 00:00</v>
      </c>
      <c r="C5762">
        <v>216</v>
      </c>
      <c r="D5762" t="s">
        <v>7</v>
      </c>
      <c r="E5762" s="2" t="s">
        <v>12</v>
      </c>
      <c r="F5762">
        <f t="shared" si="89"/>
        <v>428.32800000000003</v>
      </c>
      <c r="G5762" t="s">
        <v>16</v>
      </c>
      <c r="I5762" t="s">
        <v>8</v>
      </c>
      <c r="J5762" t="str">
        <f>"07/09/2001 23:45"</f>
        <v>07/09/2001 23:45</v>
      </c>
    </row>
    <row r="5763" spans="1:10" x14ac:dyDescent="0.3">
      <c r="A5763" t="s">
        <v>6</v>
      </c>
      <c r="B5763" t="str">
        <f>"07/10/2001 00:00"</f>
        <v>07/10/2001 00:00</v>
      </c>
      <c r="C5763">
        <v>127</v>
      </c>
      <c r="D5763" t="s">
        <v>7</v>
      </c>
      <c r="E5763" s="2" t="s">
        <v>12</v>
      </c>
      <c r="F5763">
        <f t="shared" ref="F5763:F5826" si="90">C5763*1.983</f>
        <v>251.84100000000001</v>
      </c>
      <c r="G5763" t="s">
        <v>16</v>
      </c>
      <c r="J5763" t="str">
        <f>"07/10/2001 23:45"</f>
        <v>07/10/2001 23:45</v>
      </c>
    </row>
    <row r="5764" spans="1:10" x14ac:dyDescent="0.3">
      <c r="A5764" t="s">
        <v>6</v>
      </c>
      <c r="B5764" t="str">
        <f>"07/11/2001 00:00"</f>
        <v>07/11/2001 00:00</v>
      </c>
      <c r="C5764">
        <v>100</v>
      </c>
      <c r="D5764" t="s">
        <v>7</v>
      </c>
      <c r="E5764" s="2" t="s">
        <v>12</v>
      </c>
      <c r="F5764">
        <f t="shared" si="90"/>
        <v>198.3</v>
      </c>
      <c r="G5764" t="s">
        <v>16</v>
      </c>
      <c r="J5764" t="str">
        <f>"07/11/2001 23:45"</f>
        <v>07/11/2001 23:45</v>
      </c>
    </row>
    <row r="5765" spans="1:10" x14ac:dyDescent="0.3">
      <c r="A5765" t="s">
        <v>6</v>
      </c>
      <c r="B5765" t="str">
        <f>"07/12/2001 00:00"</f>
        <v>07/12/2001 00:00</v>
      </c>
      <c r="C5765">
        <v>100</v>
      </c>
      <c r="D5765" t="s">
        <v>7</v>
      </c>
      <c r="E5765" s="2" t="s">
        <v>12</v>
      </c>
      <c r="F5765">
        <f t="shared" si="90"/>
        <v>198.3</v>
      </c>
      <c r="G5765" t="s">
        <v>16</v>
      </c>
      <c r="J5765" t="str">
        <f>"07/12/2001 23:45"</f>
        <v>07/12/2001 23:45</v>
      </c>
    </row>
    <row r="5766" spans="1:10" x14ac:dyDescent="0.3">
      <c r="A5766" t="s">
        <v>6</v>
      </c>
      <c r="B5766" t="str">
        <f>"07/13/2001 00:00"</f>
        <v>07/13/2001 00:00</v>
      </c>
      <c r="C5766">
        <v>101</v>
      </c>
      <c r="D5766" t="s">
        <v>7</v>
      </c>
      <c r="E5766" s="2" t="s">
        <v>12</v>
      </c>
      <c r="F5766">
        <f t="shared" si="90"/>
        <v>200.28300000000002</v>
      </c>
      <c r="G5766" t="s">
        <v>16</v>
      </c>
      <c r="J5766" t="str">
        <f>"07/13/2001 23:45"</f>
        <v>07/13/2001 23:45</v>
      </c>
    </row>
    <row r="5767" spans="1:10" x14ac:dyDescent="0.3">
      <c r="A5767" t="s">
        <v>6</v>
      </c>
      <c r="B5767" t="str">
        <f>"07/14/2001 00:00"</f>
        <v>07/14/2001 00:00</v>
      </c>
      <c r="C5767">
        <v>73.900000000000006</v>
      </c>
      <c r="D5767" t="s">
        <v>7</v>
      </c>
      <c r="E5767" s="2" t="s">
        <v>12</v>
      </c>
      <c r="F5767">
        <f t="shared" si="90"/>
        <v>146.54370000000003</v>
      </c>
      <c r="G5767" t="s">
        <v>16</v>
      </c>
      <c r="J5767" t="str">
        <f>"07/14/2001 23:45"</f>
        <v>07/14/2001 23:45</v>
      </c>
    </row>
    <row r="5768" spans="1:10" x14ac:dyDescent="0.3">
      <c r="A5768" t="s">
        <v>6</v>
      </c>
      <c r="B5768" t="str">
        <f>"07/15/2001 00:00"</f>
        <v>07/15/2001 00:00</v>
      </c>
      <c r="C5768">
        <v>1.53</v>
      </c>
      <c r="D5768" t="s">
        <v>7</v>
      </c>
      <c r="E5768" s="2" t="s">
        <v>12</v>
      </c>
      <c r="F5768">
        <f t="shared" si="90"/>
        <v>3.0339900000000002</v>
      </c>
      <c r="G5768" t="s">
        <v>16</v>
      </c>
      <c r="J5768" t="str">
        <f>"07/15/2001 23:45"</f>
        <v>07/15/2001 23:45</v>
      </c>
    </row>
    <row r="5769" spans="1:10" x14ac:dyDescent="0.3">
      <c r="A5769" t="s">
        <v>6</v>
      </c>
      <c r="B5769" t="str">
        <f>"07/16/2001 00:00"</f>
        <v>07/16/2001 00:00</v>
      </c>
      <c r="C5769">
        <v>1.34</v>
      </c>
      <c r="D5769" t="s">
        <v>7</v>
      </c>
      <c r="E5769" s="2" t="s">
        <v>12</v>
      </c>
      <c r="F5769">
        <f t="shared" si="90"/>
        <v>2.6572200000000001</v>
      </c>
      <c r="G5769" t="s">
        <v>16</v>
      </c>
      <c r="J5769" t="str">
        <f>"07/16/2001 23:45"</f>
        <v>07/16/2001 23:45</v>
      </c>
    </row>
    <row r="5770" spans="1:10" x14ac:dyDescent="0.3">
      <c r="A5770" t="s">
        <v>6</v>
      </c>
      <c r="B5770" t="str">
        <f>"07/17/2001 00:00"</f>
        <v>07/17/2001 00:00</v>
      </c>
      <c r="C5770">
        <v>35.4</v>
      </c>
      <c r="D5770" t="s">
        <v>7</v>
      </c>
      <c r="E5770" s="2" t="s">
        <v>12</v>
      </c>
      <c r="F5770">
        <f t="shared" si="90"/>
        <v>70.1982</v>
      </c>
      <c r="G5770" t="s">
        <v>16</v>
      </c>
      <c r="J5770" t="str">
        <f>"07/17/2001 23:45"</f>
        <v>07/17/2001 23:45</v>
      </c>
    </row>
    <row r="5771" spans="1:10" x14ac:dyDescent="0.3">
      <c r="A5771" t="s">
        <v>6</v>
      </c>
      <c r="B5771" t="str">
        <f>"07/18/2001 00:00"</f>
        <v>07/18/2001 00:00</v>
      </c>
      <c r="C5771">
        <v>91.8</v>
      </c>
      <c r="D5771" t="s">
        <v>7</v>
      </c>
      <c r="E5771" s="2" t="s">
        <v>12</v>
      </c>
      <c r="F5771">
        <f t="shared" si="90"/>
        <v>182.0394</v>
      </c>
      <c r="G5771" t="s">
        <v>16</v>
      </c>
      <c r="J5771" t="str">
        <f>"07/18/2001 23:45"</f>
        <v>07/18/2001 23:45</v>
      </c>
    </row>
    <row r="5772" spans="1:10" x14ac:dyDescent="0.3">
      <c r="A5772" t="s">
        <v>6</v>
      </c>
      <c r="B5772" t="str">
        <f>"07/19/2001 00:00"</f>
        <v>07/19/2001 00:00</v>
      </c>
      <c r="C5772">
        <v>162</v>
      </c>
      <c r="D5772" t="s">
        <v>7</v>
      </c>
      <c r="E5772" s="2" t="s">
        <v>12</v>
      </c>
      <c r="F5772">
        <f t="shared" si="90"/>
        <v>321.24600000000004</v>
      </c>
      <c r="G5772" t="s">
        <v>16</v>
      </c>
      <c r="J5772" t="str">
        <f>"07/19/2001 23:45"</f>
        <v>07/19/2001 23:45</v>
      </c>
    </row>
    <row r="5773" spans="1:10" x14ac:dyDescent="0.3">
      <c r="A5773" t="s">
        <v>6</v>
      </c>
      <c r="B5773" t="str">
        <f>"07/20/2001 00:00"</f>
        <v>07/20/2001 00:00</v>
      </c>
      <c r="C5773">
        <v>220</v>
      </c>
      <c r="D5773" t="s">
        <v>7</v>
      </c>
      <c r="E5773" s="2" t="s">
        <v>12</v>
      </c>
      <c r="F5773">
        <f t="shared" si="90"/>
        <v>436.26000000000005</v>
      </c>
      <c r="G5773" t="s">
        <v>16</v>
      </c>
      <c r="J5773" t="str">
        <f>"07/20/2001 23:45"</f>
        <v>07/20/2001 23:45</v>
      </c>
    </row>
    <row r="5774" spans="1:10" x14ac:dyDescent="0.3">
      <c r="A5774" t="s">
        <v>6</v>
      </c>
      <c r="B5774" t="str">
        <f>"07/21/2001 00:00"</f>
        <v>07/21/2001 00:00</v>
      </c>
      <c r="C5774">
        <v>178</v>
      </c>
      <c r="D5774" t="s">
        <v>7</v>
      </c>
      <c r="E5774" s="2" t="s">
        <v>12</v>
      </c>
      <c r="F5774">
        <f t="shared" si="90"/>
        <v>352.97399999999999</v>
      </c>
      <c r="G5774" t="s">
        <v>16</v>
      </c>
      <c r="J5774" t="str">
        <f>"07/21/2001 23:45"</f>
        <v>07/21/2001 23:45</v>
      </c>
    </row>
    <row r="5775" spans="1:10" x14ac:dyDescent="0.3">
      <c r="A5775" t="s">
        <v>6</v>
      </c>
      <c r="B5775" t="str">
        <f>"07/22/2001 00:00"</f>
        <v>07/22/2001 00:00</v>
      </c>
      <c r="C5775">
        <v>149</v>
      </c>
      <c r="D5775" t="s">
        <v>7</v>
      </c>
      <c r="E5775" s="2" t="s">
        <v>12</v>
      </c>
      <c r="F5775">
        <f t="shared" si="90"/>
        <v>295.46700000000004</v>
      </c>
      <c r="G5775" t="s">
        <v>16</v>
      </c>
      <c r="J5775" t="str">
        <f>"07/22/2001 23:45"</f>
        <v>07/22/2001 23:45</v>
      </c>
    </row>
    <row r="5776" spans="1:10" x14ac:dyDescent="0.3">
      <c r="A5776" t="s">
        <v>6</v>
      </c>
      <c r="B5776" t="str">
        <f>"07/23/2001 00:00"</f>
        <v>07/23/2001 00:00</v>
      </c>
      <c r="C5776">
        <v>148</v>
      </c>
      <c r="D5776" t="s">
        <v>7</v>
      </c>
      <c r="E5776" s="2" t="s">
        <v>12</v>
      </c>
      <c r="F5776">
        <f t="shared" si="90"/>
        <v>293.48400000000004</v>
      </c>
      <c r="G5776" t="s">
        <v>16</v>
      </c>
      <c r="J5776" t="str">
        <f>"07/23/2001 23:45"</f>
        <v>07/23/2001 23:45</v>
      </c>
    </row>
    <row r="5777" spans="1:10" x14ac:dyDescent="0.3">
      <c r="A5777" t="s">
        <v>6</v>
      </c>
      <c r="B5777" t="str">
        <f>"07/24/2001 00:00"</f>
        <v>07/24/2001 00:00</v>
      </c>
      <c r="C5777">
        <v>148</v>
      </c>
      <c r="D5777" t="s">
        <v>7</v>
      </c>
      <c r="E5777" s="2" t="s">
        <v>12</v>
      </c>
      <c r="F5777">
        <f t="shared" si="90"/>
        <v>293.48400000000004</v>
      </c>
      <c r="G5777" t="s">
        <v>16</v>
      </c>
      <c r="J5777" t="str">
        <f>"07/24/2001 23:45"</f>
        <v>07/24/2001 23:45</v>
      </c>
    </row>
    <row r="5778" spans="1:10" x14ac:dyDescent="0.3">
      <c r="A5778" t="s">
        <v>6</v>
      </c>
      <c r="B5778" t="str">
        <f>"07/25/2001 00:00"</f>
        <v>07/25/2001 00:00</v>
      </c>
      <c r="C5778">
        <v>148</v>
      </c>
      <c r="D5778" t="s">
        <v>7</v>
      </c>
      <c r="E5778" s="2" t="s">
        <v>12</v>
      </c>
      <c r="F5778">
        <f t="shared" si="90"/>
        <v>293.48400000000004</v>
      </c>
      <c r="G5778" t="s">
        <v>16</v>
      </c>
      <c r="J5778" t="str">
        <f>"07/25/2001 23:45"</f>
        <v>07/25/2001 23:45</v>
      </c>
    </row>
    <row r="5779" spans="1:10" x14ac:dyDescent="0.3">
      <c r="A5779" t="s">
        <v>6</v>
      </c>
      <c r="B5779" t="str">
        <f>"07/26/2001 00:00"</f>
        <v>07/26/2001 00:00</v>
      </c>
      <c r="C5779">
        <v>149</v>
      </c>
      <c r="D5779" t="s">
        <v>7</v>
      </c>
      <c r="E5779" s="2" t="s">
        <v>12</v>
      </c>
      <c r="F5779">
        <f t="shared" si="90"/>
        <v>295.46700000000004</v>
      </c>
      <c r="G5779" t="s">
        <v>16</v>
      </c>
      <c r="J5779" t="str">
        <f>"07/26/2001 23:45"</f>
        <v>07/26/2001 23:45</v>
      </c>
    </row>
    <row r="5780" spans="1:10" x14ac:dyDescent="0.3">
      <c r="A5780" t="s">
        <v>6</v>
      </c>
      <c r="B5780" t="str">
        <f>"07/27/2001 00:00"</f>
        <v>07/27/2001 00:00</v>
      </c>
      <c r="C5780">
        <v>180</v>
      </c>
      <c r="D5780" t="s">
        <v>7</v>
      </c>
      <c r="E5780" s="2" t="s">
        <v>12</v>
      </c>
      <c r="F5780">
        <f t="shared" si="90"/>
        <v>356.94</v>
      </c>
      <c r="G5780" t="s">
        <v>16</v>
      </c>
      <c r="J5780" t="str">
        <f>"07/27/2001 23:45"</f>
        <v>07/27/2001 23:45</v>
      </c>
    </row>
    <row r="5781" spans="1:10" x14ac:dyDescent="0.3">
      <c r="A5781" t="s">
        <v>6</v>
      </c>
      <c r="B5781" t="str">
        <f>"07/28/2001 00:00"</f>
        <v>07/28/2001 00:00</v>
      </c>
      <c r="C5781">
        <v>206</v>
      </c>
      <c r="D5781" t="s">
        <v>7</v>
      </c>
      <c r="E5781" s="2" t="s">
        <v>12</v>
      </c>
      <c r="F5781">
        <f t="shared" si="90"/>
        <v>408.49800000000005</v>
      </c>
      <c r="G5781" t="s">
        <v>16</v>
      </c>
      <c r="J5781" t="str">
        <f>"07/28/2001 23:45"</f>
        <v>07/28/2001 23:45</v>
      </c>
    </row>
    <row r="5782" spans="1:10" x14ac:dyDescent="0.3">
      <c r="A5782" t="s">
        <v>6</v>
      </c>
      <c r="B5782" t="str">
        <f>"07/29/2001 00:00"</f>
        <v>07/29/2001 00:00</v>
      </c>
      <c r="C5782">
        <v>206</v>
      </c>
      <c r="D5782" t="s">
        <v>7</v>
      </c>
      <c r="E5782" s="2" t="s">
        <v>12</v>
      </c>
      <c r="F5782">
        <f t="shared" si="90"/>
        <v>408.49800000000005</v>
      </c>
      <c r="G5782" t="s">
        <v>16</v>
      </c>
      <c r="J5782" t="str">
        <f>"07/29/2001 23:45"</f>
        <v>07/29/2001 23:45</v>
      </c>
    </row>
    <row r="5783" spans="1:10" x14ac:dyDescent="0.3">
      <c r="A5783" t="s">
        <v>6</v>
      </c>
      <c r="B5783" t="str">
        <f>"07/30/2001 00:00"</f>
        <v>07/30/2001 00:00</v>
      </c>
      <c r="C5783">
        <v>206</v>
      </c>
      <c r="D5783" t="s">
        <v>7</v>
      </c>
      <c r="E5783" s="2" t="s">
        <v>12</v>
      </c>
      <c r="F5783">
        <f t="shared" si="90"/>
        <v>408.49800000000005</v>
      </c>
      <c r="G5783" t="s">
        <v>16</v>
      </c>
      <c r="J5783" t="str">
        <f>"07/30/2001 23:45"</f>
        <v>07/30/2001 23:45</v>
      </c>
    </row>
    <row r="5784" spans="1:10" x14ac:dyDescent="0.3">
      <c r="A5784" t="s">
        <v>6</v>
      </c>
      <c r="B5784" t="str">
        <f>"07/31/2001 00:00"</f>
        <v>07/31/2001 00:00</v>
      </c>
      <c r="C5784">
        <v>206</v>
      </c>
      <c r="D5784" t="s">
        <v>7</v>
      </c>
      <c r="E5784" s="2" t="s">
        <v>12</v>
      </c>
      <c r="F5784">
        <f t="shared" si="90"/>
        <v>408.49800000000005</v>
      </c>
      <c r="G5784" t="s">
        <v>16</v>
      </c>
      <c r="J5784" t="str">
        <f>"07/31/2001 23:45"</f>
        <v>07/31/2001 23:45</v>
      </c>
    </row>
    <row r="5785" spans="1:10" x14ac:dyDescent="0.3">
      <c r="A5785" t="s">
        <v>6</v>
      </c>
      <c r="B5785" t="str">
        <f>"08/01/2001 00:00"</f>
        <v>08/01/2001 00:00</v>
      </c>
      <c r="C5785">
        <v>207</v>
      </c>
      <c r="D5785" t="s">
        <v>7</v>
      </c>
      <c r="E5785" s="2" t="s">
        <v>12</v>
      </c>
      <c r="F5785">
        <f t="shared" si="90"/>
        <v>410.48099999999999</v>
      </c>
      <c r="G5785" t="s">
        <v>16</v>
      </c>
      <c r="J5785" t="str">
        <f>"08/01/2001 23:45"</f>
        <v>08/01/2001 23:45</v>
      </c>
    </row>
    <row r="5786" spans="1:10" x14ac:dyDescent="0.3">
      <c r="A5786" t="s">
        <v>6</v>
      </c>
      <c r="B5786" t="str">
        <f>"08/02/2001 00:00"</f>
        <v>08/02/2001 00:00</v>
      </c>
      <c r="C5786">
        <v>207</v>
      </c>
      <c r="D5786" t="s">
        <v>7</v>
      </c>
      <c r="E5786" s="2" t="s">
        <v>12</v>
      </c>
      <c r="F5786">
        <f t="shared" si="90"/>
        <v>410.48099999999999</v>
      </c>
      <c r="G5786" t="s">
        <v>16</v>
      </c>
      <c r="J5786" t="str">
        <f>"08/02/2001 23:45"</f>
        <v>08/02/2001 23:45</v>
      </c>
    </row>
    <row r="5787" spans="1:10" x14ac:dyDescent="0.3">
      <c r="A5787" t="s">
        <v>6</v>
      </c>
      <c r="B5787" t="str">
        <f>"08/03/2001 00:00"</f>
        <v>08/03/2001 00:00</v>
      </c>
      <c r="C5787">
        <v>207</v>
      </c>
      <c r="D5787" t="s">
        <v>7</v>
      </c>
      <c r="E5787" s="2" t="s">
        <v>12</v>
      </c>
      <c r="F5787">
        <f t="shared" si="90"/>
        <v>410.48099999999999</v>
      </c>
      <c r="G5787" t="s">
        <v>16</v>
      </c>
      <c r="J5787" t="str">
        <f>"08/03/2001 23:45"</f>
        <v>08/03/2001 23:45</v>
      </c>
    </row>
    <row r="5788" spans="1:10" x14ac:dyDescent="0.3">
      <c r="A5788" t="s">
        <v>6</v>
      </c>
      <c r="B5788" t="str">
        <f>"08/04/2001 00:00"</f>
        <v>08/04/2001 00:00</v>
      </c>
      <c r="C5788">
        <v>208</v>
      </c>
      <c r="D5788" t="s">
        <v>7</v>
      </c>
      <c r="E5788" s="2" t="s">
        <v>12</v>
      </c>
      <c r="F5788">
        <f t="shared" si="90"/>
        <v>412.464</v>
      </c>
      <c r="G5788" t="s">
        <v>16</v>
      </c>
      <c r="J5788" t="str">
        <f>"08/04/2001 23:45"</f>
        <v>08/04/2001 23:45</v>
      </c>
    </row>
    <row r="5789" spans="1:10" x14ac:dyDescent="0.3">
      <c r="A5789" t="s">
        <v>6</v>
      </c>
      <c r="B5789" t="str">
        <f>"08/05/2001 00:00"</f>
        <v>08/05/2001 00:00</v>
      </c>
      <c r="C5789">
        <v>208</v>
      </c>
      <c r="D5789" t="s">
        <v>7</v>
      </c>
      <c r="E5789" s="2" t="s">
        <v>12</v>
      </c>
      <c r="F5789">
        <f t="shared" si="90"/>
        <v>412.464</v>
      </c>
      <c r="G5789" t="s">
        <v>16</v>
      </c>
      <c r="J5789" t="str">
        <f>"08/05/2001 23:45"</f>
        <v>08/05/2001 23:45</v>
      </c>
    </row>
    <row r="5790" spans="1:10" x14ac:dyDescent="0.3">
      <c r="A5790" t="s">
        <v>6</v>
      </c>
      <c r="B5790" t="str">
        <f>"08/06/2001 00:00"</f>
        <v>08/06/2001 00:00</v>
      </c>
      <c r="C5790">
        <v>208</v>
      </c>
      <c r="D5790" t="s">
        <v>7</v>
      </c>
      <c r="E5790" s="2" t="s">
        <v>12</v>
      </c>
      <c r="F5790">
        <f t="shared" si="90"/>
        <v>412.464</v>
      </c>
      <c r="G5790" t="s">
        <v>16</v>
      </c>
      <c r="J5790" t="str">
        <f>"08/06/2001 23:45"</f>
        <v>08/06/2001 23:45</v>
      </c>
    </row>
    <row r="5791" spans="1:10" x14ac:dyDescent="0.3">
      <c r="A5791" t="s">
        <v>6</v>
      </c>
      <c r="B5791" t="str">
        <f>"08/07/2001 00:00"</f>
        <v>08/07/2001 00:00</v>
      </c>
      <c r="C5791">
        <v>209</v>
      </c>
      <c r="D5791" t="s">
        <v>7</v>
      </c>
      <c r="E5791" s="2" t="s">
        <v>12</v>
      </c>
      <c r="F5791">
        <f t="shared" si="90"/>
        <v>414.447</v>
      </c>
      <c r="G5791" t="s">
        <v>16</v>
      </c>
      <c r="J5791" t="str">
        <f>"08/07/2001 23:45"</f>
        <v>08/07/2001 23:45</v>
      </c>
    </row>
    <row r="5792" spans="1:10" x14ac:dyDescent="0.3">
      <c r="A5792" t="s">
        <v>6</v>
      </c>
      <c r="B5792" t="str">
        <f>"08/08/2001 00:00"</f>
        <v>08/08/2001 00:00</v>
      </c>
      <c r="C5792">
        <v>209</v>
      </c>
      <c r="D5792" t="s">
        <v>7</v>
      </c>
      <c r="E5792" s="2" t="s">
        <v>12</v>
      </c>
      <c r="F5792">
        <f t="shared" si="90"/>
        <v>414.447</v>
      </c>
      <c r="G5792" t="s">
        <v>16</v>
      </c>
      <c r="J5792" t="str">
        <f>"08/08/2001 23:45"</f>
        <v>08/08/2001 23:45</v>
      </c>
    </row>
    <row r="5793" spans="1:10" x14ac:dyDescent="0.3">
      <c r="A5793" t="s">
        <v>6</v>
      </c>
      <c r="B5793" t="str">
        <f>"08/09/2001 00:00"</f>
        <v>08/09/2001 00:00</v>
      </c>
      <c r="C5793">
        <v>210</v>
      </c>
      <c r="D5793" t="s">
        <v>7</v>
      </c>
      <c r="E5793" s="2" t="s">
        <v>12</v>
      </c>
      <c r="F5793">
        <f t="shared" si="90"/>
        <v>416.43</v>
      </c>
      <c r="G5793" t="s">
        <v>16</v>
      </c>
      <c r="J5793" t="str">
        <f>"08/09/2001 23:45"</f>
        <v>08/09/2001 23:45</v>
      </c>
    </row>
    <row r="5794" spans="1:10" x14ac:dyDescent="0.3">
      <c r="A5794" t="s">
        <v>6</v>
      </c>
      <c r="B5794" t="str">
        <f>"08/10/2001 00:00"</f>
        <v>08/10/2001 00:00</v>
      </c>
      <c r="C5794">
        <v>211</v>
      </c>
      <c r="D5794" t="s">
        <v>7</v>
      </c>
      <c r="E5794" s="2" t="s">
        <v>12</v>
      </c>
      <c r="F5794">
        <f t="shared" si="90"/>
        <v>418.41300000000001</v>
      </c>
      <c r="G5794" t="s">
        <v>16</v>
      </c>
      <c r="J5794" t="str">
        <f>"08/10/2001 23:45"</f>
        <v>08/10/2001 23:45</v>
      </c>
    </row>
    <row r="5795" spans="1:10" x14ac:dyDescent="0.3">
      <c r="A5795" t="s">
        <v>6</v>
      </c>
      <c r="B5795" t="str">
        <f>"08/11/2001 00:00"</f>
        <v>08/11/2001 00:00</v>
      </c>
      <c r="C5795">
        <v>212</v>
      </c>
      <c r="D5795" t="s">
        <v>7</v>
      </c>
      <c r="E5795" s="2" t="s">
        <v>12</v>
      </c>
      <c r="F5795">
        <f t="shared" si="90"/>
        <v>420.39600000000002</v>
      </c>
      <c r="G5795" t="s">
        <v>16</v>
      </c>
      <c r="J5795" t="str">
        <f>"08/11/2001 23:45"</f>
        <v>08/11/2001 23:45</v>
      </c>
    </row>
    <row r="5796" spans="1:10" x14ac:dyDescent="0.3">
      <c r="A5796" t="s">
        <v>6</v>
      </c>
      <c r="B5796" t="str">
        <f>"08/12/2001 00:00"</f>
        <v>08/12/2001 00:00</v>
      </c>
      <c r="C5796">
        <v>212</v>
      </c>
      <c r="D5796" t="s">
        <v>7</v>
      </c>
      <c r="E5796" s="2" t="s">
        <v>12</v>
      </c>
      <c r="F5796">
        <f t="shared" si="90"/>
        <v>420.39600000000002</v>
      </c>
      <c r="G5796" t="s">
        <v>16</v>
      </c>
      <c r="J5796" t="str">
        <f>"08/12/2001 23:45"</f>
        <v>08/12/2001 23:45</v>
      </c>
    </row>
    <row r="5797" spans="1:10" x14ac:dyDescent="0.3">
      <c r="A5797" t="s">
        <v>6</v>
      </c>
      <c r="B5797" t="str">
        <f>"08/13/2001 00:00"</f>
        <v>08/13/2001 00:00</v>
      </c>
      <c r="C5797">
        <v>213</v>
      </c>
      <c r="D5797" t="s">
        <v>7</v>
      </c>
      <c r="E5797" s="2" t="s">
        <v>12</v>
      </c>
      <c r="F5797">
        <f t="shared" si="90"/>
        <v>422.37900000000002</v>
      </c>
      <c r="G5797" t="s">
        <v>16</v>
      </c>
      <c r="J5797" t="str">
        <f>"08/13/2001 23:45"</f>
        <v>08/13/2001 23:45</v>
      </c>
    </row>
    <row r="5798" spans="1:10" x14ac:dyDescent="0.3">
      <c r="A5798" t="s">
        <v>6</v>
      </c>
      <c r="B5798" t="str">
        <f>"08/14/2001 00:00"</f>
        <v>08/14/2001 00:00</v>
      </c>
      <c r="C5798">
        <v>213</v>
      </c>
      <c r="D5798" t="s">
        <v>7</v>
      </c>
      <c r="E5798" s="2" t="s">
        <v>12</v>
      </c>
      <c r="F5798">
        <f t="shared" si="90"/>
        <v>422.37900000000002</v>
      </c>
      <c r="G5798" t="s">
        <v>16</v>
      </c>
      <c r="J5798" t="str">
        <f>"08/14/2001 23:45"</f>
        <v>08/14/2001 23:45</v>
      </c>
    </row>
    <row r="5799" spans="1:10" x14ac:dyDescent="0.3">
      <c r="A5799" t="s">
        <v>6</v>
      </c>
      <c r="B5799" t="str">
        <f>"08/15/2001 00:00"</f>
        <v>08/15/2001 00:00</v>
      </c>
      <c r="C5799">
        <v>171</v>
      </c>
      <c r="D5799" t="s">
        <v>7</v>
      </c>
      <c r="E5799" s="2" t="s">
        <v>12</v>
      </c>
      <c r="F5799">
        <f t="shared" si="90"/>
        <v>339.09300000000002</v>
      </c>
      <c r="G5799" t="s">
        <v>16</v>
      </c>
      <c r="J5799" t="str">
        <f>"08/15/2001 23:45"</f>
        <v>08/15/2001 23:45</v>
      </c>
    </row>
    <row r="5800" spans="1:10" x14ac:dyDescent="0.3">
      <c r="A5800" t="s">
        <v>6</v>
      </c>
      <c r="B5800" t="str">
        <f>"08/16/2001 00:00"</f>
        <v>08/16/2001 00:00</v>
      </c>
      <c r="C5800">
        <v>140</v>
      </c>
      <c r="D5800" t="s">
        <v>7</v>
      </c>
      <c r="E5800" s="2" t="s">
        <v>12</v>
      </c>
      <c r="F5800">
        <f t="shared" si="90"/>
        <v>277.62</v>
      </c>
      <c r="G5800" t="s">
        <v>16</v>
      </c>
      <c r="J5800" t="str">
        <f>"08/16/2001 23:45"</f>
        <v>08/16/2001 23:45</v>
      </c>
    </row>
    <row r="5801" spans="1:10" x14ac:dyDescent="0.3">
      <c r="A5801" t="s">
        <v>6</v>
      </c>
      <c r="B5801" t="str">
        <f>"08/17/2001 00:00"</f>
        <v>08/17/2001 00:00</v>
      </c>
      <c r="C5801">
        <v>141</v>
      </c>
      <c r="D5801" t="s">
        <v>7</v>
      </c>
      <c r="E5801" s="2" t="s">
        <v>12</v>
      </c>
      <c r="F5801">
        <f t="shared" si="90"/>
        <v>279.60300000000001</v>
      </c>
      <c r="G5801" t="s">
        <v>16</v>
      </c>
      <c r="J5801" t="str">
        <f>"08/17/2001 23:45"</f>
        <v>08/17/2001 23:45</v>
      </c>
    </row>
    <row r="5802" spans="1:10" x14ac:dyDescent="0.3">
      <c r="A5802" t="s">
        <v>6</v>
      </c>
      <c r="B5802" t="str">
        <f>"08/18/2001 00:00"</f>
        <v>08/18/2001 00:00</v>
      </c>
      <c r="C5802">
        <v>142</v>
      </c>
      <c r="D5802" t="s">
        <v>7</v>
      </c>
      <c r="E5802" s="2" t="s">
        <v>12</v>
      </c>
      <c r="F5802">
        <f t="shared" si="90"/>
        <v>281.58600000000001</v>
      </c>
      <c r="G5802" t="s">
        <v>16</v>
      </c>
      <c r="J5802" t="str">
        <f>"08/18/2001 23:45"</f>
        <v>08/18/2001 23:45</v>
      </c>
    </row>
    <row r="5803" spans="1:10" x14ac:dyDescent="0.3">
      <c r="A5803" t="s">
        <v>6</v>
      </c>
      <c r="B5803" t="str">
        <f>"08/19/2001 00:00"</f>
        <v>08/19/2001 00:00</v>
      </c>
      <c r="C5803">
        <v>142</v>
      </c>
      <c r="D5803" t="s">
        <v>7</v>
      </c>
      <c r="E5803" s="2" t="s">
        <v>12</v>
      </c>
      <c r="F5803">
        <f t="shared" si="90"/>
        <v>281.58600000000001</v>
      </c>
      <c r="G5803" t="s">
        <v>16</v>
      </c>
      <c r="J5803" t="str">
        <f>"08/19/2001 23:45"</f>
        <v>08/19/2001 23:45</v>
      </c>
    </row>
    <row r="5804" spans="1:10" x14ac:dyDescent="0.3">
      <c r="A5804" t="s">
        <v>6</v>
      </c>
      <c r="B5804" t="str">
        <f>"08/20/2001 00:00"</f>
        <v>08/20/2001 00:00</v>
      </c>
      <c r="C5804">
        <v>171</v>
      </c>
      <c r="D5804" t="s">
        <v>7</v>
      </c>
      <c r="E5804" s="2" t="s">
        <v>12</v>
      </c>
      <c r="F5804">
        <f t="shared" si="90"/>
        <v>339.09300000000002</v>
      </c>
      <c r="G5804" t="s">
        <v>16</v>
      </c>
      <c r="J5804" t="str">
        <f>"08/20/2001 23:45"</f>
        <v>08/20/2001 23:45</v>
      </c>
    </row>
    <row r="5805" spans="1:10" x14ac:dyDescent="0.3">
      <c r="A5805" t="s">
        <v>6</v>
      </c>
      <c r="B5805" t="str">
        <f>"08/21/2001 00:00"</f>
        <v>08/21/2001 00:00</v>
      </c>
      <c r="C5805">
        <v>200</v>
      </c>
      <c r="D5805" t="s">
        <v>7</v>
      </c>
      <c r="E5805" s="2" t="s">
        <v>12</v>
      </c>
      <c r="F5805">
        <f t="shared" si="90"/>
        <v>396.6</v>
      </c>
      <c r="G5805" t="s">
        <v>16</v>
      </c>
      <c r="J5805" t="str">
        <f>"08/21/2001 23:45"</f>
        <v>08/21/2001 23:45</v>
      </c>
    </row>
    <row r="5806" spans="1:10" x14ac:dyDescent="0.3">
      <c r="A5806" t="s">
        <v>6</v>
      </c>
      <c r="B5806" t="str">
        <f>"08/22/2001 00:00"</f>
        <v>08/22/2001 00:00</v>
      </c>
      <c r="C5806">
        <v>171</v>
      </c>
      <c r="D5806" t="s">
        <v>7</v>
      </c>
      <c r="E5806" s="2" t="s">
        <v>12</v>
      </c>
      <c r="F5806">
        <f t="shared" si="90"/>
        <v>339.09300000000002</v>
      </c>
      <c r="G5806" t="s">
        <v>16</v>
      </c>
      <c r="J5806" t="str">
        <f>"08/22/2001 23:45"</f>
        <v>08/22/2001 23:45</v>
      </c>
    </row>
    <row r="5807" spans="1:10" x14ac:dyDescent="0.3">
      <c r="A5807" t="s">
        <v>6</v>
      </c>
      <c r="B5807" t="str">
        <f>"08/23/2001 00:00"</f>
        <v>08/23/2001 00:00</v>
      </c>
      <c r="C5807">
        <v>152</v>
      </c>
      <c r="D5807" t="s">
        <v>7</v>
      </c>
      <c r="E5807" s="2" t="s">
        <v>12</v>
      </c>
      <c r="F5807">
        <f t="shared" si="90"/>
        <v>301.416</v>
      </c>
      <c r="G5807" t="s">
        <v>16</v>
      </c>
      <c r="J5807" t="str">
        <f>"08/23/2001 23:45"</f>
        <v>08/23/2001 23:45</v>
      </c>
    </row>
    <row r="5808" spans="1:10" x14ac:dyDescent="0.3">
      <c r="A5808" t="s">
        <v>6</v>
      </c>
      <c r="B5808" t="str">
        <f>"08/24/2001 00:00"</f>
        <v>08/24/2001 00:00</v>
      </c>
      <c r="C5808">
        <v>152</v>
      </c>
      <c r="D5808" t="s">
        <v>7</v>
      </c>
      <c r="E5808" s="2" t="s">
        <v>12</v>
      </c>
      <c r="F5808">
        <f t="shared" si="90"/>
        <v>301.416</v>
      </c>
      <c r="G5808" t="s">
        <v>16</v>
      </c>
      <c r="J5808" t="str">
        <f>"08/24/2001 23:45"</f>
        <v>08/24/2001 23:45</v>
      </c>
    </row>
    <row r="5809" spans="1:10" x14ac:dyDescent="0.3">
      <c r="A5809" t="s">
        <v>6</v>
      </c>
      <c r="B5809" t="str">
        <f>"08/25/2001 00:00"</f>
        <v>08/25/2001 00:00</v>
      </c>
      <c r="C5809">
        <v>152</v>
      </c>
      <c r="D5809" t="s">
        <v>7</v>
      </c>
      <c r="E5809" s="2" t="s">
        <v>12</v>
      </c>
      <c r="F5809">
        <f t="shared" si="90"/>
        <v>301.416</v>
      </c>
      <c r="G5809" t="s">
        <v>16</v>
      </c>
      <c r="J5809" t="str">
        <f>"08/25/2001 23:45"</f>
        <v>08/25/2001 23:45</v>
      </c>
    </row>
    <row r="5810" spans="1:10" x14ac:dyDescent="0.3">
      <c r="A5810" t="s">
        <v>6</v>
      </c>
      <c r="B5810" t="str">
        <f>"08/26/2001 00:00"</f>
        <v>08/26/2001 00:00</v>
      </c>
      <c r="C5810">
        <v>152</v>
      </c>
      <c r="D5810" t="s">
        <v>7</v>
      </c>
      <c r="E5810" s="2" t="s">
        <v>12</v>
      </c>
      <c r="F5810">
        <f t="shared" si="90"/>
        <v>301.416</v>
      </c>
      <c r="G5810" t="s">
        <v>16</v>
      </c>
      <c r="J5810" t="str">
        <f>"08/26/2001 23:45"</f>
        <v>08/26/2001 23:45</v>
      </c>
    </row>
    <row r="5811" spans="1:10" x14ac:dyDescent="0.3">
      <c r="A5811" t="s">
        <v>6</v>
      </c>
      <c r="B5811" t="str">
        <f>"08/27/2001 00:00"</f>
        <v>08/27/2001 00:00</v>
      </c>
      <c r="C5811">
        <v>153</v>
      </c>
      <c r="D5811" t="s">
        <v>7</v>
      </c>
      <c r="E5811" s="2" t="s">
        <v>12</v>
      </c>
      <c r="F5811">
        <f t="shared" si="90"/>
        <v>303.399</v>
      </c>
      <c r="G5811" t="s">
        <v>16</v>
      </c>
      <c r="J5811" t="str">
        <f>"08/27/2001 23:45"</f>
        <v>08/27/2001 23:45</v>
      </c>
    </row>
    <row r="5812" spans="1:10" x14ac:dyDescent="0.3">
      <c r="A5812" t="s">
        <v>6</v>
      </c>
      <c r="B5812" t="str">
        <f>"08/28/2001 00:00"</f>
        <v>08/28/2001 00:00</v>
      </c>
      <c r="C5812">
        <v>153</v>
      </c>
      <c r="D5812" t="s">
        <v>7</v>
      </c>
      <c r="E5812" s="2" t="s">
        <v>12</v>
      </c>
      <c r="F5812">
        <f t="shared" si="90"/>
        <v>303.399</v>
      </c>
      <c r="G5812" t="s">
        <v>16</v>
      </c>
      <c r="J5812" t="str">
        <f>"08/28/2001 23:45"</f>
        <v>08/28/2001 23:45</v>
      </c>
    </row>
    <row r="5813" spans="1:10" x14ac:dyDescent="0.3">
      <c r="A5813" t="s">
        <v>6</v>
      </c>
      <c r="B5813" t="str">
        <f>"08/29/2001 00:00"</f>
        <v>08/29/2001 00:00</v>
      </c>
      <c r="C5813">
        <v>153</v>
      </c>
      <c r="D5813" t="s">
        <v>7</v>
      </c>
      <c r="E5813" s="2" t="s">
        <v>12</v>
      </c>
      <c r="F5813">
        <f t="shared" si="90"/>
        <v>303.399</v>
      </c>
      <c r="G5813" t="s">
        <v>16</v>
      </c>
      <c r="J5813" t="str">
        <f>"08/29/2001 23:45"</f>
        <v>08/29/2001 23:45</v>
      </c>
    </row>
    <row r="5814" spans="1:10" x14ac:dyDescent="0.3">
      <c r="A5814" t="s">
        <v>6</v>
      </c>
      <c r="B5814" t="str">
        <f>"08/30/2001 00:00"</f>
        <v>08/30/2001 00:00</v>
      </c>
      <c r="C5814">
        <v>147</v>
      </c>
      <c r="D5814" t="s">
        <v>7</v>
      </c>
      <c r="E5814" s="2" t="s">
        <v>12</v>
      </c>
      <c r="F5814">
        <f t="shared" si="90"/>
        <v>291.50100000000003</v>
      </c>
      <c r="G5814" t="s">
        <v>16</v>
      </c>
      <c r="I5814" t="s">
        <v>8</v>
      </c>
      <c r="J5814" t="str">
        <f>"08/30/2001 23:45"</f>
        <v>08/30/2001 23:45</v>
      </c>
    </row>
    <row r="5815" spans="1:10" x14ac:dyDescent="0.3">
      <c r="A5815" t="s">
        <v>6</v>
      </c>
      <c r="B5815" t="str">
        <f>"08/31/2001 00:00"</f>
        <v>08/31/2001 00:00</v>
      </c>
      <c r="C5815">
        <v>143</v>
      </c>
      <c r="D5815" t="s">
        <v>7</v>
      </c>
      <c r="E5815" s="2" t="s">
        <v>12</v>
      </c>
      <c r="F5815">
        <f t="shared" si="90"/>
        <v>283.56900000000002</v>
      </c>
      <c r="G5815" t="s">
        <v>16</v>
      </c>
      <c r="J5815" t="str">
        <f>"08/31/2001 23:45"</f>
        <v>08/31/2001 23:45</v>
      </c>
    </row>
    <row r="5816" spans="1:10" x14ac:dyDescent="0.3">
      <c r="A5816" t="s">
        <v>6</v>
      </c>
      <c r="B5816" t="str">
        <f>"09/01/2001 00:00"</f>
        <v>09/01/2001 00:00</v>
      </c>
      <c r="C5816">
        <v>143</v>
      </c>
      <c r="D5816" t="s">
        <v>7</v>
      </c>
      <c r="E5816" s="2" t="s">
        <v>12</v>
      </c>
      <c r="F5816">
        <f t="shared" si="90"/>
        <v>283.56900000000002</v>
      </c>
      <c r="G5816" t="s">
        <v>16</v>
      </c>
      <c r="J5816" t="str">
        <f>"09/01/2001 23:45"</f>
        <v>09/01/2001 23:45</v>
      </c>
    </row>
    <row r="5817" spans="1:10" x14ac:dyDescent="0.3">
      <c r="A5817" t="s">
        <v>6</v>
      </c>
      <c r="B5817" t="str">
        <f>"09/02/2001 00:00"</f>
        <v>09/02/2001 00:00</v>
      </c>
      <c r="C5817">
        <v>143</v>
      </c>
      <c r="D5817" t="s">
        <v>7</v>
      </c>
      <c r="E5817" s="2" t="s">
        <v>12</v>
      </c>
      <c r="F5817">
        <f t="shared" si="90"/>
        <v>283.56900000000002</v>
      </c>
      <c r="G5817" t="s">
        <v>16</v>
      </c>
      <c r="J5817" t="str">
        <f>"09/02/2001 23:45"</f>
        <v>09/02/2001 23:45</v>
      </c>
    </row>
    <row r="5818" spans="1:10" x14ac:dyDescent="0.3">
      <c r="A5818" t="s">
        <v>6</v>
      </c>
      <c r="B5818" t="str">
        <f>"09/03/2001 00:00"</f>
        <v>09/03/2001 00:00</v>
      </c>
      <c r="C5818">
        <v>143</v>
      </c>
      <c r="D5818" t="s">
        <v>7</v>
      </c>
      <c r="E5818" s="2" t="s">
        <v>12</v>
      </c>
      <c r="F5818">
        <f t="shared" si="90"/>
        <v>283.56900000000002</v>
      </c>
      <c r="G5818" t="s">
        <v>16</v>
      </c>
      <c r="J5818" t="str">
        <f>"09/03/2001 23:45"</f>
        <v>09/03/2001 23:45</v>
      </c>
    </row>
    <row r="5819" spans="1:10" x14ac:dyDescent="0.3">
      <c r="A5819" t="s">
        <v>6</v>
      </c>
      <c r="B5819" t="str">
        <f>"09/04/2001 00:00"</f>
        <v>09/04/2001 00:00</v>
      </c>
      <c r="C5819">
        <v>70.900000000000006</v>
      </c>
      <c r="D5819" t="s">
        <v>7</v>
      </c>
      <c r="E5819" s="2" t="s">
        <v>12</v>
      </c>
      <c r="F5819">
        <f t="shared" si="90"/>
        <v>140.59470000000002</v>
      </c>
      <c r="G5819" t="s">
        <v>16</v>
      </c>
      <c r="J5819" t="str">
        <f>"09/04/2001 23:45"</f>
        <v>09/04/2001 23:45</v>
      </c>
    </row>
    <row r="5820" spans="1:10" x14ac:dyDescent="0.3">
      <c r="A5820" t="s">
        <v>6</v>
      </c>
      <c r="B5820" t="str">
        <f>"09/05/2001 00:00"</f>
        <v>09/05/2001 00:00</v>
      </c>
      <c r="C5820">
        <v>13.8</v>
      </c>
      <c r="D5820" t="s">
        <v>7</v>
      </c>
      <c r="E5820" s="2" t="s">
        <v>12</v>
      </c>
      <c r="F5820">
        <f t="shared" si="90"/>
        <v>27.365400000000001</v>
      </c>
      <c r="G5820" t="s">
        <v>16</v>
      </c>
      <c r="J5820" t="str">
        <f>"09/05/2001 23:45"</f>
        <v>09/05/2001 23:45</v>
      </c>
    </row>
    <row r="5821" spans="1:10" x14ac:dyDescent="0.3">
      <c r="A5821" t="s">
        <v>6</v>
      </c>
      <c r="B5821" t="str">
        <f>"09/06/2001 00:00"</f>
        <v>09/06/2001 00:00</v>
      </c>
      <c r="C5821">
        <v>0.216</v>
      </c>
      <c r="D5821" t="s">
        <v>7</v>
      </c>
      <c r="E5821" s="2" t="s">
        <v>12</v>
      </c>
      <c r="F5821">
        <f t="shared" si="90"/>
        <v>0.42832800000000004</v>
      </c>
      <c r="G5821" t="s">
        <v>16</v>
      </c>
      <c r="J5821" t="str">
        <f>"09/06/2001 23:45"</f>
        <v>09/06/2001 23:45</v>
      </c>
    </row>
    <row r="5822" spans="1:10" x14ac:dyDescent="0.3">
      <c r="A5822" t="s">
        <v>6</v>
      </c>
      <c r="B5822" t="str">
        <f>"09/07/2001 00:00"</f>
        <v>09/07/2001 00:00</v>
      </c>
      <c r="C5822">
        <v>44.9</v>
      </c>
      <c r="D5822" t="s">
        <v>7</v>
      </c>
      <c r="E5822" s="2" t="s">
        <v>12</v>
      </c>
      <c r="F5822">
        <f t="shared" si="90"/>
        <v>89.036699999999996</v>
      </c>
      <c r="G5822" t="s">
        <v>16</v>
      </c>
      <c r="J5822" t="str">
        <f>"09/07/2001 23:45"</f>
        <v>09/07/2001 23:45</v>
      </c>
    </row>
    <row r="5823" spans="1:10" x14ac:dyDescent="0.3">
      <c r="A5823" t="s">
        <v>6</v>
      </c>
      <c r="B5823" t="str">
        <f>"09/08/2001 00:00"</f>
        <v>09/08/2001 00:00</v>
      </c>
      <c r="C5823">
        <v>124</v>
      </c>
      <c r="D5823" t="s">
        <v>7</v>
      </c>
      <c r="E5823" s="2" t="s">
        <v>12</v>
      </c>
      <c r="F5823">
        <f t="shared" si="90"/>
        <v>245.89200000000002</v>
      </c>
      <c r="G5823" t="s">
        <v>16</v>
      </c>
      <c r="J5823" t="str">
        <f>"09/08/2001 23:45"</f>
        <v>09/08/2001 23:45</v>
      </c>
    </row>
    <row r="5824" spans="1:10" x14ac:dyDescent="0.3">
      <c r="A5824" t="s">
        <v>6</v>
      </c>
      <c r="B5824" t="str">
        <f>"09/09/2001 00:00"</f>
        <v>09/09/2001 00:00</v>
      </c>
      <c r="C5824">
        <v>138</v>
      </c>
      <c r="D5824" t="s">
        <v>7</v>
      </c>
      <c r="E5824" s="2" t="s">
        <v>12</v>
      </c>
      <c r="F5824">
        <f t="shared" si="90"/>
        <v>273.654</v>
      </c>
      <c r="G5824" t="s">
        <v>16</v>
      </c>
      <c r="J5824" t="str">
        <f>"09/09/2001 23:45"</f>
        <v>09/09/2001 23:45</v>
      </c>
    </row>
    <row r="5825" spans="1:10" x14ac:dyDescent="0.3">
      <c r="A5825" t="s">
        <v>6</v>
      </c>
      <c r="B5825" t="str">
        <f>"09/10/2001 00:00"</f>
        <v>09/10/2001 00:00</v>
      </c>
      <c r="C5825">
        <v>146</v>
      </c>
      <c r="D5825" t="s">
        <v>7</v>
      </c>
      <c r="E5825" s="2" t="s">
        <v>12</v>
      </c>
      <c r="F5825">
        <f t="shared" si="90"/>
        <v>289.51800000000003</v>
      </c>
      <c r="G5825" t="s">
        <v>16</v>
      </c>
      <c r="J5825" t="str">
        <f>"09/10/2001 23:45"</f>
        <v>09/10/2001 23:45</v>
      </c>
    </row>
    <row r="5826" spans="1:10" x14ac:dyDescent="0.3">
      <c r="A5826" t="s">
        <v>6</v>
      </c>
      <c r="B5826" t="str">
        <f>"09/11/2001 00:00"</f>
        <v>09/11/2001 00:00</v>
      </c>
      <c r="C5826">
        <v>178</v>
      </c>
      <c r="D5826" t="s">
        <v>7</v>
      </c>
      <c r="E5826" s="2" t="s">
        <v>12</v>
      </c>
      <c r="F5826">
        <f t="shared" si="90"/>
        <v>352.97399999999999</v>
      </c>
      <c r="G5826" t="s">
        <v>16</v>
      </c>
      <c r="I5826" t="s">
        <v>8</v>
      </c>
      <c r="J5826" t="str">
        <f>"09/11/2001 23:45"</f>
        <v>09/11/2001 23:45</v>
      </c>
    </row>
    <row r="5827" spans="1:10" x14ac:dyDescent="0.3">
      <c r="A5827" t="s">
        <v>6</v>
      </c>
      <c r="B5827" t="str">
        <f>"09/12/2001 00:00"</f>
        <v>09/12/2001 00:00</v>
      </c>
      <c r="C5827">
        <v>256</v>
      </c>
      <c r="D5827" t="s">
        <v>7</v>
      </c>
      <c r="E5827" s="2" t="s">
        <v>12</v>
      </c>
      <c r="F5827">
        <f t="shared" ref="F5827:F5845" si="91">C5827*1.983</f>
        <v>507.64800000000002</v>
      </c>
      <c r="G5827" t="s">
        <v>16</v>
      </c>
      <c r="J5827" t="str">
        <f>"09/12/2001 23:45"</f>
        <v>09/12/2001 23:45</v>
      </c>
    </row>
    <row r="5828" spans="1:10" x14ac:dyDescent="0.3">
      <c r="A5828" t="s">
        <v>6</v>
      </c>
      <c r="B5828" t="str">
        <f>"09/13/2001 00:00"</f>
        <v>09/13/2001 00:00</v>
      </c>
      <c r="C5828">
        <v>289</v>
      </c>
      <c r="D5828" t="s">
        <v>7</v>
      </c>
      <c r="E5828" s="2" t="s">
        <v>12</v>
      </c>
      <c r="F5828">
        <f t="shared" si="91"/>
        <v>573.08699999999999</v>
      </c>
      <c r="G5828" t="s">
        <v>16</v>
      </c>
      <c r="J5828" t="str">
        <f>"09/13/2001 23:45"</f>
        <v>09/13/2001 23:45</v>
      </c>
    </row>
    <row r="5829" spans="1:10" x14ac:dyDescent="0.3">
      <c r="A5829" t="s">
        <v>6</v>
      </c>
      <c r="B5829" t="str">
        <f>"09/14/2001 00:00"</f>
        <v>09/14/2001 00:00</v>
      </c>
      <c r="C5829">
        <v>289</v>
      </c>
      <c r="D5829" t="s">
        <v>7</v>
      </c>
      <c r="E5829" s="2" t="s">
        <v>12</v>
      </c>
      <c r="F5829">
        <f t="shared" si="91"/>
        <v>573.08699999999999</v>
      </c>
      <c r="G5829" t="s">
        <v>16</v>
      </c>
      <c r="J5829" t="str">
        <f>"09/14/2001 23:45"</f>
        <v>09/14/2001 23:45</v>
      </c>
    </row>
    <row r="5830" spans="1:10" x14ac:dyDescent="0.3">
      <c r="A5830" t="s">
        <v>6</v>
      </c>
      <c r="B5830" t="str">
        <f>"09/15/2001 00:00"</f>
        <v>09/15/2001 00:00</v>
      </c>
      <c r="C5830">
        <v>203</v>
      </c>
      <c r="D5830" t="s">
        <v>7</v>
      </c>
      <c r="E5830" s="2" t="s">
        <v>12</v>
      </c>
      <c r="F5830">
        <f t="shared" si="91"/>
        <v>402.54900000000004</v>
      </c>
      <c r="G5830" t="s">
        <v>16</v>
      </c>
      <c r="J5830" t="str">
        <f>"09/15/2001 23:45"</f>
        <v>09/15/2001 23:45</v>
      </c>
    </row>
    <row r="5831" spans="1:10" x14ac:dyDescent="0.3">
      <c r="A5831" t="s">
        <v>6</v>
      </c>
      <c r="B5831" t="str">
        <f>"09/16/2001 00:00"</f>
        <v>09/16/2001 00:00</v>
      </c>
      <c r="C5831">
        <v>125</v>
      </c>
      <c r="D5831" t="s">
        <v>7</v>
      </c>
      <c r="E5831" s="2" t="s">
        <v>12</v>
      </c>
      <c r="F5831">
        <f t="shared" si="91"/>
        <v>247.875</v>
      </c>
      <c r="G5831" t="s">
        <v>16</v>
      </c>
      <c r="J5831" t="str">
        <f>"09/16/2001 23:45"</f>
        <v>09/16/2001 23:45</v>
      </c>
    </row>
    <row r="5832" spans="1:10" x14ac:dyDescent="0.3">
      <c r="A5832" t="s">
        <v>6</v>
      </c>
      <c r="B5832" t="str">
        <f>"09/17/2001 00:00"</f>
        <v>09/17/2001 00:00</v>
      </c>
      <c r="C5832">
        <v>151</v>
      </c>
      <c r="D5832" t="s">
        <v>7</v>
      </c>
      <c r="E5832" s="2" t="s">
        <v>12</v>
      </c>
      <c r="F5832">
        <f t="shared" si="91"/>
        <v>299.43299999999999</v>
      </c>
      <c r="G5832" t="s">
        <v>16</v>
      </c>
      <c r="J5832" t="str">
        <f>"09/17/2001 23:45"</f>
        <v>09/17/2001 23:45</v>
      </c>
    </row>
    <row r="5833" spans="1:10" x14ac:dyDescent="0.3">
      <c r="A5833" t="s">
        <v>6</v>
      </c>
      <c r="B5833" t="str">
        <f>"09/18/2001 00:00"</f>
        <v>09/18/2001 00:00</v>
      </c>
      <c r="C5833">
        <v>146</v>
      </c>
      <c r="D5833" t="s">
        <v>7</v>
      </c>
      <c r="E5833" s="2" t="s">
        <v>12</v>
      </c>
      <c r="F5833">
        <f t="shared" si="91"/>
        <v>289.51800000000003</v>
      </c>
      <c r="G5833" t="s">
        <v>16</v>
      </c>
      <c r="J5833" t="str">
        <f>"09/18/2001 23:45"</f>
        <v>09/18/2001 23:45</v>
      </c>
    </row>
    <row r="5834" spans="1:10" x14ac:dyDescent="0.3">
      <c r="A5834" t="s">
        <v>6</v>
      </c>
      <c r="B5834" t="str">
        <f>"09/19/2001 00:00"</f>
        <v>09/19/2001 00:00</v>
      </c>
      <c r="C5834">
        <v>147</v>
      </c>
      <c r="D5834" t="s">
        <v>7</v>
      </c>
      <c r="E5834" s="2" t="s">
        <v>12</v>
      </c>
      <c r="F5834">
        <f t="shared" si="91"/>
        <v>291.50100000000003</v>
      </c>
      <c r="G5834" t="s">
        <v>16</v>
      </c>
      <c r="J5834" t="str">
        <f>"09/19/2001 23:45"</f>
        <v>09/19/2001 23:45</v>
      </c>
    </row>
    <row r="5835" spans="1:10" x14ac:dyDescent="0.3">
      <c r="A5835" t="s">
        <v>6</v>
      </c>
      <c r="B5835" t="str">
        <f>"09/20/2001 00:00"</f>
        <v>09/20/2001 00:00</v>
      </c>
      <c r="C5835">
        <v>148</v>
      </c>
      <c r="D5835" t="s">
        <v>7</v>
      </c>
      <c r="E5835" s="2" t="s">
        <v>12</v>
      </c>
      <c r="F5835">
        <f t="shared" si="91"/>
        <v>293.48400000000004</v>
      </c>
      <c r="G5835" t="s">
        <v>16</v>
      </c>
      <c r="J5835" t="str">
        <f>"09/20/2001 23:45"</f>
        <v>09/20/2001 23:45</v>
      </c>
    </row>
    <row r="5836" spans="1:10" x14ac:dyDescent="0.3">
      <c r="A5836" t="s">
        <v>6</v>
      </c>
      <c r="B5836" t="str">
        <f>"09/21/2001 00:00"</f>
        <v>09/21/2001 00:00</v>
      </c>
      <c r="C5836">
        <v>177</v>
      </c>
      <c r="D5836" t="s">
        <v>7</v>
      </c>
      <c r="E5836" s="2" t="s">
        <v>12</v>
      </c>
      <c r="F5836">
        <f t="shared" si="91"/>
        <v>350.99100000000004</v>
      </c>
      <c r="G5836" t="s">
        <v>16</v>
      </c>
      <c r="J5836" t="str">
        <f>"09/21/2001 23:45"</f>
        <v>09/21/2001 23:45</v>
      </c>
    </row>
    <row r="5837" spans="1:10" x14ac:dyDescent="0.3">
      <c r="A5837" t="s">
        <v>6</v>
      </c>
      <c r="B5837" t="str">
        <f>"09/22/2001 00:00"</f>
        <v>09/22/2001 00:00</v>
      </c>
      <c r="C5837">
        <v>198</v>
      </c>
      <c r="D5837" t="s">
        <v>7</v>
      </c>
      <c r="E5837" s="2" t="s">
        <v>12</v>
      </c>
      <c r="F5837">
        <f t="shared" si="91"/>
        <v>392.63400000000001</v>
      </c>
      <c r="G5837" t="s">
        <v>16</v>
      </c>
      <c r="J5837" t="str">
        <f>"09/22/2001 23:45"</f>
        <v>09/22/2001 23:45</v>
      </c>
    </row>
    <row r="5838" spans="1:10" x14ac:dyDescent="0.3">
      <c r="A5838" t="s">
        <v>6</v>
      </c>
      <c r="B5838" t="str">
        <f>"09/23/2001 00:00"</f>
        <v>09/23/2001 00:00</v>
      </c>
      <c r="C5838">
        <v>199</v>
      </c>
      <c r="D5838" t="s">
        <v>7</v>
      </c>
      <c r="E5838" s="2" t="s">
        <v>12</v>
      </c>
      <c r="F5838">
        <f t="shared" si="91"/>
        <v>394.61700000000002</v>
      </c>
      <c r="G5838" t="s">
        <v>16</v>
      </c>
      <c r="J5838" t="str">
        <f>"09/23/2001 23:45"</f>
        <v>09/23/2001 23:45</v>
      </c>
    </row>
    <row r="5839" spans="1:10" x14ac:dyDescent="0.3">
      <c r="A5839" t="s">
        <v>6</v>
      </c>
      <c r="B5839" t="str">
        <f>"09/24/2001 00:00"</f>
        <v>09/24/2001 00:00</v>
      </c>
      <c r="C5839">
        <v>220</v>
      </c>
      <c r="D5839" t="s">
        <v>7</v>
      </c>
      <c r="E5839" s="2" t="s">
        <v>12</v>
      </c>
      <c r="F5839">
        <f t="shared" si="91"/>
        <v>436.26000000000005</v>
      </c>
      <c r="G5839" t="s">
        <v>16</v>
      </c>
      <c r="J5839" t="str">
        <f>"09/24/2001 23:45"</f>
        <v>09/24/2001 23:45</v>
      </c>
    </row>
    <row r="5840" spans="1:10" x14ac:dyDescent="0.3">
      <c r="A5840" t="s">
        <v>6</v>
      </c>
      <c r="B5840" t="str">
        <f>"09/25/2001 00:00"</f>
        <v>09/25/2001 00:00</v>
      </c>
      <c r="C5840">
        <v>238</v>
      </c>
      <c r="D5840" t="s">
        <v>7</v>
      </c>
      <c r="E5840" s="2" t="s">
        <v>12</v>
      </c>
      <c r="F5840">
        <f t="shared" si="91"/>
        <v>471.95400000000001</v>
      </c>
      <c r="G5840" t="s">
        <v>16</v>
      </c>
      <c r="J5840" t="str">
        <f>"09/25/2001 23:45"</f>
        <v>09/25/2001 23:45</v>
      </c>
    </row>
    <row r="5841" spans="1:10" x14ac:dyDescent="0.3">
      <c r="A5841" t="s">
        <v>6</v>
      </c>
      <c r="B5841" t="str">
        <f>"09/26/2001 00:00"</f>
        <v>09/26/2001 00:00</v>
      </c>
      <c r="C5841">
        <v>242</v>
      </c>
      <c r="D5841" t="s">
        <v>7</v>
      </c>
      <c r="E5841" s="2" t="s">
        <v>12</v>
      </c>
      <c r="F5841">
        <f t="shared" si="91"/>
        <v>479.88600000000002</v>
      </c>
      <c r="G5841" t="s">
        <v>16</v>
      </c>
      <c r="J5841" t="str">
        <f>"09/26/2001 23:45"</f>
        <v>09/26/2001 23:45</v>
      </c>
    </row>
    <row r="5842" spans="1:10" x14ac:dyDescent="0.3">
      <c r="A5842" t="s">
        <v>6</v>
      </c>
      <c r="B5842" t="str">
        <f>"09/27/2001 00:00"</f>
        <v>09/27/2001 00:00</v>
      </c>
      <c r="C5842">
        <v>248</v>
      </c>
      <c r="D5842" t="s">
        <v>7</v>
      </c>
      <c r="E5842" s="2" t="s">
        <v>12</v>
      </c>
      <c r="F5842">
        <f t="shared" si="91"/>
        <v>491.78400000000005</v>
      </c>
      <c r="G5842" t="s">
        <v>16</v>
      </c>
      <c r="J5842" t="str">
        <f>"09/27/2001 23:45"</f>
        <v>09/27/2001 23:45</v>
      </c>
    </row>
    <row r="5843" spans="1:10" x14ac:dyDescent="0.3">
      <c r="A5843" t="s">
        <v>6</v>
      </c>
      <c r="B5843" t="str">
        <f>"09/28/2001 00:00"</f>
        <v>09/28/2001 00:00</v>
      </c>
      <c r="C5843">
        <v>281</v>
      </c>
      <c r="D5843" t="s">
        <v>7</v>
      </c>
      <c r="E5843" s="2" t="s">
        <v>12</v>
      </c>
      <c r="F5843">
        <f t="shared" si="91"/>
        <v>557.22300000000007</v>
      </c>
      <c r="G5843" t="s">
        <v>16</v>
      </c>
      <c r="J5843" t="str">
        <f>"09/28/2001 23:45"</f>
        <v>09/28/2001 23:45</v>
      </c>
    </row>
    <row r="5844" spans="1:10" x14ac:dyDescent="0.3">
      <c r="A5844" t="s">
        <v>6</v>
      </c>
      <c r="B5844" t="str">
        <f>"09/29/2001 00:00"</f>
        <v>09/29/2001 00:00</v>
      </c>
      <c r="C5844">
        <v>303</v>
      </c>
      <c r="D5844" t="s">
        <v>7</v>
      </c>
      <c r="E5844" s="2" t="s">
        <v>12</v>
      </c>
      <c r="F5844">
        <f t="shared" si="91"/>
        <v>600.84900000000005</v>
      </c>
      <c r="G5844" t="s">
        <v>16</v>
      </c>
      <c r="J5844" t="str">
        <f>"09/29/2001 23:45"</f>
        <v>09/29/2001 23:45</v>
      </c>
    </row>
    <row r="5845" spans="1:10" x14ac:dyDescent="0.3">
      <c r="A5845" t="s">
        <v>6</v>
      </c>
      <c r="B5845" t="str">
        <f>"09/30/2001 00:00"</f>
        <v>09/30/2001 00:00</v>
      </c>
      <c r="C5845">
        <v>300</v>
      </c>
      <c r="D5845" t="s">
        <v>7</v>
      </c>
      <c r="E5845" s="2" t="s">
        <v>12</v>
      </c>
      <c r="F5845">
        <f t="shared" si="91"/>
        <v>594.9</v>
      </c>
      <c r="G5845" t="s">
        <v>16</v>
      </c>
      <c r="J5845" t="str">
        <f>"09/30/2001 23:45"</f>
        <v>09/30/2001 23:45</v>
      </c>
    </row>
    <row r="5846" spans="1:10" x14ac:dyDescent="0.3">
      <c r="E5846" s="18" t="s">
        <v>40</v>
      </c>
      <c r="F5846" s="16">
        <f>SUM(F2:F5845)</f>
        <v>889311.97776779882</v>
      </c>
      <c r="G5846" s="17" t="s">
        <v>16</v>
      </c>
    </row>
    <row r="5847" spans="1:10" x14ac:dyDescent="0.3">
      <c r="E5847" s="18" t="s">
        <v>41</v>
      </c>
      <c r="F5847" s="16">
        <f>F5846/16</f>
        <v>55581.998610487426</v>
      </c>
      <c r="G5847" s="17" t="s">
        <v>19</v>
      </c>
    </row>
    <row r="5849" spans="1:10" x14ac:dyDescent="0.3">
      <c r="D5849">
        <v>1</v>
      </c>
      <c r="E5849">
        <v>1985</v>
      </c>
      <c r="F5849">
        <v>1986</v>
      </c>
    </row>
    <row r="5850" spans="1:10" x14ac:dyDescent="0.3">
      <c r="D5850">
        <v>2</v>
      </c>
      <c r="E5850">
        <v>1986</v>
      </c>
      <c r="F5850">
        <v>1987</v>
      </c>
    </row>
    <row r="5851" spans="1:10" x14ac:dyDescent="0.3">
      <c r="D5851">
        <v>3</v>
      </c>
      <c r="E5851">
        <v>1987</v>
      </c>
      <c r="F5851">
        <v>1988</v>
      </c>
    </row>
    <row r="5852" spans="1:10" x14ac:dyDescent="0.3">
      <c r="D5852">
        <v>4</v>
      </c>
      <c r="E5852">
        <v>1988</v>
      </c>
      <c r="F5852">
        <v>1989</v>
      </c>
    </row>
    <row r="5853" spans="1:10" x14ac:dyDescent="0.3">
      <c r="D5853">
        <v>5</v>
      </c>
      <c r="E5853">
        <v>1989</v>
      </c>
      <c r="F5853">
        <v>1990</v>
      </c>
    </row>
    <row r="5854" spans="1:10" x14ac:dyDescent="0.3">
      <c r="D5854">
        <v>6</v>
      </c>
      <c r="E5854">
        <v>1990</v>
      </c>
      <c r="F5854">
        <v>1991</v>
      </c>
    </row>
    <row r="5855" spans="1:10" x14ac:dyDescent="0.3">
      <c r="D5855">
        <v>7</v>
      </c>
      <c r="E5855">
        <v>1991</v>
      </c>
      <c r="F5855">
        <v>1992</v>
      </c>
    </row>
    <row r="5856" spans="1:10" x14ac:dyDescent="0.3">
      <c r="D5856">
        <v>8</v>
      </c>
      <c r="E5856">
        <v>1992</v>
      </c>
      <c r="F5856">
        <v>1993</v>
      </c>
    </row>
    <row r="5857" spans="4:6" x14ac:dyDescent="0.3">
      <c r="D5857">
        <v>9</v>
      </c>
      <c r="E5857">
        <v>1993</v>
      </c>
      <c r="F5857">
        <v>1994</v>
      </c>
    </row>
    <row r="5858" spans="4:6" x14ac:dyDescent="0.3">
      <c r="D5858">
        <v>10</v>
      </c>
      <c r="E5858">
        <v>1994</v>
      </c>
      <c r="F5858">
        <v>1995</v>
      </c>
    </row>
    <row r="5859" spans="4:6" x14ac:dyDescent="0.3">
      <c r="D5859">
        <v>11</v>
      </c>
      <c r="E5859">
        <v>1995</v>
      </c>
      <c r="F5859">
        <v>1996</v>
      </c>
    </row>
    <row r="5860" spans="4:6" x14ac:dyDescent="0.3">
      <c r="D5860">
        <v>12</v>
      </c>
      <c r="E5860">
        <v>1996</v>
      </c>
      <c r="F5860">
        <v>1997</v>
      </c>
    </row>
    <row r="5861" spans="4:6" x14ac:dyDescent="0.3">
      <c r="D5861">
        <v>13</v>
      </c>
      <c r="E5861">
        <v>1997</v>
      </c>
      <c r="F5861">
        <v>1998</v>
      </c>
    </row>
    <row r="5862" spans="4:6" x14ac:dyDescent="0.3">
      <c r="D5862">
        <v>14</v>
      </c>
      <c r="E5862">
        <v>1998</v>
      </c>
      <c r="F5862">
        <v>1999</v>
      </c>
    </row>
    <row r="5863" spans="4:6" x14ac:dyDescent="0.3">
      <c r="D5863">
        <v>15</v>
      </c>
      <c r="E5863">
        <v>1999</v>
      </c>
      <c r="F5863">
        <v>2000</v>
      </c>
    </row>
    <row r="5864" spans="4:6" x14ac:dyDescent="0.3">
      <c r="D5864">
        <v>16</v>
      </c>
      <c r="E5864">
        <v>2000</v>
      </c>
      <c r="F5864">
        <v>2001</v>
      </c>
    </row>
  </sheetData>
  <phoneticPr fontId="19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79D90-B7D3-48EF-A509-4979065CF259}">
  <dimension ref="A1:J7695"/>
  <sheetViews>
    <sheetView topLeftCell="A7669" workbookViewId="0">
      <selection activeCell="H7678" sqref="H7678"/>
    </sheetView>
  </sheetViews>
  <sheetFormatPr defaultRowHeight="14.4" x14ac:dyDescent="0.3"/>
  <cols>
    <col min="5" max="5" width="10.109375" customWidth="1"/>
  </cols>
  <sheetData>
    <row r="1" spans="1:10" s="1" customFormat="1" ht="43.2" x14ac:dyDescent="0.3">
      <c r="A1" s="1" t="s">
        <v>0</v>
      </c>
      <c r="B1" s="1" t="s">
        <v>1</v>
      </c>
      <c r="C1" s="1" t="s">
        <v>39</v>
      </c>
      <c r="D1" s="1" t="s">
        <v>2</v>
      </c>
      <c r="E1" s="3" t="s">
        <v>11</v>
      </c>
      <c r="F1" s="3" t="s">
        <v>14</v>
      </c>
      <c r="G1" s="3" t="s">
        <v>15</v>
      </c>
      <c r="H1" s="1" t="s">
        <v>3</v>
      </c>
      <c r="I1" s="1" t="s">
        <v>4</v>
      </c>
      <c r="J1" s="1" t="s">
        <v>5</v>
      </c>
    </row>
    <row r="2" spans="1:10" x14ac:dyDescent="0.3">
      <c r="A2" t="s">
        <v>6</v>
      </c>
      <c r="B2" t="str">
        <f>"10/01/2001 00:00"</f>
        <v>10/01/2001 00:00</v>
      </c>
      <c r="C2">
        <v>301</v>
      </c>
      <c r="D2" t="s">
        <v>7</v>
      </c>
      <c r="E2" s="2" t="s">
        <v>12</v>
      </c>
      <c r="F2">
        <f>C2*1.983</f>
        <v>596.88300000000004</v>
      </c>
      <c r="G2" t="s">
        <v>16</v>
      </c>
      <c r="J2" t="str">
        <f>"10/01/2001 23:45"</f>
        <v>10/01/2001 23:45</v>
      </c>
    </row>
    <row r="3" spans="1:10" x14ac:dyDescent="0.3">
      <c r="A3" t="s">
        <v>6</v>
      </c>
      <c r="B3" t="str">
        <f>"10/02/2001 00:00"</f>
        <v>10/02/2001 00:00</v>
      </c>
      <c r="C3">
        <v>254</v>
      </c>
      <c r="D3" t="s">
        <v>7</v>
      </c>
      <c r="E3" s="2" t="s">
        <v>12</v>
      </c>
      <c r="F3">
        <f>C3*1.983</f>
        <v>503.68200000000002</v>
      </c>
      <c r="G3" t="s">
        <v>16</v>
      </c>
      <c r="J3" t="str">
        <f>"10/02/2001 23:45"</f>
        <v>10/02/2001 23:45</v>
      </c>
    </row>
    <row r="4" spans="1:10" x14ac:dyDescent="0.3">
      <c r="A4" t="s">
        <v>6</v>
      </c>
      <c r="B4" t="str">
        <f>"10/03/2001 00:00"</f>
        <v>10/03/2001 00:00</v>
      </c>
      <c r="C4">
        <v>187</v>
      </c>
      <c r="D4" t="s">
        <v>7</v>
      </c>
      <c r="E4" s="2" t="s">
        <v>12</v>
      </c>
      <c r="F4">
        <f t="shared" ref="F4:F67" si="0">C4*1.983</f>
        <v>370.82100000000003</v>
      </c>
      <c r="G4" t="s">
        <v>16</v>
      </c>
      <c r="J4" t="str">
        <f>"10/03/2001 23:45"</f>
        <v>10/03/2001 23:45</v>
      </c>
    </row>
    <row r="5" spans="1:10" x14ac:dyDescent="0.3">
      <c r="A5" t="s">
        <v>6</v>
      </c>
      <c r="B5" t="str">
        <f>"10/04/2001 00:00"</f>
        <v>10/04/2001 00:00</v>
      </c>
      <c r="C5">
        <v>157</v>
      </c>
      <c r="D5" t="s">
        <v>7</v>
      </c>
      <c r="E5" s="2" t="s">
        <v>12</v>
      </c>
      <c r="F5">
        <f t="shared" si="0"/>
        <v>311.33100000000002</v>
      </c>
      <c r="G5" t="s">
        <v>16</v>
      </c>
      <c r="J5" t="str">
        <f>"10/04/2001 23:45"</f>
        <v>10/04/2001 23:45</v>
      </c>
    </row>
    <row r="6" spans="1:10" x14ac:dyDescent="0.3">
      <c r="A6" t="s">
        <v>6</v>
      </c>
      <c r="B6" t="str">
        <f>"10/05/2001 00:00"</f>
        <v>10/05/2001 00:00</v>
      </c>
      <c r="C6">
        <v>157</v>
      </c>
      <c r="D6" t="s">
        <v>7</v>
      </c>
      <c r="E6" s="2" t="s">
        <v>12</v>
      </c>
      <c r="F6">
        <f t="shared" si="0"/>
        <v>311.33100000000002</v>
      </c>
      <c r="G6" t="s">
        <v>16</v>
      </c>
      <c r="J6" t="str">
        <f>"10/05/2001 23:45"</f>
        <v>10/05/2001 23:45</v>
      </c>
    </row>
    <row r="7" spans="1:10" x14ac:dyDescent="0.3">
      <c r="A7" t="s">
        <v>6</v>
      </c>
      <c r="B7" t="str">
        <f>"10/06/2001 00:00"</f>
        <v>10/06/2001 00:00</v>
      </c>
      <c r="C7">
        <v>157</v>
      </c>
      <c r="D7" t="s">
        <v>7</v>
      </c>
      <c r="E7" s="2" t="s">
        <v>12</v>
      </c>
      <c r="F7">
        <f t="shared" si="0"/>
        <v>311.33100000000002</v>
      </c>
      <c r="G7" t="s">
        <v>16</v>
      </c>
      <c r="J7" t="str">
        <f>"10/06/2001 23:45"</f>
        <v>10/06/2001 23:45</v>
      </c>
    </row>
    <row r="8" spans="1:10" x14ac:dyDescent="0.3">
      <c r="A8" t="s">
        <v>6</v>
      </c>
      <c r="B8" t="str">
        <f>"10/07/2001 00:00"</f>
        <v>10/07/2001 00:00</v>
      </c>
      <c r="C8">
        <v>157</v>
      </c>
      <c r="D8" t="s">
        <v>7</v>
      </c>
      <c r="E8" s="2" t="s">
        <v>12</v>
      </c>
      <c r="F8">
        <f t="shared" si="0"/>
        <v>311.33100000000002</v>
      </c>
      <c r="G8" t="s">
        <v>16</v>
      </c>
      <c r="J8" t="str">
        <f>"10/07/2001 23:45"</f>
        <v>10/07/2001 23:45</v>
      </c>
    </row>
    <row r="9" spans="1:10" x14ac:dyDescent="0.3">
      <c r="A9" t="s">
        <v>6</v>
      </c>
      <c r="B9" t="str">
        <f>"10/08/2001 00:00"</f>
        <v>10/08/2001 00:00</v>
      </c>
      <c r="C9">
        <v>157</v>
      </c>
      <c r="D9" t="s">
        <v>7</v>
      </c>
      <c r="E9" s="2" t="s">
        <v>12</v>
      </c>
      <c r="F9">
        <f t="shared" si="0"/>
        <v>311.33100000000002</v>
      </c>
      <c r="G9" t="s">
        <v>16</v>
      </c>
      <c r="J9" t="str">
        <f>"10/08/2001 23:45"</f>
        <v>10/08/2001 23:45</v>
      </c>
    </row>
    <row r="10" spans="1:10" x14ac:dyDescent="0.3">
      <c r="A10" t="s">
        <v>6</v>
      </c>
      <c r="B10" t="str">
        <f>"10/09/2001 00:00"</f>
        <v>10/09/2001 00:00</v>
      </c>
      <c r="C10">
        <v>158</v>
      </c>
      <c r="D10" t="s">
        <v>7</v>
      </c>
      <c r="E10" s="2" t="s">
        <v>12</v>
      </c>
      <c r="F10">
        <f t="shared" si="0"/>
        <v>313.31400000000002</v>
      </c>
      <c r="G10" t="s">
        <v>16</v>
      </c>
      <c r="J10" t="str">
        <f>"10/09/2001 23:45"</f>
        <v>10/09/2001 23:45</v>
      </c>
    </row>
    <row r="11" spans="1:10" x14ac:dyDescent="0.3">
      <c r="A11" t="s">
        <v>6</v>
      </c>
      <c r="B11" t="str">
        <f>"10/10/2001 00:00"</f>
        <v>10/10/2001 00:00</v>
      </c>
      <c r="C11">
        <v>157</v>
      </c>
      <c r="D11" t="s">
        <v>7</v>
      </c>
      <c r="E11" s="2" t="s">
        <v>12</v>
      </c>
      <c r="F11">
        <f t="shared" si="0"/>
        <v>311.33100000000002</v>
      </c>
      <c r="G11" t="s">
        <v>16</v>
      </c>
      <c r="J11" t="str">
        <f>"10/10/2001 23:45"</f>
        <v>10/10/2001 23:45</v>
      </c>
    </row>
    <row r="12" spans="1:10" x14ac:dyDescent="0.3">
      <c r="A12" t="s">
        <v>6</v>
      </c>
      <c r="B12" t="str">
        <f>"10/11/2001 00:00"</f>
        <v>10/11/2001 00:00</v>
      </c>
      <c r="C12">
        <v>134</v>
      </c>
      <c r="D12" t="s">
        <v>7</v>
      </c>
      <c r="E12" s="2" t="s">
        <v>12</v>
      </c>
      <c r="F12">
        <f t="shared" si="0"/>
        <v>265.72200000000004</v>
      </c>
      <c r="G12" t="s">
        <v>16</v>
      </c>
      <c r="J12" t="str">
        <f>"10/11/2001 23:45"</f>
        <v>10/11/2001 23:45</v>
      </c>
    </row>
    <row r="13" spans="1:10" x14ac:dyDescent="0.3">
      <c r="A13" t="s">
        <v>6</v>
      </c>
      <c r="B13" t="str">
        <f>"10/12/2001 00:00"</f>
        <v>10/12/2001 00:00</v>
      </c>
      <c r="C13">
        <v>120</v>
      </c>
      <c r="D13" t="s">
        <v>7</v>
      </c>
      <c r="E13" s="2" t="s">
        <v>12</v>
      </c>
      <c r="F13">
        <f t="shared" si="0"/>
        <v>237.96</v>
      </c>
      <c r="G13" t="s">
        <v>16</v>
      </c>
      <c r="J13" t="str">
        <f>"10/12/2001 22:45"</f>
        <v>10/12/2001 22:45</v>
      </c>
    </row>
    <row r="14" spans="1:10" x14ac:dyDescent="0.3">
      <c r="A14" t="s">
        <v>6</v>
      </c>
      <c r="B14" t="str">
        <f>"10/13/2001 00:00"</f>
        <v>10/13/2001 00:00</v>
      </c>
      <c r="C14">
        <v>120</v>
      </c>
      <c r="D14" t="s">
        <v>7</v>
      </c>
      <c r="E14" s="2" t="s">
        <v>12</v>
      </c>
      <c r="F14">
        <f t="shared" si="0"/>
        <v>237.96</v>
      </c>
      <c r="G14" t="s">
        <v>16</v>
      </c>
      <c r="J14" t="str">
        <f>"10/13/2001 23:45"</f>
        <v>10/13/2001 23:45</v>
      </c>
    </row>
    <row r="15" spans="1:10" x14ac:dyDescent="0.3">
      <c r="A15" t="s">
        <v>6</v>
      </c>
      <c r="B15" t="str">
        <f>"10/14/2001 00:00"</f>
        <v>10/14/2001 00:00</v>
      </c>
      <c r="C15">
        <v>120</v>
      </c>
      <c r="D15" t="s">
        <v>7</v>
      </c>
      <c r="E15" s="2" t="s">
        <v>12</v>
      </c>
      <c r="F15">
        <f t="shared" si="0"/>
        <v>237.96</v>
      </c>
      <c r="G15" t="s">
        <v>16</v>
      </c>
      <c r="J15" t="str">
        <f>"10/14/2001 23:45"</f>
        <v>10/14/2001 23:45</v>
      </c>
    </row>
    <row r="16" spans="1:10" x14ac:dyDescent="0.3">
      <c r="A16" t="s">
        <v>6</v>
      </c>
      <c r="B16" t="str">
        <f>"10/15/2001 00:00"</f>
        <v>10/15/2001 00:00</v>
      </c>
      <c r="C16">
        <v>121</v>
      </c>
      <c r="D16" t="s">
        <v>7</v>
      </c>
      <c r="E16" s="2" t="s">
        <v>12</v>
      </c>
      <c r="F16">
        <f t="shared" si="0"/>
        <v>239.94300000000001</v>
      </c>
      <c r="G16" t="s">
        <v>16</v>
      </c>
      <c r="J16" t="str">
        <f>"10/15/2001 23:45"</f>
        <v>10/15/2001 23:45</v>
      </c>
    </row>
    <row r="17" spans="1:10" x14ac:dyDescent="0.3">
      <c r="A17" t="s">
        <v>6</v>
      </c>
      <c r="B17" t="str">
        <f>"10/16/2001 00:00"</f>
        <v>10/16/2001 00:00</v>
      </c>
      <c r="C17">
        <v>148</v>
      </c>
      <c r="D17" t="s">
        <v>7</v>
      </c>
      <c r="E17" s="2" t="s">
        <v>12</v>
      </c>
      <c r="F17">
        <f t="shared" si="0"/>
        <v>293.48400000000004</v>
      </c>
      <c r="G17" t="s">
        <v>16</v>
      </c>
      <c r="J17" t="str">
        <f>"10/16/2001 23:45"</f>
        <v>10/16/2001 23:45</v>
      </c>
    </row>
    <row r="18" spans="1:10" x14ac:dyDescent="0.3">
      <c r="A18" t="s">
        <v>6</v>
      </c>
      <c r="B18" t="str">
        <f>"10/17/2001 00:00"</f>
        <v>10/17/2001 00:00</v>
      </c>
      <c r="C18">
        <v>205</v>
      </c>
      <c r="D18" t="s">
        <v>7</v>
      </c>
      <c r="E18" s="2" t="s">
        <v>12</v>
      </c>
      <c r="F18">
        <f t="shared" si="0"/>
        <v>406.51500000000004</v>
      </c>
      <c r="G18" t="s">
        <v>16</v>
      </c>
      <c r="J18" t="str">
        <f>"10/17/2001 23:45"</f>
        <v>10/17/2001 23:45</v>
      </c>
    </row>
    <row r="19" spans="1:10" x14ac:dyDescent="0.3">
      <c r="A19" t="s">
        <v>6</v>
      </c>
      <c r="B19" t="str">
        <f>"10/18/2001 00:00"</f>
        <v>10/18/2001 00:00</v>
      </c>
      <c r="C19">
        <v>249</v>
      </c>
      <c r="D19" t="s">
        <v>7</v>
      </c>
      <c r="E19" s="2" t="s">
        <v>12</v>
      </c>
      <c r="F19">
        <f t="shared" si="0"/>
        <v>493.767</v>
      </c>
      <c r="G19" t="s">
        <v>16</v>
      </c>
      <c r="J19" t="str">
        <f>"10/18/2001 23:45"</f>
        <v>10/18/2001 23:45</v>
      </c>
    </row>
    <row r="20" spans="1:10" x14ac:dyDescent="0.3">
      <c r="A20" t="s">
        <v>6</v>
      </c>
      <c r="B20" t="str">
        <f>"10/19/2001 00:00"</f>
        <v>10/19/2001 00:00</v>
      </c>
      <c r="C20">
        <v>265</v>
      </c>
      <c r="D20" t="s">
        <v>7</v>
      </c>
      <c r="E20" s="2" t="s">
        <v>12</v>
      </c>
      <c r="F20">
        <f t="shared" si="0"/>
        <v>525.495</v>
      </c>
      <c r="G20" t="s">
        <v>16</v>
      </c>
      <c r="J20" t="str">
        <f>"10/19/2001 23:45"</f>
        <v>10/19/2001 23:45</v>
      </c>
    </row>
    <row r="21" spans="1:10" x14ac:dyDescent="0.3">
      <c r="A21" t="s">
        <v>6</v>
      </c>
      <c r="B21" t="str">
        <f>"10/20/2001 00:00"</f>
        <v>10/20/2001 00:00</v>
      </c>
      <c r="C21">
        <v>265</v>
      </c>
      <c r="D21" t="s">
        <v>7</v>
      </c>
      <c r="E21" s="2" t="s">
        <v>12</v>
      </c>
      <c r="F21">
        <f t="shared" si="0"/>
        <v>525.495</v>
      </c>
      <c r="G21" t="s">
        <v>16</v>
      </c>
      <c r="J21" t="str">
        <f>"10/20/2001 23:45"</f>
        <v>10/20/2001 23:45</v>
      </c>
    </row>
    <row r="22" spans="1:10" x14ac:dyDescent="0.3">
      <c r="A22" t="s">
        <v>6</v>
      </c>
      <c r="B22" t="str">
        <f>"10/21/2001 00:00"</f>
        <v>10/21/2001 00:00</v>
      </c>
      <c r="C22">
        <v>265</v>
      </c>
      <c r="D22" t="s">
        <v>7</v>
      </c>
      <c r="E22" s="2" t="s">
        <v>12</v>
      </c>
      <c r="F22">
        <f t="shared" si="0"/>
        <v>525.495</v>
      </c>
      <c r="G22" t="s">
        <v>16</v>
      </c>
      <c r="J22" t="str">
        <f>"10/21/2001 23:45"</f>
        <v>10/21/2001 23:45</v>
      </c>
    </row>
    <row r="23" spans="1:10" x14ac:dyDescent="0.3">
      <c r="A23" t="s">
        <v>6</v>
      </c>
      <c r="B23" t="str">
        <f>"10/22/2001 00:00"</f>
        <v>10/22/2001 00:00</v>
      </c>
      <c r="C23">
        <v>285</v>
      </c>
      <c r="D23" t="s">
        <v>7</v>
      </c>
      <c r="E23" s="2" t="s">
        <v>12</v>
      </c>
      <c r="F23">
        <f t="shared" si="0"/>
        <v>565.15499999999997</v>
      </c>
      <c r="G23" t="s">
        <v>16</v>
      </c>
      <c r="J23" t="str">
        <f>"10/22/2001 23:45"</f>
        <v>10/22/2001 23:45</v>
      </c>
    </row>
    <row r="24" spans="1:10" x14ac:dyDescent="0.3">
      <c r="A24" t="s">
        <v>6</v>
      </c>
      <c r="B24" t="str">
        <f>"10/23/2001 00:00"</f>
        <v>10/23/2001 00:00</v>
      </c>
      <c r="C24">
        <v>299</v>
      </c>
      <c r="D24" t="s">
        <v>7</v>
      </c>
      <c r="E24" s="2" t="s">
        <v>12</v>
      </c>
      <c r="F24">
        <f t="shared" si="0"/>
        <v>592.91700000000003</v>
      </c>
      <c r="G24" t="s">
        <v>16</v>
      </c>
      <c r="J24" t="str">
        <f>"10/23/2001 23:45"</f>
        <v>10/23/2001 23:45</v>
      </c>
    </row>
    <row r="25" spans="1:10" x14ac:dyDescent="0.3">
      <c r="A25" t="s">
        <v>6</v>
      </c>
      <c r="B25" t="str">
        <f>"10/24/2001 00:00"</f>
        <v>10/24/2001 00:00</v>
      </c>
      <c r="C25">
        <v>298</v>
      </c>
      <c r="D25" t="s">
        <v>7</v>
      </c>
      <c r="E25" s="2" t="s">
        <v>12</v>
      </c>
      <c r="F25">
        <f t="shared" si="0"/>
        <v>590.93400000000008</v>
      </c>
      <c r="G25" t="s">
        <v>16</v>
      </c>
      <c r="J25" t="str">
        <f>"10/24/2001 23:45"</f>
        <v>10/24/2001 23:45</v>
      </c>
    </row>
    <row r="26" spans="1:10" x14ac:dyDescent="0.3">
      <c r="A26" t="s">
        <v>6</v>
      </c>
      <c r="B26" t="str">
        <f>"10/25/2001 00:00"</f>
        <v>10/25/2001 00:00</v>
      </c>
      <c r="C26">
        <v>259</v>
      </c>
      <c r="D26" t="s">
        <v>7</v>
      </c>
      <c r="E26" s="2" t="s">
        <v>12</v>
      </c>
      <c r="F26">
        <f t="shared" si="0"/>
        <v>513.59699999999998</v>
      </c>
      <c r="G26" t="s">
        <v>16</v>
      </c>
      <c r="J26" t="str">
        <f>"10/25/2001 23:45"</f>
        <v>10/25/2001 23:45</v>
      </c>
    </row>
    <row r="27" spans="1:10" x14ac:dyDescent="0.3">
      <c r="A27" t="s">
        <v>6</v>
      </c>
      <c r="B27" t="str">
        <f>"10/26/2001 00:00"</f>
        <v>10/26/2001 00:00</v>
      </c>
      <c r="C27">
        <v>188</v>
      </c>
      <c r="D27" t="s">
        <v>7</v>
      </c>
      <c r="E27" s="2" t="s">
        <v>12</v>
      </c>
      <c r="F27">
        <f t="shared" si="0"/>
        <v>372.80400000000003</v>
      </c>
      <c r="G27" t="s">
        <v>16</v>
      </c>
      <c r="J27" t="str">
        <f>"10/26/2001 23:45"</f>
        <v>10/26/2001 23:45</v>
      </c>
    </row>
    <row r="28" spans="1:10" x14ac:dyDescent="0.3">
      <c r="A28" t="s">
        <v>6</v>
      </c>
      <c r="B28" t="str">
        <f>"10/27/2001 00:00"</f>
        <v>10/27/2001 00:00</v>
      </c>
      <c r="C28">
        <v>149</v>
      </c>
      <c r="D28" t="s">
        <v>7</v>
      </c>
      <c r="E28" s="2" t="s">
        <v>12</v>
      </c>
      <c r="F28">
        <f t="shared" si="0"/>
        <v>295.46700000000004</v>
      </c>
      <c r="G28" t="s">
        <v>16</v>
      </c>
      <c r="J28" t="str">
        <f>"10/27/2001 23:45"</f>
        <v>10/27/2001 23:45</v>
      </c>
    </row>
    <row r="29" spans="1:10" x14ac:dyDescent="0.3">
      <c r="A29" t="s">
        <v>6</v>
      </c>
      <c r="B29" t="str">
        <f>"10/28/2001 00:00"</f>
        <v>10/28/2001 00:00</v>
      </c>
      <c r="C29">
        <v>149</v>
      </c>
      <c r="D29" t="s">
        <v>7</v>
      </c>
      <c r="E29" s="2" t="s">
        <v>12</v>
      </c>
      <c r="F29">
        <f t="shared" si="0"/>
        <v>295.46700000000004</v>
      </c>
      <c r="G29" t="s">
        <v>16</v>
      </c>
      <c r="J29" t="str">
        <f>"10/28/2001 23:45"</f>
        <v>10/28/2001 23:45</v>
      </c>
    </row>
    <row r="30" spans="1:10" x14ac:dyDescent="0.3">
      <c r="A30" t="s">
        <v>6</v>
      </c>
      <c r="B30" t="str">
        <f>"10/29/2001 00:00"</f>
        <v>10/29/2001 00:00</v>
      </c>
      <c r="C30">
        <v>149</v>
      </c>
      <c r="D30" t="s">
        <v>7</v>
      </c>
      <c r="E30" s="2" t="s">
        <v>12</v>
      </c>
      <c r="F30">
        <f t="shared" si="0"/>
        <v>295.46700000000004</v>
      </c>
      <c r="G30" t="s">
        <v>16</v>
      </c>
      <c r="J30" t="str">
        <f>"10/29/2001 23:45"</f>
        <v>10/29/2001 23:45</v>
      </c>
    </row>
    <row r="31" spans="1:10" x14ac:dyDescent="0.3">
      <c r="A31" t="s">
        <v>6</v>
      </c>
      <c r="B31" t="str">
        <f>"10/30/2001 00:00"</f>
        <v>10/30/2001 00:00</v>
      </c>
      <c r="C31">
        <v>114</v>
      </c>
      <c r="D31" t="s">
        <v>7</v>
      </c>
      <c r="E31" s="2" t="s">
        <v>12</v>
      </c>
      <c r="F31">
        <f t="shared" si="0"/>
        <v>226.06200000000001</v>
      </c>
      <c r="G31" t="s">
        <v>16</v>
      </c>
      <c r="J31" t="str">
        <f>"10/30/2001 23:45"</f>
        <v>10/30/2001 23:45</v>
      </c>
    </row>
    <row r="32" spans="1:10" x14ac:dyDescent="0.3">
      <c r="A32" t="s">
        <v>6</v>
      </c>
      <c r="B32" t="str">
        <f>"10/31/2001 00:00"</f>
        <v>10/31/2001 00:00</v>
      </c>
      <c r="C32">
        <v>77.5</v>
      </c>
      <c r="D32" t="s">
        <v>7</v>
      </c>
      <c r="E32" s="2" t="s">
        <v>12</v>
      </c>
      <c r="F32">
        <f t="shared" si="0"/>
        <v>153.6825</v>
      </c>
      <c r="G32" t="s">
        <v>16</v>
      </c>
      <c r="J32" t="str">
        <f>"10/31/2001 23:45"</f>
        <v>10/31/2001 23:45</v>
      </c>
    </row>
    <row r="33" spans="1:10" x14ac:dyDescent="0.3">
      <c r="A33" t="s">
        <v>6</v>
      </c>
      <c r="B33" t="str">
        <f>"11/01/2001 00:00"</f>
        <v>11/01/2001 00:00</v>
      </c>
      <c r="C33">
        <v>61.8</v>
      </c>
      <c r="D33" t="s">
        <v>7</v>
      </c>
      <c r="E33" s="2" t="s">
        <v>12</v>
      </c>
      <c r="F33">
        <f t="shared" si="0"/>
        <v>122.54940000000001</v>
      </c>
      <c r="G33" t="s">
        <v>16</v>
      </c>
      <c r="J33" t="str">
        <f>"11/01/2001 23:45"</f>
        <v>11/01/2001 23:45</v>
      </c>
    </row>
    <row r="34" spans="1:10" x14ac:dyDescent="0.3">
      <c r="A34" t="s">
        <v>6</v>
      </c>
      <c r="B34" t="str">
        <f>"11/02/2001 00:00"</f>
        <v>11/02/2001 00:00</v>
      </c>
      <c r="C34">
        <v>52.5</v>
      </c>
      <c r="D34" t="s">
        <v>7</v>
      </c>
      <c r="E34" s="2" t="s">
        <v>12</v>
      </c>
      <c r="F34">
        <f t="shared" si="0"/>
        <v>104.1075</v>
      </c>
      <c r="G34" t="s">
        <v>16</v>
      </c>
      <c r="J34" t="str">
        <f>"11/02/2001 23:45"</f>
        <v>11/02/2001 23:45</v>
      </c>
    </row>
    <row r="35" spans="1:10" x14ac:dyDescent="0.3">
      <c r="A35" t="s">
        <v>6</v>
      </c>
      <c r="B35" t="str">
        <f>"11/03/2001 00:00"</f>
        <v>11/03/2001 00:00</v>
      </c>
      <c r="C35">
        <v>52.8</v>
      </c>
      <c r="D35" t="s">
        <v>7</v>
      </c>
      <c r="E35" s="2" t="s">
        <v>12</v>
      </c>
      <c r="F35">
        <f t="shared" si="0"/>
        <v>104.7024</v>
      </c>
      <c r="G35" t="s">
        <v>16</v>
      </c>
      <c r="J35" t="str">
        <f>"11/03/2001 23:45"</f>
        <v>11/03/2001 23:45</v>
      </c>
    </row>
    <row r="36" spans="1:10" x14ac:dyDescent="0.3">
      <c r="A36" t="s">
        <v>6</v>
      </c>
      <c r="B36" t="str">
        <f>"11/04/2001 00:00"</f>
        <v>11/04/2001 00:00</v>
      </c>
      <c r="C36">
        <v>52.8</v>
      </c>
      <c r="D36" t="s">
        <v>7</v>
      </c>
      <c r="E36" s="2" t="s">
        <v>12</v>
      </c>
      <c r="F36">
        <f t="shared" si="0"/>
        <v>104.7024</v>
      </c>
      <c r="G36" t="s">
        <v>16</v>
      </c>
      <c r="J36" t="str">
        <f>"11/04/2001 23:45"</f>
        <v>11/04/2001 23:45</v>
      </c>
    </row>
    <row r="37" spans="1:10" x14ac:dyDescent="0.3">
      <c r="A37" t="s">
        <v>6</v>
      </c>
      <c r="B37" t="str">
        <f>"11/05/2001 00:00"</f>
        <v>11/05/2001 00:00</v>
      </c>
      <c r="C37">
        <v>52.3</v>
      </c>
      <c r="D37" t="s">
        <v>7</v>
      </c>
      <c r="E37" s="2" t="s">
        <v>12</v>
      </c>
      <c r="F37">
        <f t="shared" si="0"/>
        <v>103.7109</v>
      </c>
      <c r="G37" t="s">
        <v>16</v>
      </c>
      <c r="J37" t="str">
        <f>"11/05/2001 23:45"</f>
        <v>11/05/2001 23:45</v>
      </c>
    </row>
    <row r="38" spans="1:10" x14ac:dyDescent="0.3">
      <c r="A38" t="s">
        <v>6</v>
      </c>
      <c r="B38" t="str">
        <f>"11/06/2001 00:00"</f>
        <v>11/06/2001 00:00</v>
      </c>
      <c r="C38">
        <v>71</v>
      </c>
      <c r="D38" t="s">
        <v>7</v>
      </c>
      <c r="E38" s="2" t="s">
        <v>12</v>
      </c>
      <c r="F38">
        <f t="shared" si="0"/>
        <v>140.79300000000001</v>
      </c>
      <c r="G38" t="s">
        <v>16</v>
      </c>
      <c r="J38" t="str">
        <f>"11/06/2001 23:45"</f>
        <v>11/06/2001 23:45</v>
      </c>
    </row>
    <row r="39" spans="1:10" x14ac:dyDescent="0.3">
      <c r="A39" t="s">
        <v>6</v>
      </c>
      <c r="B39" t="str">
        <f>"11/07/2001 00:00"</f>
        <v>11/07/2001 00:00</v>
      </c>
      <c r="C39">
        <v>103</v>
      </c>
      <c r="D39" t="s">
        <v>7</v>
      </c>
      <c r="E39" s="2" t="s">
        <v>12</v>
      </c>
      <c r="F39">
        <f t="shared" si="0"/>
        <v>204.24900000000002</v>
      </c>
      <c r="G39" t="s">
        <v>16</v>
      </c>
      <c r="J39" t="str">
        <f>"11/07/2001 23:45"</f>
        <v>11/07/2001 23:45</v>
      </c>
    </row>
    <row r="40" spans="1:10" x14ac:dyDescent="0.3">
      <c r="A40" t="s">
        <v>6</v>
      </c>
      <c r="B40" t="str">
        <f>"11/08/2001 00:00"</f>
        <v>11/08/2001 00:00</v>
      </c>
      <c r="C40">
        <v>127</v>
      </c>
      <c r="D40" t="s">
        <v>7</v>
      </c>
      <c r="E40" s="2" t="s">
        <v>12</v>
      </c>
      <c r="F40">
        <f t="shared" si="0"/>
        <v>251.84100000000001</v>
      </c>
      <c r="G40" t="s">
        <v>16</v>
      </c>
      <c r="J40" t="str">
        <f>"11/08/2001 23:45"</f>
        <v>11/08/2001 23:45</v>
      </c>
    </row>
    <row r="41" spans="1:10" x14ac:dyDescent="0.3">
      <c r="A41" t="s">
        <v>6</v>
      </c>
      <c r="B41" t="str">
        <f>"11/09/2001 00:00"</f>
        <v>11/09/2001 00:00</v>
      </c>
      <c r="C41">
        <v>133</v>
      </c>
      <c r="D41" t="s">
        <v>7</v>
      </c>
      <c r="E41" s="2" t="s">
        <v>12</v>
      </c>
      <c r="F41">
        <f t="shared" si="0"/>
        <v>263.73900000000003</v>
      </c>
      <c r="G41" t="s">
        <v>16</v>
      </c>
      <c r="J41" t="str">
        <f>"11/09/2001 23:45"</f>
        <v>11/09/2001 23:45</v>
      </c>
    </row>
    <row r="42" spans="1:10" x14ac:dyDescent="0.3">
      <c r="A42" t="s">
        <v>6</v>
      </c>
      <c r="B42" t="str">
        <f>"11/10/2001 00:00"</f>
        <v>11/10/2001 00:00</v>
      </c>
      <c r="C42">
        <v>70.3</v>
      </c>
      <c r="D42" t="s">
        <v>7</v>
      </c>
      <c r="E42" s="2" t="s">
        <v>12</v>
      </c>
      <c r="F42">
        <f t="shared" si="0"/>
        <v>139.4049</v>
      </c>
      <c r="G42" t="s">
        <v>16</v>
      </c>
      <c r="J42" t="str">
        <f>"11/10/2001 23:45"</f>
        <v>11/10/2001 23:45</v>
      </c>
    </row>
    <row r="43" spans="1:10" x14ac:dyDescent="0.3">
      <c r="A43" t="s">
        <v>6</v>
      </c>
      <c r="B43" t="str">
        <f>"11/11/2001 00:00"</f>
        <v>11/11/2001 00:00</v>
      </c>
      <c r="C43">
        <v>72.099999999999994</v>
      </c>
      <c r="D43" t="s">
        <v>7</v>
      </c>
      <c r="E43" s="2" t="s">
        <v>12</v>
      </c>
      <c r="F43">
        <f t="shared" si="0"/>
        <v>142.9743</v>
      </c>
      <c r="G43" t="s">
        <v>16</v>
      </c>
      <c r="J43" t="str">
        <f>"11/11/2001 23:45"</f>
        <v>11/11/2001 23:45</v>
      </c>
    </row>
    <row r="44" spans="1:10" x14ac:dyDescent="0.3">
      <c r="A44" t="s">
        <v>6</v>
      </c>
      <c r="B44" t="str">
        <f>"11/12/2001 00:00"</f>
        <v>11/12/2001 00:00</v>
      </c>
      <c r="C44">
        <v>106</v>
      </c>
      <c r="D44" t="s">
        <v>7</v>
      </c>
      <c r="E44" s="2" t="s">
        <v>12</v>
      </c>
      <c r="F44">
        <f t="shared" si="0"/>
        <v>210.19800000000001</v>
      </c>
      <c r="G44" t="s">
        <v>16</v>
      </c>
      <c r="J44" t="str">
        <f>"11/12/2001 23:45"</f>
        <v>11/12/2001 23:45</v>
      </c>
    </row>
    <row r="45" spans="1:10" x14ac:dyDescent="0.3">
      <c r="A45" t="s">
        <v>6</v>
      </c>
      <c r="B45" t="str">
        <f>"11/13/2001 00:00"</f>
        <v>11/13/2001 00:00</v>
      </c>
      <c r="C45">
        <v>106</v>
      </c>
      <c r="D45" t="s">
        <v>7</v>
      </c>
      <c r="E45" s="2" t="s">
        <v>12</v>
      </c>
      <c r="F45">
        <f t="shared" si="0"/>
        <v>210.19800000000001</v>
      </c>
      <c r="G45" t="s">
        <v>16</v>
      </c>
      <c r="J45" t="str">
        <f>"11/13/2001 23:45"</f>
        <v>11/13/2001 23:45</v>
      </c>
    </row>
    <row r="46" spans="1:10" x14ac:dyDescent="0.3">
      <c r="A46" t="s">
        <v>6</v>
      </c>
      <c r="B46" t="str">
        <f>"11/14/2001 00:00"</f>
        <v>11/14/2001 00:00</v>
      </c>
      <c r="C46">
        <v>106</v>
      </c>
      <c r="D46" t="s">
        <v>7</v>
      </c>
      <c r="E46" s="2" t="s">
        <v>12</v>
      </c>
      <c r="F46">
        <f t="shared" si="0"/>
        <v>210.19800000000001</v>
      </c>
      <c r="G46" t="s">
        <v>16</v>
      </c>
      <c r="J46" t="str">
        <f>"11/14/2001 23:45"</f>
        <v>11/14/2001 23:45</v>
      </c>
    </row>
    <row r="47" spans="1:10" x14ac:dyDescent="0.3">
      <c r="A47" t="s">
        <v>6</v>
      </c>
      <c r="B47" t="str">
        <f>"11/15/2001 00:00"</f>
        <v>11/15/2001 00:00</v>
      </c>
      <c r="C47">
        <v>108</v>
      </c>
      <c r="D47" t="s">
        <v>7</v>
      </c>
      <c r="E47" s="2" t="s">
        <v>12</v>
      </c>
      <c r="F47">
        <f t="shared" si="0"/>
        <v>214.16400000000002</v>
      </c>
      <c r="G47" t="s">
        <v>16</v>
      </c>
      <c r="J47" t="str">
        <f>"11/15/2001 23:45"</f>
        <v>11/15/2001 23:45</v>
      </c>
    </row>
    <row r="48" spans="1:10" x14ac:dyDescent="0.3">
      <c r="A48" t="s">
        <v>6</v>
      </c>
      <c r="B48" t="str">
        <f>"11/16/2001 00:00"</f>
        <v>11/16/2001 00:00</v>
      </c>
      <c r="C48">
        <v>108</v>
      </c>
      <c r="D48" t="s">
        <v>7</v>
      </c>
      <c r="E48" s="2" t="s">
        <v>12</v>
      </c>
      <c r="F48">
        <f t="shared" si="0"/>
        <v>214.16400000000002</v>
      </c>
      <c r="G48" t="s">
        <v>16</v>
      </c>
      <c r="J48" t="str">
        <f>"11/16/2001 23:45"</f>
        <v>11/16/2001 23:45</v>
      </c>
    </row>
    <row r="49" spans="1:10" x14ac:dyDescent="0.3">
      <c r="A49" t="s">
        <v>6</v>
      </c>
      <c r="B49" t="str">
        <f>"11/17/2001 00:00"</f>
        <v>11/17/2001 00:00</v>
      </c>
      <c r="C49">
        <v>108</v>
      </c>
      <c r="D49" t="s">
        <v>7</v>
      </c>
      <c r="E49" s="2" t="s">
        <v>12</v>
      </c>
      <c r="F49">
        <f t="shared" si="0"/>
        <v>214.16400000000002</v>
      </c>
      <c r="G49" t="s">
        <v>16</v>
      </c>
      <c r="J49" t="str">
        <f>"11/17/2001 23:45"</f>
        <v>11/17/2001 23:45</v>
      </c>
    </row>
    <row r="50" spans="1:10" x14ac:dyDescent="0.3">
      <c r="A50" t="s">
        <v>6</v>
      </c>
      <c r="B50" t="str">
        <f>"11/18/2001 00:00"</f>
        <v>11/18/2001 00:00</v>
      </c>
      <c r="C50">
        <v>108</v>
      </c>
      <c r="D50" t="s">
        <v>7</v>
      </c>
      <c r="E50" s="2" t="s">
        <v>12</v>
      </c>
      <c r="F50">
        <f t="shared" si="0"/>
        <v>214.16400000000002</v>
      </c>
      <c r="G50" t="s">
        <v>16</v>
      </c>
      <c r="J50" t="str">
        <f>"11/18/2001 23:45"</f>
        <v>11/18/2001 23:45</v>
      </c>
    </row>
    <row r="51" spans="1:10" x14ac:dyDescent="0.3">
      <c r="A51" t="s">
        <v>6</v>
      </c>
      <c r="B51" t="str">
        <f>"11/19/2001 00:00"</f>
        <v>11/19/2001 00:00</v>
      </c>
      <c r="C51">
        <v>108</v>
      </c>
      <c r="D51" t="s">
        <v>7</v>
      </c>
      <c r="E51" s="2" t="s">
        <v>12</v>
      </c>
      <c r="F51">
        <f t="shared" si="0"/>
        <v>214.16400000000002</v>
      </c>
      <c r="G51" t="s">
        <v>16</v>
      </c>
      <c r="J51" t="str">
        <f>"11/19/2001 23:45"</f>
        <v>11/19/2001 23:45</v>
      </c>
    </row>
    <row r="52" spans="1:10" x14ac:dyDescent="0.3">
      <c r="A52" t="s">
        <v>6</v>
      </c>
      <c r="B52" t="str">
        <f>"11/20/2001 00:00"</f>
        <v>11/20/2001 00:00</v>
      </c>
      <c r="C52">
        <v>108</v>
      </c>
      <c r="D52" t="s">
        <v>7</v>
      </c>
      <c r="E52" s="2" t="s">
        <v>12</v>
      </c>
      <c r="F52">
        <f t="shared" si="0"/>
        <v>214.16400000000002</v>
      </c>
      <c r="G52" t="s">
        <v>16</v>
      </c>
      <c r="J52" t="str">
        <f>"11/20/2001 23:45"</f>
        <v>11/20/2001 23:45</v>
      </c>
    </row>
    <row r="53" spans="1:10" x14ac:dyDescent="0.3">
      <c r="A53" t="s">
        <v>6</v>
      </c>
      <c r="B53" t="str">
        <f>"11/21/2001 00:00"</f>
        <v>11/21/2001 00:00</v>
      </c>
      <c r="C53">
        <v>108</v>
      </c>
      <c r="D53" t="s">
        <v>7</v>
      </c>
      <c r="E53" s="2" t="s">
        <v>12</v>
      </c>
      <c r="F53">
        <f t="shared" si="0"/>
        <v>214.16400000000002</v>
      </c>
      <c r="G53" t="s">
        <v>16</v>
      </c>
      <c r="J53" t="str">
        <f>"11/21/2001 23:45"</f>
        <v>11/21/2001 23:45</v>
      </c>
    </row>
    <row r="54" spans="1:10" x14ac:dyDescent="0.3">
      <c r="A54" t="s">
        <v>6</v>
      </c>
      <c r="B54" t="str">
        <f>"11/22/2001 00:00"</f>
        <v>11/22/2001 00:00</v>
      </c>
      <c r="C54">
        <v>108</v>
      </c>
      <c r="D54" t="s">
        <v>7</v>
      </c>
      <c r="E54" s="2" t="s">
        <v>12</v>
      </c>
      <c r="F54">
        <f t="shared" si="0"/>
        <v>214.16400000000002</v>
      </c>
      <c r="G54" t="s">
        <v>16</v>
      </c>
      <c r="J54" t="str">
        <f>"11/22/2001 23:45"</f>
        <v>11/22/2001 23:45</v>
      </c>
    </row>
    <row r="55" spans="1:10" x14ac:dyDescent="0.3">
      <c r="A55" t="s">
        <v>6</v>
      </c>
      <c r="B55" t="str">
        <f>"11/23/2001 00:00"</f>
        <v>11/23/2001 00:00</v>
      </c>
      <c r="C55">
        <v>88.6</v>
      </c>
      <c r="D55" t="s">
        <v>7</v>
      </c>
      <c r="E55" s="2" t="s">
        <v>12</v>
      </c>
      <c r="F55">
        <f t="shared" si="0"/>
        <v>175.69380000000001</v>
      </c>
      <c r="G55" t="s">
        <v>16</v>
      </c>
      <c r="J55" t="str">
        <f>"11/23/2001 23:45"</f>
        <v>11/23/2001 23:45</v>
      </c>
    </row>
    <row r="56" spans="1:10" x14ac:dyDescent="0.3">
      <c r="A56" t="s">
        <v>6</v>
      </c>
      <c r="B56" t="str">
        <f>"11/24/2001 00:00"</f>
        <v>11/24/2001 00:00</v>
      </c>
      <c r="C56">
        <v>80.099999999999994</v>
      </c>
      <c r="D56" t="s">
        <v>7</v>
      </c>
      <c r="E56" s="2" t="s">
        <v>12</v>
      </c>
      <c r="F56">
        <f t="shared" si="0"/>
        <v>158.8383</v>
      </c>
      <c r="G56" t="s">
        <v>16</v>
      </c>
      <c r="J56" t="str">
        <f>"11/24/2001 23:45"</f>
        <v>11/24/2001 23:45</v>
      </c>
    </row>
    <row r="57" spans="1:10" x14ac:dyDescent="0.3">
      <c r="A57" t="s">
        <v>6</v>
      </c>
      <c r="B57" t="str">
        <f>"11/25/2001 00:00"</f>
        <v>11/25/2001 00:00</v>
      </c>
      <c r="C57">
        <v>80.099999999999994</v>
      </c>
      <c r="D57" t="s">
        <v>7</v>
      </c>
      <c r="E57" s="2" t="s">
        <v>12</v>
      </c>
      <c r="F57">
        <f t="shared" si="0"/>
        <v>158.8383</v>
      </c>
      <c r="G57" t="s">
        <v>16</v>
      </c>
      <c r="J57" t="str">
        <f>"11/25/2001 23:45"</f>
        <v>11/25/2001 23:45</v>
      </c>
    </row>
    <row r="58" spans="1:10" x14ac:dyDescent="0.3">
      <c r="A58" t="s">
        <v>6</v>
      </c>
      <c r="B58" t="str">
        <f>"11/26/2001 00:00"</f>
        <v>11/26/2001 00:00</v>
      </c>
      <c r="C58">
        <v>80.7</v>
      </c>
      <c r="D58" t="s">
        <v>7</v>
      </c>
      <c r="E58" s="2" t="s">
        <v>12</v>
      </c>
      <c r="F58">
        <f t="shared" si="0"/>
        <v>160.02810000000002</v>
      </c>
      <c r="G58" t="s">
        <v>16</v>
      </c>
      <c r="J58" t="str">
        <f>"11/26/2001 23:45"</f>
        <v>11/26/2001 23:45</v>
      </c>
    </row>
    <row r="59" spans="1:10" x14ac:dyDescent="0.3">
      <c r="A59" t="s">
        <v>6</v>
      </c>
      <c r="B59" t="str">
        <f>"11/27/2001 00:00"</f>
        <v>11/27/2001 00:00</v>
      </c>
      <c r="C59">
        <v>81</v>
      </c>
      <c r="D59" t="s">
        <v>7</v>
      </c>
      <c r="E59" s="2" t="s">
        <v>12</v>
      </c>
      <c r="F59">
        <f t="shared" si="0"/>
        <v>160.62300000000002</v>
      </c>
      <c r="G59" t="s">
        <v>16</v>
      </c>
      <c r="J59" t="str">
        <f>"11/27/2001 23:45"</f>
        <v>11/27/2001 23:45</v>
      </c>
    </row>
    <row r="60" spans="1:10" x14ac:dyDescent="0.3">
      <c r="A60" t="s">
        <v>6</v>
      </c>
      <c r="B60" t="str">
        <f>"11/28/2001 00:00"</f>
        <v>11/28/2001 00:00</v>
      </c>
      <c r="C60">
        <v>81</v>
      </c>
      <c r="D60" t="s">
        <v>7</v>
      </c>
      <c r="E60" s="2" t="s">
        <v>12</v>
      </c>
      <c r="F60">
        <f t="shared" si="0"/>
        <v>160.62300000000002</v>
      </c>
      <c r="G60" t="s">
        <v>16</v>
      </c>
      <c r="J60" t="str">
        <f>"11/28/2001 23:45"</f>
        <v>11/28/2001 23:45</v>
      </c>
    </row>
    <row r="61" spans="1:10" x14ac:dyDescent="0.3">
      <c r="A61" t="s">
        <v>6</v>
      </c>
      <c r="B61" t="str">
        <f>"11/29/2001 00:00"</f>
        <v>11/29/2001 00:00</v>
      </c>
      <c r="C61">
        <v>80.5</v>
      </c>
      <c r="D61" t="s">
        <v>7</v>
      </c>
      <c r="E61" s="2" t="s">
        <v>12</v>
      </c>
      <c r="F61">
        <f t="shared" si="0"/>
        <v>159.63150000000002</v>
      </c>
      <c r="G61" t="s">
        <v>16</v>
      </c>
      <c r="J61" t="str">
        <f>"11/29/2001 23:45"</f>
        <v>11/29/2001 23:45</v>
      </c>
    </row>
    <row r="62" spans="1:10" x14ac:dyDescent="0.3">
      <c r="A62" t="s">
        <v>6</v>
      </c>
      <c r="B62" t="str">
        <f>"11/30/2001 00:00"</f>
        <v>11/30/2001 00:00</v>
      </c>
      <c r="C62">
        <v>103</v>
      </c>
      <c r="D62" t="s">
        <v>7</v>
      </c>
      <c r="E62" s="2" t="s">
        <v>12</v>
      </c>
      <c r="F62">
        <f t="shared" si="0"/>
        <v>204.24900000000002</v>
      </c>
      <c r="G62" t="s">
        <v>16</v>
      </c>
      <c r="J62" t="str">
        <f>"11/30/2001 23:45"</f>
        <v>11/30/2001 23:45</v>
      </c>
    </row>
    <row r="63" spans="1:10" x14ac:dyDescent="0.3">
      <c r="A63" t="s">
        <v>6</v>
      </c>
      <c r="B63" t="str">
        <f>"12/01/2001 00:00"</f>
        <v>12/01/2001 00:00</v>
      </c>
      <c r="C63">
        <v>119</v>
      </c>
      <c r="D63" t="s">
        <v>7</v>
      </c>
      <c r="E63" s="2" t="s">
        <v>12</v>
      </c>
      <c r="F63">
        <f t="shared" si="0"/>
        <v>235.977</v>
      </c>
      <c r="G63" t="s">
        <v>16</v>
      </c>
      <c r="J63" t="str">
        <f>"12/01/2001 23:45"</f>
        <v>12/01/2001 23:45</v>
      </c>
    </row>
    <row r="64" spans="1:10" x14ac:dyDescent="0.3">
      <c r="A64" t="s">
        <v>6</v>
      </c>
      <c r="B64" t="str">
        <f>"12/02/2001 00:00"</f>
        <v>12/02/2001 00:00</v>
      </c>
      <c r="C64">
        <v>119</v>
      </c>
      <c r="D64" t="s">
        <v>7</v>
      </c>
      <c r="E64" s="2" t="s">
        <v>12</v>
      </c>
      <c r="F64">
        <f t="shared" si="0"/>
        <v>235.977</v>
      </c>
      <c r="G64" t="s">
        <v>16</v>
      </c>
      <c r="J64" t="str">
        <f>"12/02/2001 23:45"</f>
        <v>12/02/2001 23:45</v>
      </c>
    </row>
    <row r="65" spans="1:10" x14ac:dyDescent="0.3">
      <c r="A65" t="s">
        <v>6</v>
      </c>
      <c r="B65" t="str">
        <f>"12/03/2001 00:00"</f>
        <v>12/03/2001 00:00</v>
      </c>
      <c r="C65">
        <v>119</v>
      </c>
      <c r="D65" t="s">
        <v>7</v>
      </c>
      <c r="E65" s="2" t="s">
        <v>12</v>
      </c>
      <c r="F65">
        <f t="shared" si="0"/>
        <v>235.977</v>
      </c>
      <c r="G65" t="s">
        <v>16</v>
      </c>
      <c r="J65" t="str">
        <f>"12/03/2001 23:45"</f>
        <v>12/03/2001 23:45</v>
      </c>
    </row>
    <row r="66" spans="1:10" x14ac:dyDescent="0.3">
      <c r="A66" t="s">
        <v>6</v>
      </c>
      <c r="B66" t="str">
        <f>"12/04/2001 00:00"</f>
        <v>12/04/2001 00:00</v>
      </c>
      <c r="C66">
        <v>118</v>
      </c>
      <c r="D66" t="s">
        <v>7</v>
      </c>
      <c r="E66" s="2" t="s">
        <v>12</v>
      </c>
      <c r="F66">
        <f t="shared" si="0"/>
        <v>233.994</v>
      </c>
      <c r="G66" t="s">
        <v>16</v>
      </c>
      <c r="J66" t="str">
        <f>"12/04/2001 23:45"</f>
        <v>12/04/2001 23:45</v>
      </c>
    </row>
    <row r="67" spans="1:10" x14ac:dyDescent="0.3">
      <c r="A67" t="s">
        <v>6</v>
      </c>
      <c r="B67" t="str">
        <f>"12/05/2001 00:00"</f>
        <v>12/05/2001 00:00</v>
      </c>
      <c r="C67">
        <v>118</v>
      </c>
      <c r="D67" t="s">
        <v>7</v>
      </c>
      <c r="E67" s="2" t="s">
        <v>12</v>
      </c>
      <c r="F67">
        <f t="shared" si="0"/>
        <v>233.994</v>
      </c>
      <c r="G67" t="s">
        <v>16</v>
      </c>
      <c r="J67" t="str">
        <f>"12/05/2001 23:45"</f>
        <v>12/05/2001 23:45</v>
      </c>
    </row>
    <row r="68" spans="1:10" x14ac:dyDescent="0.3">
      <c r="A68" t="s">
        <v>6</v>
      </c>
      <c r="B68" t="str">
        <f>"12/06/2001 00:00"</f>
        <v>12/06/2001 00:00</v>
      </c>
      <c r="C68">
        <v>118</v>
      </c>
      <c r="D68" t="s">
        <v>7</v>
      </c>
      <c r="E68" s="2" t="s">
        <v>12</v>
      </c>
      <c r="F68">
        <f t="shared" ref="F68:F131" si="1">C68*1.983</f>
        <v>233.994</v>
      </c>
      <c r="G68" t="s">
        <v>16</v>
      </c>
      <c r="J68" t="str">
        <f>"12/06/2001 23:45"</f>
        <v>12/06/2001 23:45</v>
      </c>
    </row>
    <row r="69" spans="1:10" x14ac:dyDescent="0.3">
      <c r="A69" t="s">
        <v>6</v>
      </c>
      <c r="B69" t="str">
        <f>"12/07/2001 00:00"</f>
        <v>12/07/2001 00:00</v>
      </c>
      <c r="C69">
        <v>118</v>
      </c>
      <c r="D69" t="s">
        <v>7</v>
      </c>
      <c r="E69" s="2" t="s">
        <v>12</v>
      </c>
      <c r="F69">
        <f t="shared" si="1"/>
        <v>233.994</v>
      </c>
      <c r="G69" t="s">
        <v>16</v>
      </c>
      <c r="J69" t="str">
        <f>"12/07/2001 23:45"</f>
        <v>12/07/2001 23:45</v>
      </c>
    </row>
    <row r="70" spans="1:10" x14ac:dyDescent="0.3">
      <c r="A70" t="s">
        <v>6</v>
      </c>
      <c r="B70" t="str">
        <f>"12/08/2001 00:00"</f>
        <v>12/08/2001 00:00</v>
      </c>
      <c r="C70">
        <v>119</v>
      </c>
      <c r="D70" t="s">
        <v>7</v>
      </c>
      <c r="E70" s="2" t="s">
        <v>12</v>
      </c>
      <c r="F70">
        <f t="shared" si="1"/>
        <v>235.977</v>
      </c>
      <c r="G70" t="s">
        <v>16</v>
      </c>
      <c r="J70" t="str">
        <f>"12/08/2001 05:45"</f>
        <v>12/08/2001 05:45</v>
      </c>
    </row>
    <row r="71" spans="1:10" x14ac:dyDescent="0.3">
      <c r="A71" t="s">
        <v>6</v>
      </c>
      <c r="B71" t="str">
        <f>"12/09/2001 00:00"</f>
        <v>12/09/2001 00:00</v>
      </c>
      <c r="C71">
        <v>118</v>
      </c>
      <c r="D71" t="s">
        <v>7</v>
      </c>
      <c r="E71" s="2" t="s">
        <v>12</v>
      </c>
      <c r="F71">
        <f t="shared" si="1"/>
        <v>233.994</v>
      </c>
      <c r="G71" t="s">
        <v>16</v>
      </c>
      <c r="J71" t="str">
        <f>"12/09/2001 23:45"</f>
        <v>12/09/2001 23:45</v>
      </c>
    </row>
    <row r="72" spans="1:10" x14ac:dyDescent="0.3">
      <c r="A72" t="s">
        <v>6</v>
      </c>
      <c r="B72" t="str">
        <f>"12/10/2001 00:00"</f>
        <v>12/10/2001 00:00</v>
      </c>
      <c r="C72">
        <v>118</v>
      </c>
      <c r="D72" t="s">
        <v>7</v>
      </c>
      <c r="E72" s="2" t="s">
        <v>12</v>
      </c>
      <c r="F72">
        <f t="shared" si="1"/>
        <v>233.994</v>
      </c>
      <c r="G72" t="s">
        <v>16</v>
      </c>
      <c r="J72" t="str">
        <f>"12/10/2001 23:45"</f>
        <v>12/10/2001 23:45</v>
      </c>
    </row>
    <row r="73" spans="1:10" x14ac:dyDescent="0.3">
      <c r="A73" t="s">
        <v>6</v>
      </c>
      <c r="B73" t="str">
        <f>"12/11/2001 00:00"</f>
        <v>12/11/2001 00:00</v>
      </c>
      <c r="C73">
        <v>118</v>
      </c>
      <c r="D73" t="s">
        <v>7</v>
      </c>
      <c r="E73" s="2" t="s">
        <v>12</v>
      </c>
      <c r="F73">
        <f t="shared" si="1"/>
        <v>233.994</v>
      </c>
      <c r="G73" t="s">
        <v>16</v>
      </c>
      <c r="J73" t="str">
        <f>"12/11/2001 23:45"</f>
        <v>12/11/2001 23:45</v>
      </c>
    </row>
    <row r="74" spans="1:10" x14ac:dyDescent="0.3">
      <c r="A74" t="s">
        <v>6</v>
      </c>
      <c r="B74" t="str">
        <f>"12/12/2001 00:00"</f>
        <v>12/12/2001 00:00</v>
      </c>
      <c r="C74">
        <v>118</v>
      </c>
      <c r="D74" t="s">
        <v>7</v>
      </c>
      <c r="E74" s="2" t="s">
        <v>12</v>
      </c>
      <c r="F74">
        <f t="shared" si="1"/>
        <v>233.994</v>
      </c>
      <c r="G74" t="s">
        <v>16</v>
      </c>
      <c r="J74" t="str">
        <f>"12/12/2001 23:45"</f>
        <v>12/12/2001 23:45</v>
      </c>
    </row>
    <row r="75" spans="1:10" x14ac:dyDescent="0.3">
      <c r="A75" t="s">
        <v>6</v>
      </c>
      <c r="B75" t="str">
        <f>"12/13/2001 00:00"</f>
        <v>12/13/2001 00:00</v>
      </c>
      <c r="C75">
        <v>118</v>
      </c>
      <c r="D75" t="s">
        <v>7</v>
      </c>
      <c r="E75" s="2" t="s">
        <v>12</v>
      </c>
      <c r="F75">
        <f t="shared" si="1"/>
        <v>233.994</v>
      </c>
      <c r="G75" t="s">
        <v>16</v>
      </c>
      <c r="J75" t="str">
        <f>"12/13/2001 23:45"</f>
        <v>12/13/2001 23:45</v>
      </c>
    </row>
    <row r="76" spans="1:10" x14ac:dyDescent="0.3">
      <c r="A76" t="s">
        <v>6</v>
      </c>
      <c r="B76" t="str">
        <f>"12/14/2001 00:00"</f>
        <v>12/14/2001 00:00</v>
      </c>
      <c r="C76">
        <v>119</v>
      </c>
      <c r="D76" t="s">
        <v>7</v>
      </c>
      <c r="E76" s="2" t="s">
        <v>12</v>
      </c>
      <c r="F76">
        <f t="shared" si="1"/>
        <v>235.977</v>
      </c>
      <c r="G76" t="s">
        <v>16</v>
      </c>
      <c r="J76" t="str">
        <f>"12/14/2001 23:45"</f>
        <v>12/14/2001 23:45</v>
      </c>
    </row>
    <row r="77" spans="1:10" x14ac:dyDescent="0.3">
      <c r="A77" t="s">
        <v>6</v>
      </c>
      <c r="B77" t="str">
        <f>"12/15/2001 00:00"</f>
        <v>12/15/2001 00:00</v>
      </c>
      <c r="C77">
        <v>119</v>
      </c>
      <c r="D77" t="s">
        <v>7</v>
      </c>
      <c r="E77" s="2" t="s">
        <v>12</v>
      </c>
      <c r="F77">
        <f t="shared" si="1"/>
        <v>235.977</v>
      </c>
      <c r="G77" t="s">
        <v>16</v>
      </c>
      <c r="J77" t="str">
        <f>"12/15/2001 23:45"</f>
        <v>12/15/2001 23:45</v>
      </c>
    </row>
    <row r="78" spans="1:10" x14ac:dyDescent="0.3">
      <c r="A78" t="s">
        <v>6</v>
      </c>
      <c r="B78" t="str">
        <f>"12/16/2001 00:00"</f>
        <v>12/16/2001 00:00</v>
      </c>
      <c r="C78">
        <v>119</v>
      </c>
      <c r="D78" t="s">
        <v>7</v>
      </c>
      <c r="E78" s="2" t="s">
        <v>12</v>
      </c>
      <c r="F78">
        <f t="shared" si="1"/>
        <v>235.977</v>
      </c>
      <c r="G78" t="s">
        <v>16</v>
      </c>
      <c r="J78" t="str">
        <f>"12/16/2001 23:45"</f>
        <v>12/16/2001 23:45</v>
      </c>
    </row>
    <row r="79" spans="1:10" x14ac:dyDescent="0.3">
      <c r="A79" t="s">
        <v>6</v>
      </c>
      <c r="B79" t="str">
        <f>"12/17/2001 00:00"</f>
        <v>12/17/2001 00:00</v>
      </c>
      <c r="C79">
        <v>119</v>
      </c>
      <c r="D79" t="s">
        <v>7</v>
      </c>
      <c r="E79" s="2" t="s">
        <v>12</v>
      </c>
      <c r="F79">
        <f t="shared" si="1"/>
        <v>235.977</v>
      </c>
      <c r="G79" t="s">
        <v>16</v>
      </c>
      <c r="J79" t="str">
        <f>"12/17/2001 23:45"</f>
        <v>12/17/2001 23:45</v>
      </c>
    </row>
    <row r="80" spans="1:10" x14ac:dyDescent="0.3">
      <c r="A80" t="s">
        <v>6</v>
      </c>
      <c r="B80" t="str">
        <f>"12/18/2001 00:00"</f>
        <v>12/18/2001 00:00</v>
      </c>
      <c r="C80">
        <v>120</v>
      </c>
      <c r="D80" t="s">
        <v>7</v>
      </c>
      <c r="E80" s="2" t="s">
        <v>12</v>
      </c>
      <c r="F80">
        <f t="shared" si="1"/>
        <v>237.96</v>
      </c>
      <c r="G80" t="s">
        <v>16</v>
      </c>
      <c r="J80" t="str">
        <f>"12/18/2001 23:45"</f>
        <v>12/18/2001 23:45</v>
      </c>
    </row>
    <row r="81" spans="1:10" x14ac:dyDescent="0.3">
      <c r="A81" t="s">
        <v>6</v>
      </c>
      <c r="B81" t="str">
        <f>"12/19/2001 00:00"</f>
        <v>12/19/2001 00:00</v>
      </c>
      <c r="C81">
        <v>121</v>
      </c>
      <c r="D81" t="s">
        <v>7</v>
      </c>
      <c r="E81" s="2" t="s">
        <v>12</v>
      </c>
      <c r="F81">
        <f t="shared" si="1"/>
        <v>239.94300000000001</v>
      </c>
      <c r="G81" t="s">
        <v>16</v>
      </c>
      <c r="J81" t="str">
        <f>"12/19/2001 23:45"</f>
        <v>12/19/2001 23:45</v>
      </c>
    </row>
    <row r="82" spans="1:10" x14ac:dyDescent="0.3">
      <c r="A82" t="s">
        <v>6</v>
      </c>
      <c r="B82" t="str">
        <f>"12/20/2001 00:00"</f>
        <v>12/20/2001 00:00</v>
      </c>
      <c r="C82">
        <v>120</v>
      </c>
      <c r="D82" t="s">
        <v>7</v>
      </c>
      <c r="E82" s="2" t="s">
        <v>12</v>
      </c>
      <c r="F82">
        <f t="shared" si="1"/>
        <v>237.96</v>
      </c>
      <c r="G82" t="s">
        <v>16</v>
      </c>
      <c r="J82" t="str">
        <f>"12/20/2001 23:45"</f>
        <v>12/20/2001 23:45</v>
      </c>
    </row>
    <row r="83" spans="1:10" x14ac:dyDescent="0.3">
      <c r="A83" t="s">
        <v>6</v>
      </c>
      <c r="B83" t="str">
        <f>"12/21/2001 00:00"</f>
        <v>12/21/2001 00:00</v>
      </c>
      <c r="C83">
        <v>119</v>
      </c>
      <c r="D83" t="s">
        <v>7</v>
      </c>
      <c r="E83" s="2" t="s">
        <v>12</v>
      </c>
      <c r="F83">
        <f t="shared" si="1"/>
        <v>235.977</v>
      </c>
      <c r="G83" t="s">
        <v>16</v>
      </c>
      <c r="J83" t="str">
        <f>"12/21/2001 23:45"</f>
        <v>12/21/2001 23:45</v>
      </c>
    </row>
    <row r="84" spans="1:10" x14ac:dyDescent="0.3">
      <c r="A84" t="s">
        <v>6</v>
      </c>
      <c r="B84" t="str">
        <f>"12/22/2001 00:00"</f>
        <v>12/22/2001 00:00</v>
      </c>
      <c r="C84">
        <v>119</v>
      </c>
      <c r="D84" t="s">
        <v>7</v>
      </c>
      <c r="E84" s="2" t="s">
        <v>12</v>
      </c>
      <c r="F84">
        <f t="shared" si="1"/>
        <v>235.977</v>
      </c>
      <c r="G84" t="s">
        <v>16</v>
      </c>
      <c r="J84" t="str">
        <f>"12/22/2001 23:45"</f>
        <v>12/22/2001 23:45</v>
      </c>
    </row>
    <row r="85" spans="1:10" x14ac:dyDescent="0.3">
      <c r="A85" t="s">
        <v>6</v>
      </c>
      <c r="B85" t="str">
        <f>"12/23/2001 00:00"</f>
        <v>12/23/2001 00:00</v>
      </c>
      <c r="C85">
        <v>120</v>
      </c>
      <c r="D85" t="s">
        <v>7</v>
      </c>
      <c r="E85" s="2" t="s">
        <v>12</v>
      </c>
      <c r="F85">
        <f t="shared" si="1"/>
        <v>237.96</v>
      </c>
      <c r="G85" t="s">
        <v>16</v>
      </c>
      <c r="J85" t="str">
        <f>"12/23/2001 23:45"</f>
        <v>12/23/2001 23:45</v>
      </c>
    </row>
    <row r="86" spans="1:10" x14ac:dyDescent="0.3">
      <c r="A86" t="s">
        <v>6</v>
      </c>
      <c r="B86" t="str">
        <f>"12/24/2001 00:00"</f>
        <v>12/24/2001 00:00</v>
      </c>
      <c r="C86">
        <v>120</v>
      </c>
      <c r="D86" t="s">
        <v>7</v>
      </c>
      <c r="E86" s="2" t="s">
        <v>12</v>
      </c>
      <c r="F86">
        <f t="shared" si="1"/>
        <v>237.96</v>
      </c>
      <c r="G86" t="s">
        <v>16</v>
      </c>
      <c r="J86" t="str">
        <f>"12/24/2001 23:45"</f>
        <v>12/24/2001 23:45</v>
      </c>
    </row>
    <row r="87" spans="1:10" x14ac:dyDescent="0.3">
      <c r="A87" t="s">
        <v>6</v>
      </c>
      <c r="B87" t="str">
        <f>"12/25/2001 00:00"</f>
        <v>12/25/2001 00:00</v>
      </c>
      <c r="C87">
        <v>119</v>
      </c>
      <c r="D87" t="s">
        <v>7</v>
      </c>
      <c r="E87" s="2" t="s">
        <v>12</v>
      </c>
      <c r="F87">
        <f t="shared" si="1"/>
        <v>235.977</v>
      </c>
      <c r="G87" t="s">
        <v>16</v>
      </c>
      <c r="J87" t="str">
        <f>"12/25/2001 23:45"</f>
        <v>12/25/2001 23:45</v>
      </c>
    </row>
    <row r="88" spans="1:10" x14ac:dyDescent="0.3">
      <c r="A88" t="s">
        <v>6</v>
      </c>
      <c r="B88" t="str">
        <f>"12/26/2001 00:00"</f>
        <v>12/26/2001 00:00</v>
      </c>
      <c r="C88">
        <v>119</v>
      </c>
      <c r="D88" t="s">
        <v>7</v>
      </c>
      <c r="E88" s="2" t="s">
        <v>12</v>
      </c>
      <c r="F88">
        <f t="shared" si="1"/>
        <v>235.977</v>
      </c>
      <c r="G88" t="s">
        <v>16</v>
      </c>
      <c r="J88" t="str">
        <f>"12/26/2001 23:45"</f>
        <v>12/26/2001 23:45</v>
      </c>
    </row>
    <row r="89" spans="1:10" x14ac:dyDescent="0.3">
      <c r="A89" t="s">
        <v>6</v>
      </c>
      <c r="B89" t="str">
        <f>"12/27/2001 00:00"</f>
        <v>12/27/2001 00:00</v>
      </c>
      <c r="C89">
        <v>119</v>
      </c>
      <c r="D89" t="s">
        <v>7</v>
      </c>
      <c r="E89" s="2" t="s">
        <v>12</v>
      </c>
      <c r="F89">
        <f t="shared" si="1"/>
        <v>235.977</v>
      </c>
      <c r="G89" t="s">
        <v>16</v>
      </c>
      <c r="J89" t="str">
        <f>"12/27/2001 23:45"</f>
        <v>12/27/2001 23:45</v>
      </c>
    </row>
    <row r="90" spans="1:10" x14ac:dyDescent="0.3">
      <c r="A90" t="s">
        <v>6</v>
      </c>
      <c r="B90" t="str">
        <f>"12/28/2001 00:00"</f>
        <v>12/28/2001 00:00</v>
      </c>
      <c r="C90">
        <v>119</v>
      </c>
      <c r="D90" t="s">
        <v>7</v>
      </c>
      <c r="E90" s="2" t="s">
        <v>12</v>
      </c>
      <c r="F90">
        <f t="shared" si="1"/>
        <v>235.977</v>
      </c>
      <c r="G90" t="s">
        <v>16</v>
      </c>
      <c r="J90" t="str">
        <f>"12/28/2001 23:45"</f>
        <v>12/28/2001 23:45</v>
      </c>
    </row>
    <row r="91" spans="1:10" x14ac:dyDescent="0.3">
      <c r="A91" t="s">
        <v>6</v>
      </c>
      <c r="B91" t="str">
        <f>"12/29/2001 00:00"</f>
        <v>12/29/2001 00:00</v>
      </c>
      <c r="C91">
        <v>119</v>
      </c>
      <c r="D91" t="s">
        <v>7</v>
      </c>
      <c r="E91" s="2" t="s">
        <v>12</v>
      </c>
      <c r="F91">
        <f t="shared" si="1"/>
        <v>235.977</v>
      </c>
      <c r="G91" t="s">
        <v>16</v>
      </c>
      <c r="J91" t="str">
        <f>"12/29/2001 23:45"</f>
        <v>12/29/2001 23:45</v>
      </c>
    </row>
    <row r="92" spans="1:10" x14ac:dyDescent="0.3">
      <c r="A92" t="s">
        <v>6</v>
      </c>
      <c r="B92" t="str">
        <f>"12/30/2001 00:00"</f>
        <v>12/30/2001 00:00</v>
      </c>
      <c r="C92">
        <v>119</v>
      </c>
      <c r="D92" t="s">
        <v>7</v>
      </c>
      <c r="E92" s="2" t="s">
        <v>12</v>
      </c>
      <c r="F92">
        <f t="shared" si="1"/>
        <v>235.977</v>
      </c>
      <c r="G92" t="s">
        <v>16</v>
      </c>
      <c r="J92" t="str">
        <f>"12/30/2001 23:45"</f>
        <v>12/30/2001 23:45</v>
      </c>
    </row>
    <row r="93" spans="1:10" x14ac:dyDescent="0.3">
      <c r="A93" t="s">
        <v>6</v>
      </c>
      <c r="B93" t="str">
        <f>"12/31/2001 00:00"</f>
        <v>12/31/2001 00:00</v>
      </c>
      <c r="C93">
        <v>119</v>
      </c>
      <c r="D93" t="s">
        <v>7</v>
      </c>
      <c r="E93" s="2" t="s">
        <v>12</v>
      </c>
      <c r="F93">
        <f t="shared" si="1"/>
        <v>235.977</v>
      </c>
      <c r="G93" t="s">
        <v>16</v>
      </c>
      <c r="J93" t="str">
        <f>"12/31/2001 23:45"</f>
        <v>12/31/2001 23:45</v>
      </c>
    </row>
    <row r="94" spans="1:10" x14ac:dyDescent="0.3">
      <c r="A94" t="s">
        <v>6</v>
      </c>
      <c r="B94" t="str">
        <f>"01/01/2002 00:00"</f>
        <v>01/01/2002 00:00</v>
      </c>
      <c r="C94">
        <v>119</v>
      </c>
      <c r="D94" t="s">
        <v>7</v>
      </c>
      <c r="E94" s="2" t="s">
        <v>12</v>
      </c>
      <c r="F94">
        <f t="shared" si="1"/>
        <v>235.977</v>
      </c>
      <c r="G94" t="s">
        <v>16</v>
      </c>
      <c r="J94" t="str">
        <f>"01/01/2002 21:45"</f>
        <v>01/01/2002 21:45</v>
      </c>
    </row>
    <row r="95" spans="1:10" x14ac:dyDescent="0.3">
      <c r="A95" t="s">
        <v>6</v>
      </c>
      <c r="B95" t="str">
        <f>"01/02/2002 00:00"</f>
        <v>01/02/2002 00:00</v>
      </c>
      <c r="C95">
        <v>119</v>
      </c>
      <c r="D95" t="s">
        <v>7</v>
      </c>
      <c r="E95" s="2" t="s">
        <v>12</v>
      </c>
      <c r="F95">
        <f t="shared" si="1"/>
        <v>235.977</v>
      </c>
      <c r="G95" t="s">
        <v>16</v>
      </c>
      <c r="J95" t="str">
        <f>"01/02/2002 23:45"</f>
        <v>01/02/2002 23:45</v>
      </c>
    </row>
    <row r="96" spans="1:10" x14ac:dyDescent="0.3">
      <c r="A96" t="s">
        <v>6</v>
      </c>
      <c r="B96" t="str">
        <f>"01/03/2002 00:00"</f>
        <v>01/03/2002 00:00</v>
      </c>
      <c r="C96">
        <v>119</v>
      </c>
      <c r="D96" t="s">
        <v>7</v>
      </c>
      <c r="E96" s="2" t="s">
        <v>12</v>
      </c>
      <c r="F96">
        <f t="shared" si="1"/>
        <v>235.977</v>
      </c>
      <c r="G96" t="s">
        <v>16</v>
      </c>
      <c r="J96" t="str">
        <f>"01/03/2002 23:45"</f>
        <v>01/03/2002 23:45</v>
      </c>
    </row>
    <row r="97" spans="1:10" x14ac:dyDescent="0.3">
      <c r="A97" t="s">
        <v>6</v>
      </c>
      <c r="B97" t="str">
        <f>"01/04/2002 00:00"</f>
        <v>01/04/2002 00:00</v>
      </c>
      <c r="C97">
        <v>119</v>
      </c>
      <c r="D97" t="s">
        <v>7</v>
      </c>
      <c r="E97" s="2" t="s">
        <v>12</v>
      </c>
      <c r="F97">
        <f t="shared" si="1"/>
        <v>235.977</v>
      </c>
      <c r="G97" t="s">
        <v>16</v>
      </c>
      <c r="J97" t="str">
        <f>"01/04/2002 23:45"</f>
        <v>01/04/2002 23:45</v>
      </c>
    </row>
    <row r="98" spans="1:10" x14ac:dyDescent="0.3">
      <c r="A98" t="s">
        <v>6</v>
      </c>
      <c r="B98" t="str">
        <f>"01/05/2002 00:00"</f>
        <v>01/05/2002 00:00</v>
      </c>
      <c r="C98">
        <v>119</v>
      </c>
      <c r="D98" t="s">
        <v>7</v>
      </c>
      <c r="E98" s="2" t="s">
        <v>12</v>
      </c>
      <c r="F98">
        <f t="shared" si="1"/>
        <v>235.977</v>
      </c>
      <c r="G98" t="s">
        <v>16</v>
      </c>
      <c r="J98" t="str">
        <f>"01/05/2002 23:45"</f>
        <v>01/05/2002 23:45</v>
      </c>
    </row>
    <row r="99" spans="1:10" x14ac:dyDescent="0.3">
      <c r="A99" t="s">
        <v>6</v>
      </c>
      <c r="B99" t="str">
        <f>"01/06/2002 00:00"</f>
        <v>01/06/2002 00:00</v>
      </c>
      <c r="C99">
        <v>119</v>
      </c>
      <c r="D99" t="s">
        <v>7</v>
      </c>
      <c r="E99" s="2" t="s">
        <v>12</v>
      </c>
      <c r="F99">
        <f t="shared" si="1"/>
        <v>235.977</v>
      </c>
      <c r="G99" t="s">
        <v>16</v>
      </c>
      <c r="J99" t="str">
        <f>"01/06/2002 23:45"</f>
        <v>01/06/2002 23:45</v>
      </c>
    </row>
    <row r="100" spans="1:10" x14ac:dyDescent="0.3">
      <c r="A100" t="s">
        <v>6</v>
      </c>
      <c r="B100" t="str">
        <f>"01/07/2002 00:00"</f>
        <v>01/07/2002 00:00</v>
      </c>
      <c r="C100">
        <v>118</v>
      </c>
      <c r="D100" t="s">
        <v>7</v>
      </c>
      <c r="E100" s="2" t="s">
        <v>12</v>
      </c>
      <c r="F100">
        <f t="shared" si="1"/>
        <v>233.994</v>
      </c>
      <c r="G100" t="s">
        <v>16</v>
      </c>
      <c r="J100" t="str">
        <f>"01/07/2002 23:45"</f>
        <v>01/07/2002 23:45</v>
      </c>
    </row>
    <row r="101" spans="1:10" x14ac:dyDescent="0.3">
      <c r="A101" t="s">
        <v>6</v>
      </c>
      <c r="B101" t="str">
        <f>"01/08/2002 00:00"</f>
        <v>01/08/2002 00:00</v>
      </c>
      <c r="C101">
        <v>119</v>
      </c>
      <c r="D101" t="s">
        <v>7</v>
      </c>
      <c r="E101" s="2" t="s">
        <v>12</v>
      </c>
      <c r="F101">
        <f t="shared" si="1"/>
        <v>235.977</v>
      </c>
      <c r="G101" t="s">
        <v>16</v>
      </c>
      <c r="J101" t="str">
        <f>"01/08/2002 23:45"</f>
        <v>01/08/2002 23:45</v>
      </c>
    </row>
    <row r="102" spans="1:10" x14ac:dyDescent="0.3">
      <c r="A102" t="s">
        <v>6</v>
      </c>
      <c r="B102" t="str">
        <f>"01/09/2002 00:00"</f>
        <v>01/09/2002 00:00</v>
      </c>
      <c r="C102">
        <v>118</v>
      </c>
      <c r="D102" t="s">
        <v>7</v>
      </c>
      <c r="E102" s="2" t="s">
        <v>12</v>
      </c>
      <c r="F102">
        <f t="shared" si="1"/>
        <v>233.994</v>
      </c>
      <c r="G102" t="s">
        <v>16</v>
      </c>
      <c r="J102" t="str">
        <f>"01/09/2002 23:45"</f>
        <v>01/09/2002 23:45</v>
      </c>
    </row>
    <row r="103" spans="1:10" x14ac:dyDescent="0.3">
      <c r="A103" t="s">
        <v>6</v>
      </c>
      <c r="B103" t="str">
        <f>"01/10/2002 00:00"</f>
        <v>01/10/2002 00:00</v>
      </c>
      <c r="C103">
        <v>119</v>
      </c>
      <c r="D103" t="s">
        <v>7</v>
      </c>
      <c r="E103" s="2" t="s">
        <v>12</v>
      </c>
      <c r="F103">
        <f t="shared" si="1"/>
        <v>235.977</v>
      </c>
      <c r="G103" t="s">
        <v>16</v>
      </c>
      <c r="J103" t="str">
        <f>"01/10/2002 23:45"</f>
        <v>01/10/2002 23:45</v>
      </c>
    </row>
    <row r="104" spans="1:10" x14ac:dyDescent="0.3">
      <c r="A104" t="s">
        <v>6</v>
      </c>
      <c r="B104" t="str">
        <f>"01/11/2002 00:00"</f>
        <v>01/11/2002 00:00</v>
      </c>
      <c r="C104">
        <v>119</v>
      </c>
      <c r="D104" t="s">
        <v>7</v>
      </c>
      <c r="E104" s="2" t="s">
        <v>12</v>
      </c>
      <c r="F104">
        <f t="shared" si="1"/>
        <v>235.977</v>
      </c>
      <c r="G104" t="s">
        <v>16</v>
      </c>
      <c r="J104" t="str">
        <f>"01/11/2002 23:45"</f>
        <v>01/11/2002 23:45</v>
      </c>
    </row>
    <row r="105" spans="1:10" x14ac:dyDescent="0.3">
      <c r="A105" t="s">
        <v>6</v>
      </c>
      <c r="B105" t="str">
        <f>"01/12/2002 00:00"</f>
        <v>01/12/2002 00:00</v>
      </c>
      <c r="C105">
        <v>118</v>
      </c>
      <c r="D105" t="s">
        <v>7</v>
      </c>
      <c r="E105" s="2" t="s">
        <v>12</v>
      </c>
      <c r="F105">
        <f t="shared" si="1"/>
        <v>233.994</v>
      </c>
      <c r="G105" t="s">
        <v>16</v>
      </c>
      <c r="J105" t="str">
        <f>"01/12/2002 23:45"</f>
        <v>01/12/2002 23:45</v>
      </c>
    </row>
    <row r="106" spans="1:10" x14ac:dyDescent="0.3">
      <c r="A106" t="s">
        <v>6</v>
      </c>
      <c r="B106" t="str">
        <f>"01/13/2002 00:00"</f>
        <v>01/13/2002 00:00</v>
      </c>
      <c r="C106">
        <v>118</v>
      </c>
      <c r="D106" t="s">
        <v>7</v>
      </c>
      <c r="E106" s="2" t="s">
        <v>12</v>
      </c>
      <c r="F106">
        <f t="shared" si="1"/>
        <v>233.994</v>
      </c>
      <c r="G106" t="s">
        <v>16</v>
      </c>
      <c r="J106" t="str">
        <f>"01/13/2002 23:45"</f>
        <v>01/13/2002 23:45</v>
      </c>
    </row>
    <row r="107" spans="1:10" x14ac:dyDescent="0.3">
      <c r="A107" t="s">
        <v>6</v>
      </c>
      <c r="B107" t="str">
        <f>"01/14/2002 00:00"</f>
        <v>01/14/2002 00:00</v>
      </c>
      <c r="C107">
        <v>119</v>
      </c>
      <c r="D107" t="s">
        <v>7</v>
      </c>
      <c r="E107" s="2" t="s">
        <v>12</v>
      </c>
      <c r="F107">
        <f t="shared" si="1"/>
        <v>235.977</v>
      </c>
      <c r="G107" t="s">
        <v>16</v>
      </c>
      <c r="J107" t="str">
        <f>"01/14/2002 23:45"</f>
        <v>01/14/2002 23:45</v>
      </c>
    </row>
    <row r="108" spans="1:10" x14ac:dyDescent="0.3">
      <c r="A108" t="s">
        <v>6</v>
      </c>
      <c r="B108" t="str">
        <f>"01/15/2002 00:00"</f>
        <v>01/15/2002 00:00</v>
      </c>
      <c r="C108">
        <v>119</v>
      </c>
      <c r="D108" t="s">
        <v>7</v>
      </c>
      <c r="E108" s="2" t="s">
        <v>12</v>
      </c>
      <c r="F108">
        <f t="shared" si="1"/>
        <v>235.977</v>
      </c>
      <c r="G108" t="s">
        <v>16</v>
      </c>
      <c r="J108" t="str">
        <f>"01/15/2002 23:45"</f>
        <v>01/15/2002 23:45</v>
      </c>
    </row>
    <row r="109" spans="1:10" x14ac:dyDescent="0.3">
      <c r="A109" t="s">
        <v>6</v>
      </c>
      <c r="B109" t="str">
        <f>"01/16/2002 00:00"</f>
        <v>01/16/2002 00:00</v>
      </c>
      <c r="C109">
        <v>117</v>
      </c>
      <c r="D109" t="s">
        <v>7</v>
      </c>
      <c r="E109" s="2" t="s">
        <v>12</v>
      </c>
      <c r="F109">
        <f t="shared" si="1"/>
        <v>232.01100000000002</v>
      </c>
      <c r="G109" t="s">
        <v>16</v>
      </c>
      <c r="J109" t="str">
        <f>"01/16/2002 23:45"</f>
        <v>01/16/2002 23:45</v>
      </c>
    </row>
    <row r="110" spans="1:10" x14ac:dyDescent="0.3">
      <c r="A110" t="s">
        <v>6</v>
      </c>
      <c r="B110" t="str">
        <f>"01/17/2002 00:00"</f>
        <v>01/17/2002 00:00</v>
      </c>
      <c r="C110">
        <v>120</v>
      </c>
      <c r="D110" t="s">
        <v>7</v>
      </c>
      <c r="E110" s="2" t="s">
        <v>12</v>
      </c>
      <c r="F110">
        <f t="shared" si="1"/>
        <v>237.96</v>
      </c>
      <c r="G110" t="s">
        <v>16</v>
      </c>
      <c r="J110" t="str">
        <f>"01/17/2002 23:45"</f>
        <v>01/17/2002 23:45</v>
      </c>
    </row>
    <row r="111" spans="1:10" x14ac:dyDescent="0.3">
      <c r="A111" t="s">
        <v>6</v>
      </c>
      <c r="B111" t="str">
        <f>"01/18/2002 00:00"</f>
        <v>01/18/2002 00:00</v>
      </c>
      <c r="C111">
        <v>122</v>
      </c>
      <c r="D111" t="s">
        <v>7</v>
      </c>
      <c r="E111" s="2" t="s">
        <v>12</v>
      </c>
      <c r="F111">
        <f t="shared" si="1"/>
        <v>241.92600000000002</v>
      </c>
      <c r="G111" t="s">
        <v>16</v>
      </c>
      <c r="J111" t="str">
        <f>"01/18/2002 23:45"</f>
        <v>01/18/2002 23:45</v>
      </c>
    </row>
    <row r="112" spans="1:10" x14ac:dyDescent="0.3">
      <c r="A112" t="s">
        <v>6</v>
      </c>
      <c r="B112" t="str">
        <f>"01/19/2002 00:00"</f>
        <v>01/19/2002 00:00</v>
      </c>
      <c r="C112">
        <v>122</v>
      </c>
      <c r="D112" t="s">
        <v>7</v>
      </c>
      <c r="E112" s="2" t="s">
        <v>12</v>
      </c>
      <c r="F112">
        <f t="shared" si="1"/>
        <v>241.92600000000002</v>
      </c>
      <c r="G112" t="s">
        <v>16</v>
      </c>
      <c r="J112" t="str">
        <f>"01/19/2002 23:45"</f>
        <v>01/19/2002 23:45</v>
      </c>
    </row>
    <row r="113" spans="1:10" x14ac:dyDescent="0.3">
      <c r="A113" t="s">
        <v>6</v>
      </c>
      <c r="B113" t="str">
        <f>"01/20/2002 00:00"</f>
        <v>01/20/2002 00:00</v>
      </c>
      <c r="C113">
        <v>122</v>
      </c>
      <c r="D113" t="s">
        <v>7</v>
      </c>
      <c r="E113" s="2" t="s">
        <v>12</v>
      </c>
      <c r="F113">
        <f t="shared" si="1"/>
        <v>241.92600000000002</v>
      </c>
      <c r="G113" t="s">
        <v>16</v>
      </c>
      <c r="J113" t="str">
        <f>"01/20/2002 23:45"</f>
        <v>01/20/2002 23:45</v>
      </c>
    </row>
    <row r="114" spans="1:10" x14ac:dyDescent="0.3">
      <c r="A114" t="s">
        <v>6</v>
      </c>
      <c r="B114" t="str">
        <f>"01/21/2002 00:00"</f>
        <v>01/21/2002 00:00</v>
      </c>
      <c r="C114">
        <v>122</v>
      </c>
      <c r="D114" t="s">
        <v>7</v>
      </c>
      <c r="E114" s="2" t="s">
        <v>12</v>
      </c>
      <c r="F114">
        <f t="shared" si="1"/>
        <v>241.92600000000002</v>
      </c>
      <c r="G114" t="s">
        <v>16</v>
      </c>
      <c r="J114" t="str">
        <f>"01/21/2002 23:45"</f>
        <v>01/21/2002 23:45</v>
      </c>
    </row>
    <row r="115" spans="1:10" x14ac:dyDescent="0.3">
      <c r="A115" t="s">
        <v>6</v>
      </c>
      <c r="B115" t="str">
        <f>"01/22/2002 00:00"</f>
        <v>01/22/2002 00:00</v>
      </c>
      <c r="C115">
        <v>122</v>
      </c>
      <c r="D115" t="s">
        <v>7</v>
      </c>
      <c r="E115" s="2" t="s">
        <v>12</v>
      </c>
      <c r="F115">
        <f t="shared" si="1"/>
        <v>241.92600000000002</v>
      </c>
      <c r="G115" t="s">
        <v>16</v>
      </c>
      <c r="J115" t="str">
        <f>"01/22/2002 23:45"</f>
        <v>01/22/2002 23:45</v>
      </c>
    </row>
    <row r="116" spans="1:10" x14ac:dyDescent="0.3">
      <c r="A116" t="s">
        <v>6</v>
      </c>
      <c r="B116" t="str">
        <f>"01/23/2002 00:00"</f>
        <v>01/23/2002 00:00</v>
      </c>
      <c r="C116">
        <v>122</v>
      </c>
      <c r="D116" t="s">
        <v>7</v>
      </c>
      <c r="E116" s="2" t="s">
        <v>12</v>
      </c>
      <c r="F116">
        <f t="shared" si="1"/>
        <v>241.92600000000002</v>
      </c>
      <c r="G116" t="s">
        <v>16</v>
      </c>
      <c r="J116" t="str">
        <f>"01/23/2002 23:45"</f>
        <v>01/23/2002 23:45</v>
      </c>
    </row>
    <row r="117" spans="1:10" x14ac:dyDescent="0.3">
      <c r="A117" t="s">
        <v>6</v>
      </c>
      <c r="B117" t="str">
        <f>"01/24/2002 00:00"</f>
        <v>01/24/2002 00:00</v>
      </c>
      <c r="C117">
        <v>122</v>
      </c>
      <c r="D117" t="s">
        <v>7</v>
      </c>
      <c r="E117" s="2" t="s">
        <v>12</v>
      </c>
      <c r="F117">
        <f t="shared" si="1"/>
        <v>241.92600000000002</v>
      </c>
      <c r="G117" t="s">
        <v>16</v>
      </c>
      <c r="J117" t="str">
        <f>"01/24/2002 23:45"</f>
        <v>01/24/2002 23:45</v>
      </c>
    </row>
    <row r="118" spans="1:10" x14ac:dyDescent="0.3">
      <c r="A118" t="s">
        <v>6</v>
      </c>
      <c r="B118" t="str">
        <f>"01/25/2002 00:00"</f>
        <v>01/25/2002 00:00</v>
      </c>
      <c r="C118">
        <v>121</v>
      </c>
      <c r="D118" t="s">
        <v>7</v>
      </c>
      <c r="E118" s="2" t="s">
        <v>12</v>
      </c>
      <c r="F118">
        <f t="shared" si="1"/>
        <v>239.94300000000001</v>
      </c>
      <c r="G118" t="s">
        <v>16</v>
      </c>
      <c r="J118" t="str">
        <f>"01/25/2002 23:45"</f>
        <v>01/25/2002 23:45</v>
      </c>
    </row>
    <row r="119" spans="1:10" x14ac:dyDescent="0.3">
      <c r="A119" t="s">
        <v>6</v>
      </c>
      <c r="B119" t="str">
        <f>"01/26/2002 00:00"</f>
        <v>01/26/2002 00:00</v>
      </c>
      <c r="C119">
        <v>122</v>
      </c>
      <c r="D119" t="s">
        <v>7</v>
      </c>
      <c r="E119" s="2" t="s">
        <v>12</v>
      </c>
      <c r="F119">
        <f t="shared" si="1"/>
        <v>241.92600000000002</v>
      </c>
      <c r="G119" t="s">
        <v>16</v>
      </c>
      <c r="J119" t="str">
        <f>"01/26/2002 23:45"</f>
        <v>01/26/2002 23:45</v>
      </c>
    </row>
    <row r="120" spans="1:10" x14ac:dyDescent="0.3">
      <c r="A120" t="s">
        <v>6</v>
      </c>
      <c r="B120" t="str">
        <f>"01/27/2002 00:00"</f>
        <v>01/27/2002 00:00</v>
      </c>
      <c r="C120">
        <v>122</v>
      </c>
      <c r="D120" t="s">
        <v>7</v>
      </c>
      <c r="E120" s="2" t="s">
        <v>12</v>
      </c>
      <c r="F120">
        <f t="shared" si="1"/>
        <v>241.92600000000002</v>
      </c>
      <c r="G120" t="s">
        <v>16</v>
      </c>
      <c r="J120" t="str">
        <f>"01/27/2002 23:45"</f>
        <v>01/27/2002 23:45</v>
      </c>
    </row>
    <row r="121" spans="1:10" x14ac:dyDescent="0.3">
      <c r="A121" t="s">
        <v>6</v>
      </c>
      <c r="B121" t="str">
        <f>"01/28/2002 00:00"</f>
        <v>01/28/2002 00:00</v>
      </c>
      <c r="C121">
        <v>122</v>
      </c>
      <c r="D121" t="s">
        <v>7</v>
      </c>
      <c r="E121" s="2" t="s">
        <v>12</v>
      </c>
      <c r="F121">
        <f t="shared" si="1"/>
        <v>241.92600000000002</v>
      </c>
      <c r="G121" t="s">
        <v>16</v>
      </c>
      <c r="J121" t="str">
        <f>"01/28/2002 23:45"</f>
        <v>01/28/2002 23:45</v>
      </c>
    </row>
    <row r="122" spans="1:10" x14ac:dyDescent="0.3">
      <c r="A122" t="s">
        <v>6</v>
      </c>
      <c r="B122" t="str">
        <f>"01/29/2002 00:00"</f>
        <v>01/29/2002 00:00</v>
      </c>
      <c r="C122">
        <v>122</v>
      </c>
      <c r="D122" t="s">
        <v>7</v>
      </c>
      <c r="E122" s="2" t="s">
        <v>12</v>
      </c>
      <c r="F122">
        <f t="shared" si="1"/>
        <v>241.92600000000002</v>
      </c>
      <c r="G122" t="s">
        <v>16</v>
      </c>
      <c r="J122" t="str">
        <f>"01/29/2002 23:45"</f>
        <v>01/29/2002 23:45</v>
      </c>
    </row>
    <row r="123" spans="1:10" x14ac:dyDescent="0.3">
      <c r="A123" t="s">
        <v>6</v>
      </c>
      <c r="B123" t="str">
        <f>"01/30/2002 00:00"</f>
        <v>01/30/2002 00:00</v>
      </c>
      <c r="C123">
        <v>122</v>
      </c>
      <c r="D123" t="s">
        <v>7</v>
      </c>
      <c r="E123" s="2" t="s">
        <v>12</v>
      </c>
      <c r="F123">
        <f t="shared" si="1"/>
        <v>241.92600000000002</v>
      </c>
      <c r="G123" t="s">
        <v>16</v>
      </c>
      <c r="J123" t="str">
        <f>"01/30/2002 23:45"</f>
        <v>01/30/2002 23:45</v>
      </c>
    </row>
    <row r="124" spans="1:10" x14ac:dyDescent="0.3">
      <c r="A124" t="s">
        <v>6</v>
      </c>
      <c r="B124" t="str">
        <f>"01/31/2002 00:00"</f>
        <v>01/31/2002 00:00</v>
      </c>
      <c r="C124">
        <v>122</v>
      </c>
      <c r="D124" t="s">
        <v>7</v>
      </c>
      <c r="E124" s="2" t="s">
        <v>12</v>
      </c>
      <c r="F124">
        <f t="shared" si="1"/>
        <v>241.92600000000002</v>
      </c>
      <c r="G124" t="s">
        <v>16</v>
      </c>
      <c r="J124" t="str">
        <f>"01/31/2002 23:45"</f>
        <v>01/31/2002 23:45</v>
      </c>
    </row>
    <row r="125" spans="1:10" x14ac:dyDescent="0.3">
      <c r="A125" t="s">
        <v>6</v>
      </c>
      <c r="B125" t="str">
        <f>"02/01/2002 00:00"</f>
        <v>02/01/2002 00:00</v>
      </c>
      <c r="C125">
        <v>122</v>
      </c>
      <c r="D125" t="s">
        <v>7</v>
      </c>
      <c r="E125" s="2" t="s">
        <v>12</v>
      </c>
      <c r="F125">
        <f t="shared" si="1"/>
        <v>241.92600000000002</v>
      </c>
      <c r="G125" t="s">
        <v>16</v>
      </c>
      <c r="J125" t="str">
        <f>"02/01/2002 23:45"</f>
        <v>02/01/2002 23:45</v>
      </c>
    </row>
    <row r="126" spans="1:10" x14ac:dyDescent="0.3">
      <c r="A126" t="s">
        <v>6</v>
      </c>
      <c r="B126" t="str">
        <f>"02/02/2002 00:00"</f>
        <v>02/02/2002 00:00</v>
      </c>
      <c r="C126">
        <v>122</v>
      </c>
      <c r="D126" t="s">
        <v>7</v>
      </c>
      <c r="E126" s="2" t="s">
        <v>12</v>
      </c>
      <c r="F126">
        <f t="shared" si="1"/>
        <v>241.92600000000002</v>
      </c>
      <c r="G126" t="s">
        <v>16</v>
      </c>
      <c r="J126" t="str">
        <f>"02/02/2002 23:45"</f>
        <v>02/02/2002 23:45</v>
      </c>
    </row>
    <row r="127" spans="1:10" x14ac:dyDescent="0.3">
      <c r="A127" t="s">
        <v>6</v>
      </c>
      <c r="B127" t="str">
        <f>"02/03/2002 00:00"</f>
        <v>02/03/2002 00:00</v>
      </c>
      <c r="C127">
        <v>122</v>
      </c>
      <c r="D127" t="s">
        <v>7</v>
      </c>
      <c r="E127" s="2" t="s">
        <v>12</v>
      </c>
      <c r="F127">
        <f t="shared" si="1"/>
        <v>241.92600000000002</v>
      </c>
      <c r="G127" t="s">
        <v>16</v>
      </c>
      <c r="J127" t="str">
        <f>"02/03/2002 23:45"</f>
        <v>02/03/2002 23:45</v>
      </c>
    </row>
    <row r="128" spans="1:10" x14ac:dyDescent="0.3">
      <c r="A128" t="s">
        <v>6</v>
      </c>
      <c r="B128" t="str">
        <f>"02/04/2002 00:00"</f>
        <v>02/04/2002 00:00</v>
      </c>
      <c r="C128">
        <v>122</v>
      </c>
      <c r="D128" t="s">
        <v>7</v>
      </c>
      <c r="E128" s="2" t="s">
        <v>12</v>
      </c>
      <c r="F128">
        <f t="shared" si="1"/>
        <v>241.92600000000002</v>
      </c>
      <c r="G128" t="s">
        <v>16</v>
      </c>
      <c r="J128" t="str">
        <f>"02/04/2002 23:45"</f>
        <v>02/04/2002 23:45</v>
      </c>
    </row>
    <row r="129" spans="1:10" x14ac:dyDescent="0.3">
      <c r="A129" t="s">
        <v>6</v>
      </c>
      <c r="B129" t="str">
        <f>"02/05/2002 00:00"</f>
        <v>02/05/2002 00:00</v>
      </c>
      <c r="C129">
        <v>122</v>
      </c>
      <c r="D129" t="s">
        <v>7</v>
      </c>
      <c r="E129" s="2" t="s">
        <v>12</v>
      </c>
      <c r="F129">
        <f t="shared" si="1"/>
        <v>241.92600000000002</v>
      </c>
      <c r="G129" t="s">
        <v>16</v>
      </c>
      <c r="J129" t="str">
        <f>"02/05/2002 23:45"</f>
        <v>02/05/2002 23:45</v>
      </c>
    </row>
    <row r="130" spans="1:10" x14ac:dyDescent="0.3">
      <c r="A130" t="s">
        <v>6</v>
      </c>
      <c r="B130" t="str">
        <f>"02/06/2002 00:00"</f>
        <v>02/06/2002 00:00</v>
      </c>
      <c r="C130">
        <v>122</v>
      </c>
      <c r="D130" t="s">
        <v>7</v>
      </c>
      <c r="E130" s="2" t="s">
        <v>12</v>
      </c>
      <c r="F130">
        <f t="shared" si="1"/>
        <v>241.92600000000002</v>
      </c>
      <c r="G130" t="s">
        <v>16</v>
      </c>
      <c r="J130" t="str">
        <f>"02/06/2002 23:45"</f>
        <v>02/06/2002 23:45</v>
      </c>
    </row>
    <row r="131" spans="1:10" x14ac:dyDescent="0.3">
      <c r="A131" t="s">
        <v>6</v>
      </c>
      <c r="B131" t="str">
        <f>"02/07/2002 00:00"</f>
        <v>02/07/2002 00:00</v>
      </c>
      <c r="C131">
        <v>122</v>
      </c>
      <c r="D131" t="s">
        <v>7</v>
      </c>
      <c r="E131" s="2" t="s">
        <v>12</v>
      </c>
      <c r="F131">
        <f t="shared" si="1"/>
        <v>241.92600000000002</v>
      </c>
      <c r="G131" t="s">
        <v>16</v>
      </c>
      <c r="J131" t="str">
        <f>"02/07/2002 23:45"</f>
        <v>02/07/2002 23:45</v>
      </c>
    </row>
    <row r="132" spans="1:10" x14ac:dyDescent="0.3">
      <c r="A132" t="s">
        <v>6</v>
      </c>
      <c r="B132" t="str">
        <f>"02/08/2002 00:00"</f>
        <v>02/08/2002 00:00</v>
      </c>
      <c r="C132">
        <v>122</v>
      </c>
      <c r="D132" t="s">
        <v>7</v>
      </c>
      <c r="E132" s="2" t="s">
        <v>12</v>
      </c>
      <c r="F132">
        <f t="shared" ref="F132:F195" si="2">C132*1.983</f>
        <v>241.92600000000002</v>
      </c>
      <c r="G132" t="s">
        <v>16</v>
      </c>
      <c r="J132" t="str">
        <f>"02/08/2002 23:45"</f>
        <v>02/08/2002 23:45</v>
      </c>
    </row>
    <row r="133" spans="1:10" x14ac:dyDescent="0.3">
      <c r="A133" t="s">
        <v>6</v>
      </c>
      <c r="B133" t="str">
        <f>"02/09/2002 00:00"</f>
        <v>02/09/2002 00:00</v>
      </c>
      <c r="C133">
        <v>122</v>
      </c>
      <c r="D133" t="s">
        <v>7</v>
      </c>
      <c r="E133" s="2" t="s">
        <v>12</v>
      </c>
      <c r="F133">
        <f t="shared" si="2"/>
        <v>241.92600000000002</v>
      </c>
      <c r="G133" t="s">
        <v>16</v>
      </c>
      <c r="J133" t="str">
        <f>"02/09/2002 23:45"</f>
        <v>02/09/2002 23:45</v>
      </c>
    </row>
    <row r="134" spans="1:10" x14ac:dyDescent="0.3">
      <c r="A134" t="s">
        <v>6</v>
      </c>
      <c r="B134" t="str">
        <f>"02/10/2002 00:00"</f>
        <v>02/10/2002 00:00</v>
      </c>
      <c r="C134">
        <v>122</v>
      </c>
      <c r="D134" t="s">
        <v>7</v>
      </c>
      <c r="E134" s="2" t="s">
        <v>12</v>
      </c>
      <c r="F134">
        <f t="shared" si="2"/>
        <v>241.92600000000002</v>
      </c>
      <c r="G134" t="s">
        <v>16</v>
      </c>
      <c r="J134" t="str">
        <f>"02/10/2002 23:45"</f>
        <v>02/10/2002 23:45</v>
      </c>
    </row>
    <row r="135" spans="1:10" x14ac:dyDescent="0.3">
      <c r="A135" t="s">
        <v>6</v>
      </c>
      <c r="B135" t="str">
        <f>"02/11/2002 00:00"</f>
        <v>02/11/2002 00:00</v>
      </c>
      <c r="C135">
        <v>122</v>
      </c>
      <c r="D135" t="s">
        <v>7</v>
      </c>
      <c r="E135" s="2" t="s">
        <v>12</v>
      </c>
      <c r="F135">
        <f t="shared" si="2"/>
        <v>241.92600000000002</v>
      </c>
      <c r="G135" t="s">
        <v>16</v>
      </c>
      <c r="J135" t="str">
        <f>"02/11/2002 23:45"</f>
        <v>02/11/2002 23:45</v>
      </c>
    </row>
    <row r="136" spans="1:10" x14ac:dyDescent="0.3">
      <c r="A136" t="s">
        <v>6</v>
      </c>
      <c r="B136" t="str">
        <f>"02/12/2002 00:00"</f>
        <v>02/12/2002 00:00</v>
      </c>
      <c r="C136">
        <v>122</v>
      </c>
      <c r="D136" t="s">
        <v>7</v>
      </c>
      <c r="E136" s="2" t="s">
        <v>12</v>
      </c>
      <c r="F136">
        <f t="shared" si="2"/>
        <v>241.92600000000002</v>
      </c>
      <c r="G136" t="s">
        <v>16</v>
      </c>
      <c r="J136" t="str">
        <f>"02/12/2002 23:45"</f>
        <v>02/12/2002 23:45</v>
      </c>
    </row>
    <row r="137" spans="1:10" x14ac:dyDescent="0.3">
      <c r="A137" t="s">
        <v>6</v>
      </c>
      <c r="B137" t="str">
        <f>"02/13/2002 00:00"</f>
        <v>02/13/2002 00:00</v>
      </c>
      <c r="C137">
        <v>122</v>
      </c>
      <c r="D137" t="s">
        <v>7</v>
      </c>
      <c r="E137" s="2" t="s">
        <v>12</v>
      </c>
      <c r="F137">
        <f t="shared" si="2"/>
        <v>241.92600000000002</v>
      </c>
      <c r="G137" t="s">
        <v>16</v>
      </c>
      <c r="J137" t="str">
        <f>"02/13/2002 23:45"</f>
        <v>02/13/2002 23:45</v>
      </c>
    </row>
    <row r="138" spans="1:10" x14ac:dyDescent="0.3">
      <c r="A138" t="s">
        <v>6</v>
      </c>
      <c r="B138" t="str">
        <f>"02/14/2002 00:00"</f>
        <v>02/14/2002 00:00</v>
      </c>
      <c r="C138">
        <v>122</v>
      </c>
      <c r="D138" t="s">
        <v>7</v>
      </c>
      <c r="E138" s="2" t="s">
        <v>12</v>
      </c>
      <c r="F138">
        <f t="shared" si="2"/>
        <v>241.92600000000002</v>
      </c>
      <c r="G138" t="s">
        <v>16</v>
      </c>
      <c r="J138" t="str">
        <f>"02/14/2002 23:45"</f>
        <v>02/14/2002 23:45</v>
      </c>
    </row>
    <row r="139" spans="1:10" x14ac:dyDescent="0.3">
      <c r="A139" t="s">
        <v>6</v>
      </c>
      <c r="B139" t="str">
        <f>"02/15/2002 00:00"</f>
        <v>02/15/2002 00:00</v>
      </c>
      <c r="C139">
        <v>124</v>
      </c>
      <c r="D139" t="s">
        <v>7</v>
      </c>
      <c r="E139" s="2" t="s">
        <v>12</v>
      </c>
      <c r="F139">
        <f t="shared" si="2"/>
        <v>245.89200000000002</v>
      </c>
      <c r="G139" t="s">
        <v>16</v>
      </c>
      <c r="J139" t="str">
        <f>"02/15/2002 23:45"</f>
        <v>02/15/2002 23:45</v>
      </c>
    </row>
    <row r="140" spans="1:10" x14ac:dyDescent="0.3">
      <c r="A140" t="s">
        <v>6</v>
      </c>
      <c r="B140" t="str">
        <f>"02/16/2002 00:00"</f>
        <v>02/16/2002 00:00</v>
      </c>
      <c r="C140">
        <v>124</v>
      </c>
      <c r="D140" t="s">
        <v>7</v>
      </c>
      <c r="E140" s="2" t="s">
        <v>12</v>
      </c>
      <c r="F140">
        <f t="shared" si="2"/>
        <v>245.89200000000002</v>
      </c>
      <c r="G140" t="s">
        <v>16</v>
      </c>
      <c r="J140" t="str">
        <f>"02/16/2002 23:45"</f>
        <v>02/16/2002 23:45</v>
      </c>
    </row>
    <row r="141" spans="1:10" x14ac:dyDescent="0.3">
      <c r="A141" t="s">
        <v>6</v>
      </c>
      <c r="B141" t="str">
        <f>"02/17/2002 00:00"</f>
        <v>02/17/2002 00:00</v>
      </c>
      <c r="C141">
        <v>124</v>
      </c>
      <c r="D141" t="s">
        <v>7</v>
      </c>
      <c r="E141" s="2" t="s">
        <v>12</v>
      </c>
      <c r="F141">
        <f t="shared" si="2"/>
        <v>245.89200000000002</v>
      </c>
      <c r="G141" t="s">
        <v>16</v>
      </c>
      <c r="J141" t="str">
        <f>"02/17/2002 23:45"</f>
        <v>02/17/2002 23:45</v>
      </c>
    </row>
    <row r="142" spans="1:10" x14ac:dyDescent="0.3">
      <c r="A142" t="s">
        <v>6</v>
      </c>
      <c r="B142" t="str">
        <f>"02/18/2002 00:00"</f>
        <v>02/18/2002 00:00</v>
      </c>
      <c r="C142">
        <v>124</v>
      </c>
      <c r="D142" t="s">
        <v>7</v>
      </c>
      <c r="E142" s="2" t="s">
        <v>12</v>
      </c>
      <c r="F142">
        <f t="shared" si="2"/>
        <v>245.89200000000002</v>
      </c>
      <c r="G142" t="s">
        <v>16</v>
      </c>
      <c r="J142" t="str">
        <f>"02/18/2002 23:45"</f>
        <v>02/18/2002 23:45</v>
      </c>
    </row>
    <row r="143" spans="1:10" x14ac:dyDescent="0.3">
      <c r="A143" t="s">
        <v>6</v>
      </c>
      <c r="B143" t="str">
        <f>"02/19/2002 00:00"</f>
        <v>02/19/2002 00:00</v>
      </c>
      <c r="C143">
        <v>124</v>
      </c>
      <c r="D143" t="s">
        <v>7</v>
      </c>
      <c r="E143" s="2" t="s">
        <v>12</v>
      </c>
      <c r="F143">
        <f t="shared" si="2"/>
        <v>245.89200000000002</v>
      </c>
      <c r="G143" t="s">
        <v>16</v>
      </c>
      <c r="J143" t="str">
        <f>"02/19/2002 23:45"</f>
        <v>02/19/2002 23:45</v>
      </c>
    </row>
    <row r="144" spans="1:10" x14ac:dyDescent="0.3">
      <c r="A144" t="s">
        <v>6</v>
      </c>
      <c r="B144" t="str">
        <f>"02/20/2002 00:00"</f>
        <v>02/20/2002 00:00</v>
      </c>
      <c r="C144">
        <v>124</v>
      </c>
      <c r="D144" t="s">
        <v>7</v>
      </c>
      <c r="E144" s="2" t="s">
        <v>12</v>
      </c>
      <c r="F144">
        <f t="shared" si="2"/>
        <v>245.89200000000002</v>
      </c>
      <c r="G144" t="s">
        <v>16</v>
      </c>
      <c r="J144" t="str">
        <f>"02/20/2002 23:45"</f>
        <v>02/20/2002 23:45</v>
      </c>
    </row>
    <row r="145" spans="1:10" x14ac:dyDescent="0.3">
      <c r="A145" t="s">
        <v>6</v>
      </c>
      <c r="B145" t="str">
        <f>"02/21/2002 00:00"</f>
        <v>02/21/2002 00:00</v>
      </c>
      <c r="C145">
        <v>124</v>
      </c>
      <c r="D145" t="s">
        <v>7</v>
      </c>
      <c r="E145" s="2" t="s">
        <v>12</v>
      </c>
      <c r="F145">
        <f t="shared" si="2"/>
        <v>245.89200000000002</v>
      </c>
      <c r="G145" t="s">
        <v>16</v>
      </c>
      <c r="J145" t="str">
        <f>"02/21/2002 23:45"</f>
        <v>02/21/2002 23:45</v>
      </c>
    </row>
    <row r="146" spans="1:10" x14ac:dyDescent="0.3">
      <c r="A146" t="s">
        <v>6</v>
      </c>
      <c r="B146" t="str">
        <f>"02/22/2002 00:00"</f>
        <v>02/22/2002 00:00</v>
      </c>
      <c r="C146">
        <v>124</v>
      </c>
      <c r="D146" t="s">
        <v>7</v>
      </c>
      <c r="E146" s="2" t="s">
        <v>12</v>
      </c>
      <c r="F146">
        <f t="shared" si="2"/>
        <v>245.89200000000002</v>
      </c>
      <c r="G146" t="s">
        <v>16</v>
      </c>
      <c r="J146" t="str">
        <f>"02/22/2002 23:45"</f>
        <v>02/22/2002 23:45</v>
      </c>
    </row>
    <row r="147" spans="1:10" x14ac:dyDescent="0.3">
      <c r="A147" t="s">
        <v>6</v>
      </c>
      <c r="B147" t="str">
        <f>"02/23/2002 00:00"</f>
        <v>02/23/2002 00:00</v>
      </c>
      <c r="C147">
        <v>125</v>
      </c>
      <c r="D147" t="s">
        <v>7</v>
      </c>
      <c r="E147" s="2" t="s">
        <v>12</v>
      </c>
      <c r="F147">
        <f t="shared" si="2"/>
        <v>247.875</v>
      </c>
      <c r="G147" t="s">
        <v>16</v>
      </c>
      <c r="J147" t="str">
        <f>"02/23/2002 23:45"</f>
        <v>02/23/2002 23:45</v>
      </c>
    </row>
    <row r="148" spans="1:10" x14ac:dyDescent="0.3">
      <c r="A148" t="s">
        <v>6</v>
      </c>
      <c r="B148" t="str">
        <f>"02/24/2002 00:00"</f>
        <v>02/24/2002 00:00</v>
      </c>
      <c r="C148">
        <v>126</v>
      </c>
      <c r="D148" t="s">
        <v>7</v>
      </c>
      <c r="E148" s="2" t="s">
        <v>12</v>
      </c>
      <c r="F148">
        <f t="shared" si="2"/>
        <v>249.858</v>
      </c>
      <c r="G148" t="s">
        <v>16</v>
      </c>
      <c r="J148" t="str">
        <f>"02/24/2002 23:45"</f>
        <v>02/24/2002 23:45</v>
      </c>
    </row>
    <row r="149" spans="1:10" x14ac:dyDescent="0.3">
      <c r="A149" t="s">
        <v>6</v>
      </c>
      <c r="B149" t="str">
        <f>"02/25/2002 00:00"</f>
        <v>02/25/2002 00:00</v>
      </c>
      <c r="C149">
        <v>126</v>
      </c>
      <c r="D149" t="s">
        <v>7</v>
      </c>
      <c r="E149" s="2" t="s">
        <v>12</v>
      </c>
      <c r="F149">
        <f t="shared" si="2"/>
        <v>249.858</v>
      </c>
      <c r="G149" t="s">
        <v>16</v>
      </c>
      <c r="J149" t="str">
        <f>"02/25/2002 23:45"</f>
        <v>02/25/2002 23:45</v>
      </c>
    </row>
    <row r="150" spans="1:10" x14ac:dyDescent="0.3">
      <c r="A150" t="s">
        <v>6</v>
      </c>
      <c r="B150" t="str">
        <f>"02/26/2002 00:00"</f>
        <v>02/26/2002 00:00</v>
      </c>
      <c r="C150">
        <v>126</v>
      </c>
      <c r="D150" t="s">
        <v>7</v>
      </c>
      <c r="E150" s="2" t="s">
        <v>12</v>
      </c>
      <c r="F150">
        <f t="shared" si="2"/>
        <v>249.858</v>
      </c>
      <c r="G150" t="s">
        <v>16</v>
      </c>
      <c r="J150" t="str">
        <f>"02/26/2002 23:45"</f>
        <v>02/26/2002 23:45</v>
      </c>
    </row>
    <row r="151" spans="1:10" x14ac:dyDescent="0.3">
      <c r="A151" t="s">
        <v>6</v>
      </c>
      <c r="B151" t="str">
        <f>"02/27/2002 00:00"</f>
        <v>02/27/2002 00:00</v>
      </c>
      <c r="C151">
        <v>125</v>
      </c>
      <c r="D151" t="s">
        <v>7</v>
      </c>
      <c r="E151" s="2" t="s">
        <v>12</v>
      </c>
      <c r="F151">
        <f t="shared" si="2"/>
        <v>247.875</v>
      </c>
      <c r="G151" t="s">
        <v>16</v>
      </c>
      <c r="J151" t="str">
        <f>"02/27/2002 23:45"</f>
        <v>02/27/2002 23:45</v>
      </c>
    </row>
    <row r="152" spans="1:10" x14ac:dyDescent="0.3">
      <c r="A152" t="s">
        <v>6</v>
      </c>
      <c r="B152" t="str">
        <f>"02/28/2002 00:00"</f>
        <v>02/28/2002 00:00</v>
      </c>
      <c r="C152">
        <v>127</v>
      </c>
      <c r="D152" t="s">
        <v>7</v>
      </c>
      <c r="E152" s="2" t="s">
        <v>12</v>
      </c>
      <c r="F152">
        <f t="shared" si="2"/>
        <v>251.84100000000001</v>
      </c>
      <c r="G152" t="s">
        <v>16</v>
      </c>
      <c r="J152" t="str">
        <f>"02/28/2002 23:45"</f>
        <v>02/28/2002 23:45</v>
      </c>
    </row>
    <row r="153" spans="1:10" x14ac:dyDescent="0.3">
      <c r="A153" t="s">
        <v>6</v>
      </c>
      <c r="B153" t="str">
        <f>"03/01/2002 00:00"</f>
        <v>03/01/2002 00:00</v>
      </c>
      <c r="C153">
        <v>128</v>
      </c>
      <c r="D153" t="s">
        <v>7</v>
      </c>
      <c r="E153" s="2" t="s">
        <v>12</v>
      </c>
      <c r="F153">
        <f t="shared" si="2"/>
        <v>253.82400000000001</v>
      </c>
      <c r="G153" t="s">
        <v>16</v>
      </c>
      <c r="J153" t="str">
        <f>"03/01/2002 23:45"</f>
        <v>03/01/2002 23:45</v>
      </c>
    </row>
    <row r="154" spans="1:10" x14ac:dyDescent="0.3">
      <c r="A154" t="s">
        <v>6</v>
      </c>
      <c r="B154" t="str">
        <f>"03/02/2002 00:00"</f>
        <v>03/02/2002 00:00</v>
      </c>
      <c r="C154">
        <v>128</v>
      </c>
      <c r="D154" t="s">
        <v>7</v>
      </c>
      <c r="E154" s="2" t="s">
        <v>12</v>
      </c>
      <c r="F154">
        <f t="shared" si="2"/>
        <v>253.82400000000001</v>
      </c>
      <c r="G154" t="s">
        <v>16</v>
      </c>
      <c r="J154" t="str">
        <f>"03/02/2002 23:45"</f>
        <v>03/02/2002 23:45</v>
      </c>
    </row>
    <row r="155" spans="1:10" x14ac:dyDescent="0.3">
      <c r="A155" t="s">
        <v>6</v>
      </c>
      <c r="B155" t="str">
        <f>"03/03/2002 00:00"</f>
        <v>03/03/2002 00:00</v>
      </c>
      <c r="C155">
        <v>128</v>
      </c>
      <c r="D155" t="s">
        <v>7</v>
      </c>
      <c r="E155" s="2" t="s">
        <v>12</v>
      </c>
      <c r="F155">
        <f t="shared" si="2"/>
        <v>253.82400000000001</v>
      </c>
      <c r="G155" t="s">
        <v>16</v>
      </c>
      <c r="J155" t="str">
        <f>"03/03/2002 23:45"</f>
        <v>03/03/2002 23:45</v>
      </c>
    </row>
    <row r="156" spans="1:10" x14ac:dyDescent="0.3">
      <c r="A156" t="s">
        <v>6</v>
      </c>
      <c r="B156" t="str">
        <f>"03/04/2002 00:00"</f>
        <v>03/04/2002 00:00</v>
      </c>
      <c r="C156">
        <v>128</v>
      </c>
      <c r="D156" t="s">
        <v>7</v>
      </c>
      <c r="E156" s="2" t="s">
        <v>12</v>
      </c>
      <c r="F156">
        <f t="shared" si="2"/>
        <v>253.82400000000001</v>
      </c>
      <c r="G156" t="s">
        <v>16</v>
      </c>
      <c r="J156" t="str">
        <f>"03/04/2002 23:45"</f>
        <v>03/04/2002 23:45</v>
      </c>
    </row>
    <row r="157" spans="1:10" x14ac:dyDescent="0.3">
      <c r="A157" t="s">
        <v>6</v>
      </c>
      <c r="B157" t="str">
        <f>"03/05/2002 00:00"</f>
        <v>03/05/2002 00:00</v>
      </c>
      <c r="C157">
        <v>128</v>
      </c>
      <c r="D157" t="s">
        <v>7</v>
      </c>
      <c r="E157" s="2" t="s">
        <v>12</v>
      </c>
      <c r="F157">
        <f t="shared" si="2"/>
        <v>253.82400000000001</v>
      </c>
      <c r="G157" t="s">
        <v>16</v>
      </c>
      <c r="J157" t="str">
        <f>"03/05/2002 23:45"</f>
        <v>03/05/2002 23:45</v>
      </c>
    </row>
    <row r="158" spans="1:10" x14ac:dyDescent="0.3">
      <c r="A158" t="s">
        <v>6</v>
      </c>
      <c r="B158" t="str">
        <f>"03/06/2002 00:00"</f>
        <v>03/06/2002 00:00</v>
      </c>
      <c r="C158">
        <v>128</v>
      </c>
      <c r="D158" t="s">
        <v>7</v>
      </c>
      <c r="E158" s="2" t="s">
        <v>12</v>
      </c>
      <c r="F158">
        <f t="shared" si="2"/>
        <v>253.82400000000001</v>
      </c>
      <c r="G158" t="s">
        <v>16</v>
      </c>
      <c r="J158" t="str">
        <f>"03/06/2002 23:45"</f>
        <v>03/06/2002 23:45</v>
      </c>
    </row>
    <row r="159" spans="1:10" x14ac:dyDescent="0.3">
      <c r="A159" t="s">
        <v>6</v>
      </c>
      <c r="B159" t="str">
        <f>"03/07/2002 00:00"</f>
        <v>03/07/2002 00:00</v>
      </c>
      <c r="C159">
        <v>128</v>
      </c>
      <c r="D159" t="s">
        <v>7</v>
      </c>
      <c r="E159" s="2" t="s">
        <v>12</v>
      </c>
      <c r="F159">
        <f t="shared" si="2"/>
        <v>253.82400000000001</v>
      </c>
      <c r="G159" t="s">
        <v>16</v>
      </c>
      <c r="J159" t="str">
        <f>"03/07/2002 23:45"</f>
        <v>03/07/2002 23:45</v>
      </c>
    </row>
    <row r="160" spans="1:10" x14ac:dyDescent="0.3">
      <c r="A160" t="s">
        <v>6</v>
      </c>
      <c r="B160" t="str">
        <f>"03/08/2002 00:00"</f>
        <v>03/08/2002 00:00</v>
      </c>
      <c r="C160">
        <v>129</v>
      </c>
      <c r="D160" t="s">
        <v>7</v>
      </c>
      <c r="E160" s="2" t="s">
        <v>12</v>
      </c>
      <c r="F160">
        <f t="shared" si="2"/>
        <v>255.80700000000002</v>
      </c>
      <c r="G160" t="s">
        <v>16</v>
      </c>
      <c r="J160" t="str">
        <f>"03/08/2002 23:45"</f>
        <v>03/08/2002 23:45</v>
      </c>
    </row>
    <row r="161" spans="1:10" x14ac:dyDescent="0.3">
      <c r="A161" t="s">
        <v>6</v>
      </c>
      <c r="B161" t="str">
        <f>"03/09/2002 00:00"</f>
        <v>03/09/2002 00:00</v>
      </c>
      <c r="C161">
        <v>129</v>
      </c>
      <c r="D161" t="s">
        <v>7</v>
      </c>
      <c r="E161" s="2" t="s">
        <v>12</v>
      </c>
      <c r="F161">
        <f t="shared" si="2"/>
        <v>255.80700000000002</v>
      </c>
      <c r="G161" t="s">
        <v>16</v>
      </c>
      <c r="J161" t="str">
        <f>"03/09/2002 23:45"</f>
        <v>03/09/2002 23:45</v>
      </c>
    </row>
    <row r="162" spans="1:10" x14ac:dyDescent="0.3">
      <c r="A162" t="s">
        <v>6</v>
      </c>
      <c r="B162" t="str">
        <f>"03/10/2002 00:00"</f>
        <v>03/10/2002 00:00</v>
      </c>
      <c r="C162">
        <v>128</v>
      </c>
      <c r="D162" t="s">
        <v>7</v>
      </c>
      <c r="E162" s="2" t="s">
        <v>12</v>
      </c>
      <c r="F162">
        <f t="shared" si="2"/>
        <v>253.82400000000001</v>
      </c>
      <c r="G162" t="s">
        <v>16</v>
      </c>
      <c r="J162" t="str">
        <f>"03/10/2002 23:45"</f>
        <v>03/10/2002 23:45</v>
      </c>
    </row>
    <row r="163" spans="1:10" x14ac:dyDescent="0.3">
      <c r="A163" t="s">
        <v>6</v>
      </c>
      <c r="B163" t="str">
        <f>"03/11/2002 00:00"</f>
        <v>03/11/2002 00:00</v>
      </c>
      <c r="C163">
        <v>128</v>
      </c>
      <c r="D163" t="s">
        <v>7</v>
      </c>
      <c r="E163" s="2" t="s">
        <v>12</v>
      </c>
      <c r="F163">
        <f t="shared" si="2"/>
        <v>253.82400000000001</v>
      </c>
      <c r="G163" t="s">
        <v>16</v>
      </c>
      <c r="J163" t="str">
        <f>"03/11/2002 23:45"</f>
        <v>03/11/2002 23:45</v>
      </c>
    </row>
    <row r="164" spans="1:10" x14ac:dyDescent="0.3">
      <c r="A164" t="s">
        <v>6</v>
      </c>
      <c r="B164" t="str">
        <f>"03/12/2002 00:00"</f>
        <v>03/12/2002 00:00</v>
      </c>
      <c r="C164">
        <v>128</v>
      </c>
      <c r="D164" t="s">
        <v>7</v>
      </c>
      <c r="E164" s="2" t="s">
        <v>12</v>
      </c>
      <c r="F164">
        <f t="shared" si="2"/>
        <v>253.82400000000001</v>
      </c>
      <c r="G164" t="s">
        <v>16</v>
      </c>
      <c r="J164" t="str">
        <f>"03/12/2002 23:45"</f>
        <v>03/12/2002 23:45</v>
      </c>
    </row>
    <row r="165" spans="1:10" x14ac:dyDescent="0.3">
      <c r="A165" t="s">
        <v>6</v>
      </c>
      <c r="B165" t="str">
        <f>"03/13/2002 00:00"</f>
        <v>03/13/2002 00:00</v>
      </c>
      <c r="C165">
        <v>128</v>
      </c>
      <c r="D165" t="s">
        <v>7</v>
      </c>
      <c r="E165" s="2" t="s">
        <v>12</v>
      </c>
      <c r="F165">
        <f t="shared" si="2"/>
        <v>253.82400000000001</v>
      </c>
      <c r="G165" t="s">
        <v>16</v>
      </c>
      <c r="J165" t="str">
        <f>"03/13/2002 23:45"</f>
        <v>03/13/2002 23:45</v>
      </c>
    </row>
    <row r="166" spans="1:10" x14ac:dyDescent="0.3">
      <c r="A166" t="s">
        <v>6</v>
      </c>
      <c r="B166" t="str">
        <f>"03/14/2002 00:00"</f>
        <v>03/14/2002 00:00</v>
      </c>
      <c r="C166">
        <v>129</v>
      </c>
      <c r="D166" t="s">
        <v>7</v>
      </c>
      <c r="E166" s="2" t="s">
        <v>12</v>
      </c>
      <c r="F166">
        <f t="shared" si="2"/>
        <v>255.80700000000002</v>
      </c>
      <c r="G166" t="s">
        <v>16</v>
      </c>
      <c r="J166" t="str">
        <f>"03/14/2002 23:45"</f>
        <v>03/14/2002 23:45</v>
      </c>
    </row>
    <row r="167" spans="1:10" x14ac:dyDescent="0.3">
      <c r="A167" t="s">
        <v>6</v>
      </c>
      <c r="B167" t="str">
        <f>"03/15/2002 00:00"</f>
        <v>03/15/2002 00:00</v>
      </c>
      <c r="C167">
        <v>129</v>
      </c>
      <c r="D167" t="s">
        <v>7</v>
      </c>
      <c r="E167" s="2" t="s">
        <v>12</v>
      </c>
      <c r="F167">
        <f t="shared" si="2"/>
        <v>255.80700000000002</v>
      </c>
      <c r="G167" t="s">
        <v>16</v>
      </c>
      <c r="J167" t="str">
        <f>"03/15/2002 23:45"</f>
        <v>03/15/2002 23:45</v>
      </c>
    </row>
    <row r="168" spans="1:10" x14ac:dyDescent="0.3">
      <c r="A168" t="s">
        <v>6</v>
      </c>
      <c r="B168" t="str">
        <f>"03/16/2002 00:00"</f>
        <v>03/16/2002 00:00</v>
      </c>
      <c r="C168">
        <v>129</v>
      </c>
      <c r="D168" t="s">
        <v>7</v>
      </c>
      <c r="E168" s="2" t="s">
        <v>12</v>
      </c>
      <c r="F168">
        <f t="shared" si="2"/>
        <v>255.80700000000002</v>
      </c>
      <c r="G168" t="s">
        <v>16</v>
      </c>
      <c r="J168" t="str">
        <f>"03/16/2002 23:45"</f>
        <v>03/16/2002 23:45</v>
      </c>
    </row>
    <row r="169" spans="1:10" x14ac:dyDescent="0.3">
      <c r="A169" t="s">
        <v>6</v>
      </c>
      <c r="B169" t="str">
        <f>"03/17/2002 00:00"</f>
        <v>03/17/2002 00:00</v>
      </c>
      <c r="C169">
        <v>128</v>
      </c>
      <c r="D169" t="s">
        <v>7</v>
      </c>
      <c r="E169" s="2" t="s">
        <v>12</v>
      </c>
      <c r="F169">
        <f t="shared" si="2"/>
        <v>253.82400000000001</v>
      </c>
      <c r="G169" t="s">
        <v>16</v>
      </c>
      <c r="J169" t="str">
        <f>"03/17/2002 23:45"</f>
        <v>03/17/2002 23:45</v>
      </c>
    </row>
    <row r="170" spans="1:10" x14ac:dyDescent="0.3">
      <c r="A170" t="s">
        <v>6</v>
      </c>
      <c r="B170" t="str">
        <f>"03/18/2002 00:00"</f>
        <v>03/18/2002 00:00</v>
      </c>
      <c r="C170">
        <v>126</v>
      </c>
      <c r="D170" t="s">
        <v>7</v>
      </c>
      <c r="E170" s="2" t="s">
        <v>12</v>
      </c>
      <c r="F170">
        <f t="shared" si="2"/>
        <v>249.858</v>
      </c>
      <c r="G170" t="s">
        <v>16</v>
      </c>
      <c r="J170" t="str">
        <f>"03/18/2002 23:45"</f>
        <v>03/18/2002 23:45</v>
      </c>
    </row>
    <row r="171" spans="1:10" x14ac:dyDescent="0.3">
      <c r="A171" t="s">
        <v>6</v>
      </c>
      <c r="B171" t="str">
        <f>"03/19/2002 00:00"</f>
        <v>03/19/2002 00:00</v>
      </c>
      <c r="C171">
        <v>126</v>
      </c>
      <c r="D171" t="s">
        <v>7</v>
      </c>
      <c r="E171" s="2" t="s">
        <v>12</v>
      </c>
      <c r="F171">
        <f t="shared" si="2"/>
        <v>249.858</v>
      </c>
      <c r="G171" t="s">
        <v>16</v>
      </c>
      <c r="J171" t="str">
        <f>"03/19/2002 23:45"</f>
        <v>03/19/2002 23:45</v>
      </c>
    </row>
    <row r="172" spans="1:10" x14ac:dyDescent="0.3">
      <c r="A172" t="s">
        <v>6</v>
      </c>
      <c r="B172" t="str">
        <f>"03/20/2002 00:00"</f>
        <v>03/20/2002 00:00</v>
      </c>
      <c r="C172">
        <v>126</v>
      </c>
      <c r="D172" t="s">
        <v>7</v>
      </c>
      <c r="E172" s="2" t="s">
        <v>12</v>
      </c>
      <c r="F172">
        <f t="shared" si="2"/>
        <v>249.858</v>
      </c>
      <c r="G172" t="s">
        <v>16</v>
      </c>
      <c r="J172" t="str">
        <f>"03/20/2002 23:45"</f>
        <v>03/20/2002 23:45</v>
      </c>
    </row>
    <row r="173" spans="1:10" x14ac:dyDescent="0.3">
      <c r="A173" t="s">
        <v>6</v>
      </c>
      <c r="B173" t="str">
        <f>"03/21/2002 00:00"</f>
        <v>03/21/2002 00:00</v>
      </c>
      <c r="C173">
        <v>125</v>
      </c>
      <c r="D173" t="s">
        <v>7</v>
      </c>
      <c r="E173" s="2" t="s">
        <v>12</v>
      </c>
      <c r="F173">
        <f t="shared" si="2"/>
        <v>247.875</v>
      </c>
      <c r="G173" t="s">
        <v>16</v>
      </c>
      <c r="J173" t="str">
        <f>"03/21/2002 23:45"</f>
        <v>03/21/2002 23:45</v>
      </c>
    </row>
    <row r="174" spans="1:10" x14ac:dyDescent="0.3">
      <c r="A174" t="s">
        <v>6</v>
      </c>
      <c r="B174" t="str">
        <f>"03/22/2002 00:00"</f>
        <v>03/22/2002 00:00</v>
      </c>
      <c r="C174">
        <v>127</v>
      </c>
      <c r="D174" t="s">
        <v>7</v>
      </c>
      <c r="E174" s="2" t="s">
        <v>12</v>
      </c>
      <c r="F174">
        <f t="shared" si="2"/>
        <v>251.84100000000001</v>
      </c>
      <c r="G174" t="s">
        <v>16</v>
      </c>
      <c r="J174" t="str">
        <f>"03/22/2002 23:45"</f>
        <v>03/22/2002 23:45</v>
      </c>
    </row>
    <row r="175" spans="1:10" x14ac:dyDescent="0.3">
      <c r="A175" t="s">
        <v>6</v>
      </c>
      <c r="B175" t="str">
        <f>"03/23/2002 00:00"</f>
        <v>03/23/2002 00:00</v>
      </c>
      <c r="C175">
        <v>128</v>
      </c>
      <c r="D175" t="s">
        <v>7</v>
      </c>
      <c r="E175" s="2" t="s">
        <v>12</v>
      </c>
      <c r="F175">
        <f t="shared" si="2"/>
        <v>253.82400000000001</v>
      </c>
      <c r="G175" t="s">
        <v>16</v>
      </c>
      <c r="J175" t="str">
        <f>"03/23/2002 23:45"</f>
        <v>03/23/2002 23:45</v>
      </c>
    </row>
    <row r="176" spans="1:10" x14ac:dyDescent="0.3">
      <c r="A176" t="s">
        <v>6</v>
      </c>
      <c r="B176" t="str">
        <f>"03/24/2002 00:00"</f>
        <v>03/24/2002 00:00</v>
      </c>
      <c r="C176">
        <v>128</v>
      </c>
      <c r="D176" t="s">
        <v>7</v>
      </c>
      <c r="E176" s="2" t="s">
        <v>12</v>
      </c>
      <c r="F176">
        <f t="shared" si="2"/>
        <v>253.82400000000001</v>
      </c>
      <c r="G176" t="s">
        <v>16</v>
      </c>
      <c r="J176" t="str">
        <f>"03/24/2002 23:45"</f>
        <v>03/24/2002 23:45</v>
      </c>
    </row>
    <row r="177" spans="1:10" x14ac:dyDescent="0.3">
      <c r="A177" t="s">
        <v>6</v>
      </c>
      <c r="B177" t="str">
        <f>"03/25/2002 00:00"</f>
        <v>03/25/2002 00:00</v>
      </c>
      <c r="C177">
        <v>128</v>
      </c>
      <c r="D177" t="s">
        <v>7</v>
      </c>
      <c r="E177" s="2" t="s">
        <v>12</v>
      </c>
      <c r="F177">
        <f t="shared" si="2"/>
        <v>253.82400000000001</v>
      </c>
      <c r="G177" t="s">
        <v>16</v>
      </c>
      <c r="J177" t="str">
        <f>"03/25/2002 23:45"</f>
        <v>03/25/2002 23:45</v>
      </c>
    </row>
    <row r="178" spans="1:10" x14ac:dyDescent="0.3">
      <c r="A178" t="s">
        <v>6</v>
      </c>
      <c r="B178" t="str">
        <f>"03/26/2002 00:00"</f>
        <v>03/26/2002 00:00</v>
      </c>
      <c r="C178">
        <v>107</v>
      </c>
      <c r="D178" t="s">
        <v>7</v>
      </c>
      <c r="E178" s="2" t="s">
        <v>12</v>
      </c>
      <c r="F178">
        <f t="shared" si="2"/>
        <v>212.18100000000001</v>
      </c>
      <c r="G178" t="s">
        <v>16</v>
      </c>
      <c r="J178" t="str">
        <f>"03/26/2002 23:45"</f>
        <v>03/26/2002 23:45</v>
      </c>
    </row>
    <row r="179" spans="1:10" x14ac:dyDescent="0.3">
      <c r="A179" t="s">
        <v>6</v>
      </c>
      <c r="B179" t="str">
        <f>"03/27/2002 00:00"</f>
        <v>03/27/2002 00:00</v>
      </c>
      <c r="C179">
        <v>115</v>
      </c>
      <c r="D179" t="s">
        <v>7</v>
      </c>
      <c r="E179" s="2" t="s">
        <v>12</v>
      </c>
      <c r="F179">
        <f t="shared" si="2"/>
        <v>228.04500000000002</v>
      </c>
      <c r="G179" t="s">
        <v>16</v>
      </c>
      <c r="J179" t="str">
        <f>"03/27/2002 23:45"</f>
        <v>03/27/2002 23:45</v>
      </c>
    </row>
    <row r="180" spans="1:10" x14ac:dyDescent="0.3">
      <c r="A180" t="s">
        <v>6</v>
      </c>
      <c r="B180" t="str">
        <f>"03/28/2002 00:00"</f>
        <v>03/28/2002 00:00</v>
      </c>
      <c r="C180">
        <v>127</v>
      </c>
      <c r="D180" t="s">
        <v>7</v>
      </c>
      <c r="E180" s="2" t="s">
        <v>12</v>
      </c>
      <c r="F180">
        <f t="shared" si="2"/>
        <v>251.84100000000001</v>
      </c>
      <c r="G180" t="s">
        <v>16</v>
      </c>
      <c r="J180" t="str">
        <f>"03/28/2002 23:45"</f>
        <v>03/28/2002 23:45</v>
      </c>
    </row>
    <row r="181" spans="1:10" x14ac:dyDescent="0.3">
      <c r="A181" t="s">
        <v>6</v>
      </c>
      <c r="B181" t="str">
        <f>"03/29/2002 00:00"</f>
        <v>03/29/2002 00:00</v>
      </c>
      <c r="C181">
        <v>126</v>
      </c>
      <c r="D181" t="s">
        <v>7</v>
      </c>
      <c r="E181" s="2" t="s">
        <v>12</v>
      </c>
      <c r="F181">
        <f t="shared" si="2"/>
        <v>249.858</v>
      </c>
      <c r="G181" t="s">
        <v>16</v>
      </c>
      <c r="J181" t="str">
        <f>"03/29/2002 23:45"</f>
        <v>03/29/2002 23:45</v>
      </c>
    </row>
    <row r="182" spans="1:10" x14ac:dyDescent="0.3">
      <c r="A182" t="s">
        <v>6</v>
      </c>
      <c r="B182" t="str">
        <f>"03/30/2002 00:00"</f>
        <v>03/30/2002 00:00</v>
      </c>
      <c r="C182">
        <v>126</v>
      </c>
      <c r="D182" t="s">
        <v>7</v>
      </c>
      <c r="E182" s="2" t="s">
        <v>12</v>
      </c>
      <c r="F182">
        <f t="shared" si="2"/>
        <v>249.858</v>
      </c>
      <c r="G182" t="s">
        <v>16</v>
      </c>
      <c r="J182" t="str">
        <f>"03/30/2002 23:45"</f>
        <v>03/30/2002 23:45</v>
      </c>
    </row>
    <row r="183" spans="1:10" x14ac:dyDescent="0.3">
      <c r="A183" t="s">
        <v>6</v>
      </c>
      <c r="B183" t="str">
        <f>"03/31/2002 00:00"</f>
        <v>03/31/2002 00:00</v>
      </c>
      <c r="C183">
        <v>126</v>
      </c>
      <c r="D183" t="s">
        <v>7</v>
      </c>
      <c r="E183" s="2" t="s">
        <v>12</v>
      </c>
      <c r="F183">
        <f t="shared" si="2"/>
        <v>249.858</v>
      </c>
      <c r="G183" t="s">
        <v>16</v>
      </c>
      <c r="J183" t="str">
        <f>"03/31/2002 23:45"</f>
        <v>03/31/2002 23:45</v>
      </c>
    </row>
    <row r="184" spans="1:10" x14ac:dyDescent="0.3">
      <c r="A184" t="s">
        <v>6</v>
      </c>
      <c r="B184" t="str">
        <f>"04/01/2002 00:00"</f>
        <v>04/01/2002 00:00</v>
      </c>
      <c r="C184">
        <v>121</v>
      </c>
      <c r="D184" t="s">
        <v>7</v>
      </c>
      <c r="E184" s="2" t="s">
        <v>12</v>
      </c>
      <c r="F184">
        <f t="shared" si="2"/>
        <v>239.94300000000001</v>
      </c>
      <c r="G184" t="s">
        <v>16</v>
      </c>
      <c r="J184" t="str">
        <f>"04/01/2002 23:45"</f>
        <v>04/01/2002 23:45</v>
      </c>
    </row>
    <row r="185" spans="1:10" x14ac:dyDescent="0.3">
      <c r="A185" t="s">
        <v>6</v>
      </c>
      <c r="B185" t="str">
        <f>"04/02/2002 00:00"</f>
        <v>04/02/2002 00:00</v>
      </c>
      <c r="C185">
        <v>121</v>
      </c>
      <c r="D185" t="s">
        <v>7</v>
      </c>
      <c r="E185" s="2" t="s">
        <v>12</v>
      </c>
      <c r="F185">
        <f t="shared" si="2"/>
        <v>239.94300000000001</v>
      </c>
      <c r="G185" t="s">
        <v>16</v>
      </c>
      <c r="J185" t="str">
        <f>"04/02/2002 23:45"</f>
        <v>04/02/2002 23:45</v>
      </c>
    </row>
    <row r="186" spans="1:10" x14ac:dyDescent="0.3">
      <c r="A186" t="s">
        <v>6</v>
      </c>
      <c r="B186" t="str">
        <f>"04/03/2002 00:00"</f>
        <v>04/03/2002 00:00</v>
      </c>
      <c r="C186">
        <v>128</v>
      </c>
      <c r="D186" t="s">
        <v>7</v>
      </c>
      <c r="E186" s="2" t="s">
        <v>12</v>
      </c>
      <c r="F186">
        <f t="shared" si="2"/>
        <v>253.82400000000001</v>
      </c>
      <c r="G186" t="s">
        <v>16</v>
      </c>
      <c r="J186" t="str">
        <f>"04/03/2002 23:45"</f>
        <v>04/03/2002 23:45</v>
      </c>
    </row>
    <row r="187" spans="1:10" x14ac:dyDescent="0.3">
      <c r="A187" t="s">
        <v>6</v>
      </c>
      <c r="B187" t="str">
        <f>"04/04/2002 00:00"</f>
        <v>04/04/2002 00:00</v>
      </c>
      <c r="C187">
        <v>126</v>
      </c>
      <c r="D187" t="s">
        <v>7</v>
      </c>
      <c r="E187" s="2" t="s">
        <v>12</v>
      </c>
      <c r="F187">
        <f t="shared" si="2"/>
        <v>249.858</v>
      </c>
      <c r="G187" t="s">
        <v>16</v>
      </c>
      <c r="J187" t="str">
        <f>"04/04/2002 23:45"</f>
        <v>04/04/2002 23:45</v>
      </c>
    </row>
    <row r="188" spans="1:10" x14ac:dyDescent="0.3">
      <c r="A188" t="s">
        <v>6</v>
      </c>
      <c r="B188" t="str">
        <f>"04/05/2002 00:00"</f>
        <v>04/05/2002 00:00</v>
      </c>
      <c r="C188">
        <v>123</v>
      </c>
      <c r="D188" t="s">
        <v>7</v>
      </c>
      <c r="E188" s="2" t="s">
        <v>12</v>
      </c>
      <c r="F188">
        <f t="shared" si="2"/>
        <v>243.90900000000002</v>
      </c>
      <c r="G188" t="s">
        <v>16</v>
      </c>
      <c r="J188" t="str">
        <f>"04/05/2002 23:45"</f>
        <v>04/05/2002 23:45</v>
      </c>
    </row>
    <row r="189" spans="1:10" x14ac:dyDescent="0.3">
      <c r="A189" t="s">
        <v>6</v>
      </c>
      <c r="B189" t="str">
        <f>"04/06/2002 00:00"</f>
        <v>04/06/2002 00:00</v>
      </c>
      <c r="C189">
        <v>178</v>
      </c>
      <c r="D189" t="s">
        <v>7</v>
      </c>
      <c r="E189" s="2" t="s">
        <v>12</v>
      </c>
      <c r="F189">
        <f t="shared" si="2"/>
        <v>352.97399999999999</v>
      </c>
      <c r="G189" t="s">
        <v>16</v>
      </c>
      <c r="J189" t="str">
        <f>"04/06/2002 23:45"</f>
        <v>04/06/2002 23:45</v>
      </c>
    </row>
    <row r="190" spans="1:10" x14ac:dyDescent="0.3">
      <c r="A190" t="s">
        <v>6</v>
      </c>
      <c r="B190" t="str">
        <f>"04/07/2002 00:00"</f>
        <v>04/07/2002 00:00</v>
      </c>
      <c r="C190">
        <v>225</v>
      </c>
      <c r="D190" t="s">
        <v>7</v>
      </c>
      <c r="E190" s="2" t="s">
        <v>12</v>
      </c>
      <c r="F190">
        <f t="shared" si="2"/>
        <v>446.17500000000001</v>
      </c>
      <c r="G190" t="s">
        <v>16</v>
      </c>
      <c r="J190" t="str">
        <f>"04/07/2002 23:45"</f>
        <v>04/07/2002 23:45</v>
      </c>
    </row>
    <row r="191" spans="1:10" x14ac:dyDescent="0.3">
      <c r="A191" t="s">
        <v>6</v>
      </c>
      <c r="B191" t="str">
        <f>"04/08/2002 00:00"</f>
        <v>04/08/2002 00:00</v>
      </c>
      <c r="C191">
        <v>225</v>
      </c>
      <c r="D191" t="s">
        <v>7</v>
      </c>
      <c r="E191" s="2" t="s">
        <v>12</v>
      </c>
      <c r="F191">
        <f t="shared" si="2"/>
        <v>446.17500000000001</v>
      </c>
      <c r="G191" t="s">
        <v>16</v>
      </c>
      <c r="J191" t="str">
        <f>"04/08/2002 23:45"</f>
        <v>04/08/2002 23:45</v>
      </c>
    </row>
    <row r="192" spans="1:10" x14ac:dyDescent="0.3">
      <c r="A192" t="s">
        <v>6</v>
      </c>
      <c r="B192" t="str">
        <f>"04/09/2002 00:00"</f>
        <v>04/09/2002 00:00</v>
      </c>
      <c r="C192">
        <v>215</v>
      </c>
      <c r="D192" t="s">
        <v>7</v>
      </c>
      <c r="E192" s="2" t="s">
        <v>12</v>
      </c>
      <c r="F192">
        <f t="shared" si="2"/>
        <v>426.34500000000003</v>
      </c>
      <c r="G192" t="s">
        <v>16</v>
      </c>
      <c r="J192" t="str">
        <f>"04/09/2002 23:45"</f>
        <v>04/09/2002 23:45</v>
      </c>
    </row>
    <row r="193" spans="1:10" x14ac:dyDescent="0.3">
      <c r="A193" t="s">
        <v>6</v>
      </c>
      <c r="B193" t="str">
        <f>"04/10/2002 00:00"</f>
        <v>04/10/2002 00:00</v>
      </c>
      <c r="C193">
        <v>209</v>
      </c>
      <c r="D193" t="s">
        <v>7</v>
      </c>
      <c r="E193" s="2" t="s">
        <v>12</v>
      </c>
      <c r="F193">
        <f t="shared" si="2"/>
        <v>414.447</v>
      </c>
      <c r="G193" t="s">
        <v>16</v>
      </c>
      <c r="J193" t="str">
        <f>"04/10/2002 23:45"</f>
        <v>04/10/2002 23:45</v>
      </c>
    </row>
    <row r="194" spans="1:10" x14ac:dyDescent="0.3">
      <c r="A194" t="s">
        <v>6</v>
      </c>
      <c r="B194" t="str">
        <f>"04/11/2002 00:00"</f>
        <v>04/11/2002 00:00</v>
      </c>
      <c r="C194">
        <v>203</v>
      </c>
      <c r="D194" t="s">
        <v>7</v>
      </c>
      <c r="E194" s="2" t="s">
        <v>12</v>
      </c>
      <c r="F194">
        <f t="shared" si="2"/>
        <v>402.54900000000004</v>
      </c>
      <c r="G194" t="s">
        <v>16</v>
      </c>
      <c r="J194" t="str">
        <f>"04/11/2002 23:45"</f>
        <v>04/11/2002 23:45</v>
      </c>
    </row>
    <row r="195" spans="1:10" x14ac:dyDescent="0.3">
      <c r="A195" t="s">
        <v>6</v>
      </c>
      <c r="B195" t="str">
        <f>"04/12/2002 00:00"</f>
        <v>04/12/2002 00:00</v>
      </c>
      <c r="C195">
        <v>200</v>
      </c>
      <c r="D195" t="s">
        <v>7</v>
      </c>
      <c r="E195" s="2" t="s">
        <v>12</v>
      </c>
      <c r="F195">
        <f t="shared" si="2"/>
        <v>396.6</v>
      </c>
      <c r="G195" t="s">
        <v>16</v>
      </c>
      <c r="J195" t="str">
        <f>"04/12/2002 23:45"</f>
        <v>04/12/2002 23:45</v>
      </c>
    </row>
    <row r="196" spans="1:10" x14ac:dyDescent="0.3">
      <c r="A196" t="s">
        <v>6</v>
      </c>
      <c r="B196" t="str">
        <f>"04/13/2002 00:00"</f>
        <v>04/13/2002 00:00</v>
      </c>
      <c r="C196">
        <v>200</v>
      </c>
      <c r="D196" t="s">
        <v>7</v>
      </c>
      <c r="E196" s="2" t="s">
        <v>12</v>
      </c>
      <c r="F196">
        <f t="shared" ref="F196:F259" si="3">C196*1.983</f>
        <v>396.6</v>
      </c>
      <c r="G196" t="s">
        <v>16</v>
      </c>
      <c r="J196" t="str">
        <f>"04/13/2002 23:45"</f>
        <v>04/13/2002 23:45</v>
      </c>
    </row>
    <row r="197" spans="1:10" x14ac:dyDescent="0.3">
      <c r="A197" t="s">
        <v>6</v>
      </c>
      <c r="B197" t="str">
        <f>"04/14/2002 00:00"</f>
        <v>04/14/2002 00:00</v>
      </c>
      <c r="C197">
        <v>242</v>
      </c>
      <c r="D197" t="s">
        <v>7</v>
      </c>
      <c r="E197" s="2" t="s">
        <v>12</v>
      </c>
      <c r="F197">
        <f t="shared" si="3"/>
        <v>479.88600000000002</v>
      </c>
      <c r="G197" t="s">
        <v>16</v>
      </c>
      <c r="J197" t="str">
        <f>"04/14/2002 23:45"</f>
        <v>04/14/2002 23:45</v>
      </c>
    </row>
    <row r="198" spans="1:10" x14ac:dyDescent="0.3">
      <c r="A198" t="s">
        <v>6</v>
      </c>
      <c r="B198" t="str">
        <f>"04/15/2002 00:00"</f>
        <v>04/15/2002 00:00</v>
      </c>
      <c r="C198">
        <v>272</v>
      </c>
      <c r="D198" t="s">
        <v>7</v>
      </c>
      <c r="E198" s="2" t="s">
        <v>12</v>
      </c>
      <c r="F198">
        <f t="shared" si="3"/>
        <v>539.37599999999998</v>
      </c>
      <c r="G198" t="s">
        <v>16</v>
      </c>
      <c r="J198" t="str">
        <f>"04/15/2002 23:45"</f>
        <v>04/15/2002 23:45</v>
      </c>
    </row>
    <row r="199" spans="1:10" x14ac:dyDescent="0.3">
      <c r="A199" t="s">
        <v>6</v>
      </c>
      <c r="B199" t="str">
        <f>"04/16/2002 00:00"</f>
        <v>04/16/2002 00:00</v>
      </c>
      <c r="C199">
        <v>273</v>
      </c>
      <c r="D199" t="s">
        <v>7</v>
      </c>
      <c r="E199" s="2" t="s">
        <v>12</v>
      </c>
      <c r="F199">
        <f t="shared" si="3"/>
        <v>541.35900000000004</v>
      </c>
      <c r="G199" t="s">
        <v>16</v>
      </c>
      <c r="J199" t="str">
        <f>"04/16/2002 23:45"</f>
        <v>04/16/2002 23:45</v>
      </c>
    </row>
    <row r="200" spans="1:10" x14ac:dyDescent="0.3">
      <c r="A200" t="s">
        <v>6</v>
      </c>
      <c r="B200" t="str">
        <f>"04/17/2002 00:00"</f>
        <v>04/17/2002 00:00</v>
      </c>
      <c r="C200">
        <v>239</v>
      </c>
      <c r="D200" t="s">
        <v>7</v>
      </c>
      <c r="E200" s="2" t="s">
        <v>12</v>
      </c>
      <c r="F200">
        <f t="shared" si="3"/>
        <v>473.93700000000001</v>
      </c>
      <c r="G200" t="s">
        <v>16</v>
      </c>
      <c r="I200" t="s">
        <v>8</v>
      </c>
      <c r="J200" t="str">
        <f>"04/17/2002 23:45"</f>
        <v>04/17/2002 23:45</v>
      </c>
    </row>
    <row r="201" spans="1:10" x14ac:dyDescent="0.3">
      <c r="A201" t="s">
        <v>6</v>
      </c>
      <c r="B201" t="str">
        <f>"04/18/2002 00:00"</f>
        <v>04/18/2002 00:00</v>
      </c>
      <c r="C201">
        <v>205</v>
      </c>
      <c r="D201" t="s">
        <v>7</v>
      </c>
      <c r="E201" s="2" t="s">
        <v>12</v>
      </c>
      <c r="F201">
        <f t="shared" si="3"/>
        <v>406.51500000000004</v>
      </c>
      <c r="G201" t="s">
        <v>16</v>
      </c>
      <c r="J201" t="str">
        <f>"04/18/2002 23:45"</f>
        <v>04/18/2002 23:45</v>
      </c>
    </row>
    <row r="202" spans="1:10" x14ac:dyDescent="0.3">
      <c r="A202" t="s">
        <v>6</v>
      </c>
      <c r="B202" t="str">
        <f>"04/19/2002 00:00"</f>
        <v>04/19/2002 00:00</v>
      </c>
      <c r="C202">
        <v>197</v>
      </c>
      <c r="D202" t="s">
        <v>7</v>
      </c>
      <c r="E202" s="2" t="s">
        <v>12</v>
      </c>
      <c r="F202">
        <f t="shared" si="3"/>
        <v>390.65100000000001</v>
      </c>
      <c r="G202" t="s">
        <v>16</v>
      </c>
      <c r="J202" t="str">
        <f>"04/19/2002 23:45"</f>
        <v>04/19/2002 23:45</v>
      </c>
    </row>
    <row r="203" spans="1:10" x14ac:dyDescent="0.3">
      <c r="A203" t="s">
        <v>6</v>
      </c>
      <c r="B203" t="str">
        <f>"04/20/2002 00:00"</f>
        <v>04/20/2002 00:00</v>
      </c>
      <c r="C203">
        <v>197</v>
      </c>
      <c r="D203" t="s">
        <v>7</v>
      </c>
      <c r="E203" s="2" t="s">
        <v>12</v>
      </c>
      <c r="F203">
        <f t="shared" si="3"/>
        <v>390.65100000000001</v>
      </c>
      <c r="G203" t="s">
        <v>16</v>
      </c>
      <c r="J203" t="str">
        <f>"04/20/2002 23:45"</f>
        <v>04/20/2002 23:45</v>
      </c>
    </row>
    <row r="204" spans="1:10" x14ac:dyDescent="0.3">
      <c r="A204" t="s">
        <v>6</v>
      </c>
      <c r="B204" t="str">
        <f>"04/21/2002 00:00"</f>
        <v>04/21/2002 00:00</v>
      </c>
      <c r="C204">
        <v>197</v>
      </c>
      <c r="D204" t="s">
        <v>7</v>
      </c>
      <c r="E204" s="2" t="s">
        <v>12</v>
      </c>
      <c r="F204">
        <f t="shared" si="3"/>
        <v>390.65100000000001</v>
      </c>
      <c r="G204" t="s">
        <v>16</v>
      </c>
      <c r="J204" t="str">
        <f>"04/21/2002 23:45"</f>
        <v>04/21/2002 23:45</v>
      </c>
    </row>
    <row r="205" spans="1:10" x14ac:dyDescent="0.3">
      <c r="A205" t="s">
        <v>6</v>
      </c>
      <c r="B205" t="str">
        <f>"04/22/2002 00:00"</f>
        <v>04/22/2002 00:00</v>
      </c>
      <c r="C205">
        <v>228</v>
      </c>
      <c r="D205" t="s">
        <v>7</v>
      </c>
      <c r="E205" s="2" t="s">
        <v>12</v>
      </c>
      <c r="F205">
        <f t="shared" si="3"/>
        <v>452.12400000000002</v>
      </c>
      <c r="G205" t="s">
        <v>16</v>
      </c>
      <c r="J205" t="str">
        <f>"04/22/2002 23:45"</f>
        <v>04/22/2002 23:45</v>
      </c>
    </row>
    <row r="206" spans="1:10" x14ac:dyDescent="0.3">
      <c r="A206" t="s">
        <v>6</v>
      </c>
      <c r="B206" t="str">
        <f>"04/23/2002 00:00"</f>
        <v>04/23/2002 00:00</v>
      </c>
      <c r="C206">
        <v>289</v>
      </c>
      <c r="D206" t="s">
        <v>7</v>
      </c>
      <c r="E206" s="2" t="s">
        <v>12</v>
      </c>
      <c r="F206">
        <f t="shared" si="3"/>
        <v>573.08699999999999</v>
      </c>
      <c r="G206" t="s">
        <v>16</v>
      </c>
      <c r="J206" t="str">
        <f>"04/23/2002 23:45"</f>
        <v>04/23/2002 23:45</v>
      </c>
    </row>
    <row r="207" spans="1:10" x14ac:dyDescent="0.3">
      <c r="A207" t="s">
        <v>6</v>
      </c>
      <c r="B207" t="str">
        <f>"04/24/2002 00:00"</f>
        <v>04/24/2002 00:00</v>
      </c>
      <c r="C207">
        <v>317</v>
      </c>
      <c r="D207" t="s">
        <v>7</v>
      </c>
      <c r="E207" s="2" t="s">
        <v>12</v>
      </c>
      <c r="F207">
        <f t="shared" si="3"/>
        <v>628.61099999999999</v>
      </c>
      <c r="G207" t="s">
        <v>16</v>
      </c>
      <c r="J207" t="str">
        <f>"04/24/2002 23:45"</f>
        <v>04/24/2002 23:45</v>
      </c>
    </row>
    <row r="208" spans="1:10" x14ac:dyDescent="0.3">
      <c r="A208" t="s">
        <v>6</v>
      </c>
      <c r="B208" t="str">
        <f>"04/25/2002 00:00"</f>
        <v>04/25/2002 00:00</v>
      </c>
      <c r="C208">
        <v>317</v>
      </c>
      <c r="D208" t="s">
        <v>7</v>
      </c>
      <c r="E208" s="2" t="s">
        <v>12</v>
      </c>
      <c r="F208">
        <f t="shared" si="3"/>
        <v>628.61099999999999</v>
      </c>
      <c r="G208" t="s">
        <v>16</v>
      </c>
      <c r="J208" t="str">
        <f>"04/25/2002 23:45"</f>
        <v>04/25/2002 23:45</v>
      </c>
    </row>
    <row r="209" spans="1:10" x14ac:dyDescent="0.3">
      <c r="A209" t="s">
        <v>6</v>
      </c>
      <c r="B209" t="str">
        <f>"04/26/2002 00:00"</f>
        <v>04/26/2002 00:00</v>
      </c>
      <c r="C209">
        <v>317</v>
      </c>
      <c r="D209" t="s">
        <v>7</v>
      </c>
      <c r="E209" s="2" t="s">
        <v>12</v>
      </c>
      <c r="F209">
        <f t="shared" si="3"/>
        <v>628.61099999999999</v>
      </c>
      <c r="G209" t="s">
        <v>16</v>
      </c>
      <c r="J209" t="str">
        <f>"04/26/2002 23:45"</f>
        <v>04/26/2002 23:45</v>
      </c>
    </row>
    <row r="210" spans="1:10" x14ac:dyDescent="0.3">
      <c r="A210" t="s">
        <v>6</v>
      </c>
      <c r="B210" t="str">
        <f>"04/27/2002 00:00"</f>
        <v>04/27/2002 00:00</v>
      </c>
      <c r="C210">
        <v>316</v>
      </c>
      <c r="D210" t="s">
        <v>7</v>
      </c>
      <c r="E210" s="2" t="s">
        <v>12</v>
      </c>
      <c r="F210">
        <f t="shared" si="3"/>
        <v>626.62800000000004</v>
      </c>
      <c r="G210" t="s">
        <v>16</v>
      </c>
      <c r="J210" t="str">
        <f>"04/27/2002 23:45"</f>
        <v>04/27/2002 23:45</v>
      </c>
    </row>
    <row r="211" spans="1:10" x14ac:dyDescent="0.3">
      <c r="A211" t="s">
        <v>6</v>
      </c>
      <c r="B211" t="str">
        <f>"04/28/2002 00:00"</f>
        <v>04/28/2002 00:00</v>
      </c>
      <c r="C211">
        <v>316</v>
      </c>
      <c r="D211" t="s">
        <v>7</v>
      </c>
      <c r="E211" s="2" t="s">
        <v>12</v>
      </c>
      <c r="F211">
        <f t="shared" si="3"/>
        <v>626.62800000000004</v>
      </c>
      <c r="G211" t="s">
        <v>16</v>
      </c>
      <c r="J211" t="str">
        <f>"04/28/2002 23:45"</f>
        <v>04/28/2002 23:45</v>
      </c>
    </row>
    <row r="212" spans="1:10" x14ac:dyDescent="0.3">
      <c r="A212" t="s">
        <v>6</v>
      </c>
      <c r="B212" t="str">
        <f>"04/29/2002 00:00"</f>
        <v>04/29/2002 00:00</v>
      </c>
      <c r="C212">
        <v>316</v>
      </c>
      <c r="D212" t="s">
        <v>7</v>
      </c>
      <c r="E212" s="2" t="s">
        <v>12</v>
      </c>
      <c r="F212">
        <f t="shared" si="3"/>
        <v>626.62800000000004</v>
      </c>
      <c r="G212" t="s">
        <v>16</v>
      </c>
      <c r="J212" t="str">
        <f>"04/29/2002 23:45"</f>
        <v>04/29/2002 23:45</v>
      </c>
    </row>
    <row r="213" spans="1:10" x14ac:dyDescent="0.3">
      <c r="A213" t="s">
        <v>6</v>
      </c>
      <c r="B213" t="str">
        <f>"04/30/2002 00:00"</f>
        <v>04/30/2002 00:00</v>
      </c>
      <c r="C213">
        <v>315</v>
      </c>
      <c r="D213" t="s">
        <v>7</v>
      </c>
      <c r="E213" s="2" t="s">
        <v>12</v>
      </c>
      <c r="F213">
        <f t="shared" si="3"/>
        <v>624.64499999999998</v>
      </c>
      <c r="G213" t="s">
        <v>16</v>
      </c>
      <c r="J213" t="str">
        <f>"04/30/2002 23:45"</f>
        <v>04/30/2002 23:45</v>
      </c>
    </row>
    <row r="214" spans="1:10" x14ac:dyDescent="0.3">
      <c r="A214" t="s">
        <v>6</v>
      </c>
      <c r="B214" t="str">
        <f>"05/01/2002 00:00"</f>
        <v>05/01/2002 00:00</v>
      </c>
      <c r="C214">
        <v>315</v>
      </c>
      <c r="D214" t="s">
        <v>7</v>
      </c>
      <c r="E214" s="2" t="s">
        <v>12</v>
      </c>
      <c r="F214">
        <f t="shared" si="3"/>
        <v>624.64499999999998</v>
      </c>
      <c r="G214" t="s">
        <v>16</v>
      </c>
      <c r="J214" t="str">
        <f>"05/01/2002 23:45"</f>
        <v>05/01/2002 23:45</v>
      </c>
    </row>
    <row r="215" spans="1:10" x14ac:dyDescent="0.3">
      <c r="A215" t="s">
        <v>6</v>
      </c>
      <c r="B215" t="str">
        <f>"05/02/2002 00:00"</f>
        <v>05/02/2002 00:00</v>
      </c>
      <c r="C215">
        <v>288</v>
      </c>
      <c r="D215" t="s">
        <v>7</v>
      </c>
      <c r="E215" s="2" t="s">
        <v>12</v>
      </c>
      <c r="F215">
        <f t="shared" si="3"/>
        <v>571.10400000000004</v>
      </c>
      <c r="G215" t="s">
        <v>16</v>
      </c>
      <c r="J215" t="str">
        <f>"05/02/2002 23:45"</f>
        <v>05/02/2002 23:45</v>
      </c>
    </row>
    <row r="216" spans="1:10" x14ac:dyDescent="0.3">
      <c r="A216" t="s">
        <v>6</v>
      </c>
      <c r="B216" t="str">
        <f>"05/03/2002 00:00"</f>
        <v>05/03/2002 00:00</v>
      </c>
      <c r="C216">
        <v>267</v>
      </c>
      <c r="D216" t="s">
        <v>7</v>
      </c>
      <c r="E216" s="2" t="s">
        <v>12</v>
      </c>
      <c r="F216">
        <f t="shared" si="3"/>
        <v>529.46100000000001</v>
      </c>
      <c r="G216" t="s">
        <v>16</v>
      </c>
      <c r="J216" t="str">
        <f>"05/03/2002 23:45"</f>
        <v>05/03/2002 23:45</v>
      </c>
    </row>
    <row r="217" spans="1:10" x14ac:dyDescent="0.3">
      <c r="A217" t="s">
        <v>6</v>
      </c>
      <c r="B217" t="str">
        <f>"05/04/2002 00:00"</f>
        <v>05/04/2002 00:00</v>
      </c>
      <c r="C217">
        <v>293</v>
      </c>
      <c r="D217" t="s">
        <v>7</v>
      </c>
      <c r="E217" s="2" t="s">
        <v>12</v>
      </c>
      <c r="F217">
        <f t="shared" si="3"/>
        <v>581.01900000000001</v>
      </c>
      <c r="G217" t="s">
        <v>16</v>
      </c>
      <c r="J217" t="str">
        <f>"05/04/2002 23:45"</f>
        <v>05/04/2002 23:45</v>
      </c>
    </row>
    <row r="218" spans="1:10" x14ac:dyDescent="0.3">
      <c r="A218" t="s">
        <v>6</v>
      </c>
      <c r="B218" t="str">
        <f>"05/05/2002 00:00"</f>
        <v>05/05/2002 00:00</v>
      </c>
      <c r="C218">
        <v>317</v>
      </c>
      <c r="D218" t="s">
        <v>7</v>
      </c>
      <c r="E218" s="2" t="s">
        <v>12</v>
      </c>
      <c r="F218">
        <f t="shared" si="3"/>
        <v>628.61099999999999</v>
      </c>
      <c r="G218" t="s">
        <v>16</v>
      </c>
      <c r="J218" t="str">
        <f>"05/05/2002 23:45"</f>
        <v>05/05/2002 23:45</v>
      </c>
    </row>
    <row r="219" spans="1:10" x14ac:dyDescent="0.3">
      <c r="A219" t="s">
        <v>6</v>
      </c>
      <c r="B219" t="str">
        <f>"05/06/2002 00:00"</f>
        <v>05/06/2002 00:00</v>
      </c>
      <c r="C219">
        <v>344</v>
      </c>
      <c r="D219" t="s">
        <v>7</v>
      </c>
      <c r="E219" s="2" t="s">
        <v>12</v>
      </c>
      <c r="F219">
        <f t="shared" si="3"/>
        <v>682.15200000000004</v>
      </c>
      <c r="G219" t="s">
        <v>16</v>
      </c>
      <c r="J219" t="str">
        <f>"05/06/2002 23:45"</f>
        <v>05/06/2002 23:45</v>
      </c>
    </row>
    <row r="220" spans="1:10" x14ac:dyDescent="0.3">
      <c r="A220" t="s">
        <v>6</v>
      </c>
      <c r="B220" t="str">
        <f>"05/07/2002 00:00"</f>
        <v>05/07/2002 00:00</v>
      </c>
      <c r="C220">
        <v>361</v>
      </c>
      <c r="D220" t="s">
        <v>7</v>
      </c>
      <c r="E220" s="2" t="s">
        <v>12</v>
      </c>
      <c r="F220">
        <f t="shared" si="3"/>
        <v>715.86300000000006</v>
      </c>
      <c r="G220" t="s">
        <v>16</v>
      </c>
      <c r="J220" t="str">
        <f>"05/07/2002 23:45"</f>
        <v>05/07/2002 23:45</v>
      </c>
    </row>
    <row r="221" spans="1:10" x14ac:dyDescent="0.3">
      <c r="A221" t="s">
        <v>6</v>
      </c>
      <c r="B221" t="str">
        <f>"05/08/2002 00:00"</f>
        <v>05/08/2002 00:00</v>
      </c>
      <c r="C221">
        <v>366</v>
      </c>
      <c r="D221" t="s">
        <v>7</v>
      </c>
      <c r="E221" s="2" t="s">
        <v>12</v>
      </c>
      <c r="F221">
        <f t="shared" si="3"/>
        <v>725.77800000000002</v>
      </c>
      <c r="G221" t="s">
        <v>16</v>
      </c>
      <c r="J221" t="str">
        <f>"05/08/2002 23:45"</f>
        <v>05/08/2002 23:45</v>
      </c>
    </row>
    <row r="222" spans="1:10" x14ac:dyDescent="0.3">
      <c r="A222" t="s">
        <v>6</v>
      </c>
      <c r="B222" t="str">
        <f>"05/09/2002 00:00"</f>
        <v>05/09/2002 00:00</v>
      </c>
      <c r="C222">
        <v>367</v>
      </c>
      <c r="D222" t="s">
        <v>7</v>
      </c>
      <c r="E222" s="2" t="s">
        <v>12</v>
      </c>
      <c r="F222">
        <f t="shared" si="3"/>
        <v>727.76100000000008</v>
      </c>
      <c r="G222" t="s">
        <v>16</v>
      </c>
      <c r="J222" t="str">
        <f>"05/09/2002 23:45"</f>
        <v>05/09/2002 23:45</v>
      </c>
    </row>
    <row r="223" spans="1:10" x14ac:dyDescent="0.3">
      <c r="A223" t="s">
        <v>6</v>
      </c>
      <c r="B223" t="str">
        <f>"05/10/2002 00:00"</f>
        <v>05/10/2002 00:00</v>
      </c>
      <c r="C223">
        <v>366</v>
      </c>
      <c r="D223" t="s">
        <v>7</v>
      </c>
      <c r="E223" s="2" t="s">
        <v>12</v>
      </c>
      <c r="F223">
        <f t="shared" si="3"/>
        <v>725.77800000000002</v>
      </c>
      <c r="G223" t="s">
        <v>16</v>
      </c>
      <c r="J223" t="str">
        <f>"05/10/2002 23:45"</f>
        <v>05/10/2002 23:45</v>
      </c>
    </row>
    <row r="224" spans="1:10" x14ac:dyDescent="0.3">
      <c r="A224" t="s">
        <v>6</v>
      </c>
      <c r="B224" t="str">
        <f>"05/11/2002 00:00"</f>
        <v>05/11/2002 00:00</v>
      </c>
      <c r="C224">
        <v>366</v>
      </c>
      <c r="D224" t="s">
        <v>7</v>
      </c>
      <c r="E224" s="2" t="s">
        <v>12</v>
      </c>
      <c r="F224">
        <f t="shared" si="3"/>
        <v>725.77800000000002</v>
      </c>
      <c r="G224" t="s">
        <v>16</v>
      </c>
      <c r="J224" t="str">
        <f>"05/11/2002 23:45"</f>
        <v>05/11/2002 23:45</v>
      </c>
    </row>
    <row r="225" spans="1:10" x14ac:dyDescent="0.3">
      <c r="A225" t="s">
        <v>6</v>
      </c>
      <c r="B225" t="str">
        <f>"05/12/2002 00:00"</f>
        <v>05/12/2002 00:00</v>
      </c>
      <c r="C225">
        <v>338</v>
      </c>
      <c r="D225" t="s">
        <v>7</v>
      </c>
      <c r="E225" s="2" t="s">
        <v>12</v>
      </c>
      <c r="F225">
        <f t="shared" si="3"/>
        <v>670.25400000000002</v>
      </c>
      <c r="G225" t="s">
        <v>16</v>
      </c>
      <c r="J225" t="str">
        <f>"05/12/2002 23:45"</f>
        <v>05/12/2002 23:45</v>
      </c>
    </row>
    <row r="226" spans="1:10" x14ac:dyDescent="0.3">
      <c r="A226" t="s">
        <v>6</v>
      </c>
      <c r="B226" t="str">
        <f>"05/13/2002 00:00"</f>
        <v>05/13/2002 00:00</v>
      </c>
      <c r="C226">
        <v>311</v>
      </c>
      <c r="D226" t="s">
        <v>7</v>
      </c>
      <c r="E226" s="2" t="s">
        <v>12</v>
      </c>
      <c r="F226">
        <f t="shared" si="3"/>
        <v>616.71300000000008</v>
      </c>
      <c r="G226" t="s">
        <v>16</v>
      </c>
      <c r="J226" t="str">
        <f>"05/13/2002 23:45"</f>
        <v>05/13/2002 23:45</v>
      </c>
    </row>
    <row r="227" spans="1:10" x14ac:dyDescent="0.3">
      <c r="A227" t="s">
        <v>6</v>
      </c>
      <c r="B227" t="str">
        <f>"05/14/2002 00:00"</f>
        <v>05/14/2002 00:00</v>
      </c>
      <c r="C227">
        <v>310</v>
      </c>
      <c r="D227" t="s">
        <v>7</v>
      </c>
      <c r="E227" s="2" t="s">
        <v>12</v>
      </c>
      <c r="F227">
        <f t="shared" si="3"/>
        <v>614.73</v>
      </c>
      <c r="G227" t="s">
        <v>16</v>
      </c>
      <c r="J227" t="str">
        <f>"05/14/2002 23:45"</f>
        <v>05/14/2002 23:45</v>
      </c>
    </row>
    <row r="228" spans="1:10" x14ac:dyDescent="0.3">
      <c r="A228" t="s">
        <v>6</v>
      </c>
      <c r="B228" t="str">
        <f>"05/15/2002 00:00"</f>
        <v>05/15/2002 00:00</v>
      </c>
      <c r="C228">
        <v>345</v>
      </c>
      <c r="D228" t="s">
        <v>7</v>
      </c>
      <c r="E228" s="2" t="s">
        <v>12</v>
      </c>
      <c r="F228">
        <f t="shared" si="3"/>
        <v>684.13499999999999</v>
      </c>
      <c r="G228" t="s">
        <v>16</v>
      </c>
      <c r="J228" t="str">
        <f>"05/15/2002 23:45"</f>
        <v>05/15/2002 23:45</v>
      </c>
    </row>
    <row r="229" spans="1:10" x14ac:dyDescent="0.3">
      <c r="A229" t="s">
        <v>6</v>
      </c>
      <c r="B229" t="str">
        <f>"05/16/2002 00:00"</f>
        <v>05/16/2002 00:00</v>
      </c>
      <c r="C229">
        <v>367</v>
      </c>
      <c r="D229" t="s">
        <v>7</v>
      </c>
      <c r="E229" s="2" t="s">
        <v>12</v>
      </c>
      <c r="F229">
        <f t="shared" si="3"/>
        <v>727.76100000000008</v>
      </c>
      <c r="G229" t="s">
        <v>16</v>
      </c>
      <c r="J229" t="str">
        <f>"05/16/2002 23:45"</f>
        <v>05/16/2002 23:45</v>
      </c>
    </row>
    <row r="230" spans="1:10" x14ac:dyDescent="0.3">
      <c r="A230" t="s">
        <v>6</v>
      </c>
      <c r="B230" t="str">
        <f>"05/17/2002 00:00"</f>
        <v>05/17/2002 00:00</v>
      </c>
      <c r="C230">
        <v>291</v>
      </c>
      <c r="D230" t="s">
        <v>7</v>
      </c>
      <c r="E230" s="2" t="s">
        <v>12</v>
      </c>
      <c r="F230">
        <f t="shared" si="3"/>
        <v>577.053</v>
      </c>
      <c r="G230" t="s">
        <v>16</v>
      </c>
      <c r="J230" t="str">
        <f>"05/17/2002 23:45"</f>
        <v>05/17/2002 23:45</v>
      </c>
    </row>
    <row r="231" spans="1:10" x14ac:dyDescent="0.3">
      <c r="A231" t="s">
        <v>6</v>
      </c>
      <c r="B231" t="str">
        <f>"05/18/2002 00:00"</f>
        <v>05/18/2002 00:00</v>
      </c>
      <c r="C231">
        <v>204</v>
      </c>
      <c r="D231" t="s">
        <v>7</v>
      </c>
      <c r="E231" s="2" t="s">
        <v>12</v>
      </c>
      <c r="F231">
        <f t="shared" si="3"/>
        <v>404.53200000000004</v>
      </c>
      <c r="G231" t="s">
        <v>16</v>
      </c>
      <c r="J231" t="str">
        <f>"05/18/2002 23:45"</f>
        <v>05/18/2002 23:45</v>
      </c>
    </row>
    <row r="232" spans="1:10" x14ac:dyDescent="0.3">
      <c r="A232" t="s">
        <v>6</v>
      </c>
      <c r="B232" t="str">
        <f>"05/19/2002 00:00"</f>
        <v>05/19/2002 00:00</v>
      </c>
      <c r="C232">
        <v>205</v>
      </c>
      <c r="D232" t="s">
        <v>7</v>
      </c>
      <c r="E232" s="2" t="s">
        <v>12</v>
      </c>
      <c r="F232">
        <f t="shared" si="3"/>
        <v>406.51500000000004</v>
      </c>
      <c r="G232" t="s">
        <v>16</v>
      </c>
      <c r="J232" t="str">
        <f>"05/19/2002 23:45"</f>
        <v>05/19/2002 23:45</v>
      </c>
    </row>
    <row r="233" spans="1:10" x14ac:dyDescent="0.3">
      <c r="A233" t="s">
        <v>6</v>
      </c>
      <c r="B233" t="str">
        <f>"05/20/2002 00:00"</f>
        <v>05/20/2002 00:00</v>
      </c>
      <c r="C233">
        <v>223</v>
      </c>
      <c r="D233" t="s">
        <v>7</v>
      </c>
      <c r="E233" s="2" t="s">
        <v>12</v>
      </c>
      <c r="F233">
        <f t="shared" si="3"/>
        <v>442.209</v>
      </c>
      <c r="G233" t="s">
        <v>16</v>
      </c>
      <c r="J233" t="str">
        <f>"05/20/2002 23:45"</f>
        <v>05/20/2002 23:45</v>
      </c>
    </row>
    <row r="234" spans="1:10" x14ac:dyDescent="0.3">
      <c r="A234" t="s">
        <v>6</v>
      </c>
      <c r="B234" t="str">
        <f>"05/21/2002 00:00"</f>
        <v>05/21/2002 00:00</v>
      </c>
      <c r="C234">
        <v>256</v>
      </c>
      <c r="D234" t="s">
        <v>7</v>
      </c>
      <c r="E234" s="2" t="s">
        <v>12</v>
      </c>
      <c r="F234">
        <f t="shared" si="3"/>
        <v>507.64800000000002</v>
      </c>
      <c r="G234" t="s">
        <v>16</v>
      </c>
      <c r="J234" t="str">
        <f>"05/21/2002 23:45"</f>
        <v>05/21/2002 23:45</v>
      </c>
    </row>
    <row r="235" spans="1:10" x14ac:dyDescent="0.3">
      <c r="A235" t="s">
        <v>6</v>
      </c>
      <c r="B235" t="str">
        <f>"05/22/2002 00:00"</f>
        <v>05/22/2002 00:00</v>
      </c>
      <c r="C235">
        <v>256</v>
      </c>
      <c r="D235" t="s">
        <v>7</v>
      </c>
      <c r="E235" s="2" t="s">
        <v>12</v>
      </c>
      <c r="F235">
        <f t="shared" si="3"/>
        <v>507.64800000000002</v>
      </c>
      <c r="G235" t="s">
        <v>16</v>
      </c>
      <c r="J235" t="str">
        <f>"05/22/2002 23:45"</f>
        <v>05/22/2002 23:45</v>
      </c>
    </row>
    <row r="236" spans="1:10" x14ac:dyDescent="0.3">
      <c r="A236" t="s">
        <v>6</v>
      </c>
      <c r="B236" t="str">
        <f>"05/23/2002 00:00"</f>
        <v>05/23/2002 00:00</v>
      </c>
      <c r="C236">
        <v>255</v>
      </c>
      <c r="D236" t="s">
        <v>7</v>
      </c>
      <c r="E236" s="2" t="s">
        <v>12</v>
      </c>
      <c r="F236">
        <f t="shared" si="3"/>
        <v>505.66500000000002</v>
      </c>
      <c r="G236" t="s">
        <v>16</v>
      </c>
      <c r="J236" t="str">
        <f>"05/23/2002 23:45"</f>
        <v>05/23/2002 23:45</v>
      </c>
    </row>
    <row r="237" spans="1:10" x14ac:dyDescent="0.3">
      <c r="A237" t="s">
        <v>6</v>
      </c>
      <c r="B237" t="str">
        <f>"05/24/2002 00:00"</f>
        <v>05/24/2002 00:00</v>
      </c>
      <c r="C237">
        <v>247</v>
      </c>
      <c r="D237" t="s">
        <v>7</v>
      </c>
      <c r="E237" s="2" t="s">
        <v>12</v>
      </c>
      <c r="F237">
        <f t="shared" si="3"/>
        <v>489.80100000000004</v>
      </c>
      <c r="G237" t="s">
        <v>16</v>
      </c>
      <c r="J237" t="str">
        <f>"05/24/2002 23:45"</f>
        <v>05/24/2002 23:45</v>
      </c>
    </row>
    <row r="238" spans="1:10" x14ac:dyDescent="0.3">
      <c r="A238" t="s">
        <v>6</v>
      </c>
      <c r="B238" t="str">
        <f>"05/25/2002 00:00"</f>
        <v>05/25/2002 00:00</v>
      </c>
      <c r="C238">
        <v>223</v>
      </c>
      <c r="D238" t="s">
        <v>7</v>
      </c>
      <c r="E238" s="2" t="s">
        <v>12</v>
      </c>
      <c r="F238">
        <f t="shared" si="3"/>
        <v>442.209</v>
      </c>
      <c r="G238" t="s">
        <v>16</v>
      </c>
      <c r="J238" t="str">
        <f>"05/25/2002 23:45"</f>
        <v>05/25/2002 23:45</v>
      </c>
    </row>
    <row r="239" spans="1:10" x14ac:dyDescent="0.3">
      <c r="A239" t="s">
        <v>6</v>
      </c>
      <c r="B239" t="str">
        <f>"05/26/2002 00:00"</f>
        <v>05/26/2002 00:00</v>
      </c>
      <c r="C239">
        <v>175</v>
      </c>
      <c r="D239" t="s">
        <v>7</v>
      </c>
      <c r="E239" s="2" t="s">
        <v>12</v>
      </c>
      <c r="F239">
        <f t="shared" si="3"/>
        <v>347.02500000000003</v>
      </c>
      <c r="G239" t="s">
        <v>16</v>
      </c>
      <c r="J239" t="str">
        <f>"05/26/2002 23:45"</f>
        <v>05/26/2002 23:45</v>
      </c>
    </row>
    <row r="240" spans="1:10" x14ac:dyDescent="0.3">
      <c r="A240" t="s">
        <v>6</v>
      </c>
      <c r="B240" t="str">
        <f>"05/27/2002 00:00"</f>
        <v>05/27/2002 00:00</v>
      </c>
      <c r="C240">
        <v>155</v>
      </c>
      <c r="D240" t="s">
        <v>7</v>
      </c>
      <c r="E240" s="2" t="s">
        <v>12</v>
      </c>
      <c r="F240">
        <f t="shared" si="3"/>
        <v>307.36500000000001</v>
      </c>
      <c r="G240" t="s">
        <v>16</v>
      </c>
      <c r="J240" t="str">
        <f>"05/27/2002 23:45"</f>
        <v>05/27/2002 23:45</v>
      </c>
    </row>
    <row r="241" spans="1:10" x14ac:dyDescent="0.3">
      <c r="A241" t="s">
        <v>6</v>
      </c>
      <c r="B241" t="str">
        <f>"05/28/2002 00:00"</f>
        <v>05/28/2002 00:00</v>
      </c>
      <c r="C241">
        <v>182</v>
      </c>
      <c r="D241" t="s">
        <v>7</v>
      </c>
      <c r="E241" s="2" t="s">
        <v>12</v>
      </c>
      <c r="F241">
        <f t="shared" si="3"/>
        <v>360.90600000000001</v>
      </c>
      <c r="G241" t="s">
        <v>16</v>
      </c>
      <c r="J241" t="str">
        <f>"05/28/2002 23:45"</f>
        <v>05/28/2002 23:45</v>
      </c>
    </row>
    <row r="242" spans="1:10" x14ac:dyDescent="0.3">
      <c r="A242" t="s">
        <v>6</v>
      </c>
      <c r="B242" t="str">
        <f>"05/29/2002 00:00"</f>
        <v>05/29/2002 00:00</v>
      </c>
      <c r="C242">
        <v>202</v>
      </c>
      <c r="D242" t="s">
        <v>7</v>
      </c>
      <c r="E242" s="2" t="s">
        <v>12</v>
      </c>
      <c r="F242">
        <f t="shared" si="3"/>
        <v>400.56600000000003</v>
      </c>
      <c r="G242" t="s">
        <v>16</v>
      </c>
      <c r="J242" t="str">
        <f>"05/29/2002 23:45"</f>
        <v>05/29/2002 23:45</v>
      </c>
    </row>
    <row r="243" spans="1:10" x14ac:dyDescent="0.3">
      <c r="A243" t="s">
        <v>6</v>
      </c>
      <c r="B243" t="str">
        <f>"05/30/2002 00:00"</f>
        <v>05/30/2002 00:00</v>
      </c>
      <c r="C243">
        <v>202</v>
      </c>
      <c r="D243" t="s">
        <v>7</v>
      </c>
      <c r="E243" s="2" t="s">
        <v>12</v>
      </c>
      <c r="F243">
        <f t="shared" si="3"/>
        <v>400.56600000000003</v>
      </c>
      <c r="G243" t="s">
        <v>16</v>
      </c>
      <c r="J243" t="str">
        <f>"05/30/2002 23:45"</f>
        <v>05/30/2002 23:45</v>
      </c>
    </row>
    <row r="244" spans="1:10" x14ac:dyDescent="0.3">
      <c r="A244" t="s">
        <v>6</v>
      </c>
      <c r="B244" t="str">
        <f>"05/31/2002 00:00"</f>
        <v>05/31/2002 00:00</v>
      </c>
      <c r="C244">
        <v>256</v>
      </c>
      <c r="D244" t="s">
        <v>7</v>
      </c>
      <c r="E244" s="2" t="s">
        <v>12</v>
      </c>
      <c r="F244">
        <f t="shared" si="3"/>
        <v>507.64800000000002</v>
      </c>
      <c r="G244" t="s">
        <v>16</v>
      </c>
      <c r="J244" t="str">
        <f>"05/31/2002 23:45"</f>
        <v>05/31/2002 23:45</v>
      </c>
    </row>
    <row r="245" spans="1:10" x14ac:dyDescent="0.3">
      <c r="A245" t="s">
        <v>6</v>
      </c>
      <c r="B245" t="str">
        <f>"06/01/2002 00:00"</f>
        <v>06/01/2002 00:00</v>
      </c>
      <c r="C245">
        <v>299</v>
      </c>
      <c r="D245" t="s">
        <v>7</v>
      </c>
      <c r="E245" s="2" t="s">
        <v>12</v>
      </c>
      <c r="F245">
        <f t="shared" si="3"/>
        <v>592.91700000000003</v>
      </c>
      <c r="G245" t="s">
        <v>16</v>
      </c>
      <c r="J245" t="str">
        <f>"06/01/2002 23:45"</f>
        <v>06/01/2002 23:45</v>
      </c>
    </row>
    <row r="246" spans="1:10" x14ac:dyDescent="0.3">
      <c r="A246" t="s">
        <v>6</v>
      </c>
      <c r="B246" t="str">
        <f>"06/02/2002 00:00"</f>
        <v>06/02/2002 00:00</v>
      </c>
      <c r="C246">
        <v>247</v>
      </c>
      <c r="D246" t="s">
        <v>7</v>
      </c>
      <c r="E246" s="2" t="s">
        <v>12</v>
      </c>
      <c r="F246">
        <f t="shared" si="3"/>
        <v>489.80100000000004</v>
      </c>
      <c r="G246" t="s">
        <v>16</v>
      </c>
      <c r="J246" t="str">
        <f>"06/02/2002 23:45"</f>
        <v>06/02/2002 23:45</v>
      </c>
    </row>
    <row r="247" spans="1:10" x14ac:dyDescent="0.3">
      <c r="A247" t="s">
        <v>6</v>
      </c>
      <c r="B247" t="str">
        <f>"06/03/2002 00:00"</f>
        <v>06/03/2002 00:00</v>
      </c>
      <c r="C247">
        <v>200</v>
      </c>
      <c r="D247" t="s">
        <v>7</v>
      </c>
      <c r="E247" s="2" t="s">
        <v>12</v>
      </c>
      <c r="F247">
        <f t="shared" si="3"/>
        <v>396.6</v>
      </c>
      <c r="G247" t="s">
        <v>16</v>
      </c>
      <c r="J247" t="str">
        <f>"06/03/2002 23:45"</f>
        <v>06/03/2002 23:45</v>
      </c>
    </row>
    <row r="248" spans="1:10" x14ac:dyDescent="0.3">
      <c r="A248" t="s">
        <v>6</v>
      </c>
      <c r="B248" t="str">
        <f>"06/04/2002 00:00"</f>
        <v>06/04/2002 00:00</v>
      </c>
      <c r="C248">
        <v>200</v>
      </c>
      <c r="D248" t="s">
        <v>7</v>
      </c>
      <c r="E248" s="2" t="s">
        <v>12</v>
      </c>
      <c r="F248">
        <f t="shared" si="3"/>
        <v>396.6</v>
      </c>
      <c r="G248" t="s">
        <v>16</v>
      </c>
      <c r="J248" t="str">
        <f>"06/04/2002 23:45"</f>
        <v>06/04/2002 23:45</v>
      </c>
    </row>
    <row r="249" spans="1:10" x14ac:dyDescent="0.3">
      <c r="A249" t="s">
        <v>6</v>
      </c>
      <c r="B249" t="str">
        <f>"06/05/2002 00:00"</f>
        <v>06/05/2002 00:00</v>
      </c>
      <c r="C249">
        <v>203</v>
      </c>
      <c r="D249" t="s">
        <v>7</v>
      </c>
      <c r="E249" s="2" t="s">
        <v>12</v>
      </c>
      <c r="F249">
        <f t="shared" si="3"/>
        <v>402.54900000000004</v>
      </c>
      <c r="G249" t="s">
        <v>16</v>
      </c>
      <c r="J249" t="str">
        <f>"06/05/2002 23:45"</f>
        <v>06/05/2002 23:45</v>
      </c>
    </row>
    <row r="250" spans="1:10" x14ac:dyDescent="0.3">
      <c r="A250" t="s">
        <v>6</v>
      </c>
      <c r="B250" t="str">
        <f>"06/06/2002 00:00"</f>
        <v>06/06/2002 00:00</v>
      </c>
      <c r="C250">
        <v>201</v>
      </c>
      <c r="D250" t="s">
        <v>7</v>
      </c>
      <c r="E250" s="2" t="s">
        <v>12</v>
      </c>
      <c r="F250">
        <f t="shared" si="3"/>
        <v>398.58300000000003</v>
      </c>
      <c r="G250" t="s">
        <v>16</v>
      </c>
      <c r="J250" t="str">
        <f>"06/06/2002 23:45"</f>
        <v>06/06/2002 23:45</v>
      </c>
    </row>
    <row r="251" spans="1:10" x14ac:dyDescent="0.3">
      <c r="A251" t="s">
        <v>6</v>
      </c>
      <c r="B251" t="str">
        <f>"06/07/2002 00:00"</f>
        <v>06/07/2002 00:00</v>
      </c>
      <c r="C251">
        <v>199</v>
      </c>
      <c r="D251" t="s">
        <v>7</v>
      </c>
      <c r="E251" s="2" t="s">
        <v>12</v>
      </c>
      <c r="F251">
        <f t="shared" si="3"/>
        <v>394.61700000000002</v>
      </c>
      <c r="G251" t="s">
        <v>16</v>
      </c>
      <c r="J251" t="str">
        <f>"06/07/2002 23:45"</f>
        <v>06/07/2002 23:45</v>
      </c>
    </row>
    <row r="252" spans="1:10" x14ac:dyDescent="0.3">
      <c r="A252" t="s">
        <v>6</v>
      </c>
      <c r="B252" t="str">
        <f>"06/08/2002 00:00"</f>
        <v>06/08/2002 00:00</v>
      </c>
      <c r="C252">
        <v>232</v>
      </c>
      <c r="D252" t="s">
        <v>7</v>
      </c>
      <c r="E252" s="2" t="s">
        <v>12</v>
      </c>
      <c r="F252">
        <f t="shared" si="3"/>
        <v>460.05600000000004</v>
      </c>
      <c r="G252" t="s">
        <v>16</v>
      </c>
      <c r="J252" t="str">
        <f>"06/08/2002 23:45"</f>
        <v>06/08/2002 23:45</v>
      </c>
    </row>
    <row r="253" spans="1:10" x14ac:dyDescent="0.3">
      <c r="A253" t="s">
        <v>6</v>
      </c>
      <c r="B253" t="str">
        <f>"06/09/2002 00:00"</f>
        <v>06/09/2002 00:00</v>
      </c>
      <c r="C253">
        <v>252</v>
      </c>
      <c r="D253" t="s">
        <v>7</v>
      </c>
      <c r="E253" s="2" t="s">
        <v>12</v>
      </c>
      <c r="F253">
        <f t="shared" si="3"/>
        <v>499.71600000000001</v>
      </c>
      <c r="G253" t="s">
        <v>16</v>
      </c>
      <c r="J253" t="str">
        <f>"06/09/2002 23:45"</f>
        <v>06/09/2002 23:45</v>
      </c>
    </row>
    <row r="254" spans="1:10" x14ac:dyDescent="0.3">
      <c r="A254" t="s">
        <v>6</v>
      </c>
      <c r="B254" t="str">
        <f>"06/10/2002 00:00"</f>
        <v>06/10/2002 00:00</v>
      </c>
      <c r="C254">
        <v>253</v>
      </c>
      <c r="D254" t="s">
        <v>7</v>
      </c>
      <c r="E254" s="2" t="s">
        <v>12</v>
      </c>
      <c r="F254">
        <f t="shared" si="3"/>
        <v>501.69900000000001</v>
      </c>
      <c r="G254" t="s">
        <v>16</v>
      </c>
      <c r="J254" t="str">
        <f>"06/10/2002 23:45"</f>
        <v>06/10/2002 23:45</v>
      </c>
    </row>
    <row r="255" spans="1:10" x14ac:dyDescent="0.3">
      <c r="A255" t="s">
        <v>6</v>
      </c>
      <c r="B255" t="str">
        <f>"06/11/2002 00:00"</f>
        <v>06/11/2002 00:00</v>
      </c>
      <c r="C255">
        <v>251</v>
      </c>
      <c r="D255" t="s">
        <v>7</v>
      </c>
      <c r="E255" s="2" t="s">
        <v>12</v>
      </c>
      <c r="F255">
        <f t="shared" si="3"/>
        <v>497.733</v>
      </c>
      <c r="G255" t="s">
        <v>16</v>
      </c>
      <c r="J255" t="str">
        <f>"06/11/2002 23:45"</f>
        <v>06/11/2002 23:45</v>
      </c>
    </row>
    <row r="256" spans="1:10" x14ac:dyDescent="0.3">
      <c r="A256" t="s">
        <v>6</v>
      </c>
      <c r="B256" t="str">
        <f>"06/12/2002 00:00"</f>
        <v>06/12/2002 00:00</v>
      </c>
      <c r="C256">
        <v>279</v>
      </c>
      <c r="D256" t="s">
        <v>7</v>
      </c>
      <c r="E256" s="2" t="s">
        <v>12</v>
      </c>
      <c r="F256">
        <f t="shared" si="3"/>
        <v>553.25700000000006</v>
      </c>
      <c r="G256" t="s">
        <v>16</v>
      </c>
      <c r="J256" t="str">
        <f>"06/12/2002 23:45"</f>
        <v>06/12/2002 23:45</v>
      </c>
    </row>
    <row r="257" spans="1:10" x14ac:dyDescent="0.3">
      <c r="A257" t="s">
        <v>6</v>
      </c>
      <c r="B257" t="str">
        <f>"06/13/2002 00:00"</f>
        <v>06/13/2002 00:00</v>
      </c>
      <c r="C257">
        <v>301</v>
      </c>
      <c r="D257" t="s">
        <v>7</v>
      </c>
      <c r="E257" s="2" t="s">
        <v>12</v>
      </c>
      <c r="F257">
        <f t="shared" si="3"/>
        <v>596.88300000000004</v>
      </c>
      <c r="G257" t="s">
        <v>16</v>
      </c>
      <c r="J257" t="str">
        <f>"06/13/2002 23:45"</f>
        <v>06/13/2002 23:45</v>
      </c>
    </row>
    <row r="258" spans="1:10" x14ac:dyDescent="0.3">
      <c r="A258" t="s">
        <v>6</v>
      </c>
      <c r="B258" t="str">
        <f>"06/14/2002 00:00"</f>
        <v>06/14/2002 00:00</v>
      </c>
      <c r="C258">
        <v>301</v>
      </c>
      <c r="D258" t="s">
        <v>7</v>
      </c>
      <c r="E258" s="2" t="s">
        <v>12</v>
      </c>
      <c r="F258">
        <f t="shared" si="3"/>
        <v>596.88300000000004</v>
      </c>
      <c r="G258" t="s">
        <v>16</v>
      </c>
      <c r="J258" t="str">
        <f>"06/14/2002 23:45"</f>
        <v>06/14/2002 23:45</v>
      </c>
    </row>
    <row r="259" spans="1:10" x14ac:dyDescent="0.3">
      <c r="A259" t="s">
        <v>6</v>
      </c>
      <c r="B259" t="str">
        <f>"06/15/2002 00:00"</f>
        <v>06/15/2002 00:00</v>
      </c>
      <c r="C259">
        <v>301</v>
      </c>
      <c r="D259" t="s">
        <v>7</v>
      </c>
      <c r="E259" s="2" t="s">
        <v>12</v>
      </c>
      <c r="F259">
        <f t="shared" si="3"/>
        <v>596.88300000000004</v>
      </c>
      <c r="G259" t="s">
        <v>16</v>
      </c>
      <c r="J259" t="str">
        <f>"06/15/2002 23:45"</f>
        <v>06/15/2002 23:45</v>
      </c>
    </row>
    <row r="260" spans="1:10" x14ac:dyDescent="0.3">
      <c r="A260" t="s">
        <v>6</v>
      </c>
      <c r="B260" t="str">
        <f>"06/16/2002 00:00"</f>
        <v>06/16/2002 00:00</v>
      </c>
      <c r="C260">
        <v>301</v>
      </c>
      <c r="D260" t="s">
        <v>7</v>
      </c>
      <c r="E260" s="2" t="s">
        <v>12</v>
      </c>
      <c r="F260">
        <f t="shared" ref="F260:F323" si="4">C260*1.983</f>
        <v>596.88300000000004</v>
      </c>
      <c r="G260" t="s">
        <v>16</v>
      </c>
      <c r="J260" t="str">
        <f>"06/16/2002 23:45"</f>
        <v>06/16/2002 23:45</v>
      </c>
    </row>
    <row r="261" spans="1:10" x14ac:dyDescent="0.3">
      <c r="A261" t="s">
        <v>6</v>
      </c>
      <c r="B261" t="str">
        <f>"06/17/2002 00:00"</f>
        <v>06/17/2002 00:00</v>
      </c>
      <c r="C261">
        <v>301</v>
      </c>
      <c r="D261" t="s">
        <v>7</v>
      </c>
      <c r="E261" s="2" t="s">
        <v>12</v>
      </c>
      <c r="F261">
        <f t="shared" si="4"/>
        <v>596.88300000000004</v>
      </c>
      <c r="G261" t="s">
        <v>16</v>
      </c>
      <c r="J261" t="str">
        <f>"06/17/2002 23:45"</f>
        <v>06/17/2002 23:45</v>
      </c>
    </row>
    <row r="262" spans="1:10" x14ac:dyDescent="0.3">
      <c r="A262" t="s">
        <v>6</v>
      </c>
      <c r="B262" t="str">
        <f>"06/18/2002 00:00"</f>
        <v>06/18/2002 00:00</v>
      </c>
      <c r="C262">
        <v>268</v>
      </c>
      <c r="D262" t="s">
        <v>7</v>
      </c>
      <c r="E262" s="2" t="s">
        <v>12</v>
      </c>
      <c r="F262">
        <f t="shared" si="4"/>
        <v>531.44400000000007</v>
      </c>
      <c r="G262" t="s">
        <v>16</v>
      </c>
      <c r="J262" t="str">
        <f>"06/18/2002 23:45"</f>
        <v>06/18/2002 23:45</v>
      </c>
    </row>
    <row r="263" spans="1:10" x14ac:dyDescent="0.3">
      <c r="A263" t="s">
        <v>6</v>
      </c>
      <c r="B263" t="str">
        <f>"06/19/2002 00:00"</f>
        <v>06/19/2002 00:00</v>
      </c>
      <c r="C263">
        <v>286</v>
      </c>
      <c r="D263" t="s">
        <v>7</v>
      </c>
      <c r="E263" s="2" t="s">
        <v>12</v>
      </c>
      <c r="F263">
        <f t="shared" si="4"/>
        <v>567.13800000000003</v>
      </c>
      <c r="G263" t="s">
        <v>16</v>
      </c>
      <c r="J263" t="str">
        <f>"06/19/2002 23:45"</f>
        <v>06/19/2002 23:45</v>
      </c>
    </row>
    <row r="264" spans="1:10" x14ac:dyDescent="0.3">
      <c r="A264" t="s">
        <v>6</v>
      </c>
      <c r="B264" t="str">
        <f>"06/20/2002 00:00"</f>
        <v>06/20/2002 00:00</v>
      </c>
      <c r="C264">
        <v>255</v>
      </c>
      <c r="D264" t="s">
        <v>7</v>
      </c>
      <c r="E264" s="2" t="s">
        <v>12</v>
      </c>
      <c r="F264">
        <f t="shared" si="4"/>
        <v>505.66500000000002</v>
      </c>
      <c r="G264" t="s">
        <v>16</v>
      </c>
      <c r="J264" t="str">
        <f>"06/20/2002 23:45"</f>
        <v>06/20/2002 23:45</v>
      </c>
    </row>
    <row r="265" spans="1:10" x14ac:dyDescent="0.3">
      <c r="A265" t="s">
        <v>6</v>
      </c>
      <c r="B265" t="str">
        <f>"06/21/2002 00:00"</f>
        <v>06/21/2002 00:00</v>
      </c>
      <c r="C265">
        <v>254</v>
      </c>
      <c r="D265" t="s">
        <v>7</v>
      </c>
      <c r="E265" s="2" t="s">
        <v>12</v>
      </c>
      <c r="F265">
        <f t="shared" si="4"/>
        <v>503.68200000000002</v>
      </c>
      <c r="G265" t="s">
        <v>16</v>
      </c>
      <c r="J265" t="str">
        <f>"06/21/2002 23:45"</f>
        <v>06/21/2002 23:45</v>
      </c>
    </row>
    <row r="266" spans="1:10" x14ac:dyDescent="0.3">
      <c r="A266" t="s">
        <v>6</v>
      </c>
      <c r="B266" t="str">
        <f>"06/22/2002 00:00"</f>
        <v>06/22/2002 00:00</v>
      </c>
      <c r="C266">
        <v>254</v>
      </c>
      <c r="D266" t="s">
        <v>7</v>
      </c>
      <c r="E266" s="2" t="s">
        <v>12</v>
      </c>
      <c r="F266">
        <f t="shared" si="4"/>
        <v>503.68200000000002</v>
      </c>
      <c r="G266" t="s">
        <v>16</v>
      </c>
      <c r="J266" t="str">
        <f>"06/22/2002 23:45"</f>
        <v>06/22/2002 23:45</v>
      </c>
    </row>
    <row r="267" spans="1:10" x14ac:dyDescent="0.3">
      <c r="A267" t="s">
        <v>6</v>
      </c>
      <c r="B267" t="str">
        <f>"06/23/2002 00:00"</f>
        <v>06/23/2002 00:00</v>
      </c>
      <c r="C267">
        <v>254</v>
      </c>
      <c r="D267" t="s">
        <v>7</v>
      </c>
      <c r="E267" s="2" t="s">
        <v>12</v>
      </c>
      <c r="F267">
        <f t="shared" si="4"/>
        <v>503.68200000000002</v>
      </c>
      <c r="G267" t="s">
        <v>16</v>
      </c>
      <c r="J267" t="str">
        <f>"06/23/2002 23:45"</f>
        <v>06/23/2002 23:45</v>
      </c>
    </row>
    <row r="268" spans="1:10" x14ac:dyDescent="0.3">
      <c r="A268" t="s">
        <v>6</v>
      </c>
      <c r="B268" t="str">
        <f>"06/24/2002 00:00"</f>
        <v>06/24/2002 00:00</v>
      </c>
      <c r="C268">
        <v>295</v>
      </c>
      <c r="D268" t="s">
        <v>7</v>
      </c>
      <c r="E268" s="2" t="s">
        <v>12</v>
      </c>
      <c r="F268">
        <f t="shared" si="4"/>
        <v>584.98500000000001</v>
      </c>
      <c r="G268" t="s">
        <v>16</v>
      </c>
      <c r="J268" t="str">
        <f>"06/24/2002 23:45"</f>
        <v>06/24/2002 23:45</v>
      </c>
    </row>
    <row r="269" spans="1:10" x14ac:dyDescent="0.3">
      <c r="A269" t="s">
        <v>6</v>
      </c>
      <c r="B269" t="str">
        <f>"06/25/2002 00:00"</f>
        <v>06/25/2002 00:00</v>
      </c>
      <c r="C269">
        <v>324</v>
      </c>
      <c r="D269" t="s">
        <v>7</v>
      </c>
      <c r="E269" s="2" t="s">
        <v>12</v>
      </c>
      <c r="F269">
        <f t="shared" si="4"/>
        <v>642.49200000000008</v>
      </c>
      <c r="G269" t="s">
        <v>16</v>
      </c>
      <c r="J269" t="str">
        <f>"06/25/2002 23:45"</f>
        <v>06/25/2002 23:45</v>
      </c>
    </row>
    <row r="270" spans="1:10" x14ac:dyDescent="0.3">
      <c r="A270" t="s">
        <v>6</v>
      </c>
      <c r="B270" t="str">
        <f>"06/26/2002 00:00"</f>
        <v>06/26/2002 00:00</v>
      </c>
      <c r="C270">
        <v>338</v>
      </c>
      <c r="D270" t="s">
        <v>7</v>
      </c>
      <c r="E270" s="2" t="s">
        <v>12</v>
      </c>
      <c r="F270">
        <f t="shared" si="4"/>
        <v>670.25400000000002</v>
      </c>
      <c r="G270" t="s">
        <v>16</v>
      </c>
      <c r="J270" t="str">
        <f>"06/26/2002 23:45"</f>
        <v>06/26/2002 23:45</v>
      </c>
    </row>
    <row r="271" spans="1:10" x14ac:dyDescent="0.3">
      <c r="A271" t="s">
        <v>6</v>
      </c>
      <c r="B271" t="str">
        <f>"06/27/2002 00:00"</f>
        <v>06/27/2002 00:00</v>
      </c>
      <c r="C271">
        <v>373</v>
      </c>
      <c r="D271" t="s">
        <v>7</v>
      </c>
      <c r="E271" s="2" t="s">
        <v>12</v>
      </c>
      <c r="F271">
        <f t="shared" si="4"/>
        <v>739.65899999999999</v>
      </c>
      <c r="G271" t="s">
        <v>16</v>
      </c>
      <c r="J271" t="str">
        <f>"06/27/2002 23:45"</f>
        <v>06/27/2002 23:45</v>
      </c>
    </row>
    <row r="272" spans="1:10" x14ac:dyDescent="0.3">
      <c r="A272" t="s">
        <v>6</v>
      </c>
      <c r="B272" t="str">
        <f>"06/28/2002 00:00"</f>
        <v>06/28/2002 00:00</v>
      </c>
      <c r="C272">
        <v>488</v>
      </c>
      <c r="D272" t="s">
        <v>7</v>
      </c>
      <c r="E272" s="2" t="s">
        <v>12</v>
      </c>
      <c r="F272">
        <f t="shared" si="4"/>
        <v>967.70400000000006</v>
      </c>
      <c r="G272" t="s">
        <v>16</v>
      </c>
      <c r="J272" t="str">
        <f>"06/28/2002 23:45"</f>
        <v>06/28/2002 23:45</v>
      </c>
    </row>
    <row r="273" spans="1:10" x14ac:dyDescent="0.3">
      <c r="A273" t="s">
        <v>6</v>
      </c>
      <c r="B273" t="str">
        <f>"06/29/2002 00:00"</f>
        <v>06/29/2002 00:00</v>
      </c>
      <c r="C273">
        <v>582</v>
      </c>
      <c r="D273" t="s">
        <v>7</v>
      </c>
      <c r="E273" s="2" t="s">
        <v>12</v>
      </c>
      <c r="F273">
        <f t="shared" si="4"/>
        <v>1154.106</v>
      </c>
      <c r="G273" t="s">
        <v>16</v>
      </c>
      <c r="J273" t="str">
        <f>"06/29/2002 23:45"</f>
        <v>06/29/2002 23:45</v>
      </c>
    </row>
    <row r="274" spans="1:10" x14ac:dyDescent="0.3">
      <c r="A274" t="s">
        <v>6</v>
      </c>
      <c r="B274" t="str">
        <f>"06/30/2002 00:00"</f>
        <v>06/30/2002 00:00</v>
      </c>
      <c r="C274">
        <v>582</v>
      </c>
      <c r="D274" t="s">
        <v>7</v>
      </c>
      <c r="E274" s="2" t="s">
        <v>12</v>
      </c>
      <c r="F274">
        <f t="shared" si="4"/>
        <v>1154.106</v>
      </c>
      <c r="G274" t="s">
        <v>16</v>
      </c>
      <c r="J274" t="str">
        <f>"06/30/2002 23:45"</f>
        <v>06/30/2002 23:45</v>
      </c>
    </row>
    <row r="275" spans="1:10" x14ac:dyDescent="0.3">
      <c r="A275" t="s">
        <v>6</v>
      </c>
      <c r="B275" t="str">
        <f>"07/01/2002 00:00"</f>
        <v>07/01/2002 00:00</v>
      </c>
      <c r="C275">
        <v>484</v>
      </c>
      <c r="D275" t="s">
        <v>7</v>
      </c>
      <c r="E275" s="2" t="s">
        <v>12</v>
      </c>
      <c r="F275">
        <f t="shared" si="4"/>
        <v>959.77200000000005</v>
      </c>
      <c r="G275" t="s">
        <v>16</v>
      </c>
      <c r="J275" t="str">
        <f>"07/01/2002 23:45"</f>
        <v>07/01/2002 23:45</v>
      </c>
    </row>
    <row r="276" spans="1:10" x14ac:dyDescent="0.3">
      <c r="A276" t="s">
        <v>6</v>
      </c>
      <c r="B276" t="str">
        <f>"07/02/2002 00:00"</f>
        <v>07/02/2002 00:00</v>
      </c>
      <c r="C276">
        <v>327</v>
      </c>
      <c r="D276" t="s">
        <v>7</v>
      </c>
      <c r="E276" s="2" t="s">
        <v>12</v>
      </c>
      <c r="F276">
        <f t="shared" si="4"/>
        <v>648.44100000000003</v>
      </c>
      <c r="G276" t="s">
        <v>16</v>
      </c>
      <c r="J276" t="str">
        <f>"07/02/2002 23:45"</f>
        <v>07/02/2002 23:45</v>
      </c>
    </row>
    <row r="277" spans="1:10" x14ac:dyDescent="0.3">
      <c r="A277" t="s">
        <v>6</v>
      </c>
      <c r="B277" t="str">
        <f>"07/03/2002 00:00"</f>
        <v>07/03/2002 00:00</v>
      </c>
      <c r="C277">
        <v>277</v>
      </c>
      <c r="D277" t="s">
        <v>7</v>
      </c>
      <c r="E277" s="2" t="s">
        <v>12</v>
      </c>
      <c r="F277">
        <f t="shared" si="4"/>
        <v>549.29100000000005</v>
      </c>
      <c r="G277" t="s">
        <v>16</v>
      </c>
      <c r="J277" t="str">
        <f>"07/03/2002 23:45"</f>
        <v>07/03/2002 23:45</v>
      </c>
    </row>
    <row r="278" spans="1:10" x14ac:dyDescent="0.3">
      <c r="A278" t="s">
        <v>6</v>
      </c>
      <c r="B278" t="str">
        <f>"07/04/2002 00:00"</f>
        <v>07/04/2002 00:00</v>
      </c>
      <c r="C278">
        <v>301</v>
      </c>
      <c r="D278" t="s">
        <v>7</v>
      </c>
      <c r="E278" s="2" t="s">
        <v>12</v>
      </c>
      <c r="F278">
        <f t="shared" si="4"/>
        <v>596.88300000000004</v>
      </c>
      <c r="G278" t="s">
        <v>16</v>
      </c>
      <c r="J278" t="str">
        <f>"07/04/2002 23:45"</f>
        <v>07/04/2002 23:45</v>
      </c>
    </row>
    <row r="279" spans="1:10" x14ac:dyDescent="0.3">
      <c r="A279" t="s">
        <v>6</v>
      </c>
      <c r="B279" t="str">
        <f>"07/05/2002 00:00"</f>
        <v>07/05/2002 00:00</v>
      </c>
      <c r="C279">
        <v>315</v>
      </c>
      <c r="D279" t="s">
        <v>7</v>
      </c>
      <c r="E279" s="2" t="s">
        <v>12</v>
      </c>
      <c r="F279">
        <f t="shared" si="4"/>
        <v>624.64499999999998</v>
      </c>
      <c r="G279" t="s">
        <v>16</v>
      </c>
      <c r="J279" t="str">
        <f>"07/05/2002 23:45"</f>
        <v>07/05/2002 23:45</v>
      </c>
    </row>
    <row r="280" spans="1:10" x14ac:dyDescent="0.3">
      <c r="A280" t="s">
        <v>6</v>
      </c>
      <c r="B280" t="str">
        <f>"07/06/2002 00:00"</f>
        <v>07/06/2002 00:00</v>
      </c>
      <c r="C280">
        <v>256</v>
      </c>
      <c r="D280" t="s">
        <v>7</v>
      </c>
      <c r="E280" s="2" t="s">
        <v>12</v>
      </c>
      <c r="F280">
        <f t="shared" si="4"/>
        <v>507.64800000000002</v>
      </c>
      <c r="G280" t="s">
        <v>16</v>
      </c>
      <c r="J280" t="str">
        <f>"07/06/2002 23:45"</f>
        <v>07/06/2002 23:45</v>
      </c>
    </row>
    <row r="281" spans="1:10" x14ac:dyDescent="0.3">
      <c r="A281" t="s">
        <v>6</v>
      </c>
      <c r="B281" t="str">
        <f>"07/07/2002 00:00"</f>
        <v>07/07/2002 00:00</v>
      </c>
      <c r="C281">
        <v>261</v>
      </c>
      <c r="D281" t="s">
        <v>7</v>
      </c>
      <c r="E281" s="2" t="s">
        <v>12</v>
      </c>
      <c r="F281">
        <f t="shared" si="4"/>
        <v>517.56299999999999</v>
      </c>
      <c r="G281" t="s">
        <v>16</v>
      </c>
      <c r="J281" t="str">
        <f>"07/07/2002 23:45"</f>
        <v>07/07/2002 23:45</v>
      </c>
    </row>
    <row r="282" spans="1:10" x14ac:dyDescent="0.3">
      <c r="A282" t="s">
        <v>6</v>
      </c>
      <c r="B282" t="str">
        <f>"07/08/2002 00:00"</f>
        <v>07/08/2002 00:00</v>
      </c>
      <c r="C282">
        <v>300</v>
      </c>
      <c r="D282" t="s">
        <v>7</v>
      </c>
      <c r="E282" s="2" t="s">
        <v>12</v>
      </c>
      <c r="F282">
        <f t="shared" si="4"/>
        <v>594.9</v>
      </c>
      <c r="G282" t="s">
        <v>16</v>
      </c>
      <c r="J282" t="str">
        <f>"07/08/2002 23:45"</f>
        <v>07/08/2002 23:45</v>
      </c>
    </row>
    <row r="283" spans="1:10" x14ac:dyDescent="0.3">
      <c r="A283" t="s">
        <v>6</v>
      </c>
      <c r="B283" t="str">
        <f>"07/09/2002 00:00"</f>
        <v>07/09/2002 00:00</v>
      </c>
      <c r="C283">
        <v>329</v>
      </c>
      <c r="D283" t="s">
        <v>7</v>
      </c>
      <c r="E283" s="2" t="s">
        <v>12</v>
      </c>
      <c r="F283">
        <f t="shared" si="4"/>
        <v>652.40700000000004</v>
      </c>
      <c r="G283" t="s">
        <v>16</v>
      </c>
      <c r="J283" t="str">
        <f>"07/09/2002 23:45"</f>
        <v>07/09/2002 23:45</v>
      </c>
    </row>
    <row r="284" spans="1:10" x14ac:dyDescent="0.3">
      <c r="A284" t="s">
        <v>6</v>
      </c>
      <c r="B284" t="str">
        <f>"07/10/2002 00:00"</f>
        <v>07/10/2002 00:00</v>
      </c>
      <c r="C284">
        <v>347</v>
      </c>
      <c r="D284" t="s">
        <v>7</v>
      </c>
      <c r="E284" s="2" t="s">
        <v>12</v>
      </c>
      <c r="F284">
        <f t="shared" si="4"/>
        <v>688.101</v>
      </c>
      <c r="G284" t="s">
        <v>16</v>
      </c>
      <c r="J284" t="str">
        <f>"07/10/2002 23:45"</f>
        <v>07/10/2002 23:45</v>
      </c>
    </row>
    <row r="285" spans="1:10" x14ac:dyDescent="0.3">
      <c r="A285" t="s">
        <v>6</v>
      </c>
      <c r="B285" t="str">
        <f>"07/11/2002 00:00"</f>
        <v>07/11/2002 00:00</v>
      </c>
      <c r="C285">
        <v>339</v>
      </c>
      <c r="D285" t="s">
        <v>7</v>
      </c>
      <c r="E285" s="2" t="s">
        <v>12</v>
      </c>
      <c r="F285">
        <f t="shared" si="4"/>
        <v>672.23700000000008</v>
      </c>
      <c r="G285" t="s">
        <v>16</v>
      </c>
      <c r="J285" t="str">
        <f>"07/11/2002 23:45"</f>
        <v>07/11/2002 23:45</v>
      </c>
    </row>
    <row r="286" spans="1:10" x14ac:dyDescent="0.3">
      <c r="A286" t="s">
        <v>6</v>
      </c>
      <c r="B286" t="str">
        <f>"07/12/2002 00:00"</f>
        <v>07/12/2002 00:00</v>
      </c>
      <c r="C286">
        <v>334</v>
      </c>
      <c r="D286" t="s">
        <v>7</v>
      </c>
      <c r="E286" s="2" t="s">
        <v>12</v>
      </c>
      <c r="F286">
        <f t="shared" si="4"/>
        <v>662.322</v>
      </c>
      <c r="G286" t="s">
        <v>16</v>
      </c>
      <c r="J286" t="str">
        <f>"07/12/2002 23:45"</f>
        <v>07/12/2002 23:45</v>
      </c>
    </row>
    <row r="287" spans="1:10" x14ac:dyDescent="0.3">
      <c r="A287" t="s">
        <v>6</v>
      </c>
      <c r="B287" t="str">
        <f>"07/13/2002 00:00"</f>
        <v>07/13/2002 00:00</v>
      </c>
      <c r="C287">
        <v>334</v>
      </c>
      <c r="D287" t="s">
        <v>7</v>
      </c>
      <c r="E287" s="2" t="s">
        <v>12</v>
      </c>
      <c r="F287">
        <f t="shared" si="4"/>
        <v>662.322</v>
      </c>
      <c r="G287" t="s">
        <v>16</v>
      </c>
      <c r="J287" t="str">
        <f>"07/13/2002 23:45"</f>
        <v>07/13/2002 23:45</v>
      </c>
    </row>
    <row r="288" spans="1:10" x14ac:dyDescent="0.3">
      <c r="A288" t="s">
        <v>6</v>
      </c>
      <c r="B288" t="str">
        <f>"07/14/2002 00:00"</f>
        <v>07/14/2002 00:00</v>
      </c>
      <c r="C288">
        <v>334</v>
      </c>
      <c r="D288" t="s">
        <v>7</v>
      </c>
      <c r="E288" s="2" t="s">
        <v>12</v>
      </c>
      <c r="F288">
        <f t="shared" si="4"/>
        <v>662.322</v>
      </c>
      <c r="G288" t="s">
        <v>16</v>
      </c>
      <c r="J288" t="str">
        <f>"07/14/2002 23:45"</f>
        <v>07/14/2002 23:45</v>
      </c>
    </row>
    <row r="289" spans="1:10" x14ac:dyDescent="0.3">
      <c r="A289" t="s">
        <v>6</v>
      </c>
      <c r="B289" t="str">
        <f>"07/15/2002 00:00"</f>
        <v>07/15/2002 00:00</v>
      </c>
      <c r="C289">
        <v>334</v>
      </c>
      <c r="D289" t="s">
        <v>7</v>
      </c>
      <c r="E289" s="2" t="s">
        <v>12</v>
      </c>
      <c r="F289">
        <f t="shared" si="4"/>
        <v>662.322</v>
      </c>
      <c r="G289" t="s">
        <v>16</v>
      </c>
      <c r="J289" t="str">
        <f>"07/15/2002 23:45"</f>
        <v>07/15/2002 23:45</v>
      </c>
    </row>
    <row r="290" spans="1:10" x14ac:dyDescent="0.3">
      <c r="A290" t="s">
        <v>6</v>
      </c>
      <c r="B290" t="str">
        <f>"07/16/2002 00:00"</f>
        <v>07/16/2002 00:00</v>
      </c>
      <c r="C290">
        <v>332</v>
      </c>
      <c r="D290" t="s">
        <v>7</v>
      </c>
      <c r="E290" s="2" t="s">
        <v>12</v>
      </c>
      <c r="F290">
        <f t="shared" si="4"/>
        <v>658.35599999999999</v>
      </c>
      <c r="G290" t="s">
        <v>16</v>
      </c>
      <c r="J290" t="str">
        <f>"07/16/2002 23:45"</f>
        <v>07/16/2002 23:45</v>
      </c>
    </row>
    <row r="291" spans="1:10" x14ac:dyDescent="0.3">
      <c r="A291" t="s">
        <v>6</v>
      </c>
      <c r="B291" t="str">
        <f>"07/17/2002 00:00"</f>
        <v>07/17/2002 00:00</v>
      </c>
      <c r="C291">
        <v>332</v>
      </c>
      <c r="D291" t="s">
        <v>7</v>
      </c>
      <c r="E291" s="2" t="s">
        <v>12</v>
      </c>
      <c r="F291">
        <f t="shared" si="4"/>
        <v>658.35599999999999</v>
      </c>
      <c r="G291" t="s">
        <v>16</v>
      </c>
      <c r="J291" t="str">
        <f>"07/17/2002 23:45"</f>
        <v>07/17/2002 23:45</v>
      </c>
    </row>
    <row r="292" spans="1:10" x14ac:dyDescent="0.3">
      <c r="A292" t="s">
        <v>6</v>
      </c>
      <c r="B292" t="str">
        <f>"07/18/2002 00:00"</f>
        <v>07/18/2002 00:00</v>
      </c>
      <c r="C292">
        <v>332</v>
      </c>
      <c r="D292" t="s">
        <v>7</v>
      </c>
      <c r="E292" s="2" t="s">
        <v>12</v>
      </c>
      <c r="F292">
        <f t="shared" si="4"/>
        <v>658.35599999999999</v>
      </c>
      <c r="G292" t="s">
        <v>16</v>
      </c>
      <c r="J292" t="str">
        <f>"07/18/2002 23:45"</f>
        <v>07/18/2002 23:45</v>
      </c>
    </row>
    <row r="293" spans="1:10" x14ac:dyDescent="0.3">
      <c r="A293" t="s">
        <v>6</v>
      </c>
      <c r="B293" t="str">
        <f>"07/19/2002 00:00"</f>
        <v>07/19/2002 00:00</v>
      </c>
      <c r="C293">
        <v>332</v>
      </c>
      <c r="D293" t="s">
        <v>7</v>
      </c>
      <c r="E293" s="2" t="s">
        <v>12</v>
      </c>
      <c r="F293">
        <f t="shared" si="4"/>
        <v>658.35599999999999</v>
      </c>
      <c r="G293" t="s">
        <v>16</v>
      </c>
      <c r="J293" t="str">
        <f>"07/19/2002 23:45"</f>
        <v>07/19/2002 23:45</v>
      </c>
    </row>
    <row r="294" spans="1:10" x14ac:dyDescent="0.3">
      <c r="A294" t="s">
        <v>6</v>
      </c>
      <c r="B294" t="str">
        <f>"07/20/2002 00:00"</f>
        <v>07/20/2002 00:00</v>
      </c>
      <c r="C294">
        <v>332</v>
      </c>
      <c r="D294" t="s">
        <v>7</v>
      </c>
      <c r="E294" s="2" t="s">
        <v>12</v>
      </c>
      <c r="F294">
        <f t="shared" si="4"/>
        <v>658.35599999999999</v>
      </c>
      <c r="G294" t="s">
        <v>16</v>
      </c>
      <c r="J294" t="str">
        <f>"07/20/2002 23:45"</f>
        <v>07/20/2002 23:45</v>
      </c>
    </row>
    <row r="295" spans="1:10" x14ac:dyDescent="0.3">
      <c r="A295" t="s">
        <v>6</v>
      </c>
      <c r="B295" t="str">
        <f>"07/21/2002 00:00"</f>
        <v>07/21/2002 00:00</v>
      </c>
      <c r="C295">
        <v>332</v>
      </c>
      <c r="D295" t="s">
        <v>7</v>
      </c>
      <c r="E295" s="2" t="s">
        <v>12</v>
      </c>
      <c r="F295">
        <f t="shared" si="4"/>
        <v>658.35599999999999</v>
      </c>
      <c r="G295" t="s">
        <v>16</v>
      </c>
      <c r="J295" t="str">
        <f>"07/21/2002 23:45"</f>
        <v>07/21/2002 23:45</v>
      </c>
    </row>
    <row r="296" spans="1:10" x14ac:dyDescent="0.3">
      <c r="A296" t="s">
        <v>6</v>
      </c>
      <c r="B296" t="str">
        <f>"07/22/2002 00:00"</f>
        <v>07/22/2002 00:00</v>
      </c>
      <c r="C296">
        <v>332</v>
      </c>
      <c r="D296" t="s">
        <v>7</v>
      </c>
      <c r="E296" s="2" t="s">
        <v>12</v>
      </c>
      <c r="F296">
        <f t="shared" si="4"/>
        <v>658.35599999999999</v>
      </c>
      <c r="G296" t="s">
        <v>16</v>
      </c>
      <c r="J296" t="str">
        <f>"07/22/2002 23:45"</f>
        <v>07/22/2002 23:45</v>
      </c>
    </row>
    <row r="297" spans="1:10" x14ac:dyDescent="0.3">
      <c r="A297" t="s">
        <v>6</v>
      </c>
      <c r="B297" t="str">
        <f>"07/23/2002 00:00"</f>
        <v>07/23/2002 00:00</v>
      </c>
      <c r="C297">
        <v>288</v>
      </c>
      <c r="D297" t="s">
        <v>7</v>
      </c>
      <c r="E297" s="2" t="s">
        <v>12</v>
      </c>
      <c r="F297">
        <f t="shared" si="4"/>
        <v>571.10400000000004</v>
      </c>
      <c r="G297" t="s">
        <v>16</v>
      </c>
      <c r="J297" t="str">
        <f>"07/23/2002 23:45"</f>
        <v>07/23/2002 23:45</v>
      </c>
    </row>
    <row r="298" spans="1:10" x14ac:dyDescent="0.3">
      <c r="A298" t="s">
        <v>6</v>
      </c>
      <c r="B298" t="str">
        <f>"07/24/2002 00:00"</f>
        <v>07/24/2002 00:00</v>
      </c>
      <c r="C298">
        <v>253</v>
      </c>
      <c r="D298" t="s">
        <v>7</v>
      </c>
      <c r="E298" s="2" t="s">
        <v>12</v>
      </c>
      <c r="F298">
        <f t="shared" si="4"/>
        <v>501.69900000000001</v>
      </c>
      <c r="G298" t="s">
        <v>16</v>
      </c>
      <c r="J298" t="str">
        <f>"07/24/2002 23:45"</f>
        <v>07/24/2002 23:45</v>
      </c>
    </row>
    <row r="299" spans="1:10" x14ac:dyDescent="0.3">
      <c r="A299" t="s">
        <v>6</v>
      </c>
      <c r="B299" t="str">
        <f>"07/25/2002 00:00"</f>
        <v>07/25/2002 00:00</v>
      </c>
      <c r="C299">
        <v>340</v>
      </c>
      <c r="D299" t="s">
        <v>7</v>
      </c>
      <c r="E299" s="2" t="s">
        <v>12</v>
      </c>
      <c r="F299">
        <f t="shared" si="4"/>
        <v>674.22</v>
      </c>
      <c r="G299" t="s">
        <v>16</v>
      </c>
      <c r="J299" t="str">
        <f>"07/25/2002 23:45"</f>
        <v>07/25/2002 23:45</v>
      </c>
    </row>
    <row r="300" spans="1:10" x14ac:dyDescent="0.3">
      <c r="A300" t="s">
        <v>6</v>
      </c>
      <c r="B300" t="str">
        <f>"07/26/2002 00:00"</f>
        <v>07/26/2002 00:00</v>
      </c>
      <c r="C300">
        <v>340</v>
      </c>
      <c r="D300" t="s">
        <v>7</v>
      </c>
      <c r="E300" s="2" t="s">
        <v>12</v>
      </c>
      <c r="F300">
        <f t="shared" si="4"/>
        <v>674.22</v>
      </c>
      <c r="G300" t="s">
        <v>16</v>
      </c>
      <c r="J300" t="str">
        <f>"07/26/2002 23:45"</f>
        <v>07/26/2002 23:45</v>
      </c>
    </row>
    <row r="301" spans="1:10" x14ac:dyDescent="0.3">
      <c r="A301" t="s">
        <v>6</v>
      </c>
      <c r="B301" t="str">
        <f>"07/27/2002 00:00"</f>
        <v>07/27/2002 00:00</v>
      </c>
      <c r="C301">
        <v>340</v>
      </c>
      <c r="D301" t="s">
        <v>7</v>
      </c>
      <c r="E301" s="2" t="s">
        <v>12</v>
      </c>
      <c r="F301">
        <f t="shared" si="4"/>
        <v>674.22</v>
      </c>
      <c r="G301" t="s">
        <v>16</v>
      </c>
      <c r="J301" t="str">
        <f>"07/27/2002 23:45"</f>
        <v>07/27/2002 23:45</v>
      </c>
    </row>
    <row r="302" spans="1:10" x14ac:dyDescent="0.3">
      <c r="A302" t="s">
        <v>6</v>
      </c>
      <c r="B302" t="str">
        <f>"07/28/2002 00:00"</f>
        <v>07/28/2002 00:00</v>
      </c>
      <c r="C302">
        <v>340</v>
      </c>
      <c r="D302" t="s">
        <v>7</v>
      </c>
      <c r="E302" s="2" t="s">
        <v>12</v>
      </c>
      <c r="F302">
        <f t="shared" si="4"/>
        <v>674.22</v>
      </c>
      <c r="G302" t="s">
        <v>16</v>
      </c>
      <c r="J302" t="str">
        <f>"07/28/2002 23:45"</f>
        <v>07/28/2002 23:45</v>
      </c>
    </row>
    <row r="303" spans="1:10" x14ac:dyDescent="0.3">
      <c r="A303" t="s">
        <v>6</v>
      </c>
      <c r="B303" t="str">
        <f>"07/29/2002 00:00"</f>
        <v>07/29/2002 00:00</v>
      </c>
      <c r="C303">
        <v>340</v>
      </c>
      <c r="D303" t="s">
        <v>7</v>
      </c>
      <c r="E303" s="2" t="s">
        <v>12</v>
      </c>
      <c r="F303">
        <f t="shared" si="4"/>
        <v>674.22</v>
      </c>
      <c r="G303" t="s">
        <v>16</v>
      </c>
      <c r="J303" t="str">
        <f>"07/29/2002 23:45"</f>
        <v>07/29/2002 23:45</v>
      </c>
    </row>
    <row r="304" spans="1:10" x14ac:dyDescent="0.3">
      <c r="A304" t="s">
        <v>6</v>
      </c>
      <c r="B304" t="str">
        <f>"07/30/2002 00:00"</f>
        <v>07/30/2002 00:00</v>
      </c>
      <c r="C304">
        <v>340</v>
      </c>
      <c r="D304" t="s">
        <v>7</v>
      </c>
      <c r="E304" s="2" t="s">
        <v>12</v>
      </c>
      <c r="F304">
        <f t="shared" si="4"/>
        <v>674.22</v>
      </c>
      <c r="G304" t="s">
        <v>16</v>
      </c>
      <c r="J304" t="str">
        <f>"07/30/2002 23:45"</f>
        <v>07/30/2002 23:45</v>
      </c>
    </row>
    <row r="305" spans="1:10" x14ac:dyDescent="0.3">
      <c r="A305" t="s">
        <v>6</v>
      </c>
      <c r="B305" t="str">
        <f>"07/31/2002 00:00"</f>
        <v>07/31/2002 00:00</v>
      </c>
      <c r="C305">
        <v>339</v>
      </c>
      <c r="D305" t="s">
        <v>7</v>
      </c>
      <c r="E305" s="2" t="s">
        <v>12</v>
      </c>
      <c r="F305">
        <f t="shared" si="4"/>
        <v>672.23700000000008</v>
      </c>
      <c r="G305" t="s">
        <v>16</v>
      </c>
      <c r="J305" t="str">
        <f>"07/31/2002 23:45"</f>
        <v>07/31/2002 23:45</v>
      </c>
    </row>
    <row r="306" spans="1:10" x14ac:dyDescent="0.3">
      <c r="A306" t="s">
        <v>6</v>
      </c>
      <c r="B306" t="str">
        <f>"08/01/2002 00:00"</f>
        <v>08/01/2002 00:00</v>
      </c>
      <c r="C306">
        <v>344</v>
      </c>
      <c r="D306" t="s">
        <v>7</v>
      </c>
      <c r="E306" s="2" t="s">
        <v>12</v>
      </c>
      <c r="F306">
        <f t="shared" si="4"/>
        <v>682.15200000000004</v>
      </c>
      <c r="G306" t="s">
        <v>16</v>
      </c>
      <c r="J306" t="str">
        <f>"08/01/2002 23:45"</f>
        <v>08/01/2002 23:45</v>
      </c>
    </row>
    <row r="307" spans="1:10" x14ac:dyDescent="0.3">
      <c r="A307" t="s">
        <v>6</v>
      </c>
      <c r="B307" t="str">
        <f>"08/02/2002 00:00"</f>
        <v>08/02/2002 00:00</v>
      </c>
      <c r="C307">
        <v>348</v>
      </c>
      <c r="D307" t="s">
        <v>7</v>
      </c>
      <c r="E307" s="2" t="s">
        <v>12</v>
      </c>
      <c r="F307">
        <f t="shared" si="4"/>
        <v>690.08400000000006</v>
      </c>
      <c r="G307" t="s">
        <v>16</v>
      </c>
      <c r="J307" t="str">
        <f>"08/02/2002 23:45"</f>
        <v>08/02/2002 23:45</v>
      </c>
    </row>
    <row r="308" spans="1:10" x14ac:dyDescent="0.3">
      <c r="A308" t="s">
        <v>6</v>
      </c>
      <c r="B308" t="str">
        <f>"08/03/2002 00:00"</f>
        <v>08/03/2002 00:00</v>
      </c>
      <c r="C308">
        <v>348</v>
      </c>
      <c r="D308" t="s">
        <v>7</v>
      </c>
      <c r="E308" s="2" t="s">
        <v>12</v>
      </c>
      <c r="F308">
        <f t="shared" si="4"/>
        <v>690.08400000000006</v>
      </c>
      <c r="G308" t="s">
        <v>16</v>
      </c>
      <c r="J308" t="str">
        <f>"08/03/2002 23:45"</f>
        <v>08/03/2002 23:45</v>
      </c>
    </row>
    <row r="309" spans="1:10" x14ac:dyDescent="0.3">
      <c r="A309" t="s">
        <v>6</v>
      </c>
      <c r="B309" t="str">
        <f>"08/04/2002 00:00"</f>
        <v>08/04/2002 00:00</v>
      </c>
      <c r="C309">
        <v>348</v>
      </c>
      <c r="D309" t="s">
        <v>7</v>
      </c>
      <c r="E309" s="2" t="s">
        <v>12</v>
      </c>
      <c r="F309">
        <f t="shared" si="4"/>
        <v>690.08400000000006</v>
      </c>
      <c r="G309" t="s">
        <v>16</v>
      </c>
      <c r="J309" t="str">
        <f>"08/04/2002 23:45"</f>
        <v>08/04/2002 23:45</v>
      </c>
    </row>
    <row r="310" spans="1:10" x14ac:dyDescent="0.3">
      <c r="A310" t="s">
        <v>6</v>
      </c>
      <c r="B310" t="str">
        <f>"08/05/2002 00:00"</f>
        <v>08/05/2002 00:00</v>
      </c>
      <c r="C310">
        <v>304</v>
      </c>
      <c r="D310" t="s">
        <v>7</v>
      </c>
      <c r="E310" s="2" t="s">
        <v>12</v>
      </c>
      <c r="F310">
        <f t="shared" si="4"/>
        <v>602.83199999999999</v>
      </c>
      <c r="G310" t="s">
        <v>16</v>
      </c>
      <c r="J310" t="str">
        <f>"08/05/2002 23:45"</f>
        <v>08/05/2002 23:45</v>
      </c>
    </row>
    <row r="311" spans="1:10" x14ac:dyDescent="0.3">
      <c r="A311" t="s">
        <v>6</v>
      </c>
      <c r="B311" t="str">
        <f>"08/06/2002 00:00"</f>
        <v>08/06/2002 00:00</v>
      </c>
      <c r="C311">
        <v>274</v>
      </c>
      <c r="D311" t="s">
        <v>7</v>
      </c>
      <c r="E311" s="2" t="s">
        <v>12</v>
      </c>
      <c r="F311">
        <f t="shared" si="4"/>
        <v>543.34199999999998</v>
      </c>
      <c r="G311" t="s">
        <v>16</v>
      </c>
      <c r="J311" t="str">
        <f>"08/06/2002 23:45"</f>
        <v>08/06/2002 23:45</v>
      </c>
    </row>
    <row r="312" spans="1:10" x14ac:dyDescent="0.3">
      <c r="A312" t="s">
        <v>6</v>
      </c>
      <c r="B312" t="str">
        <f>"08/07/2002 00:00"</f>
        <v>08/07/2002 00:00</v>
      </c>
      <c r="C312">
        <v>275</v>
      </c>
      <c r="D312" t="s">
        <v>7</v>
      </c>
      <c r="E312" s="2" t="s">
        <v>12</v>
      </c>
      <c r="F312">
        <f t="shared" si="4"/>
        <v>545.32500000000005</v>
      </c>
      <c r="G312" t="s">
        <v>16</v>
      </c>
      <c r="J312" t="str">
        <f>"08/07/2002 23:45"</f>
        <v>08/07/2002 23:45</v>
      </c>
    </row>
    <row r="313" spans="1:10" x14ac:dyDescent="0.3">
      <c r="A313" t="s">
        <v>6</v>
      </c>
      <c r="B313" t="str">
        <f>"08/08/2002 00:00"</f>
        <v>08/08/2002 00:00</v>
      </c>
      <c r="C313">
        <v>275</v>
      </c>
      <c r="D313" t="s">
        <v>7</v>
      </c>
      <c r="E313" s="2" t="s">
        <v>12</v>
      </c>
      <c r="F313">
        <f t="shared" si="4"/>
        <v>545.32500000000005</v>
      </c>
      <c r="G313" t="s">
        <v>16</v>
      </c>
      <c r="J313" t="str">
        <f>"08/08/2002 23:45"</f>
        <v>08/08/2002 23:45</v>
      </c>
    </row>
    <row r="314" spans="1:10" x14ac:dyDescent="0.3">
      <c r="A314" t="s">
        <v>6</v>
      </c>
      <c r="B314" t="str">
        <f>"08/09/2002 00:00"</f>
        <v>08/09/2002 00:00</v>
      </c>
      <c r="C314">
        <v>275</v>
      </c>
      <c r="D314" t="s">
        <v>7</v>
      </c>
      <c r="E314" s="2" t="s">
        <v>12</v>
      </c>
      <c r="F314">
        <f t="shared" si="4"/>
        <v>545.32500000000005</v>
      </c>
      <c r="G314" t="s">
        <v>16</v>
      </c>
      <c r="J314" t="str">
        <f>"08/09/2002 23:45"</f>
        <v>08/09/2002 23:45</v>
      </c>
    </row>
    <row r="315" spans="1:10" x14ac:dyDescent="0.3">
      <c r="A315" t="s">
        <v>6</v>
      </c>
      <c r="B315" t="str">
        <f>"08/10/2002 00:00"</f>
        <v>08/10/2002 00:00</v>
      </c>
      <c r="C315">
        <v>275</v>
      </c>
      <c r="D315" t="s">
        <v>7</v>
      </c>
      <c r="E315" s="2" t="s">
        <v>12</v>
      </c>
      <c r="F315">
        <f t="shared" si="4"/>
        <v>545.32500000000005</v>
      </c>
      <c r="G315" t="s">
        <v>16</v>
      </c>
      <c r="J315" t="str">
        <f>"08/10/2002 23:45"</f>
        <v>08/10/2002 23:45</v>
      </c>
    </row>
    <row r="316" spans="1:10" x14ac:dyDescent="0.3">
      <c r="A316" t="s">
        <v>6</v>
      </c>
      <c r="B316" t="str">
        <f>"08/11/2002 00:00"</f>
        <v>08/11/2002 00:00</v>
      </c>
      <c r="C316">
        <v>274</v>
      </c>
      <c r="D316" t="s">
        <v>7</v>
      </c>
      <c r="E316" s="2" t="s">
        <v>12</v>
      </c>
      <c r="F316">
        <f t="shared" si="4"/>
        <v>543.34199999999998</v>
      </c>
      <c r="G316" t="s">
        <v>16</v>
      </c>
      <c r="J316" t="str">
        <f>"08/11/2002 23:45"</f>
        <v>08/11/2002 23:45</v>
      </c>
    </row>
    <row r="317" spans="1:10" x14ac:dyDescent="0.3">
      <c r="A317" t="s">
        <v>6</v>
      </c>
      <c r="B317" t="str">
        <f>"08/12/2002 00:00"</f>
        <v>08/12/2002 00:00</v>
      </c>
      <c r="C317">
        <v>274</v>
      </c>
      <c r="D317" t="s">
        <v>7</v>
      </c>
      <c r="E317" s="2" t="s">
        <v>12</v>
      </c>
      <c r="F317">
        <f t="shared" si="4"/>
        <v>543.34199999999998</v>
      </c>
      <c r="G317" t="s">
        <v>16</v>
      </c>
      <c r="J317" t="str">
        <f>"08/12/2002 23:45"</f>
        <v>08/12/2002 23:45</v>
      </c>
    </row>
    <row r="318" spans="1:10" x14ac:dyDescent="0.3">
      <c r="A318" t="s">
        <v>6</v>
      </c>
      <c r="B318" t="str">
        <f>"08/13/2002 00:00"</f>
        <v>08/13/2002 00:00</v>
      </c>
      <c r="C318">
        <v>269</v>
      </c>
      <c r="D318" t="s">
        <v>7</v>
      </c>
      <c r="E318" s="2" t="s">
        <v>12</v>
      </c>
      <c r="F318">
        <f t="shared" si="4"/>
        <v>533.42700000000002</v>
      </c>
      <c r="G318" t="s">
        <v>16</v>
      </c>
      <c r="J318" t="str">
        <f>"08/13/2002 23:45"</f>
        <v>08/13/2002 23:45</v>
      </c>
    </row>
    <row r="319" spans="1:10" x14ac:dyDescent="0.3">
      <c r="A319" t="s">
        <v>6</v>
      </c>
      <c r="B319" t="str">
        <f>"08/14/2002 00:00"</f>
        <v>08/14/2002 00:00</v>
      </c>
      <c r="C319">
        <v>264</v>
      </c>
      <c r="D319" t="s">
        <v>7</v>
      </c>
      <c r="E319" s="2" t="s">
        <v>12</v>
      </c>
      <c r="F319">
        <f t="shared" si="4"/>
        <v>523.51200000000006</v>
      </c>
      <c r="G319" t="s">
        <v>16</v>
      </c>
      <c r="J319" t="str">
        <f>"08/14/2002 23:45"</f>
        <v>08/14/2002 23:45</v>
      </c>
    </row>
    <row r="320" spans="1:10" x14ac:dyDescent="0.3">
      <c r="A320" t="s">
        <v>6</v>
      </c>
      <c r="B320" t="str">
        <f>"08/15/2002 00:00"</f>
        <v>08/15/2002 00:00</v>
      </c>
      <c r="C320">
        <v>254</v>
      </c>
      <c r="D320" t="s">
        <v>7</v>
      </c>
      <c r="E320" s="2" t="s">
        <v>12</v>
      </c>
      <c r="F320">
        <f t="shared" si="4"/>
        <v>503.68200000000002</v>
      </c>
      <c r="G320" t="s">
        <v>16</v>
      </c>
      <c r="J320" t="str">
        <f>"08/15/2002 23:45"</f>
        <v>08/15/2002 23:45</v>
      </c>
    </row>
    <row r="321" spans="1:10" x14ac:dyDescent="0.3">
      <c r="A321" t="s">
        <v>6</v>
      </c>
      <c r="B321" t="str">
        <f>"08/16/2002 00:00"</f>
        <v>08/16/2002 00:00</v>
      </c>
      <c r="C321">
        <v>202</v>
      </c>
      <c r="D321" t="s">
        <v>7</v>
      </c>
      <c r="E321" s="2" t="s">
        <v>12</v>
      </c>
      <c r="F321">
        <f t="shared" si="4"/>
        <v>400.56600000000003</v>
      </c>
      <c r="G321" t="s">
        <v>16</v>
      </c>
      <c r="J321" t="str">
        <f>"08/16/2002 23:45"</f>
        <v>08/16/2002 23:45</v>
      </c>
    </row>
    <row r="322" spans="1:10" x14ac:dyDescent="0.3">
      <c r="A322" t="s">
        <v>6</v>
      </c>
      <c r="B322" t="str">
        <f>"08/17/2002 00:00"</f>
        <v>08/17/2002 00:00</v>
      </c>
      <c r="C322">
        <v>132</v>
      </c>
      <c r="D322" t="s">
        <v>7</v>
      </c>
      <c r="E322" s="2" t="s">
        <v>12</v>
      </c>
      <c r="F322">
        <f t="shared" si="4"/>
        <v>261.75600000000003</v>
      </c>
      <c r="G322" t="s">
        <v>16</v>
      </c>
      <c r="J322" t="str">
        <f>"08/17/2002 23:45"</f>
        <v>08/17/2002 23:45</v>
      </c>
    </row>
    <row r="323" spans="1:10" x14ac:dyDescent="0.3">
      <c r="A323" t="s">
        <v>6</v>
      </c>
      <c r="B323" t="str">
        <f>"08/18/2002 00:00"</f>
        <v>08/18/2002 00:00</v>
      </c>
      <c r="C323">
        <v>113</v>
      </c>
      <c r="D323" t="s">
        <v>7</v>
      </c>
      <c r="E323" s="2" t="s">
        <v>12</v>
      </c>
      <c r="F323">
        <f t="shared" si="4"/>
        <v>224.07900000000001</v>
      </c>
      <c r="G323" t="s">
        <v>16</v>
      </c>
      <c r="J323" t="str">
        <f>"08/18/2002 23:45"</f>
        <v>08/18/2002 23:45</v>
      </c>
    </row>
    <row r="324" spans="1:10" x14ac:dyDescent="0.3">
      <c r="A324" t="s">
        <v>6</v>
      </c>
      <c r="B324" t="str">
        <f>"08/19/2002 00:00"</f>
        <v>08/19/2002 00:00</v>
      </c>
      <c r="C324">
        <v>113</v>
      </c>
      <c r="D324" t="s">
        <v>7</v>
      </c>
      <c r="E324" s="2" t="s">
        <v>12</v>
      </c>
      <c r="F324">
        <f t="shared" ref="F324:F387" si="5">C324*1.983</f>
        <v>224.07900000000001</v>
      </c>
      <c r="G324" t="s">
        <v>16</v>
      </c>
      <c r="J324" t="str">
        <f>"08/19/2002 23:45"</f>
        <v>08/19/2002 23:45</v>
      </c>
    </row>
    <row r="325" spans="1:10" x14ac:dyDescent="0.3">
      <c r="A325" t="s">
        <v>6</v>
      </c>
      <c r="B325" t="str">
        <f>"08/20/2002 00:00"</f>
        <v>08/20/2002 00:00</v>
      </c>
      <c r="C325">
        <v>114</v>
      </c>
      <c r="D325" t="s">
        <v>7</v>
      </c>
      <c r="E325" s="2" t="s">
        <v>12</v>
      </c>
      <c r="F325">
        <f t="shared" si="5"/>
        <v>226.06200000000001</v>
      </c>
      <c r="G325" t="s">
        <v>16</v>
      </c>
      <c r="J325" t="str">
        <f>"08/20/2002 23:45"</f>
        <v>08/20/2002 23:45</v>
      </c>
    </row>
    <row r="326" spans="1:10" x14ac:dyDescent="0.3">
      <c r="A326" t="s">
        <v>6</v>
      </c>
      <c r="B326" t="str">
        <f>"08/21/2002 00:00"</f>
        <v>08/21/2002 00:00</v>
      </c>
      <c r="C326">
        <v>91.9</v>
      </c>
      <c r="D326" t="s">
        <v>7</v>
      </c>
      <c r="E326" s="2" t="s">
        <v>12</v>
      </c>
      <c r="F326">
        <f t="shared" si="5"/>
        <v>182.23770000000002</v>
      </c>
      <c r="G326" t="s">
        <v>16</v>
      </c>
      <c r="J326" t="str">
        <f>"08/21/2002 23:45"</f>
        <v>08/21/2002 23:45</v>
      </c>
    </row>
    <row r="327" spans="1:10" x14ac:dyDescent="0.3">
      <c r="A327" t="s">
        <v>6</v>
      </c>
      <c r="B327" t="str">
        <f>"08/22/2002 00:00"</f>
        <v>08/22/2002 00:00</v>
      </c>
      <c r="C327">
        <v>77.599999999999994</v>
      </c>
      <c r="D327" t="s">
        <v>7</v>
      </c>
      <c r="E327" s="2" t="s">
        <v>12</v>
      </c>
      <c r="F327">
        <f t="shared" si="5"/>
        <v>153.88079999999999</v>
      </c>
      <c r="G327" t="s">
        <v>16</v>
      </c>
      <c r="J327" t="str">
        <f>"08/22/2002 23:45"</f>
        <v>08/22/2002 23:45</v>
      </c>
    </row>
    <row r="328" spans="1:10" x14ac:dyDescent="0.3">
      <c r="A328" t="s">
        <v>6</v>
      </c>
      <c r="B328" t="str">
        <f>"08/23/2002 00:00"</f>
        <v>08/23/2002 00:00</v>
      </c>
      <c r="C328">
        <v>78.400000000000006</v>
      </c>
      <c r="D328" t="s">
        <v>7</v>
      </c>
      <c r="E328" s="2" t="s">
        <v>12</v>
      </c>
      <c r="F328">
        <f t="shared" si="5"/>
        <v>155.46720000000002</v>
      </c>
      <c r="G328" t="s">
        <v>16</v>
      </c>
      <c r="J328" t="str">
        <f>"08/23/2002 23:45"</f>
        <v>08/23/2002 23:45</v>
      </c>
    </row>
    <row r="329" spans="1:10" x14ac:dyDescent="0.3">
      <c r="A329" t="s">
        <v>6</v>
      </c>
      <c r="B329" t="str">
        <f>"08/24/2002 00:00"</f>
        <v>08/24/2002 00:00</v>
      </c>
      <c r="C329">
        <v>107</v>
      </c>
      <c r="D329" t="s">
        <v>7</v>
      </c>
      <c r="E329" s="2" t="s">
        <v>12</v>
      </c>
      <c r="F329">
        <f t="shared" si="5"/>
        <v>212.18100000000001</v>
      </c>
      <c r="G329" t="s">
        <v>16</v>
      </c>
      <c r="J329" t="str">
        <f>"08/24/2002 23:45"</f>
        <v>08/24/2002 23:45</v>
      </c>
    </row>
    <row r="330" spans="1:10" x14ac:dyDescent="0.3">
      <c r="A330" t="s">
        <v>6</v>
      </c>
      <c r="B330" t="str">
        <f>"08/25/2002 00:00"</f>
        <v>08/25/2002 00:00</v>
      </c>
      <c r="C330">
        <v>143</v>
      </c>
      <c r="D330" t="s">
        <v>7</v>
      </c>
      <c r="E330" s="2" t="s">
        <v>12</v>
      </c>
      <c r="F330">
        <f t="shared" si="5"/>
        <v>283.56900000000002</v>
      </c>
      <c r="G330" t="s">
        <v>16</v>
      </c>
      <c r="J330" t="str">
        <f>"08/25/2002 23:45"</f>
        <v>08/25/2002 23:45</v>
      </c>
    </row>
    <row r="331" spans="1:10" x14ac:dyDescent="0.3">
      <c r="A331" t="s">
        <v>6</v>
      </c>
      <c r="B331" t="str">
        <f>"08/26/2002 00:00"</f>
        <v>08/26/2002 00:00</v>
      </c>
      <c r="C331">
        <v>154</v>
      </c>
      <c r="D331" t="s">
        <v>7</v>
      </c>
      <c r="E331" s="2" t="s">
        <v>12</v>
      </c>
      <c r="F331">
        <f t="shared" si="5"/>
        <v>305.38200000000001</v>
      </c>
      <c r="G331" t="s">
        <v>16</v>
      </c>
      <c r="J331" t="str">
        <f>"08/26/2002 23:45"</f>
        <v>08/26/2002 23:45</v>
      </c>
    </row>
    <row r="332" spans="1:10" x14ac:dyDescent="0.3">
      <c r="A332" t="s">
        <v>6</v>
      </c>
      <c r="B332" t="str">
        <f>"08/27/2002 00:00"</f>
        <v>08/27/2002 00:00</v>
      </c>
      <c r="C332">
        <v>126</v>
      </c>
      <c r="D332" t="s">
        <v>7</v>
      </c>
      <c r="E332" s="2" t="s">
        <v>12</v>
      </c>
      <c r="F332">
        <f t="shared" si="5"/>
        <v>249.858</v>
      </c>
      <c r="G332" t="s">
        <v>16</v>
      </c>
      <c r="J332" t="str">
        <f>"08/27/2002 23:45"</f>
        <v>08/27/2002 23:45</v>
      </c>
    </row>
    <row r="333" spans="1:10" x14ac:dyDescent="0.3">
      <c r="A333" t="s">
        <v>6</v>
      </c>
      <c r="B333" t="str">
        <f>"08/28/2002 00:00"</f>
        <v>08/28/2002 00:00</v>
      </c>
      <c r="C333">
        <v>68.599999999999994</v>
      </c>
      <c r="D333" t="s">
        <v>7</v>
      </c>
      <c r="E333" s="2" t="s">
        <v>12</v>
      </c>
      <c r="F333">
        <f t="shared" si="5"/>
        <v>136.03379999999999</v>
      </c>
      <c r="G333" t="s">
        <v>16</v>
      </c>
      <c r="J333" t="str">
        <f>"08/28/2002 23:45"</f>
        <v>08/28/2002 23:45</v>
      </c>
    </row>
    <row r="334" spans="1:10" x14ac:dyDescent="0.3">
      <c r="A334" t="s">
        <v>6</v>
      </c>
      <c r="B334" t="str">
        <f>"08/29/2002 00:00"</f>
        <v>08/29/2002 00:00</v>
      </c>
      <c r="C334">
        <v>1.05</v>
      </c>
      <c r="D334" t="s">
        <v>7</v>
      </c>
      <c r="E334" s="2" t="s">
        <v>12</v>
      </c>
      <c r="F334">
        <f t="shared" si="5"/>
        <v>2.0821500000000004</v>
      </c>
      <c r="G334" t="s">
        <v>16</v>
      </c>
      <c r="J334" t="str">
        <f>"08/29/2002 23:45"</f>
        <v>08/29/2002 23:45</v>
      </c>
    </row>
    <row r="335" spans="1:10" x14ac:dyDescent="0.3">
      <c r="A335" t="s">
        <v>6</v>
      </c>
      <c r="B335" t="str">
        <f>"08/30/2002 00:00"</f>
        <v>08/30/2002 00:00</v>
      </c>
      <c r="C335">
        <v>0.15</v>
      </c>
      <c r="D335" t="s">
        <v>7</v>
      </c>
      <c r="E335" s="2" t="s">
        <v>12</v>
      </c>
      <c r="F335">
        <f t="shared" si="5"/>
        <v>0.29744999999999999</v>
      </c>
      <c r="G335" t="s">
        <v>16</v>
      </c>
      <c r="J335" t="str">
        <f>"08/30/2002 23:45"</f>
        <v>08/30/2002 23:45</v>
      </c>
    </row>
    <row r="336" spans="1:10" x14ac:dyDescent="0.3">
      <c r="A336" t="s">
        <v>6</v>
      </c>
      <c r="B336" t="str">
        <f>"08/31/2002 00:00"</f>
        <v>08/31/2002 00:00</v>
      </c>
      <c r="C336">
        <v>5.21E-2</v>
      </c>
      <c r="D336" t="s">
        <v>7</v>
      </c>
      <c r="E336" s="2" t="s">
        <v>12</v>
      </c>
      <c r="F336">
        <f t="shared" si="5"/>
        <v>0.10331430000000001</v>
      </c>
      <c r="G336" t="s">
        <v>16</v>
      </c>
      <c r="J336" t="str">
        <f>"08/31/2002 23:45"</f>
        <v>08/31/2002 23:45</v>
      </c>
    </row>
    <row r="337" spans="1:10" x14ac:dyDescent="0.3">
      <c r="A337" t="s">
        <v>6</v>
      </c>
      <c r="B337" t="str">
        <f>"09/01/2002 00:00"</f>
        <v>09/01/2002 00:00</v>
      </c>
      <c r="C337">
        <v>0.05</v>
      </c>
      <c r="D337" t="s">
        <v>7</v>
      </c>
      <c r="E337" s="2" t="s">
        <v>12</v>
      </c>
      <c r="F337">
        <f t="shared" si="5"/>
        <v>9.9150000000000016E-2</v>
      </c>
      <c r="G337" t="s">
        <v>16</v>
      </c>
      <c r="J337" t="str">
        <f>"09/01/2002 23:45"</f>
        <v>09/01/2002 23:45</v>
      </c>
    </row>
    <row r="338" spans="1:10" x14ac:dyDescent="0.3">
      <c r="A338" t="s">
        <v>6</v>
      </c>
      <c r="B338" t="str">
        <f>"09/02/2002 00:00"</f>
        <v>09/02/2002 00:00</v>
      </c>
      <c r="C338">
        <v>0.05</v>
      </c>
      <c r="D338" t="s">
        <v>7</v>
      </c>
      <c r="E338" s="2" t="s">
        <v>12</v>
      </c>
      <c r="F338">
        <f t="shared" si="5"/>
        <v>9.9150000000000016E-2</v>
      </c>
      <c r="G338" t="s">
        <v>16</v>
      </c>
      <c r="J338" t="str">
        <f>"09/02/2002 23:45"</f>
        <v>09/02/2002 23:45</v>
      </c>
    </row>
    <row r="339" spans="1:10" x14ac:dyDescent="0.3">
      <c r="A339" t="s">
        <v>6</v>
      </c>
      <c r="B339" t="str">
        <f>"09/03/2002 00:00"</f>
        <v>09/03/2002 00:00</v>
      </c>
      <c r="C339">
        <v>11.7</v>
      </c>
      <c r="D339" t="s">
        <v>7</v>
      </c>
      <c r="E339" s="2" t="s">
        <v>12</v>
      </c>
      <c r="F339">
        <f t="shared" si="5"/>
        <v>23.2011</v>
      </c>
      <c r="G339" t="s">
        <v>16</v>
      </c>
      <c r="J339" t="str">
        <f>"09/03/2002 23:45"</f>
        <v>09/03/2002 23:45</v>
      </c>
    </row>
    <row r="340" spans="1:10" x14ac:dyDescent="0.3">
      <c r="A340" t="s">
        <v>6</v>
      </c>
      <c r="B340" t="str">
        <f>"09/04/2002 00:00"</f>
        <v>09/04/2002 00:00</v>
      </c>
      <c r="C340">
        <v>32.299999999999997</v>
      </c>
      <c r="D340" t="s">
        <v>7</v>
      </c>
      <c r="E340" s="2" t="s">
        <v>12</v>
      </c>
      <c r="F340">
        <f t="shared" si="5"/>
        <v>64.050899999999999</v>
      </c>
      <c r="G340" t="s">
        <v>16</v>
      </c>
      <c r="J340" t="str">
        <f>"09/04/2002 23:45"</f>
        <v>09/04/2002 23:45</v>
      </c>
    </row>
    <row r="341" spans="1:10" x14ac:dyDescent="0.3">
      <c r="A341" t="s">
        <v>6</v>
      </c>
      <c r="B341" t="str">
        <f>"09/05/2002 00:00"</f>
        <v>09/05/2002 00:00</v>
      </c>
      <c r="C341">
        <v>42.3</v>
      </c>
      <c r="D341" t="s">
        <v>7</v>
      </c>
      <c r="E341" s="2" t="s">
        <v>12</v>
      </c>
      <c r="F341">
        <f t="shared" si="5"/>
        <v>83.880899999999997</v>
      </c>
      <c r="G341" t="s">
        <v>16</v>
      </c>
      <c r="J341" t="str">
        <f>"09/05/2002 23:45"</f>
        <v>09/05/2002 23:45</v>
      </c>
    </row>
    <row r="342" spans="1:10" x14ac:dyDescent="0.3">
      <c r="A342" t="s">
        <v>6</v>
      </c>
      <c r="B342" t="str">
        <f>"09/06/2002 00:00"</f>
        <v>09/06/2002 00:00</v>
      </c>
      <c r="C342">
        <v>42.1</v>
      </c>
      <c r="D342" t="s">
        <v>7</v>
      </c>
      <c r="E342" s="2" t="s">
        <v>12</v>
      </c>
      <c r="F342">
        <f t="shared" si="5"/>
        <v>83.484300000000005</v>
      </c>
      <c r="G342" t="s">
        <v>16</v>
      </c>
      <c r="J342" t="str">
        <f>"09/06/2002 23:45"</f>
        <v>09/06/2002 23:45</v>
      </c>
    </row>
    <row r="343" spans="1:10" x14ac:dyDescent="0.3">
      <c r="A343" t="s">
        <v>6</v>
      </c>
      <c r="B343" t="str">
        <f>"09/07/2002 00:00"</f>
        <v>09/07/2002 00:00</v>
      </c>
      <c r="C343">
        <v>42.1</v>
      </c>
      <c r="D343" t="s">
        <v>7</v>
      </c>
      <c r="E343" s="2" t="s">
        <v>12</v>
      </c>
      <c r="F343">
        <f t="shared" si="5"/>
        <v>83.484300000000005</v>
      </c>
      <c r="G343" t="s">
        <v>16</v>
      </c>
      <c r="J343" t="str">
        <f>"09/07/2002 23:45"</f>
        <v>09/07/2002 23:45</v>
      </c>
    </row>
    <row r="344" spans="1:10" x14ac:dyDescent="0.3">
      <c r="A344" t="s">
        <v>6</v>
      </c>
      <c r="B344" t="str">
        <f>"09/08/2002 00:00"</f>
        <v>09/08/2002 00:00</v>
      </c>
      <c r="C344">
        <v>42.1</v>
      </c>
      <c r="D344" t="s">
        <v>7</v>
      </c>
      <c r="E344" s="2" t="s">
        <v>12</v>
      </c>
      <c r="F344">
        <f t="shared" si="5"/>
        <v>83.484300000000005</v>
      </c>
      <c r="G344" t="s">
        <v>16</v>
      </c>
      <c r="J344" t="str">
        <f>"09/08/2002 23:45"</f>
        <v>09/08/2002 23:45</v>
      </c>
    </row>
    <row r="345" spans="1:10" x14ac:dyDescent="0.3">
      <c r="A345" t="s">
        <v>6</v>
      </c>
      <c r="B345" t="str">
        <f>"09/09/2002 00:00"</f>
        <v>09/09/2002 00:00</v>
      </c>
      <c r="C345">
        <v>42.1</v>
      </c>
      <c r="D345" t="s">
        <v>7</v>
      </c>
      <c r="E345" s="2" t="s">
        <v>12</v>
      </c>
      <c r="F345">
        <f t="shared" si="5"/>
        <v>83.484300000000005</v>
      </c>
      <c r="G345" t="s">
        <v>16</v>
      </c>
      <c r="J345" t="str">
        <f>"09/09/2002 23:45"</f>
        <v>09/09/2002 23:45</v>
      </c>
    </row>
    <row r="346" spans="1:10" x14ac:dyDescent="0.3">
      <c r="A346" t="s">
        <v>6</v>
      </c>
      <c r="B346" t="str">
        <f>"09/10/2002 00:00"</f>
        <v>09/10/2002 00:00</v>
      </c>
      <c r="C346">
        <v>42.1</v>
      </c>
      <c r="D346" t="s">
        <v>7</v>
      </c>
      <c r="E346" s="2" t="s">
        <v>12</v>
      </c>
      <c r="F346">
        <f t="shared" si="5"/>
        <v>83.484300000000005</v>
      </c>
      <c r="G346" t="s">
        <v>16</v>
      </c>
      <c r="J346" t="str">
        <f>"09/10/2002 23:45"</f>
        <v>09/10/2002 23:45</v>
      </c>
    </row>
    <row r="347" spans="1:10" x14ac:dyDescent="0.3">
      <c r="A347" t="s">
        <v>6</v>
      </c>
      <c r="B347" t="str">
        <f>"09/11/2002 00:00"</f>
        <v>09/11/2002 00:00</v>
      </c>
      <c r="C347">
        <v>42.6</v>
      </c>
      <c r="D347" t="s">
        <v>7</v>
      </c>
      <c r="E347" s="2" t="s">
        <v>12</v>
      </c>
      <c r="F347">
        <f t="shared" si="5"/>
        <v>84.475800000000007</v>
      </c>
      <c r="G347" t="s">
        <v>16</v>
      </c>
      <c r="J347" t="str">
        <f>"09/11/2002 23:45"</f>
        <v>09/11/2002 23:45</v>
      </c>
    </row>
    <row r="348" spans="1:10" x14ac:dyDescent="0.3">
      <c r="A348" t="s">
        <v>6</v>
      </c>
      <c r="B348" t="str">
        <f>"09/12/2002 00:00"</f>
        <v>09/12/2002 00:00</v>
      </c>
      <c r="C348">
        <v>50.4</v>
      </c>
      <c r="D348" t="s">
        <v>7</v>
      </c>
      <c r="E348" s="2" t="s">
        <v>12</v>
      </c>
      <c r="F348">
        <f t="shared" si="5"/>
        <v>99.943200000000004</v>
      </c>
      <c r="G348" t="s">
        <v>16</v>
      </c>
      <c r="J348" t="str">
        <f>"09/12/2002 23:45"</f>
        <v>09/12/2002 23:45</v>
      </c>
    </row>
    <row r="349" spans="1:10" x14ac:dyDescent="0.3">
      <c r="A349" t="s">
        <v>6</v>
      </c>
      <c r="B349" t="str">
        <f>"09/13/2002 00:00"</f>
        <v>09/13/2002 00:00</v>
      </c>
      <c r="C349">
        <v>54.5</v>
      </c>
      <c r="D349" t="s">
        <v>7</v>
      </c>
      <c r="E349" s="2" t="s">
        <v>12</v>
      </c>
      <c r="F349">
        <f t="shared" si="5"/>
        <v>108.07350000000001</v>
      </c>
      <c r="G349" t="s">
        <v>16</v>
      </c>
      <c r="J349" t="str">
        <f>"09/13/2002 23:45"</f>
        <v>09/13/2002 23:45</v>
      </c>
    </row>
    <row r="350" spans="1:10" x14ac:dyDescent="0.3">
      <c r="A350" t="s">
        <v>6</v>
      </c>
      <c r="B350" t="str">
        <f>"09/14/2002 00:00"</f>
        <v>09/14/2002 00:00</v>
      </c>
      <c r="C350">
        <v>54.7</v>
      </c>
      <c r="D350" t="s">
        <v>7</v>
      </c>
      <c r="E350" s="2" t="s">
        <v>12</v>
      </c>
      <c r="F350">
        <f t="shared" si="5"/>
        <v>108.47010000000002</v>
      </c>
      <c r="G350" t="s">
        <v>16</v>
      </c>
      <c r="J350" t="str">
        <f>"09/14/2002 23:45"</f>
        <v>09/14/2002 23:45</v>
      </c>
    </row>
    <row r="351" spans="1:10" x14ac:dyDescent="0.3">
      <c r="A351" t="s">
        <v>6</v>
      </c>
      <c r="B351" t="str">
        <f>"09/15/2002 00:00"</f>
        <v>09/15/2002 00:00</v>
      </c>
      <c r="C351">
        <v>55.1</v>
      </c>
      <c r="D351" t="s">
        <v>7</v>
      </c>
      <c r="E351" s="2" t="s">
        <v>12</v>
      </c>
      <c r="F351">
        <f t="shared" si="5"/>
        <v>109.26330000000002</v>
      </c>
      <c r="G351" t="s">
        <v>16</v>
      </c>
      <c r="J351" t="str">
        <f>"09/15/2002 23:45"</f>
        <v>09/15/2002 23:45</v>
      </c>
    </row>
    <row r="352" spans="1:10" x14ac:dyDescent="0.3">
      <c r="A352" t="s">
        <v>6</v>
      </c>
      <c r="B352" t="str">
        <f>"09/16/2002 00:00"</f>
        <v>09/16/2002 00:00</v>
      </c>
      <c r="C352">
        <v>55.4</v>
      </c>
      <c r="D352" t="s">
        <v>7</v>
      </c>
      <c r="E352" s="2" t="s">
        <v>12</v>
      </c>
      <c r="F352">
        <f t="shared" si="5"/>
        <v>109.8582</v>
      </c>
      <c r="G352" t="s">
        <v>16</v>
      </c>
      <c r="J352" t="str">
        <f>"09/16/2002 23:45"</f>
        <v>09/16/2002 23:45</v>
      </c>
    </row>
    <row r="353" spans="1:10" x14ac:dyDescent="0.3">
      <c r="A353" t="s">
        <v>6</v>
      </c>
      <c r="B353" t="str">
        <f>"09/17/2002 00:00"</f>
        <v>09/17/2002 00:00</v>
      </c>
      <c r="C353">
        <v>99.3</v>
      </c>
      <c r="D353" t="s">
        <v>7</v>
      </c>
      <c r="E353" s="2" t="s">
        <v>12</v>
      </c>
      <c r="F353">
        <f t="shared" si="5"/>
        <v>196.9119</v>
      </c>
      <c r="G353" t="s">
        <v>16</v>
      </c>
      <c r="J353" t="str">
        <f>"09/17/2002 23:45"</f>
        <v>09/17/2002 23:45</v>
      </c>
    </row>
    <row r="354" spans="1:10" x14ac:dyDescent="0.3">
      <c r="A354" t="s">
        <v>6</v>
      </c>
      <c r="B354" t="str">
        <f>"09/18/2002 00:00"</f>
        <v>09/18/2002 00:00</v>
      </c>
      <c r="C354">
        <v>131</v>
      </c>
      <c r="D354" t="s">
        <v>7</v>
      </c>
      <c r="E354" s="2" t="s">
        <v>12</v>
      </c>
      <c r="F354">
        <f t="shared" si="5"/>
        <v>259.77300000000002</v>
      </c>
      <c r="G354" t="s">
        <v>16</v>
      </c>
      <c r="J354" t="str">
        <f>"09/18/2002 23:45"</f>
        <v>09/18/2002 23:45</v>
      </c>
    </row>
    <row r="355" spans="1:10" x14ac:dyDescent="0.3">
      <c r="A355" t="s">
        <v>6</v>
      </c>
      <c r="B355" t="str">
        <f>"09/19/2002 00:00"</f>
        <v>09/19/2002 00:00</v>
      </c>
      <c r="C355">
        <v>134</v>
      </c>
      <c r="D355" t="s">
        <v>7</v>
      </c>
      <c r="E355" s="2" t="s">
        <v>12</v>
      </c>
      <c r="F355">
        <f t="shared" si="5"/>
        <v>265.72200000000004</v>
      </c>
      <c r="G355" t="s">
        <v>16</v>
      </c>
      <c r="J355" t="str">
        <f>"09/19/2002 23:45"</f>
        <v>09/19/2002 23:45</v>
      </c>
    </row>
    <row r="356" spans="1:10" x14ac:dyDescent="0.3">
      <c r="A356" t="s">
        <v>6</v>
      </c>
      <c r="B356" t="str">
        <f>"09/20/2002 00:00"</f>
        <v>09/20/2002 00:00</v>
      </c>
      <c r="C356">
        <v>109</v>
      </c>
      <c r="D356" t="s">
        <v>7</v>
      </c>
      <c r="E356" s="2" t="s">
        <v>12</v>
      </c>
      <c r="F356">
        <f t="shared" si="5"/>
        <v>216.14700000000002</v>
      </c>
      <c r="G356" t="s">
        <v>16</v>
      </c>
      <c r="J356" t="str">
        <f>"09/20/2002 23:45"</f>
        <v>09/20/2002 23:45</v>
      </c>
    </row>
    <row r="357" spans="1:10" x14ac:dyDescent="0.3">
      <c r="A357" t="s">
        <v>6</v>
      </c>
      <c r="B357" t="str">
        <f>"09/21/2002 00:00"</f>
        <v>09/21/2002 00:00</v>
      </c>
      <c r="C357">
        <v>85.1</v>
      </c>
      <c r="D357" t="s">
        <v>7</v>
      </c>
      <c r="E357" s="2" t="s">
        <v>12</v>
      </c>
      <c r="F357">
        <f t="shared" si="5"/>
        <v>168.7533</v>
      </c>
      <c r="G357" t="s">
        <v>16</v>
      </c>
      <c r="J357" t="str">
        <f>"09/21/2002 23:45"</f>
        <v>09/21/2002 23:45</v>
      </c>
    </row>
    <row r="358" spans="1:10" x14ac:dyDescent="0.3">
      <c r="A358" t="s">
        <v>6</v>
      </c>
      <c r="B358" t="str">
        <f>"09/22/2002 00:00"</f>
        <v>09/22/2002 00:00</v>
      </c>
      <c r="C358">
        <v>85.8</v>
      </c>
      <c r="D358" t="s">
        <v>7</v>
      </c>
      <c r="E358" s="2" t="s">
        <v>12</v>
      </c>
      <c r="F358">
        <f t="shared" si="5"/>
        <v>170.1414</v>
      </c>
      <c r="G358" t="s">
        <v>16</v>
      </c>
      <c r="J358" t="str">
        <f>"09/22/2002 23:45"</f>
        <v>09/22/2002 23:45</v>
      </c>
    </row>
    <row r="359" spans="1:10" x14ac:dyDescent="0.3">
      <c r="A359" t="s">
        <v>6</v>
      </c>
      <c r="B359" t="str">
        <f>"09/23/2002 00:00"</f>
        <v>09/23/2002 00:00</v>
      </c>
      <c r="C359">
        <v>87.3</v>
      </c>
      <c r="D359" t="s">
        <v>7</v>
      </c>
      <c r="E359" s="2" t="s">
        <v>12</v>
      </c>
      <c r="F359">
        <f t="shared" si="5"/>
        <v>173.11590000000001</v>
      </c>
      <c r="G359" t="s">
        <v>16</v>
      </c>
      <c r="J359" t="str">
        <f>"09/23/2002 23:45"</f>
        <v>09/23/2002 23:45</v>
      </c>
    </row>
    <row r="360" spans="1:10" x14ac:dyDescent="0.3">
      <c r="A360" t="s">
        <v>6</v>
      </c>
      <c r="B360" t="str">
        <f>"09/24/2002 00:00"</f>
        <v>09/24/2002 00:00</v>
      </c>
      <c r="C360">
        <v>88.7</v>
      </c>
      <c r="D360" t="s">
        <v>7</v>
      </c>
      <c r="E360" s="2" t="s">
        <v>12</v>
      </c>
      <c r="F360">
        <f t="shared" si="5"/>
        <v>175.89210000000003</v>
      </c>
      <c r="G360" t="s">
        <v>16</v>
      </c>
      <c r="J360" t="str">
        <f>"09/24/2002 23:45"</f>
        <v>09/24/2002 23:45</v>
      </c>
    </row>
    <row r="361" spans="1:10" x14ac:dyDescent="0.3">
      <c r="A361" t="s">
        <v>6</v>
      </c>
      <c r="B361" t="str">
        <f>"09/25/2002 00:00"</f>
        <v>09/25/2002 00:00</v>
      </c>
      <c r="C361">
        <v>90.9</v>
      </c>
      <c r="D361" t="s">
        <v>7</v>
      </c>
      <c r="E361" s="2" t="s">
        <v>12</v>
      </c>
      <c r="F361">
        <f t="shared" si="5"/>
        <v>180.25470000000001</v>
      </c>
      <c r="G361" t="s">
        <v>16</v>
      </c>
      <c r="J361" t="str">
        <f>"09/25/2002 23:45"</f>
        <v>09/25/2002 23:45</v>
      </c>
    </row>
    <row r="362" spans="1:10" x14ac:dyDescent="0.3">
      <c r="A362" t="s">
        <v>6</v>
      </c>
      <c r="B362" t="str">
        <f>"09/26/2002 00:00"</f>
        <v>09/26/2002 00:00</v>
      </c>
      <c r="C362">
        <v>92.8</v>
      </c>
      <c r="D362" t="s">
        <v>7</v>
      </c>
      <c r="E362" s="2" t="s">
        <v>12</v>
      </c>
      <c r="F362">
        <f t="shared" si="5"/>
        <v>184.0224</v>
      </c>
      <c r="G362" t="s">
        <v>16</v>
      </c>
      <c r="J362" t="str">
        <f>"09/26/2002 23:45"</f>
        <v>09/26/2002 23:45</v>
      </c>
    </row>
    <row r="363" spans="1:10" x14ac:dyDescent="0.3">
      <c r="A363" t="s">
        <v>6</v>
      </c>
      <c r="B363" t="str">
        <f>"09/27/2002 00:00"</f>
        <v>09/27/2002 00:00</v>
      </c>
      <c r="C363">
        <v>95.1</v>
      </c>
      <c r="D363" t="s">
        <v>7</v>
      </c>
      <c r="E363" s="2" t="s">
        <v>12</v>
      </c>
      <c r="F363">
        <f t="shared" si="5"/>
        <v>188.58330000000001</v>
      </c>
      <c r="G363" t="s">
        <v>16</v>
      </c>
      <c r="J363" t="str">
        <f>"09/27/2002 23:45"</f>
        <v>09/27/2002 23:45</v>
      </c>
    </row>
    <row r="364" spans="1:10" x14ac:dyDescent="0.3">
      <c r="A364" t="s">
        <v>6</v>
      </c>
      <c r="B364" t="str">
        <f>"09/28/2002 00:00"</f>
        <v>09/28/2002 00:00</v>
      </c>
      <c r="C364">
        <v>97</v>
      </c>
      <c r="D364" t="s">
        <v>7</v>
      </c>
      <c r="E364" s="2" t="s">
        <v>12</v>
      </c>
      <c r="F364">
        <f t="shared" si="5"/>
        <v>192.351</v>
      </c>
      <c r="G364" t="s">
        <v>16</v>
      </c>
      <c r="J364" t="str">
        <f>"09/28/2002 23:45"</f>
        <v>09/28/2002 23:45</v>
      </c>
    </row>
    <row r="365" spans="1:10" x14ac:dyDescent="0.3">
      <c r="A365" t="s">
        <v>6</v>
      </c>
      <c r="B365" t="str">
        <f>"09/29/2002 00:00"</f>
        <v>09/29/2002 00:00</v>
      </c>
      <c r="C365">
        <v>99.3</v>
      </c>
      <c r="D365" t="s">
        <v>7</v>
      </c>
      <c r="E365" s="2" t="s">
        <v>12</v>
      </c>
      <c r="F365">
        <f t="shared" si="5"/>
        <v>196.9119</v>
      </c>
      <c r="G365" t="s">
        <v>16</v>
      </c>
      <c r="J365" t="str">
        <f>"09/29/2002 23:45"</f>
        <v>09/29/2002 23:45</v>
      </c>
    </row>
    <row r="366" spans="1:10" x14ac:dyDescent="0.3">
      <c r="A366" t="s">
        <v>6</v>
      </c>
      <c r="B366" t="str">
        <f>"09/30/2002 00:00"</f>
        <v>09/30/2002 00:00</v>
      </c>
      <c r="C366">
        <v>95.7</v>
      </c>
      <c r="D366" t="s">
        <v>7</v>
      </c>
      <c r="E366" s="2" t="s">
        <v>12</v>
      </c>
      <c r="F366">
        <f t="shared" si="5"/>
        <v>189.77310000000003</v>
      </c>
      <c r="G366" t="s">
        <v>16</v>
      </c>
      <c r="J366" t="str">
        <f>"09/30/2002 23:45"</f>
        <v>09/30/2002 23:45</v>
      </c>
    </row>
    <row r="367" spans="1:10" x14ac:dyDescent="0.3">
      <c r="A367" t="s">
        <v>6</v>
      </c>
      <c r="B367" t="str">
        <f>"10/01/2002 00:00"</f>
        <v>10/01/2002 00:00</v>
      </c>
      <c r="C367">
        <v>86.2</v>
      </c>
      <c r="D367" t="s">
        <v>7</v>
      </c>
      <c r="E367" s="2" t="s">
        <v>12</v>
      </c>
      <c r="F367">
        <f t="shared" si="5"/>
        <v>170.93460000000002</v>
      </c>
      <c r="G367" t="s">
        <v>16</v>
      </c>
      <c r="J367" t="str">
        <f>"10/01/2002 23:45"</f>
        <v>10/01/2002 23:45</v>
      </c>
    </row>
    <row r="368" spans="1:10" x14ac:dyDescent="0.3">
      <c r="A368" t="s">
        <v>6</v>
      </c>
      <c r="B368" t="str">
        <f>"10/02/2002 00:00"</f>
        <v>10/02/2002 00:00</v>
      </c>
      <c r="C368">
        <v>36.200000000000003</v>
      </c>
      <c r="D368" t="s">
        <v>7</v>
      </c>
      <c r="E368" s="2" t="s">
        <v>12</v>
      </c>
      <c r="F368">
        <f t="shared" si="5"/>
        <v>71.784600000000012</v>
      </c>
      <c r="G368" t="s">
        <v>16</v>
      </c>
      <c r="J368" t="str">
        <f>"10/02/2002 23:45"</f>
        <v>10/02/2002 23:45</v>
      </c>
    </row>
    <row r="369" spans="1:10" x14ac:dyDescent="0.3">
      <c r="A369" t="s">
        <v>6</v>
      </c>
      <c r="B369" t="str">
        <f>"10/03/2002 00:00"</f>
        <v>10/03/2002 00:00</v>
      </c>
      <c r="C369">
        <v>8.8800000000000008</v>
      </c>
      <c r="D369" t="s">
        <v>7</v>
      </c>
      <c r="E369" s="2" t="s">
        <v>12</v>
      </c>
      <c r="F369">
        <f t="shared" si="5"/>
        <v>17.609040000000004</v>
      </c>
      <c r="G369" t="s">
        <v>16</v>
      </c>
      <c r="J369" t="str">
        <f>"10/03/2002 23:45"</f>
        <v>10/03/2002 23:45</v>
      </c>
    </row>
    <row r="370" spans="1:10" x14ac:dyDescent="0.3">
      <c r="A370" t="s">
        <v>6</v>
      </c>
      <c r="B370" t="str">
        <f>"10/04/2002 00:00"</f>
        <v>10/04/2002 00:00</v>
      </c>
      <c r="C370">
        <v>9.3800000000000008</v>
      </c>
      <c r="D370" t="s">
        <v>7</v>
      </c>
      <c r="E370" s="2" t="s">
        <v>12</v>
      </c>
      <c r="F370">
        <f t="shared" si="5"/>
        <v>18.600540000000002</v>
      </c>
      <c r="G370" t="s">
        <v>16</v>
      </c>
      <c r="J370" t="str">
        <f>"10/04/2002 23:45"</f>
        <v>10/04/2002 23:45</v>
      </c>
    </row>
    <row r="371" spans="1:10" x14ac:dyDescent="0.3">
      <c r="A371" t="s">
        <v>6</v>
      </c>
      <c r="B371" t="str">
        <f>"10/05/2002 00:00"</f>
        <v>10/05/2002 00:00</v>
      </c>
      <c r="C371">
        <v>9.3800000000000008</v>
      </c>
      <c r="D371" t="s">
        <v>7</v>
      </c>
      <c r="E371" s="2" t="s">
        <v>12</v>
      </c>
      <c r="F371">
        <f t="shared" si="5"/>
        <v>18.600540000000002</v>
      </c>
      <c r="G371" t="s">
        <v>16</v>
      </c>
      <c r="J371" t="str">
        <f>"10/05/2002 23:45"</f>
        <v>10/05/2002 23:45</v>
      </c>
    </row>
    <row r="372" spans="1:10" x14ac:dyDescent="0.3">
      <c r="A372" t="s">
        <v>6</v>
      </c>
      <c r="B372" t="str">
        <f>"10/06/2002 00:00"</f>
        <v>10/06/2002 00:00</v>
      </c>
      <c r="C372">
        <v>9.4700000000000006</v>
      </c>
      <c r="D372" t="s">
        <v>7</v>
      </c>
      <c r="E372" s="2" t="s">
        <v>12</v>
      </c>
      <c r="F372">
        <f t="shared" si="5"/>
        <v>18.779010000000003</v>
      </c>
      <c r="G372" t="s">
        <v>16</v>
      </c>
      <c r="J372" t="str">
        <f>"10/06/2002 23:45"</f>
        <v>10/06/2002 23:45</v>
      </c>
    </row>
    <row r="373" spans="1:10" x14ac:dyDescent="0.3">
      <c r="A373" t="s">
        <v>6</v>
      </c>
      <c r="B373" t="str">
        <f>"10/07/2002 00:00"</f>
        <v>10/07/2002 00:00</v>
      </c>
      <c r="C373">
        <v>27.7</v>
      </c>
      <c r="D373" t="s">
        <v>7</v>
      </c>
      <c r="E373" s="2" t="s">
        <v>12</v>
      </c>
      <c r="F373">
        <f t="shared" si="5"/>
        <v>54.929099999999998</v>
      </c>
      <c r="G373" t="s">
        <v>16</v>
      </c>
      <c r="J373" t="str">
        <f>"10/07/2002 23:45"</f>
        <v>10/07/2002 23:45</v>
      </c>
    </row>
    <row r="374" spans="1:10" x14ac:dyDescent="0.3">
      <c r="A374" t="s">
        <v>6</v>
      </c>
      <c r="B374" t="str">
        <f>"10/08/2002 00:00"</f>
        <v>10/08/2002 00:00</v>
      </c>
      <c r="C374">
        <v>59.1</v>
      </c>
      <c r="D374" t="s">
        <v>7</v>
      </c>
      <c r="E374" s="2" t="s">
        <v>12</v>
      </c>
      <c r="F374">
        <f t="shared" si="5"/>
        <v>117.1953</v>
      </c>
      <c r="G374" t="s">
        <v>16</v>
      </c>
      <c r="J374" t="str">
        <f>"10/08/2002 23:45"</f>
        <v>10/08/2002 23:45</v>
      </c>
    </row>
    <row r="375" spans="1:10" x14ac:dyDescent="0.3">
      <c r="A375" t="s">
        <v>6</v>
      </c>
      <c r="B375" t="str">
        <f>"10/09/2002 00:00"</f>
        <v>10/09/2002 00:00</v>
      </c>
      <c r="C375">
        <v>67.900000000000006</v>
      </c>
      <c r="D375" t="s">
        <v>7</v>
      </c>
      <c r="E375" s="2" t="s">
        <v>12</v>
      </c>
      <c r="F375">
        <f t="shared" si="5"/>
        <v>134.64570000000001</v>
      </c>
      <c r="G375" t="s">
        <v>16</v>
      </c>
      <c r="J375" t="str">
        <f>"10/09/2002 23:45"</f>
        <v>10/09/2002 23:45</v>
      </c>
    </row>
    <row r="376" spans="1:10" x14ac:dyDescent="0.3">
      <c r="A376" t="s">
        <v>6</v>
      </c>
      <c r="B376" t="str">
        <f>"10/10/2002 00:00"</f>
        <v>10/10/2002 00:00</v>
      </c>
      <c r="C376">
        <v>67.900000000000006</v>
      </c>
      <c r="D376" t="s">
        <v>7</v>
      </c>
      <c r="E376" s="2" t="s">
        <v>12</v>
      </c>
      <c r="F376">
        <f t="shared" si="5"/>
        <v>134.64570000000001</v>
      </c>
      <c r="G376" t="s">
        <v>16</v>
      </c>
      <c r="J376" t="str">
        <f>"10/10/2002 23:45"</f>
        <v>10/10/2002 23:45</v>
      </c>
    </row>
    <row r="377" spans="1:10" x14ac:dyDescent="0.3">
      <c r="A377" t="s">
        <v>6</v>
      </c>
      <c r="B377" t="str">
        <f>"10/11/2002 00:00"</f>
        <v>10/11/2002 00:00</v>
      </c>
      <c r="C377">
        <v>67.900000000000006</v>
      </c>
      <c r="D377" t="s">
        <v>7</v>
      </c>
      <c r="E377" s="2" t="s">
        <v>12</v>
      </c>
      <c r="F377">
        <f t="shared" si="5"/>
        <v>134.64570000000001</v>
      </c>
      <c r="G377" t="s">
        <v>16</v>
      </c>
      <c r="J377" t="str">
        <f>"10/11/2002 23:45"</f>
        <v>10/11/2002 23:45</v>
      </c>
    </row>
    <row r="378" spans="1:10" x14ac:dyDescent="0.3">
      <c r="A378" t="s">
        <v>6</v>
      </c>
      <c r="B378" t="str">
        <f>"10/12/2002 00:00"</f>
        <v>10/12/2002 00:00</v>
      </c>
      <c r="C378">
        <v>69.099999999999994</v>
      </c>
      <c r="D378" t="s">
        <v>7</v>
      </c>
      <c r="E378" s="2" t="s">
        <v>12</v>
      </c>
      <c r="F378">
        <f t="shared" si="5"/>
        <v>137.02529999999999</v>
      </c>
      <c r="G378" t="s">
        <v>16</v>
      </c>
      <c r="J378" t="str">
        <f>"10/12/2002 23:45"</f>
        <v>10/12/2002 23:45</v>
      </c>
    </row>
    <row r="379" spans="1:10" x14ac:dyDescent="0.3">
      <c r="A379" t="s">
        <v>6</v>
      </c>
      <c r="B379" t="str">
        <f>"10/13/2002 00:00"</f>
        <v>10/13/2002 00:00</v>
      </c>
      <c r="C379">
        <v>71.599999999999994</v>
      </c>
      <c r="D379" t="s">
        <v>7</v>
      </c>
      <c r="E379" s="2" t="s">
        <v>12</v>
      </c>
      <c r="F379">
        <f t="shared" si="5"/>
        <v>141.9828</v>
      </c>
      <c r="G379" t="s">
        <v>16</v>
      </c>
      <c r="J379" t="str">
        <f>"10/13/2002 23:45"</f>
        <v>10/13/2002 23:45</v>
      </c>
    </row>
    <row r="380" spans="1:10" x14ac:dyDescent="0.3">
      <c r="A380" t="s">
        <v>6</v>
      </c>
      <c r="B380" t="str">
        <f>"10/14/2002 00:00"</f>
        <v>10/14/2002 00:00</v>
      </c>
      <c r="C380">
        <v>72.599999999999994</v>
      </c>
      <c r="D380" t="s">
        <v>7</v>
      </c>
      <c r="E380" s="2" t="s">
        <v>12</v>
      </c>
      <c r="F380">
        <f t="shared" si="5"/>
        <v>143.9658</v>
      </c>
      <c r="G380" t="s">
        <v>16</v>
      </c>
      <c r="J380" t="str">
        <f>"10/14/2002 23:45"</f>
        <v>10/14/2002 23:45</v>
      </c>
    </row>
    <row r="381" spans="1:10" x14ac:dyDescent="0.3">
      <c r="A381" t="s">
        <v>6</v>
      </c>
      <c r="B381" t="str">
        <f>"10/15/2002 00:00"</f>
        <v>10/15/2002 00:00</v>
      </c>
      <c r="C381">
        <v>72.599999999999994</v>
      </c>
      <c r="D381" t="s">
        <v>7</v>
      </c>
      <c r="E381" s="2" t="s">
        <v>12</v>
      </c>
      <c r="F381">
        <f t="shared" si="5"/>
        <v>143.9658</v>
      </c>
      <c r="G381" t="s">
        <v>16</v>
      </c>
      <c r="J381" t="str">
        <f>"10/15/2002 23:45"</f>
        <v>10/15/2002 23:45</v>
      </c>
    </row>
    <row r="382" spans="1:10" x14ac:dyDescent="0.3">
      <c r="A382" t="s">
        <v>6</v>
      </c>
      <c r="B382" t="str">
        <f>"10/16/2002 00:00"</f>
        <v>10/16/2002 00:00</v>
      </c>
      <c r="C382">
        <v>72.599999999999994</v>
      </c>
      <c r="D382" t="s">
        <v>7</v>
      </c>
      <c r="E382" s="2" t="s">
        <v>12</v>
      </c>
      <c r="F382">
        <f t="shared" si="5"/>
        <v>143.9658</v>
      </c>
      <c r="G382" t="s">
        <v>16</v>
      </c>
      <c r="J382" t="str">
        <f>"10/16/2002 23:45"</f>
        <v>10/16/2002 23:45</v>
      </c>
    </row>
    <row r="383" spans="1:10" x14ac:dyDescent="0.3">
      <c r="A383" t="s">
        <v>6</v>
      </c>
      <c r="B383" t="str">
        <f>"10/17/2002 00:00"</f>
        <v>10/17/2002 00:00</v>
      </c>
      <c r="C383">
        <v>71.900000000000006</v>
      </c>
      <c r="D383" t="s">
        <v>7</v>
      </c>
      <c r="E383" s="2" t="s">
        <v>12</v>
      </c>
      <c r="F383">
        <f t="shared" si="5"/>
        <v>142.57770000000002</v>
      </c>
      <c r="G383" t="s">
        <v>16</v>
      </c>
      <c r="J383" t="str">
        <f>"10/17/2002 23:45"</f>
        <v>10/17/2002 23:45</v>
      </c>
    </row>
    <row r="384" spans="1:10" x14ac:dyDescent="0.3">
      <c r="A384" t="s">
        <v>6</v>
      </c>
      <c r="B384" t="str">
        <f>"10/18/2002 00:00"</f>
        <v>10/18/2002 00:00</v>
      </c>
      <c r="C384">
        <v>71.400000000000006</v>
      </c>
      <c r="D384" t="s">
        <v>7</v>
      </c>
      <c r="E384" s="2" t="s">
        <v>12</v>
      </c>
      <c r="F384">
        <f t="shared" si="5"/>
        <v>141.58620000000002</v>
      </c>
      <c r="G384" t="s">
        <v>16</v>
      </c>
      <c r="J384" t="str">
        <f>"10/18/2002 23:45"</f>
        <v>10/18/2002 23:45</v>
      </c>
    </row>
    <row r="385" spans="1:10" x14ac:dyDescent="0.3">
      <c r="A385" t="s">
        <v>6</v>
      </c>
      <c r="B385" t="str">
        <f>"10/19/2002 00:00"</f>
        <v>10/19/2002 00:00</v>
      </c>
      <c r="C385">
        <v>71.599999999999994</v>
      </c>
      <c r="D385" t="s">
        <v>7</v>
      </c>
      <c r="E385" s="2" t="s">
        <v>12</v>
      </c>
      <c r="F385">
        <f t="shared" si="5"/>
        <v>141.9828</v>
      </c>
      <c r="G385" t="s">
        <v>16</v>
      </c>
      <c r="J385" t="str">
        <f>"10/19/2002 23:45"</f>
        <v>10/19/2002 23:45</v>
      </c>
    </row>
    <row r="386" spans="1:10" x14ac:dyDescent="0.3">
      <c r="A386" t="s">
        <v>6</v>
      </c>
      <c r="B386" t="str">
        <f>"10/20/2002 00:00"</f>
        <v>10/20/2002 00:00</v>
      </c>
      <c r="C386">
        <v>72.599999999999994</v>
      </c>
      <c r="D386" t="s">
        <v>7</v>
      </c>
      <c r="E386" s="2" t="s">
        <v>12</v>
      </c>
      <c r="F386">
        <f t="shared" si="5"/>
        <v>143.9658</v>
      </c>
      <c r="G386" t="s">
        <v>16</v>
      </c>
      <c r="J386" t="str">
        <f>"10/20/2002 23:45"</f>
        <v>10/20/2002 23:45</v>
      </c>
    </row>
    <row r="387" spans="1:10" x14ac:dyDescent="0.3">
      <c r="A387" t="s">
        <v>6</v>
      </c>
      <c r="B387" t="str">
        <f>"10/21/2002 00:00"</f>
        <v>10/21/2002 00:00</v>
      </c>
      <c r="C387">
        <v>73.099999999999994</v>
      </c>
      <c r="D387" t="s">
        <v>7</v>
      </c>
      <c r="E387" s="2" t="s">
        <v>12</v>
      </c>
      <c r="F387">
        <f t="shared" si="5"/>
        <v>144.9573</v>
      </c>
      <c r="G387" t="s">
        <v>16</v>
      </c>
      <c r="J387" t="str">
        <f>"10/21/2002 23:45"</f>
        <v>10/21/2002 23:45</v>
      </c>
    </row>
    <row r="388" spans="1:10" x14ac:dyDescent="0.3">
      <c r="A388" t="s">
        <v>6</v>
      </c>
      <c r="B388" t="str">
        <f>"10/22/2002 00:00"</f>
        <v>10/22/2002 00:00</v>
      </c>
      <c r="C388">
        <v>73.8</v>
      </c>
      <c r="D388" t="s">
        <v>7</v>
      </c>
      <c r="E388" s="2" t="s">
        <v>12</v>
      </c>
      <c r="F388">
        <f t="shared" ref="F388:F451" si="6">C388*1.983</f>
        <v>146.34540000000001</v>
      </c>
      <c r="G388" t="s">
        <v>16</v>
      </c>
      <c r="J388" t="str">
        <f>"10/22/2002 23:45"</f>
        <v>10/22/2002 23:45</v>
      </c>
    </row>
    <row r="389" spans="1:10" x14ac:dyDescent="0.3">
      <c r="A389" t="s">
        <v>6</v>
      </c>
      <c r="B389" t="str">
        <f>"10/23/2002 00:00"</f>
        <v>10/23/2002 00:00</v>
      </c>
      <c r="C389">
        <v>75</v>
      </c>
      <c r="D389" t="s">
        <v>7</v>
      </c>
      <c r="E389" s="2" t="s">
        <v>12</v>
      </c>
      <c r="F389">
        <f t="shared" si="6"/>
        <v>148.72499999999999</v>
      </c>
      <c r="G389" t="s">
        <v>16</v>
      </c>
      <c r="J389" t="str">
        <f>"10/23/2002 23:45"</f>
        <v>10/23/2002 23:45</v>
      </c>
    </row>
    <row r="390" spans="1:10" x14ac:dyDescent="0.3">
      <c r="A390" t="s">
        <v>6</v>
      </c>
      <c r="B390" t="str">
        <f>"10/24/2002 00:00"</f>
        <v>10/24/2002 00:00</v>
      </c>
      <c r="C390">
        <v>75</v>
      </c>
      <c r="D390" t="s">
        <v>7</v>
      </c>
      <c r="E390" s="2" t="s">
        <v>12</v>
      </c>
      <c r="F390">
        <f t="shared" si="6"/>
        <v>148.72499999999999</v>
      </c>
      <c r="G390" t="s">
        <v>16</v>
      </c>
      <c r="J390" t="str">
        <f>"10/24/2002 23:45"</f>
        <v>10/24/2002 23:45</v>
      </c>
    </row>
    <row r="391" spans="1:10" x14ac:dyDescent="0.3">
      <c r="A391" t="s">
        <v>6</v>
      </c>
      <c r="B391" t="str">
        <f>"10/25/2002 00:00"</f>
        <v>10/25/2002 00:00</v>
      </c>
      <c r="C391">
        <v>76.099999999999994</v>
      </c>
      <c r="D391" t="s">
        <v>7</v>
      </c>
      <c r="E391" s="2" t="s">
        <v>12</v>
      </c>
      <c r="F391">
        <f t="shared" si="6"/>
        <v>150.90629999999999</v>
      </c>
      <c r="G391" t="s">
        <v>16</v>
      </c>
      <c r="J391" t="str">
        <f>"10/25/2002 23:45"</f>
        <v>10/25/2002 23:45</v>
      </c>
    </row>
    <row r="392" spans="1:10" x14ac:dyDescent="0.3">
      <c r="A392" t="s">
        <v>6</v>
      </c>
      <c r="B392" t="str">
        <f>"10/26/2002 00:00"</f>
        <v>10/26/2002 00:00</v>
      </c>
      <c r="C392">
        <v>76.2</v>
      </c>
      <c r="D392" t="s">
        <v>7</v>
      </c>
      <c r="E392" s="2" t="s">
        <v>12</v>
      </c>
      <c r="F392">
        <f t="shared" si="6"/>
        <v>151.1046</v>
      </c>
      <c r="G392" t="s">
        <v>16</v>
      </c>
      <c r="J392" t="str">
        <f>"10/26/2002 23:45"</f>
        <v>10/26/2002 23:45</v>
      </c>
    </row>
    <row r="393" spans="1:10" x14ac:dyDescent="0.3">
      <c r="A393" t="s">
        <v>6</v>
      </c>
      <c r="B393" t="str">
        <f>"10/27/2002 00:00"</f>
        <v>10/27/2002 00:00</v>
      </c>
      <c r="C393">
        <v>75.5</v>
      </c>
      <c r="D393" t="s">
        <v>7</v>
      </c>
      <c r="E393" s="2" t="s">
        <v>12</v>
      </c>
      <c r="F393">
        <f t="shared" si="6"/>
        <v>149.7165</v>
      </c>
      <c r="G393" t="s">
        <v>16</v>
      </c>
      <c r="J393" t="str">
        <f>"10/27/2002 23:45"</f>
        <v>10/27/2002 23:45</v>
      </c>
    </row>
    <row r="394" spans="1:10" x14ac:dyDescent="0.3">
      <c r="A394" t="s">
        <v>6</v>
      </c>
      <c r="B394" t="str">
        <f>"10/28/2002 00:00"</f>
        <v>10/28/2002 00:00</v>
      </c>
      <c r="C394">
        <v>75</v>
      </c>
      <c r="D394" t="s">
        <v>7</v>
      </c>
      <c r="E394" s="2" t="s">
        <v>12</v>
      </c>
      <c r="F394">
        <f t="shared" si="6"/>
        <v>148.72499999999999</v>
      </c>
      <c r="G394" t="s">
        <v>16</v>
      </c>
      <c r="J394" t="str">
        <f>"10/28/2002 23:45"</f>
        <v>10/28/2002 23:45</v>
      </c>
    </row>
    <row r="395" spans="1:10" x14ac:dyDescent="0.3">
      <c r="A395" t="s">
        <v>6</v>
      </c>
      <c r="B395" t="str">
        <f>"10/29/2002 00:00"</f>
        <v>10/29/2002 00:00</v>
      </c>
      <c r="C395">
        <v>75</v>
      </c>
      <c r="D395" t="s">
        <v>7</v>
      </c>
      <c r="E395" s="2" t="s">
        <v>12</v>
      </c>
      <c r="F395">
        <f t="shared" si="6"/>
        <v>148.72499999999999</v>
      </c>
      <c r="G395" t="s">
        <v>16</v>
      </c>
      <c r="J395" t="str">
        <f>"10/29/2002 23:45"</f>
        <v>10/29/2002 23:45</v>
      </c>
    </row>
    <row r="396" spans="1:10" x14ac:dyDescent="0.3">
      <c r="A396" t="s">
        <v>6</v>
      </c>
      <c r="B396" t="str">
        <f>"10/30/2002 00:00"</f>
        <v>10/30/2002 00:00</v>
      </c>
      <c r="C396">
        <v>75</v>
      </c>
      <c r="D396" t="s">
        <v>7</v>
      </c>
      <c r="E396" s="2" t="s">
        <v>12</v>
      </c>
      <c r="F396">
        <f t="shared" si="6"/>
        <v>148.72499999999999</v>
      </c>
      <c r="G396" t="s">
        <v>16</v>
      </c>
      <c r="J396" t="str">
        <f>"10/30/2002 23:45"</f>
        <v>10/30/2002 23:45</v>
      </c>
    </row>
    <row r="397" spans="1:10" x14ac:dyDescent="0.3">
      <c r="A397" t="s">
        <v>6</v>
      </c>
      <c r="B397" t="str">
        <f>"10/31/2002 00:00"</f>
        <v>10/31/2002 00:00</v>
      </c>
      <c r="C397">
        <v>75</v>
      </c>
      <c r="D397" t="s">
        <v>7</v>
      </c>
      <c r="E397" s="2" t="s">
        <v>12</v>
      </c>
      <c r="F397">
        <f t="shared" si="6"/>
        <v>148.72499999999999</v>
      </c>
      <c r="G397" t="s">
        <v>16</v>
      </c>
      <c r="J397" t="str">
        <f>"10/31/2002 23:45"</f>
        <v>10/31/2002 23:45</v>
      </c>
    </row>
    <row r="398" spans="1:10" x14ac:dyDescent="0.3">
      <c r="A398" t="s">
        <v>6</v>
      </c>
      <c r="B398" t="str">
        <f>"11/01/2002 00:00"</f>
        <v>11/01/2002 00:00</v>
      </c>
      <c r="C398">
        <v>91</v>
      </c>
      <c r="D398" t="s">
        <v>7</v>
      </c>
      <c r="E398" s="2" t="s">
        <v>12</v>
      </c>
      <c r="F398">
        <f t="shared" si="6"/>
        <v>180.453</v>
      </c>
      <c r="G398" t="s">
        <v>16</v>
      </c>
      <c r="J398" t="str">
        <f>"11/01/2002 23:45"</f>
        <v>11/01/2002 23:45</v>
      </c>
    </row>
    <row r="399" spans="1:10" x14ac:dyDescent="0.3">
      <c r="A399" t="s">
        <v>6</v>
      </c>
      <c r="B399" t="str">
        <f>"11/02/2002 00:00"</f>
        <v>11/02/2002 00:00</v>
      </c>
      <c r="C399">
        <v>134</v>
      </c>
      <c r="D399" t="s">
        <v>7</v>
      </c>
      <c r="E399" s="2" t="s">
        <v>12</v>
      </c>
      <c r="F399">
        <f t="shared" si="6"/>
        <v>265.72200000000004</v>
      </c>
      <c r="G399" t="s">
        <v>16</v>
      </c>
      <c r="J399" t="str">
        <f>"11/02/2002 23:45"</f>
        <v>11/02/2002 23:45</v>
      </c>
    </row>
    <row r="400" spans="1:10" x14ac:dyDescent="0.3">
      <c r="A400" t="s">
        <v>6</v>
      </c>
      <c r="B400" t="str">
        <f>"11/03/2002 00:00"</f>
        <v>11/03/2002 00:00</v>
      </c>
      <c r="C400">
        <v>153</v>
      </c>
      <c r="D400" t="s">
        <v>7</v>
      </c>
      <c r="E400" s="2" t="s">
        <v>12</v>
      </c>
      <c r="F400">
        <f t="shared" si="6"/>
        <v>303.399</v>
      </c>
      <c r="G400" t="s">
        <v>16</v>
      </c>
      <c r="J400" t="str">
        <f>"11/03/2002 23:45"</f>
        <v>11/03/2002 23:45</v>
      </c>
    </row>
    <row r="401" spans="1:10" x14ac:dyDescent="0.3">
      <c r="A401" t="s">
        <v>6</v>
      </c>
      <c r="B401" t="str">
        <f>"11/04/2002 00:00"</f>
        <v>11/04/2002 00:00</v>
      </c>
      <c r="C401">
        <v>152</v>
      </c>
      <c r="D401" t="s">
        <v>7</v>
      </c>
      <c r="E401" s="2" t="s">
        <v>12</v>
      </c>
      <c r="F401">
        <f t="shared" si="6"/>
        <v>301.416</v>
      </c>
      <c r="G401" t="s">
        <v>16</v>
      </c>
      <c r="J401" t="str">
        <f>"11/04/2002 23:45"</f>
        <v>11/04/2002 23:45</v>
      </c>
    </row>
    <row r="402" spans="1:10" x14ac:dyDescent="0.3">
      <c r="A402" t="s">
        <v>6</v>
      </c>
      <c r="B402" t="str">
        <f>"11/05/2002 00:00"</f>
        <v>11/05/2002 00:00</v>
      </c>
      <c r="C402">
        <v>152</v>
      </c>
      <c r="D402" t="s">
        <v>7</v>
      </c>
      <c r="E402" s="2" t="s">
        <v>12</v>
      </c>
      <c r="F402">
        <f t="shared" si="6"/>
        <v>301.416</v>
      </c>
      <c r="G402" t="s">
        <v>16</v>
      </c>
      <c r="J402" t="str">
        <f>"11/05/2002 23:45"</f>
        <v>11/05/2002 23:45</v>
      </c>
    </row>
    <row r="403" spans="1:10" x14ac:dyDescent="0.3">
      <c r="A403" t="s">
        <v>6</v>
      </c>
      <c r="B403" t="str">
        <f>"11/06/2002 00:00"</f>
        <v>11/06/2002 00:00</v>
      </c>
      <c r="C403">
        <v>152</v>
      </c>
      <c r="D403" t="s">
        <v>7</v>
      </c>
      <c r="E403" s="2" t="s">
        <v>12</v>
      </c>
      <c r="F403">
        <f t="shared" si="6"/>
        <v>301.416</v>
      </c>
      <c r="G403" t="s">
        <v>16</v>
      </c>
      <c r="J403" t="str">
        <f>"11/06/2002 23:45"</f>
        <v>11/06/2002 23:45</v>
      </c>
    </row>
    <row r="404" spans="1:10" x14ac:dyDescent="0.3">
      <c r="A404" t="s">
        <v>6</v>
      </c>
      <c r="B404" t="str">
        <f>"11/07/2002 00:00"</f>
        <v>11/07/2002 00:00</v>
      </c>
      <c r="C404">
        <v>152</v>
      </c>
      <c r="D404" t="s">
        <v>7</v>
      </c>
      <c r="E404" s="2" t="s">
        <v>12</v>
      </c>
      <c r="F404">
        <f t="shared" si="6"/>
        <v>301.416</v>
      </c>
      <c r="G404" t="s">
        <v>16</v>
      </c>
      <c r="J404" t="str">
        <f>"11/07/2002 23:45"</f>
        <v>11/07/2002 23:45</v>
      </c>
    </row>
    <row r="405" spans="1:10" x14ac:dyDescent="0.3">
      <c r="A405" t="s">
        <v>6</v>
      </c>
      <c r="B405" t="str">
        <f>"11/08/2002 00:00"</f>
        <v>11/08/2002 00:00</v>
      </c>
      <c r="C405">
        <v>135</v>
      </c>
      <c r="D405" t="s">
        <v>7</v>
      </c>
      <c r="E405" s="2" t="s">
        <v>12</v>
      </c>
      <c r="F405">
        <f t="shared" si="6"/>
        <v>267.70500000000004</v>
      </c>
      <c r="G405" t="s">
        <v>16</v>
      </c>
      <c r="J405" t="str">
        <f>"11/08/2002 23:45"</f>
        <v>11/08/2002 23:45</v>
      </c>
    </row>
    <row r="406" spans="1:10" x14ac:dyDescent="0.3">
      <c r="A406" t="s">
        <v>6</v>
      </c>
      <c r="B406" t="str">
        <f>"11/09/2002 00:00"</f>
        <v>11/09/2002 00:00</v>
      </c>
      <c r="C406">
        <v>127</v>
      </c>
      <c r="D406" t="s">
        <v>7</v>
      </c>
      <c r="E406" s="2" t="s">
        <v>12</v>
      </c>
      <c r="F406">
        <f t="shared" si="6"/>
        <v>251.84100000000001</v>
      </c>
      <c r="G406" t="s">
        <v>16</v>
      </c>
      <c r="J406" t="str">
        <f>"11/09/2002 23:45"</f>
        <v>11/09/2002 23:45</v>
      </c>
    </row>
    <row r="407" spans="1:10" x14ac:dyDescent="0.3">
      <c r="A407" t="s">
        <v>6</v>
      </c>
      <c r="B407" t="str">
        <f>"11/10/2002 00:00"</f>
        <v>11/10/2002 00:00</v>
      </c>
      <c r="C407">
        <v>128</v>
      </c>
      <c r="D407" t="s">
        <v>7</v>
      </c>
      <c r="E407" s="2" t="s">
        <v>12</v>
      </c>
      <c r="F407">
        <f t="shared" si="6"/>
        <v>253.82400000000001</v>
      </c>
      <c r="G407" t="s">
        <v>16</v>
      </c>
      <c r="J407" t="str">
        <f>"11/10/2002 23:45"</f>
        <v>11/10/2002 23:45</v>
      </c>
    </row>
    <row r="408" spans="1:10" x14ac:dyDescent="0.3">
      <c r="A408" t="s">
        <v>6</v>
      </c>
      <c r="B408" t="str">
        <f>"11/11/2002 00:00"</f>
        <v>11/11/2002 00:00</v>
      </c>
      <c r="C408">
        <v>127</v>
      </c>
      <c r="D408" t="s">
        <v>7</v>
      </c>
      <c r="E408" s="2" t="s">
        <v>12</v>
      </c>
      <c r="F408">
        <f t="shared" si="6"/>
        <v>251.84100000000001</v>
      </c>
      <c r="G408" t="s">
        <v>16</v>
      </c>
      <c r="J408" t="str">
        <f>"11/11/2002 23:45"</f>
        <v>11/11/2002 23:45</v>
      </c>
    </row>
    <row r="409" spans="1:10" x14ac:dyDescent="0.3">
      <c r="A409" t="s">
        <v>6</v>
      </c>
      <c r="B409" t="str">
        <f>"11/12/2002 00:00"</f>
        <v>11/12/2002 00:00</v>
      </c>
      <c r="C409">
        <v>127</v>
      </c>
      <c r="D409" t="s">
        <v>7</v>
      </c>
      <c r="E409" s="2" t="s">
        <v>12</v>
      </c>
      <c r="F409">
        <f t="shared" si="6"/>
        <v>251.84100000000001</v>
      </c>
      <c r="G409" t="s">
        <v>16</v>
      </c>
      <c r="J409" t="str">
        <f>"11/12/2002 23:45"</f>
        <v>11/12/2002 23:45</v>
      </c>
    </row>
    <row r="410" spans="1:10" x14ac:dyDescent="0.3">
      <c r="A410" t="s">
        <v>6</v>
      </c>
      <c r="B410" t="str">
        <f>"11/13/2002 00:00"</f>
        <v>11/13/2002 00:00</v>
      </c>
      <c r="C410">
        <v>127</v>
      </c>
      <c r="D410" t="s">
        <v>7</v>
      </c>
      <c r="E410" s="2" t="s">
        <v>12</v>
      </c>
      <c r="F410">
        <f t="shared" si="6"/>
        <v>251.84100000000001</v>
      </c>
      <c r="G410" t="s">
        <v>16</v>
      </c>
      <c r="J410" t="str">
        <f>"11/13/2002 23:45"</f>
        <v>11/13/2002 23:45</v>
      </c>
    </row>
    <row r="411" spans="1:10" x14ac:dyDescent="0.3">
      <c r="A411" t="s">
        <v>6</v>
      </c>
      <c r="B411" t="str">
        <f>"11/14/2002 00:00"</f>
        <v>11/14/2002 00:00</v>
      </c>
      <c r="C411">
        <v>128</v>
      </c>
      <c r="D411" t="s">
        <v>7</v>
      </c>
      <c r="E411" s="2" t="s">
        <v>12</v>
      </c>
      <c r="F411">
        <f t="shared" si="6"/>
        <v>253.82400000000001</v>
      </c>
      <c r="G411" t="s">
        <v>16</v>
      </c>
      <c r="J411" t="str">
        <f>"11/14/2002 23:45"</f>
        <v>11/14/2002 23:45</v>
      </c>
    </row>
    <row r="412" spans="1:10" x14ac:dyDescent="0.3">
      <c r="A412" t="s">
        <v>6</v>
      </c>
      <c r="B412" t="str">
        <f>"11/15/2002 00:00"</f>
        <v>11/15/2002 00:00</v>
      </c>
      <c r="C412">
        <v>128</v>
      </c>
      <c r="D412" t="s">
        <v>7</v>
      </c>
      <c r="E412" s="2" t="s">
        <v>12</v>
      </c>
      <c r="F412">
        <f t="shared" si="6"/>
        <v>253.82400000000001</v>
      </c>
      <c r="G412" t="s">
        <v>16</v>
      </c>
      <c r="J412" t="str">
        <f>"11/15/2002 23:45"</f>
        <v>11/15/2002 23:45</v>
      </c>
    </row>
    <row r="413" spans="1:10" x14ac:dyDescent="0.3">
      <c r="A413" t="s">
        <v>6</v>
      </c>
      <c r="B413" t="str">
        <f>"11/16/2002 00:00"</f>
        <v>11/16/2002 00:00</v>
      </c>
      <c r="C413">
        <v>128</v>
      </c>
      <c r="D413" t="s">
        <v>7</v>
      </c>
      <c r="E413" s="2" t="s">
        <v>12</v>
      </c>
      <c r="F413">
        <f t="shared" si="6"/>
        <v>253.82400000000001</v>
      </c>
      <c r="G413" t="s">
        <v>16</v>
      </c>
      <c r="J413" t="str">
        <f>"11/16/2002 23:45"</f>
        <v>11/16/2002 23:45</v>
      </c>
    </row>
    <row r="414" spans="1:10" x14ac:dyDescent="0.3">
      <c r="A414" t="s">
        <v>6</v>
      </c>
      <c r="B414" t="str">
        <f>"11/17/2002 00:00"</f>
        <v>11/17/2002 00:00</v>
      </c>
      <c r="C414">
        <v>128</v>
      </c>
      <c r="D414" t="s">
        <v>7</v>
      </c>
      <c r="E414" s="2" t="s">
        <v>12</v>
      </c>
      <c r="F414">
        <f t="shared" si="6"/>
        <v>253.82400000000001</v>
      </c>
      <c r="G414" t="s">
        <v>16</v>
      </c>
      <c r="J414" t="str">
        <f>"11/17/2002 23:45"</f>
        <v>11/17/2002 23:45</v>
      </c>
    </row>
    <row r="415" spans="1:10" x14ac:dyDescent="0.3">
      <c r="A415" t="s">
        <v>6</v>
      </c>
      <c r="B415" t="str">
        <f>"11/18/2002 00:00"</f>
        <v>11/18/2002 00:00</v>
      </c>
      <c r="C415">
        <v>128</v>
      </c>
      <c r="D415" t="s">
        <v>7</v>
      </c>
      <c r="E415" s="2" t="s">
        <v>12</v>
      </c>
      <c r="F415">
        <f t="shared" si="6"/>
        <v>253.82400000000001</v>
      </c>
      <c r="G415" t="s">
        <v>16</v>
      </c>
      <c r="J415" t="str">
        <f>"11/18/2002 23:45"</f>
        <v>11/18/2002 23:45</v>
      </c>
    </row>
    <row r="416" spans="1:10" x14ac:dyDescent="0.3">
      <c r="A416" t="s">
        <v>6</v>
      </c>
      <c r="B416" t="str">
        <f>"11/19/2002 00:00"</f>
        <v>11/19/2002 00:00</v>
      </c>
      <c r="C416">
        <v>128</v>
      </c>
      <c r="D416" t="s">
        <v>7</v>
      </c>
      <c r="E416" s="2" t="s">
        <v>12</v>
      </c>
      <c r="F416">
        <f t="shared" si="6"/>
        <v>253.82400000000001</v>
      </c>
      <c r="G416" t="s">
        <v>16</v>
      </c>
      <c r="J416" t="str">
        <f>"11/19/2002 23:45"</f>
        <v>11/19/2002 23:45</v>
      </c>
    </row>
    <row r="417" spans="1:10" x14ac:dyDescent="0.3">
      <c r="A417" t="s">
        <v>6</v>
      </c>
      <c r="B417" t="str">
        <f>"11/20/2002 00:00"</f>
        <v>11/20/2002 00:00</v>
      </c>
      <c r="C417">
        <v>128</v>
      </c>
      <c r="D417" t="s">
        <v>7</v>
      </c>
      <c r="E417" s="2" t="s">
        <v>12</v>
      </c>
      <c r="F417">
        <f t="shared" si="6"/>
        <v>253.82400000000001</v>
      </c>
      <c r="G417" t="s">
        <v>16</v>
      </c>
      <c r="J417" t="str">
        <f>"11/20/2002 23:45"</f>
        <v>11/20/2002 23:45</v>
      </c>
    </row>
    <row r="418" spans="1:10" x14ac:dyDescent="0.3">
      <c r="A418" t="s">
        <v>6</v>
      </c>
      <c r="B418" t="str">
        <f>"11/21/2002 00:00"</f>
        <v>11/21/2002 00:00</v>
      </c>
      <c r="C418">
        <v>128</v>
      </c>
      <c r="D418" t="s">
        <v>7</v>
      </c>
      <c r="E418" s="2" t="s">
        <v>12</v>
      </c>
      <c r="F418">
        <f t="shared" si="6"/>
        <v>253.82400000000001</v>
      </c>
      <c r="G418" t="s">
        <v>16</v>
      </c>
      <c r="J418" t="str">
        <f>"11/21/2002 23:45"</f>
        <v>11/21/2002 23:45</v>
      </c>
    </row>
    <row r="419" spans="1:10" x14ac:dyDescent="0.3">
      <c r="A419" t="s">
        <v>6</v>
      </c>
      <c r="B419" t="str">
        <f>"11/22/2002 00:00"</f>
        <v>11/22/2002 00:00</v>
      </c>
      <c r="C419">
        <v>135</v>
      </c>
      <c r="D419" t="s">
        <v>7</v>
      </c>
      <c r="E419" s="2" t="s">
        <v>12</v>
      </c>
      <c r="F419">
        <f t="shared" si="6"/>
        <v>267.70500000000004</v>
      </c>
      <c r="G419" t="s">
        <v>16</v>
      </c>
      <c r="J419" t="str">
        <f>"11/22/2002 23:45"</f>
        <v>11/22/2002 23:45</v>
      </c>
    </row>
    <row r="420" spans="1:10" x14ac:dyDescent="0.3">
      <c r="A420" t="s">
        <v>6</v>
      </c>
      <c r="B420" t="str">
        <f>"11/23/2002 00:00"</f>
        <v>11/23/2002 00:00</v>
      </c>
      <c r="C420">
        <v>144</v>
      </c>
      <c r="D420" t="s">
        <v>7</v>
      </c>
      <c r="E420" s="2" t="s">
        <v>12</v>
      </c>
      <c r="F420">
        <f t="shared" si="6"/>
        <v>285.55200000000002</v>
      </c>
      <c r="G420" t="s">
        <v>16</v>
      </c>
      <c r="J420" t="str">
        <f>"11/23/2002 23:45"</f>
        <v>11/23/2002 23:45</v>
      </c>
    </row>
    <row r="421" spans="1:10" x14ac:dyDescent="0.3">
      <c r="A421" t="s">
        <v>6</v>
      </c>
      <c r="B421" t="str">
        <f>"11/24/2002 00:00"</f>
        <v>11/24/2002 00:00</v>
      </c>
      <c r="C421">
        <v>144</v>
      </c>
      <c r="D421" t="s">
        <v>7</v>
      </c>
      <c r="E421" s="2" t="s">
        <v>12</v>
      </c>
      <c r="F421">
        <f t="shared" si="6"/>
        <v>285.55200000000002</v>
      </c>
      <c r="G421" t="s">
        <v>16</v>
      </c>
      <c r="J421" t="str">
        <f>"11/24/2002 23:45"</f>
        <v>11/24/2002 23:45</v>
      </c>
    </row>
    <row r="422" spans="1:10" x14ac:dyDescent="0.3">
      <c r="A422" t="s">
        <v>6</v>
      </c>
      <c r="B422" t="str">
        <f>"11/25/2002 00:00"</f>
        <v>11/25/2002 00:00</v>
      </c>
      <c r="C422">
        <v>145</v>
      </c>
      <c r="D422" t="s">
        <v>7</v>
      </c>
      <c r="E422" s="2" t="s">
        <v>12</v>
      </c>
      <c r="F422">
        <f t="shared" si="6"/>
        <v>287.53500000000003</v>
      </c>
      <c r="G422" t="s">
        <v>16</v>
      </c>
      <c r="J422" t="str">
        <f>"11/25/2002 23:45"</f>
        <v>11/25/2002 23:45</v>
      </c>
    </row>
    <row r="423" spans="1:10" x14ac:dyDescent="0.3">
      <c r="A423" t="s">
        <v>6</v>
      </c>
      <c r="B423" t="str">
        <f>"11/26/2002 00:00"</f>
        <v>11/26/2002 00:00</v>
      </c>
      <c r="C423">
        <v>145</v>
      </c>
      <c r="D423" t="s">
        <v>7</v>
      </c>
      <c r="E423" s="2" t="s">
        <v>12</v>
      </c>
      <c r="F423">
        <f t="shared" si="6"/>
        <v>287.53500000000003</v>
      </c>
      <c r="G423" t="s">
        <v>16</v>
      </c>
      <c r="J423" t="str">
        <f>"11/26/2002 23:45"</f>
        <v>11/26/2002 23:45</v>
      </c>
    </row>
    <row r="424" spans="1:10" x14ac:dyDescent="0.3">
      <c r="A424" t="s">
        <v>6</v>
      </c>
      <c r="B424" t="str">
        <f>"11/27/2002 00:00"</f>
        <v>11/27/2002 00:00</v>
      </c>
      <c r="C424">
        <v>144</v>
      </c>
      <c r="D424" t="s">
        <v>7</v>
      </c>
      <c r="E424" s="2" t="s">
        <v>12</v>
      </c>
      <c r="F424">
        <f t="shared" si="6"/>
        <v>285.55200000000002</v>
      </c>
      <c r="G424" t="s">
        <v>16</v>
      </c>
      <c r="J424" t="str">
        <f>"11/27/2002 23:45"</f>
        <v>11/27/2002 23:45</v>
      </c>
    </row>
    <row r="425" spans="1:10" x14ac:dyDescent="0.3">
      <c r="A425" t="s">
        <v>6</v>
      </c>
      <c r="B425" t="str">
        <f>"11/28/2002 00:00"</f>
        <v>11/28/2002 00:00</v>
      </c>
      <c r="C425">
        <v>144</v>
      </c>
      <c r="D425" t="s">
        <v>7</v>
      </c>
      <c r="E425" s="2" t="s">
        <v>12</v>
      </c>
      <c r="F425">
        <f t="shared" si="6"/>
        <v>285.55200000000002</v>
      </c>
      <c r="G425" t="s">
        <v>16</v>
      </c>
      <c r="J425" t="str">
        <f>"11/28/2002 23:45"</f>
        <v>11/28/2002 23:45</v>
      </c>
    </row>
    <row r="426" spans="1:10" x14ac:dyDescent="0.3">
      <c r="A426" t="s">
        <v>6</v>
      </c>
      <c r="B426" t="str">
        <f>"11/29/2002 00:00"</f>
        <v>11/29/2002 00:00</v>
      </c>
      <c r="C426">
        <v>144</v>
      </c>
      <c r="D426" t="s">
        <v>7</v>
      </c>
      <c r="E426" s="2" t="s">
        <v>12</v>
      </c>
      <c r="F426">
        <f t="shared" si="6"/>
        <v>285.55200000000002</v>
      </c>
      <c r="G426" t="s">
        <v>16</v>
      </c>
      <c r="J426" t="str">
        <f>"11/29/2002 23:45"</f>
        <v>11/29/2002 23:45</v>
      </c>
    </row>
    <row r="427" spans="1:10" x14ac:dyDescent="0.3">
      <c r="A427" t="s">
        <v>6</v>
      </c>
      <c r="B427" t="str">
        <f>"11/30/2002 00:00"</f>
        <v>11/30/2002 00:00</v>
      </c>
      <c r="C427">
        <v>144</v>
      </c>
      <c r="D427" t="s">
        <v>7</v>
      </c>
      <c r="E427" s="2" t="s">
        <v>12</v>
      </c>
      <c r="F427">
        <f t="shared" si="6"/>
        <v>285.55200000000002</v>
      </c>
      <c r="G427" t="s">
        <v>16</v>
      </c>
      <c r="J427" t="str">
        <f>"11/30/2002 23:45"</f>
        <v>11/30/2002 23:45</v>
      </c>
    </row>
    <row r="428" spans="1:10" x14ac:dyDescent="0.3">
      <c r="A428" t="s">
        <v>6</v>
      </c>
      <c r="B428" t="str">
        <f>"12/01/2002 00:00"</f>
        <v>12/01/2002 00:00</v>
      </c>
      <c r="C428">
        <v>144</v>
      </c>
      <c r="D428" t="s">
        <v>7</v>
      </c>
      <c r="E428" s="2" t="s">
        <v>12</v>
      </c>
      <c r="F428">
        <f t="shared" si="6"/>
        <v>285.55200000000002</v>
      </c>
      <c r="G428" t="s">
        <v>16</v>
      </c>
      <c r="J428" t="str">
        <f>"12/01/2002 23:45"</f>
        <v>12/01/2002 23:45</v>
      </c>
    </row>
    <row r="429" spans="1:10" x14ac:dyDescent="0.3">
      <c r="A429" t="s">
        <v>6</v>
      </c>
      <c r="B429" t="str">
        <f>"12/02/2002 00:00"</f>
        <v>12/02/2002 00:00</v>
      </c>
      <c r="C429">
        <v>140</v>
      </c>
      <c r="D429" t="s">
        <v>7</v>
      </c>
      <c r="E429" s="2" t="s">
        <v>12</v>
      </c>
      <c r="F429">
        <f t="shared" si="6"/>
        <v>277.62</v>
      </c>
      <c r="G429" t="s">
        <v>16</v>
      </c>
      <c r="J429" t="str">
        <f>"12/02/2002 23:45"</f>
        <v>12/02/2002 23:45</v>
      </c>
    </row>
    <row r="430" spans="1:10" x14ac:dyDescent="0.3">
      <c r="A430" t="s">
        <v>6</v>
      </c>
      <c r="B430" t="str">
        <f>"12/03/2002 00:00"</f>
        <v>12/03/2002 00:00</v>
      </c>
      <c r="C430">
        <v>138</v>
      </c>
      <c r="D430" t="s">
        <v>7</v>
      </c>
      <c r="E430" s="2" t="s">
        <v>12</v>
      </c>
      <c r="F430">
        <f t="shared" si="6"/>
        <v>273.654</v>
      </c>
      <c r="G430" t="s">
        <v>16</v>
      </c>
      <c r="J430" t="str">
        <f>"12/03/2002 23:45"</f>
        <v>12/03/2002 23:45</v>
      </c>
    </row>
    <row r="431" spans="1:10" x14ac:dyDescent="0.3">
      <c r="A431" t="s">
        <v>6</v>
      </c>
      <c r="B431" t="str">
        <f>"12/04/2002 00:00"</f>
        <v>12/04/2002 00:00</v>
      </c>
      <c r="C431">
        <v>138</v>
      </c>
      <c r="D431" t="s">
        <v>7</v>
      </c>
      <c r="E431" s="2" t="s">
        <v>12</v>
      </c>
      <c r="F431">
        <f t="shared" si="6"/>
        <v>273.654</v>
      </c>
      <c r="G431" t="s">
        <v>16</v>
      </c>
      <c r="J431" t="str">
        <f>"12/04/2002 23:45"</f>
        <v>12/04/2002 23:45</v>
      </c>
    </row>
    <row r="432" spans="1:10" x14ac:dyDescent="0.3">
      <c r="A432" t="s">
        <v>6</v>
      </c>
      <c r="B432" t="str">
        <f>"12/05/2002 00:00"</f>
        <v>12/05/2002 00:00</v>
      </c>
      <c r="C432">
        <v>138</v>
      </c>
      <c r="D432" t="s">
        <v>7</v>
      </c>
      <c r="E432" s="2" t="s">
        <v>12</v>
      </c>
      <c r="F432">
        <f t="shared" si="6"/>
        <v>273.654</v>
      </c>
      <c r="G432" t="s">
        <v>16</v>
      </c>
      <c r="J432" t="str">
        <f>"12/05/2002 23:45"</f>
        <v>12/05/2002 23:45</v>
      </c>
    </row>
    <row r="433" spans="1:10" x14ac:dyDescent="0.3">
      <c r="A433" t="s">
        <v>6</v>
      </c>
      <c r="B433" t="str">
        <f>"12/06/2002 00:00"</f>
        <v>12/06/2002 00:00</v>
      </c>
      <c r="C433">
        <v>138</v>
      </c>
      <c r="D433" t="s">
        <v>7</v>
      </c>
      <c r="E433" s="2" t="s">
        <v>12</v>
      </c>
      <c r="F433">
        <f t="shared" si="6"/>
        <v>273.654</v>
      </c>
      <c r="G433" t="s">
        <v>16</v>
      </c>
      <c r="J433" t="str">
        <f>"12/06/2002 23:45"</f>
        <v>12/06/2002 23:45</v>
      </c>
    </row>
    <row r="434" spans="1:10" x14ac:dyDescent="0.3">
      <c r="A434" t="s">
        <v>6</v>
      </c>
      <c r="B434" t="str">
        <f>"12/07/2002 00:00"</f>
        <v>12/07/2002 00:00</v>
      </c>
      <c r="C434">
        <v>138</v>
      </c>
      <c r="D434" t="s">
        <v>7</v>
      </c>
      <c r="E434" s="2" t="s">
        <v>12</v>
      </c>
      <c r="F434">
        <f t="shared" si="6"/>
        <v>273.654</v>
      </c>
      <c r="G434" t="s">
        <v>16</v>
      </c>
      <c r="J434" t="str">
        <f>"12/07/2002 23:45"</f>
        <v>12/07/2002 23:45</v>
      </c>
    </row>
    <row r="435" spans="1:10" x14ac:dyDescent="0.3">
      <c r="A435" t="s">
        <v>6</v>
      </c>
      <c r="B435" t="str">
        <f>"12/08/2002 00:00"</f>
        <v>12/08/2002 00:00</v>
      </c>
      <c r="C435">
        <v>138</v>
      </c>
      <c r="D435" t="s">
        <v>7</v>
      </c>
      <c r="E435" s="2" t="s">
        <v>12</v>
      </c>
      <c r="F435">
        <f t="shared" si="6"/>
        <v>273.654</v>
      </c>
      <c r="G435" t="s">
        <v>16</v>
      </c>
      <c r="J435" t="str">
        <f>"12/08/2002 23:45"</f>
        <v>12/08/2002 23:45</v>
      </c>
    </row>
    <row r="436" spans="1:10" x14ac:dyDescent="0.3">
      <c r="A436" t="s">
        <v>6</v>
      </c>
      <c r="B436" t="str">
        <f>"12/09/2002 00:00"</f>
        <v>12/09/2002 00:00</v>
      </c>
      <c r="C436">
        <v>138</v>
      </c>
      <c r="D436" t="s">
        <v>7</v>
      </c>
      <c r="E436" s="2" t="s">
        <v>12</v>
      </c>
      <c r="F436">
        <f t="shared" si="6"/>
        <v>273.654</v>
      </c>
      <c r="G436" t="s">
        <v>16</v>
      </c>
      <c r="J436" t="str">
        <f>"12/09/2002 23:45"</f>
        <v>12/09/2002 23:45</v>
      </c>
    </row>
    <row r="437" spans="1:10" x14ac:dyDescent="0.3">
      <c r="A437" t="s">
        <v>6</v>
      </c>
      <c r="B437" t="str">
        <f>"12/10/2002 00:00"</f>
        <v>12/10/2002 00:00</v>
      </c>
      <c r="C437">
        <v>138</v>
      </c>
      <c r="D437" t="s">
        <v>7</v>
      </c>
      <c r="E437" s="2" t="s">
        <v>12</v>
      </c>
      <c r="F437">
        <f t="shared" si="6"/>
        <v>273.654</v>
      </c>
      <c r="G437" t="s">
        <v>16</v>
      </c>
      <c r="J437" t="str">
        <f>"12/10/2002 23:45"</f>
        <v>12/10/2002 23:45</v>
      </c>
    </row>
    <row r="438" spans="1:10" x14ac:dyDescent="0.3">
      <c r="A438" t="s">
        <v>6</v>
      </c>
      <c r="B438" t="str">
        <f>"12/11/2002 00:00"</f>
        <v>12/11/2002 00:00</v>
      </c>
      <c r="C438">
        <v>139</v>
      </c>
      <c r="D438" t="s">
        <v>7</v>
      </c>
      <c r="E438" s="2" t="s">
        <v>12</v>
      </c>
      <c r="F438">
        <f t="shared" si="6"/>
        <v>275.637</v>
      </c>
      <c r="G438" t="s">
        <v>16</v>
      </c>
      <c r="J438" t="str">
        <f>"12/11/2002 23:45"</f>
        <v>12/11/2002 23:45</v>
      </c>
    </row>
    <row r="439" spans="1:10" x14ac:dyDescent="0.3">
      <c r="A439" t="s">
        <v>6</v>
      </c>
      <c r="B439" t="str">
        <f>"12/12/2002 00:00"</f>
        <v>12/12/2002 00:00</v>
      </c>
      <c r="C439">
        <v>140</v>
      </c>
      <c r="D439" t="s">
        <v>7</v>
      </c>
      <c r="E439" s="2" t="s">
        <v>12</v>
      </c>
      <c r="F439">
        <f t="shared" si="6"/>
        <v>277.62</v>
      </c>
      <c r="G439" t="s">
        <v>16</v>
      </c>
      <c r="J439" t="str">
        <f>"12/12/2002 23:45"</f>
        <v>12/12/2002 23:45</v>
      </c>
    </row>
    <row r="440" spans="1:10" x14ac:dyDescent="0.3">
      <c r="A440" t="s">
        <v>6</v>
      </c>
      <c r="B440" t="str">
        <f>"12/13/2002 00:00"</f>
        <v>12/13/2002 00:00</v>
      </c>
      <c r="C440">
        <v>140</v>
      </c>
      <c r="D440" t="s">
        <v>7</v>
      </c>
      <c r="E440" s="2" t="s">
        <v>12</v>
      </c>
      <c r="F440">
        <f t="shared" si="6"/>
        <v>277.62</v>
      </c>
      <c r="G440" t="s">
        <v>16</v>
      </c>
      <c r="J440" t="str">
        <f>"12/13/2002 23:45"</f>
        <v>12/13/2002 23:45</v>
      </c>
    </row>
    <row r="441" spans="1:10" x14ac:dyDescent="0.3">
      <c r="A441" t="s">
        <v>6</v>
      </c>
      <c r="B441" t="str">
        <f>"12/14/2002 00:00"</f>
        <v>12/14/2002 00:00</v>
      </c>
      <c r="C441">
        <v>140</v>
      </c>
      <c r="D441" t="s">
        <v>7</v>
      </c>
      <c r="E441" s="2" t="s">
        <v>12</v>
      </c>
      <c r="F441">
        <f t="shared" si="6"/>
        <v>277.62</v>
      </c>
      <c r="G441" t="s">
        <v>16</v>
      </c>
      <c r="J441" t="str">
        <f>"12/14/2002 23:45"</f>
        <v>12/14/2002 23:45</v>
      </c>
    </row>
    <row r="442" spans="1:10" x14ac:dyDescent="0.3">
      <c r="A442" t="s">
        <v>6</v>
      </c>
      <c r="B442" t="str">
        <f>"12/15/2002 00:00"</f>
        <v>12/15/2002 00:00</v>
      </c>
      <c r="C442">
        <v>140</v>
      </c>
      <c r="D442" t="s">
        <v>7</v>
      </c>
      <c r="E442" s="2" t="s">
        <v>12</v>
      </c>
      <c r="F442">
        <f t="shared" si="6"/>
        <v>277.62</v>
      </c>
      <c r="G442" t="s">
        <v>16</v>
      </c>
      <c r="J442" t="str">
        <f>"12/15/2002 23:45"</f>
        <v>12/15/2002 23:45</v>
      </c>
    </row>
    <row r="443" spans="1:10" x14ac:dyDescent="0.3">
      <c r="A443" t="s">
        <v>6</v>
      </c>
      <c r="B443" t="str">
        <f>"12/16/2002 00:00"</f>
        <v>12/16/2002 00:00</v>
      </c>
      <c r="C443">
        <v>140</v>
      </c>
      <c r="D443" t="s">
        <v>7</v>
      </c>
      <c r="E443" s="2" t="s">
        <v>12</v>
      </c>
      <c r="F443">
        <f t="shared" si="6"/>
        <v>277.62</v>
      </c>
      <c r="G443" t="s">
        <v>16</v>
      </c>
      <c r="J443" t="str">
        <f>"12/16/2002 23:45"</f>
        <v>12/16/2002 23:45</v>
      </c>
    </row>
    <row r="444" spans="1:10" x14ac:dyDescent="0.3">
      <c r="A444" t="s">
        <v>6</v>
      </c>
      <c r="B444" t="str">
        <f>"12/17/2002 00:00"</f>
        <v>12/17/2002 00:00</v>
      </c>
      <c r="C444">
        <v>135</v>
      </c>
      <c r="D444" t="s">
        <v>7</v>
      </c>
      <c r="E444" s="2" t="s">
        <v>12</v>
      </c>
      <c r="F444">
        <f t="shared" si="6"/>
        <v>267.70500000000004</v>
      </c>
      <c r="G444" t="s">
        <v>16</v>
      </c>
      <c r="J444" t="str">
        <f>"12/17/2002 23:45"</f>
        <v>12/17/2002 23:45</v>
      </c>
    </row>
    <row r="445" spans="1:10" x14ac:dyDescent="0.3">
      <c r="A445" t="s">
        <v>6</v>
      </c>
      <c r="B445" t="str">
        <f>"12/18/2002 00:00"</f>
        <v>12/18/2002 00:00</v>
      </c>
      <c r="C445">
        <v>133</v>
      </c>
      <c r="D445" t="s">
        <v>7</v>
      </c>
      <c r="E445" s="2" t="s">
        <v>12</v>
      </c>
      <c r="F445">
        <f t="shared" si="6"/>
        <v>263.73900000000003</v>
      </c>
      <c r="G445" t="s">
        <v>16</v>
      </c>
      <c r="J445" t="str">
        <f>"12/18/2002 23:45"</f>
        <v>12/18/2002 23:45</v>
      </c>
    </row>
    <row r="446" spans="1:10" x14ac:dyDescent="0.3">
      <c r="A446" t="s">
        <v>6</v>
      </c>
      <c r="B446" t="str">
        <f>"12/19/2002 00:00"</f>
        <v>12/19/2002 00:00</v>
      </c>
      <c r="C446">
        <v>134</v>
      </c>
      <c r="D446" t="s">
        <v>7</v>
      </c>
      <c r="E446" s="2" t="s">
        <v>12</v>
      </c>
      <c r="F446">
        <f t="shared" si="6"/>
        <v>265.72200000000004</v>
      </c>
      <c r="G446" t="s">
        <v>16</v>
      </c>
      <c r="J446" t="str">
        <f>"12/19/2002 23:45"</f>
        <v>12/19/2002 23:45</v>
      </c>
    </row>
    <row r="447" spans="1:10" x14ac:dyDescent="0.3">
      <c r="A447" t="s">
        <v>6</v>
      </c>
      <c r="B447" t="str">
        <f>"12/20/2002 00:00"</f>
        <v>12/20/2002 00:00</v>
      </c>
      <c r="C447">
        <v>134</v>
      </c>
      <c r="D447" t="s">
        <v>7</v>
      </c>
      <c r="E447" s="2" t="s">
        <v>12</v>
      </c>
      <c r="F447">
        <f t="shared" si="6"/>
        <v>265.72200000000004</v>
      </c>
      <c r="G447" t="s">
        <v>16</v>
      </c>
      <c r="J447" t="str">
        <f>"12/20/2002 23:45"</f>
        <v>12/20/2002 23:45</v>
      </c>
    </row>
    <row r="448" spans="1:10" x14ac:dyDescent="0.3">
      <c r="A448" t="s">
        <v>6</v>
      </c>
      <c r="B448" t="str">
        <f>"12/21/2002 00:00"</f>
        <v>12/21/2002 00:00</v>
      </c>
      <c r="C448">
        <v>133</v>
      </c>
      <c r="D448" t="s">
        <v>7</v>
      </c>
      <c r="E448" s="2" t="s">
        <v>12</v>
      </c>
      <c r="F448">
        <f t="shared" si="6"/>
        <v>263.73900000000003</v>
      </c>
      <c r="G448" t="s">
        <v>16</v>
      </c>
      <c r="J448" t="str">
        <f>"12/21/2002 23:45"</f>
        <v>12/21/2002 23:45</v>
      </c>
    </row>
    <row r="449" spans="1:10" x14ac:dyDescent="0.3">
      <c r="A449" t="s">
        <v>6</v>
      </c>
      <c r="B449" t="str">
        <f>"12/22/2002 00:00"</f>
        <v>12/22/2002 00:00</v>
      </c>
      <c r="C449">
        <v>132</v>
      </c>
      <c r="D449" t="s">
        <v>7</v>
      </c>
      <c r="E449" s="2" t="s">
        <v>12</v>
      </c>
      <c r="F449">
        <f t="shared" si="6"/>
        <v>261.75600000000003</v>
      </c>
      <c r="G449" t="s">
        <v>16</v>
      </c>
      <c r="J449" t="str">
        <f>"12/22/2002 23:45"</f>
        <v>12/22/2002 23:45</v>
      </c>
    </row>
    <row r="450" spans="1:10" x14ac:dyDescent="0.3">
      <c r="A450" t="s">
        <v>6</v>
      </c>
      <c r="B450" t="str">
        <f>"12/23/2002 00:00"</f>
        <v>12/23/2002 00:00</v>
      </c>
      <c r="C450">
        <v>132</v>
      </c>
      <c r="D450" t="s">
        <v>7</v>
      </c>
      <c r="E450" s="2" t="s">
        <v>12</v>
      </c>
      <c r="F450">
        <f t="shared" si="6"/>
        <v>261.75600000000003</v>
      </c>
      <c r="G450" t="s">
        <v>16</v>
      </c>
      <c r="J450" t="str">
        <f>"12/23/2002 23:45"</f>
        <v>12/23/2002 23:45</v>
      </c>
    </row>
    <row r="451" spans="1:10" x14ac:dyDescent="0.3">
      <c r="A451" t="s">
        <v>6</v>
      </c>
      <c r="B451" t="str">
        <f>"12/24/2002 00:00"</f>
        <v>12/24/2002 00:00</v>
      </c>
      <c r="C451">
        <v>132</v>
      </c>
      <c r="D451" t="s">
        <v>7</v>
      </c>
      <c r="E451" s="2" t="s">
        <v>12</v>
      </c>
      <c r="F451">
        <f t="shared" si="6"/>
        <v>261.75600000000003</v>
      </c>
      <c r="G451" t="s">
        <v>16</v>
      </c>
      <c r="J451" t="str">
        <f>"12/24/2002 23:45"</f>
        <v>12/24/2002 23:45</v>
      </c>
    </row>
    <row r="452" spans="1:10" x14ac:dyDescent="0.3">
      <c r="A452" t="s">
        <v>6</v>
      </c>
      <c r="B452" t="str">
        <f>"12/25/2002 00:00"</f>
        <v>12/25/2002 00:00</v>
      </c>
      <c r="C452">
        <v>132</v>
      </c>
      <c r="D452" t="s">
        <v>7</v>
      </c>
      <c r="E452" s="2" t="s">
        <v>12</v>
      </c>
      <c r="F452">
        <f t="shared" ref="F452:F515" si="7">C452*1.983</f>
        <v>261.75600000000003</v>
      </c>
      <c r="G452" t="s">
        <v>16</v>
      </c>
      <c r="J452" t="str">
        <f>"12/25/2002 23:45"</f>
        <v>12/25/2002 23:45</v>
      </c>
    </row>
    <row r="453" spans="1:10" x14ac:dyDescent="0.3">
      <c r="A453" t="s">
        <v>6</v>
      </c>
      <c r="B453" t="str">
        <f>"12/26/2002 00:00"</f>
        <v>12/26/2002 00:00</v>
      </c>
      <c r="C453">
        <v>131</v>
      </c>
      <c r="D453" t="s">
        <v>7</v>
      </c>
      <c r="E453" s="2" t="s">
        <v>12</v>
      </c>
      <c r="F453">
        <f t="shared" si="7"/>
        <v>259.77300000000002</v>
      </c>
      <c r="G453" t="s">
        <v>16</v>
      </c>
      <c r="J453" t="str">
        <f>"12/26/2002 23:45"</f>
        <v>12/26/2002 23:45</v>
      </c>
    </row>
    <row r="454" spans="1:10" x14ac:dyDescent="0.3">
      <c r="A454" t="s">
        <v>6</v>
      </c>
      <c r="B454" t="str">
        <f>"12/27/2002 00:00"</f>
        <v>12/27/2002 00:00</v>
      </c>
      <c r="C454">
        <v>131</v>
      </c>
      <c r="D454" t="s">
        <v>7</v>
      </c>
      <c r="E454" s="2" t="s">
        <v>12</v>
      </c>
      <c r="F454">
        <f t="shared" si="7"/>
        <v>259.77300000000002</v>
      </c>
      <c r="G454" t="s">
        <v>16</v>
      </c>
      <c r="J454" t="str">
        <f>"12/27/2002 23:45"</f>
        <v>12/27/2002 23:45</v>
      </c>
    </row>
    <row r="455" spans="1:10" x14ac:dyDescent="0.3">
      <c r="A455" t="s">
        <v>6</v>
      </c>
      <c r="B455" t="str">
        <f>"12/28/2002 00:00"</f>
        <v>12/28/2002 00:00</v>
      </c>
      <c r="C455">
        <v>130</v>
      </c>
      <c r="D455" t="s">
        <v>7</v>
      </c>
      <c r="E455" s="2" t="s">
        <v>12</v>
      </c>
      <c r="F455">
        <f t="shared" si="7"/>
        <v>257.79000000000002</v>
      </c>
      <c r="G455" t="s">
        <v>16</v>
      </c>
      <c r="J455" t="str">
        <f>"12/28/2002 23:45"</f>
        <v>12/28/2002 23:45</v>
      </c>
    </row>
    <row r="456" spans="1:10" x14ac:dyDescent="0.3">
      <c r="A456" t="s">
        <v>6</v>
      </c>
      <c r="B456" t="str">
        <f>"12/29/2002 00:00"</f>
        <v>12/29/2002 00:00</v>
      </c>
      <c r="C456">
        <v>130</v>
      </c>
      <c r="D456" t="s">
        <v>7</v>
      </c>
      <c r="E456" s="2" t="s">
        <v>12</v>
      </c>
      <c r="F456">
        <f t="shared" si="7"/>
        <v>257.79000000000002</v>
      </c>
      <c r="G456" t="s">
        <v>16</v>
      </c>
      <c r="J456" t="str">
        <f>"12/29/2002 23:45"</f>
        <v>12/29/2002 23:45</v>
      </c>
    </row>
    <row r="457" spans="1:10" x14ac:dyDescent="0.3">
      <c r="A457" t="s">
        <v>6</v>
      </c>
      <c r="B457" t="str">
        <f>"12/30/2002 00:00"</f>
        <v>12/30/2002 00:00</v>
      </c>
      <c r="C457">
        <v>130</v>
      </c>
      <c r="D457" t="s">
        <v>7</v>
      </c>
      <c r="E457" s="2" t="s">
        <v>12</v>
      </c>
      <c r="F457">
        <f t="shared" si="7"/>
        <v>257.79000000000002</v>
      </c>
      <c r="G457" t="s">
        <v>16</v>
      </c>
      <c r="J457" t="str">
        <f>"12/30/2002 23:45"</f>
        <v>12/30/2002 23:45</v>
      </c>
    </row>
    <row r="458" spans="1:10" x14ac:dyDescent="0.3">
      <c r="A458" t="s">
        <v>6</v>
      </c>
      <c r="B458" t="str">
        <f>"12/31/2002 00:00"</f>
        <v>12/31/2002 00:00</v>
      </c>
      <c r="C458">
        <v>130</v>
      </c>
      <c r="D458" t="s">
        <v>7</v>
      </c>
      <c r="E458" s="2" t="s">
        <v>12</v>
      </c>
      <c r="F458">
        <f t="shared" si="7"/>
        <v>257.79000000000002</v>
      </c>
      <c r="G458" t="s">
        <v>16</v>
      </c>
      <c r="J458" t="str">
        <f>"12/31/2002 23:45"</f>
        <v>12/31/2002 23:45</v>
      </c>
    </row>
    <row r="459" spans="1:10" x14ac:dyDescent="0.3">
      <c r="A459" t="s">
        <v>6</v>
      </c>
      <c r="B459" t="str">
        <f>"01/01/2003 00:00"</f>
        <v>01/01/2003 00:00</v>
      </c>
      <c r="C459">
        <v>130</v>
      </c>
      <c r="D459" t="s">
        <v>7</v>
      </c>
      <c r="E459" s="2" t="s">
        <v>12</v>
      </c>
      <c r="F459">
        <f t="shared" si="7"/>
        <v>257.79000000000002</v>
      </c>
      <c r="G459" t="s">
        <v>16</v>
      </c>
      <c r="J459" t="str">
        <f>"01/01/2003 23:45"</f>
        <v>01/01/2003 23:45</v>
      </c>
    </row>
    <row r="460" spans="1:10" x14ac:dyDescent="0.3">
      <c r="A460" t="s">
        <v>6</v>
      </c>
      <c r="B460" t="str">
        <f>"01/02/2003 00:00"</f>
        <v>01/02/2003 00:00</v>
      </c>
      <c r="C460">
        <v>130</v>
      </c>
      <c r="D460" t="s">
        <v>7</v>
      </c>
      <c r="E460" s="2" t="s">
        <v>12</v>
      </c>
      <c r="F460">
        <f t="shared" si="7"/>
        <v>257.79000000000002</v>
      </c>
      <c r="G460" t="s">
        <v>16</v>
      </c>
      <c r="J460" t="str">
        <f>"01/02/2003 23:45"</f>
        <v>01/02/2003 23:45</v>
      </c>
    </row>
    <row r="461" spans="1:10" x14ac:dyDescent="0.3">
      <c r="A461" t="s">
        <v>6</v>
      </c>
      <c r="B461" t="str">
        <f>"01/03/2003 00:00"</f>
        <v>01/03/2003 00:00</v>
      </c>
      <c r="C461">
        <v>130</v>
      </c>
      <c r="D461" t="s">
        <v>7</v>
      </c>
      <c r="E461" s="2" t="s">
        <v>12</v>
      </c>
      <c r="F461">
        <f t="shared" si="7"/>
        <v>257.79000000000002</v>
      </c>
      <c r="G461" t="s">
        <v>16</v>
      </c>
      <c r="J461" t="str">
        <f>"01/03/2003 23:45"</f>
        <v>01/03/2003 23:45</v>
      </c>
    </row>
    <row r="462" spans="1:10" x14ac:dyDescent="0.3">
      <c r="A462" t="s">
        <v>6</v>
      </c>
      <c r="B462" t="str">
        <f>"01/04/2003 00:00"</f>
        <v>01/04/2003 00:00</v>
      </c>
      <c r="C462">
        <v>130</v>
      </c>
      <c r="D462" t="s">
        <v>7</v>
      </c>
      <c r="E462" s="2" t="s">
        <v>12</v>
      </c>
      <c r="F462">
        <f t="shared" si="7"/>
        <v>257.79000000000002</v>
      </c>
      <c r="G462" t="s">
        <v>16</v>
      </c>
      <c r="J462" t="str">
        <f>"01/04/2003 23:45"</f>
        <v>01/04/2003 23:45</v>
      </c>
    </row>
    <row r="463" spans="1:10" x14ac:dyDescent="0.3">
      <c r="A463" t="s">
        <v>6</v>
      </c>
      <c r="B463" t="str">
        <f>"01/05/2003 00:00"</f>
        <v>01/05/2003 00:00</v>
      </c>
      <c r="C463">
        <v>130</v>
      </c>
      <c r="D463" t="s">
        <v>7</v>
      </c>
      <c r="E463" s="2" t="s">
        <v>12</v>
      </c>
      <c r="F463">
        <f t="shared" si="7"/>
        <v>257.79000000000002</v>
      </c>
      <c r="G463" t="s">
        <v>16</v>
      </c>
      <c r="J463" t="str">
        <f>"01/05/2003 23:45"</f>
        <v>01/05/2003 23:45</v>
      </c>
    </row>
    <row r="464" spans="1:10" x14ac:dyDescent="0.3">
      <c r="A464" t="s">
        <v>6</v>
      </c>
      <c r="B464" t="str">
        <f>"01/06/2003 00:00"</f>
        <v>01/06/2003 00:00</v>
      </c>
      <c r="C464">
        <v>130</v>
      </c>
      <c r="D464" t="s">
        <v>7</v>
      </c>
      <c r="E464" s="2" t="s">
        <v>12</v>
      </c>
      <c r="F464">
        <f t="shared" si="7"/>
        <v>257.79000000000002</v>
      </c>
      <c r="G464" t="s">
        <v>16</v>
      </c>
      <c r="J464" t="str">
        <f>"01/06/2003 23:45"</f>
        <v>01/06/2003 23:45</v>
      </c>
    </row>
    <row r="465" spans="1:10" x14ac:dyDescent="0.3">
      <c r="A465" t="s">
        <v>6</v>
      </c>
      <c r="B465" t="str">
        <f>"01/07/2003 00:00"</f>
        <v>01/07/2003 00:00</v>
      </c>
      <c r="C465">
        <v>130</v>
      </c>
      <c r="D465" t="s">
        <v>7</v>
      </c>
      <c r="E465" s="2" t="s">
        <v>12</v>
      </c>
      <c r="F465">
        <f t="shared" si="7"/>
        <v>257.79000000000002</v>
      </c>
      <c r="G465" t="s">
        <v>16</v>
      </c>
      <c r="J465" t="str">
        <f>"01/07/2003 23:45"</f>
        <v>01/07/2003 23:45</v>
      </c>
    </row>
    <row r="466" spans="1:10" x14ac:dyDescent="0.3">
      <c r="A466" t="s">
        <v>6</v>
      </c>
      <c r="B466" t="str">
        <f>"01/08/2003 00:00"</f>
        <v>01/08/2003 00:00</v>
      </c>
      <c r="C466">
        <v>130</v>
      </c>
      <c r="D466" t="s">
        <v>7</v>
      </c>
      <c r="E466" s="2" t="s">
        <v>12</v>
      </c>
      <c r="F466">
        <f t="shared" si="7"/>
        <v>257.79000000000002</v>
      </c>
      <c r="G466" t="s">
        <v>16</v>
      </c>
      <c r="J466" t="str">
        <f>"01/08/2003 23:45"</f>
        <v>01/08/2003 23:45</v>
      </c>
    </row>
    <row r="467" spans="1:10" x14ac:dyDescent="0.3">
      <c r="A467" t="s">
        <v>6</v>
      </c>
      <c r="B467" t="str">
        <f>"01/09/2003 00:00"</f>
        <v>01/09/2003 00:00</v>
      </c>
      <c r="C467">
        <v>131</v>
      </c>
      <c r="D467" t="s">
        <v>7</v>
      </c>
      <c r="E467" s="2" t="s">
        <v>12</v>
      </c>
      <c r="F467">
        <f t="shared" si="7"/>
        <v>259.77300000000002</v>
      </c>
      <c r="G467" t="s">
        <v>16</v>
      </c>
      <c r="J467" t="str">
        <f>"01/09/2003 23:45"</f>
        <v>01/09/2003 23:45</v>
      </c>
    </row>
    <row r="468" spans="1:10" x14ac:dyDescent="0.3">
      <c r="A468" t="s">
        <v>6</v>
      </c>
      <c r="B468" t="str">
        <f>"01/10/2003 00:00"</f>
        <v>01/10/2003 00:00</v>
      </c>
      <c r="C468">
        <v>131</v>
      </c>
      <c r="D468" t="s">
        <v>7</v>
      </c>
      <c r="E468" s="2" t="s">
        <v>12</v>
      </c>
      <c r="F468">
        <f t="shared" si="7"/>
        <v>259.77300000000002</v>
      </c>
      <c r="G468" t="s">
        <v>16</v>
      </c>
      <c r="J468" t="str">
        <f>"01/10/2003 23:45"</f>
        <v>01/10/2003 23:45</v>
      </c>
    </row>
    <row r="469" spans="1:10" x14ac:dyDescent="0.3">
      <c r="A469" t="s">
        <v>6</v>
      </c>
      <c r="B469" t="str">
        <f>"01/11/2003 00:00"</f>
        <v>01/11/2003 00:00</v>
      </c>
      <c r="C469">
        <v>131</v>
      </c>
      <c r="D469" t="s">
        <v>7</v>
      </c>
      <c r="E469" s="2" t="s">
        <v>12</v>
      </c>
      <c r="F469">
        <f t="shared" si="7"/>
        <v>259.77300000000002</v>
      </c>
      <c r="G469" t="s">
        <v>16</v>
      </c>
      <c r="J469" t="str">
        <f>"01/11/2003 23:45"</f>
        <v>01/11/2003 23:45</v>
      </c>
    </row>
    <row r="470" spans="1:10" x14ac:dyDescent="0.3">
      <c r="A470" t="s">
        <v>6</v>
      </c>
      <c r="B470" t="str">
        <f>"01/12/2003 00:00"</f>
        <v>01/12/2003 00:00</v>
      </c>
      <c r="C470">
        <v>131</v>
      </c>
      <c r="D470" t="s">
        <v>7</v>
      </c>
      <c r="E470" s="2" t="s">
        <v>12</v>
      </c>
      <c r="F470">
        <f t="shared" si="7"/>
        <v>259.77300000000002</v>
      </c>
      <c r="G470" t="s">
        <v>16</v>
      </c>
      <c r="J470" t="str">
        <f>"01/12/2003 23:45"</f>
        <v>01/12/2003 23:45</v>
      </c>
    </row>
    <row r="471" spans="1:10" x14ac:dyDescent="0.3">
      <c r="A471" t="s">
        <v>6</v>
      </c>
      <c r="B471" t="str">
        <f>"01/13/2003 00:00"</f>
        <v>01/13/2003 00:00</v>
      </c>
      <c r="C471">
        <v>130</v>
      </c>
      <c r="D471" t="s">
        <v>7</v>
      </c>
      <c r="E471" s="2" t="s">
        <v>12</v>
      </c>
      <c r="F471">
        <f t="shared" si="7"/>
        <v>257.79000000000002</v>
      </c>
      <c r="G471" t="s">
        <v>16</v>
      </c>
      <c r="J471" t="str">
        <f>"01/13/2003 23:45"</f>
        <v>01/13/2003 23:45</v>
      </c>
    </row>
    <row r="472" spans="1:10" x14ac:dyDescent="0.3">
      <c r="A472" t="s">
        <v>6</v>
      </c>
      <c r="B472" t="str">
        <f>"01/14/2003 00:00"</f>
        <v>01/14/2003 00:00</v>
      </c>
      <c r="C472">
        <v>131</v>
      </c>
      <c r="D472" t="s">
        <v>7</v>
      </c>
      <c r="E472" s="2" t="s">
        <v>12</v>
      </c>
      <c r="F472">
        <f t="shared" si="7"/>
        <v>259.77300000000002</v>
      </c>
      <c r="G472" t="s">
        <v>16</v>
      </c>
      <c r="J472" t="str">
        <f>"01/14/2003 23:45"</f>
        <v>01/14/2003 23:45</v>
      </c>
    </row>
    <row r="473" spans="1:10" x14ac:dyDescent="0.3">
      <c r="A473" t="s">
        <v>6</v>
      </c>
      <c r="B473" t="str">
        <f>"01/15/2003 00:00"</f>
        <v>01/15/2003 00:00</v>
      </c>
      <c r="C473">
        <v>134</v>
      </c>
      <c r="D473" t="s">
        <v>7</v>
      </c>
      <c r="E473" s="2" t="s">
        <v>12</v>
      </c>
      <c r="F473">
        <f t="shared" si="7"/>
        <v>265.72200000000004</v>
      </c>
      <c r="G473" t="s">
        <v>16</v>
      </c>
      <c r="J473" t="str">
        <f>"01/15/2003 23:45"</f>
        <v>01/15/2003 23:45</v>
      </c>
    </row>
    <row r="474" spans="1:10" x14ac:dyDescent="0.3">
      <c r="A474" t="s">
        <v>6</v>
      </c>
      <c r="B474" t="str">
        <f>"01/16/2003 00:00"</f>
        <v>01/16/2003 00:00</v>
      </c>
      <c r="C474">
        <v>134</v>
      </c>
      <c r="D474" t="s">
        <v>7</v>
      </c>
      <c r="E474" s="2" t="s">
        <v>12</v>
      </c>
      <c r="F474">
        <f t="shared" si="7"/>
        <v>265.72200000000004</v>
      </c>
      <c r="G474" t="s">
        <v>16</v>
      </c>
      <c r="J474" t="str">
        <f>"01/16/2003 23:45"</f>
        <v>01/16/2003 23:45</v>
      </c>
    </row>
    <row r="475" spans="1:10" x14ac:dyDescent="0.3">
      <c r="A475" t="s">
        <v>6</v>
      </c>
      <c r="B475" t="str">
        <f>"01/17/2003 00:00"</f>
        <v>01/17/2003 00:00</v>
      </c>
      <c r="C475">
        <v>134</v>
      </c>
      <c r="D475" t="s">
        <v>7</v>
      </c>
      <c r="E475" s="2" t="s">
        <v>12</v>
      </c>
      <c r="F475">
        <f t="shared" si="7"/>
        <v>265.72200000000004</v>
      </c>
      <c r="G475" t="s">
        <v>16</v>
      </c>
      <c r="J475" t="str">
        <f>"01/17/2003 23:45"</f>
        <v>01/17/2003 23:45</v>
      </c>
    </row>
    <row r="476" spans="1:10" x14ac:dyDescent="0.3">
      <c r="A476" t="s">
        <v>6</v>
      </c>
      <c r="B476" t="str">
        <f>"01/18/2003 00:00"</f>
        <v>01/18/2003 00:00</v>
      </c>
      <c r="C476">
        <v>132</v>
      </c>
      <c r="D476" t="s">
        <v>7</v>
      </c>
      <c r="E476" s="2" t="s">
        <v>12</v>
      </c>
      <c r="F476">
        <f t="shared" si="7"/>
        <v>261.75600000000003</v>
      </c>
      <c r="G476" t="s">
        <v>16</v>
      </c>
      <c r="J476" t="str">
        <f>"01/18/2003 23:45"</f>
        <v>01/18/2003 23:45</v>
      </c>
    </row>
    <row r="477" spans="1:10" x14ac:dyDescent="0.3">
      <c r="A477" t="s">
        <v>6</v>
      </c>
      <c r="B477" t="str">
        <f>"01/19/2003 00:00"</f>
        <v>01/19/2003 00:00</v>
      </c>
      <c r="C477">
        <v>132</v>
      </c>
      <c r="D477" t="s">
        <v>7</v>
      </c>
      <c r="E477" s="2" t="s">
        <v>12</v>
      </c>
      <c r="F477">
        <f t="shared" si="7"/>
        <v>261.75600000000003</v>
      </c>
      <c r="G477" t="s">
        <v>16</v>
      </c>
      <c r="J477" t="str">
        <f>"01/19/2003 23:45"</f>
        <v>01/19/2003 23:45</v>
      </c>
    </row>
    <row r="478" spans="1:10" x14ac:dyDescent="0.3">
      <c r="A478" t="s">
        <v>6</v>
      </c>
      <c r="B478" t="str">
        <f>"01/20/2003 00:00"</f>
        <v>01/20/2003 00:00</v>
      </c>
      <c r="C478">
        <v>132</v>
      </c>
      <c r="D478" t="s">
        <v>7</v>
      </c>
      <c r="E478" s="2" t="s">
        <v>12</v>
      </c>
      <c r="F478">
        <f t="shared" si="7"/>
        <v>261.75600000000003</v>
      </c>
      <c r="G478" t="s">
        <v>16</v>
      </c>
      <c r="J478" t="str">
        <f>"01/20/2003 23:45"</f>
        <v>01/20/2003 23:45</v>
      </c>
    </row>
    <row r="479" spans="1:10" x14ac:dyDescent="0.3">
      <c r="A479" t="s">
        <v>6</v>
      </c>
      <c r="B479" t="str">
        <f>"01/21/2003 00:00"</f>
        <v>01/21/2003 00:00</v>
      </c>
      <c r="C479">
        <v>132</v>
      </c>
      <c r="D479" t="s">
        <v>7</v>
      </c>
      <c r="E479" s="2" t="s">
        <v>12</v>
      </c>
      <c r="F479">
        <f t="shared" si="7"/>
        <v>261.75600000000003</v>
      </c>
      <c r="G479" t="s">
        <v>16</v>
      </c>
      <c r="J479" t="str">
        <f>"01/21/2003 23:45"</f>
        <v>01/21/2003 23:45</v>
      </c>
    </row>
    <row r="480" spans="1:10" x14ac:dyDescent="0.3">
      <c r="A480" t="s">
        <v>6</v>
      </c>
      <c r="B480" t="str">
        <f>"01/22/2003 00:00"</f>
        <v>01/22/2003 00:00</v>
      </c>
      <c r="C480">
        <v>132</v>
      </c>
      <c r="D480" t="s">
        <v>7</v>
      </c>
      <c r="E480" s="2" t="s">
        <v>12</v>
      </c>
      <c r="F480">
        <f t="shared" si="7"/>
        <v>261.75600000000003</v>
      </c>
      <c r="G480" t="s">
        <v>16</v>
      </c>
      <c r="J480" t="str">
        <f>"01/22/2003 23:45"</f>
        <v>01/22/2003 23:45</v>
      </c>
    </row>
    <row r="481" spans="1:10" x14ac:dyDescent="0.3">
      <c r="A481" t="s">
        <v>6</v>
      </c>
      <c r="B481" t="str">
        <f>"01/23/2003 00:00"</f>
        <v>01/23/2003 00:00</v>
      </c>
      <c r="C481">
        <v>132</v>
      </c>
      <c r="D481" t="s">
        <v>7</v>
      </c>
      <c r="E481" s="2" t="s">
        <v>12</v>
      </c>
      <c r="F481">
        <f t="shared" si="7"/>
        <v>261.75600000000003</v>
      </c>
      <c r="G481" t="s">
        <v>16</v>
      </c>
      <c r="J481" t="str">
        <f>"01/23/2003 23:45"</f>
        <v>01/23/2003 23:45</v>
      </c>
    </row>
    <row r="482" spans="1:10" x14ac:dyDescent="0.3">
      <c r="A482" t="s">
        <v>6</v>
      </c>
      <c r="B482" t="str">
        <f>"01/24/2003 00:00"</f>
        <v>01/24/2003 00:00</v>
      </c>
      <c r="C482">
        <v>132</v>
      </c>
      <c r="D482" t="s">
        <v>7</v>
      </c>
      <c r="E482" s="2" t="s">
        <v>12</v>
      </c>
      <c r="F482">
        <f t="shared" si="7"/>
        <v>261.75600000000003</v>
      </c>
      <c r="G482" t="s">
        <v>16</v>
      </c>
      <c r="J482" t="str">
        <f>"01/24/2003 23:45"</f>
        <v>01/24/2003 23:45</v>
      </c>
    </row>
    <row r="483" spans="1:10" x14ac:dyDescent="0.3">
      <c r="A483" t="s">
        <v>6</v>
      </c>
      <c r="B483" t="str">
        <f>"01/25/2003 00:00"</f>
        <v>01/25/2003 00:00</v>
      </c>
      <c r="C483">
        <v>132</v>
      </c>
      <c r="D483" t="s">
        <v>7</v>
      </c>
      <c r="E483" s="2" t="s">
        <v>12</v>
      </c>
      <c r="F483">
        <f t="shared" si="7"/>
        <v>261.75600000000003</v>
      </c>
      <c r="G483" t="s">
        <v>16</v>
      </c>
      <c r="J483" t="str">
        <f>"01/25/2003 23:45"</f>
        <v>01/25/2003 23:45</v>
      </c>
    </row>
    <row r="484" spans="1:10" x14ac:dyDescent="0.3">
      <c r="A484" t="s">
        <v>6</v>
      </c>
      <c r="B484" t="str">
        <f>"01/26/2003 00:00"</f>
        <v>01/26/2003 00:00</v>
      </c>
      <c r="C484">
        <v>113</v>
      </c>
      <c r="D484" t="s">
        <v>7</v>
      </c>
      <c r="E484" s="2" t="s">
        <v>12</v>
      </c>
      <c r="F484">
        <f t="shared" si="7"/>
        <v>224.07900000000001</v>
      </c>
      <c r="G484" t="s">
        <v>16</v>
      </c>
      <c r="J484" t="str">
        <f>"01/26/2003 23:45"</f>
        <v>01/26/2003 23:45</v>
      </c>
    </row>
    <row r="485" spans="1:10" x14ac:dyDescent="0.3">
      <c r="A485" t="s">
        <v>6</v>
      </c>
      <c r="B485" t="str">
        <f>"01/27/2003 00:00"</f>
        <v>01/27/2003 00:00</v>
      </c>
      <c r="C485">
        <v>98.6</v>
      </c>
      <c r="D485" t="s">
        <v>7</v>
      </c>
      <c r="E485" s="2" t="s">
        <v>12</v>
      </c>
      <c r="F485">
        <f t="shared" si="7"/>
        <v>195.52379999999999</v>
      </c>
      <c r="G485" t="s">
        <v>16</v>
      </c>
      <c r="J485" t="str">
        <f>"01/27/2003 23:45"</f>
        <v>01/27/2003 23:45</v>
      </c>
    </row>
    <row r="486" spans="1:10" x14ac:dyDescent="0.3">
      <c r="A486" t="s">
        <v>6</v>
      </c>
      <c r="B486" t="str">
        <f>"01/28/2003 00:00"</f>
        <v>01/28/2003 00:00</v>
      </c>
      <c r="C486">
        <v>99.2</v>
      </c>
      <c r="D486" t="s">
        <v>7</v>
      </c>
      <c r="E486" s="2" t="s">
        <v>12</v>
      </c>
      <c r="F486">
        <f t="shared" si="7"/>
        <v>196.71360000000001</v>
      </c>
      <c r="G486" t="s">
        <v>16</v>
      </c>
      <c r="J486" t="str">
        <f>"01/28/2003 23:45"</f>
        <v>01/28/2003 23:45</v>
      </c>
    </row>
    <row r="487" spans="1:10" x14ac:dyDescent="0.3">
      <c r="A487" t="s">
        <v>6</v>
      </c>
      <c r="B487" t="str">
        <f>"01/29/2003 00:00"</f>
        <v>01/29/2003 00:00</v>
      </c>
      <c r="C487">
        <v>99.6</v>
      </c>
      <c r="D487" t="s">
        <v>7</v>
      </c>
      <c r="E487" s="2" t="s">
        <v>12</v>
      </c>
      <c r="F487">
        <f t="shared" si="7"/>
        <v>197.5068</v>
      </c>
      <c r="G487" t="s">
        <v>16</v>
      </c>
      <c r="J487" t="str">
        <f>"01/29/2003 23:45"</f>
        <v>01/29/2003 23:45</v>
      </c>
    </row>
    <row r="488" spans="1:10" x14ac:dyDescent="0.3">
      <c r="A488" t="s">
        <v>6</v>
      </c>
      <c r="B488" t="str">
        <f>"01/30/2003 00:00"</f>
        <v>01/30/2003 00:00</v>
      </c>
      <c r="C488">
        <v>99.2</v>
      </c>
      <c r="D488" t="s">
        <v>7</v>
      </c>
      <c r="E488" s="2" t="s">
        <v>12</v>
      </c>
      <c r="F488">
        <f t="shared" si="7"/>
        <v>196.71360000000001</v>
      </c>
      <c r="G488" t="s">
        <v>16</v>
      </c>
      <c r="J488" t="str">
        <f>"01/30/2003 23:45"</f>
        <v>01/30/2003 23:45</v>
      </c>
    </row>
    <row r="489" spans="1:10" x14ac:dyDescent="0.3">
      <c r="A489" t="s">
        <v>6</v>
      </c>
      <c r="B489" t="str">
        <f>"01/31/2003 00:00"</f>
        <v>01/31/2003 00:00</v>
      </c>
      <c r="C489">
        <v>115</v>
      </c>
      <c r="D489" t="s">
        <v>7</v>
      </c>
      <c r="E489" s="2" t="s">
        <v>12</v>
      </c>
      <c r="F489">
        <f t="shared" si="7"/>
        <v>228.04500000000002</v>
      </c>
      <c r="G489" t="s">
        <v>16</v>
      </c>
      <c r="J489" t="str">
        <f>"01/31/2003 23:45"</f>
        <v>01/31/2003 23:45</v>
      </c>
    </row>
    <row r="490" spans="1:10" x14ac:dyDescent="0.3">
      <c r="A490" t="s">
        <v>6</v>
      </c>
      <c r="B490" t="str">
        <f>"02/01/2003 00:00"</f>
        <v>02/01/2003 00:00</v>
      </c>
      <c r="C490">
        <v>130</v>
      </c>
      <c r="D490" t="s">
        <v>7</v>
      </c>
      <c r="E490" s="2" t="s">
        <v>12</v>
      </c>
      <c r="F490">
        <f t="shared" si="7"/>
        <v>257.79000000000002</v>
      </c>
      <c r="G490" t="s">
        <v>16</v>
      </c>
      <c r="J490" t="str">
        <f>"02/01/2003 23:45"</f>
        <v>02/01/2003 23:45</v>
      </c>
    </row>
    <row r="491" spans="1:10" x14ac:dyDescent="0.3">
      <c r="A491" t="s">
        <v>6</v>
      </c>
      <c r="B491" t="str">
        <f>"02/02/2003 00:00"</f>
        <v>02/02/2003 00:00</v>
      </c>
      <c r="C491">
        <v>132</v>
      </c>
      <c r="D491" t="s">
        <v>7</v>
      </c>
      <c r="E491" s="2" t="s">
        <v>12</v>
      </c>
      <c r="F491">
        <f t="shared" si="7"/>
        <v>261.75600000000003</v>
      </c>
      <c r="G491" t="s">
        <v>16</v>
      </c>
      <c r="J491" t="str">
        <f>"02/02/2003 23:45"</f>
        <v>02/02/2003 23:45</v>
      </c>
    </row>
    <row r="492" spans="1:10" x14ac:dyDescent="0.3">
      <c r="A492" t="s">
        <v>6</v>
      </c>
      <c r="B492" t="str">
        <f>"02/03/2003 00:00"</f>
        <v>02/03/2003 00:00</v>
      </c>
      <c r="C492">
        <v>134</v>
      </c>
      <c r="D492" t="s">
        <v>7</v>
      </c>
      <c r="E492" s="2" t="s">
        <v>12</v>
      </c>
      <c r="F492">
        <f t="shared" si="7"/>
        <v>265.72200000000004</v>
      </c>
      <c r="G492" t="s">
        <v>16</v>
      </c>
      <c r="J492" t="str">
        <f>"02/03/2003 23:45"</f>
        <v>02/03/2003 23:45</v>
      </c>
    </row>
    <row r="493" spans="1:10" x14ac:dyDescent="0.3">
      <c r="A493" t="s">
        <v>6</v>
      </c>
      <c r="B493" t="str">
        <f>"02/04/2003 00:00"</f>
        <v>02/04/2003 00:00</v>
      </c>
      <c r="C493">
        <v>134</v>
      </c>
      <c r="D493" t="s">
        <v>7</v>
      </c>
      <c r="E493" s="2" t="s">
        <v>12</v>
      </c>
      <c r="F493">
        <f t="shared" si="7"/>
        <v>265.72200000000004</v>
      </c>
      <c r="G493" t="s">
        <v>16</v>
      </c>
      <c r="J493" t="str">
        <f>"02/04/2003 23:45"</f>
        <v>02/04/2003 23:45</v>
      </c>
    </row>
    <row r="494" spans="1:10" x14ac:dyDescent="0.3">
      <c r="A494" t="s">
        <v>6</v>
      </c>
      <c r="B494" t="str">
        <f>"02/05/2003 00:00"</f>
        <v>02/05/2003 00:00</v>
      </c>
      <c r="C494">
        <v>133</v>
      </c>
      <c r="D494" t="s">
        <v>7</v>
      </c>
      <c r="E494" s="2" t="s">
        <v>12</v>
      </c>
      <c r="F494">
        <f t="shared" si="7"/>
        <v>263.73900000000003</v>
      </c>
      <c r="G494" t="s">
        <v>16</v>
      </c>
      <c r="J494" t="str">
        <f>"02/05/2003 23:45"</f>
        <v>02/05/2003 23:45</v>
      </c>
    </row>
    <row r="495" spans="1:10" x14ac:dyDescent="0.3">
      <c r="A495" t="s">
        <v>6</v>
      </c>
      <c r="B495" t="str">
        <f>"02/06/2003 00:00"</f>
        <v>02/06/2003 00:00</v>
      </c>
      <c r="C495">
        <v>132</v>
      </c>
      <c r="D495" t="s">
        <v>7</v>
      </c>
      <c r="E495" s="2" t="s">
        <v>12</v>
      </c>
      <c r="F495">
        <f t="shared" si="7"/>
        <v>261.75600000000003</v>
      </c>
      <c r="G495" t="s">
        <v>16</v>
      </c>
      <c r="J495" t="str">
        <f>"02/06/2003 23:45"</f>
        <v>02/06/2003 23:45</v>
      </c>
    </row>
    <row r="496" spans="1:10" x14ac:dyDescent="0.3">
      <c r="A496" t="s">
        <v>6</v>
      </c>
      <c r="B496" t="str">
        <f>"02/07/2003 00:00"</f>
        <v>02/07/2003 00:00</v>
      </c>
      <c r="C496">
        <v>132</v>
      </c>
      <c r="D496" t="s">
        <v>7</v>
      </c>
      <c r="E496" s="2" t="s">
        <v>12</v>
      </c>
      <c r="F496">
        <f t="shared" si="7"/>
        <v>261.75600000000003</v>
      </c>
      <c r="G496" t="s">
        <v>16</v>
      </c>
      <c r="J496" t="str">
        <f>"02/07/2003 23:45"</f>
        <v>02/07/2003 23:45</v>
      </c>
    </row>
    <row r="497" spans="1:10" x14ac:dyDescent="0.3">
      <c r="A497" t="s">
        <v>6</v>
      </c>
      <c r="B497" t="str">
        <f>"02/08/2003 00:00"</f>
        <v>02/08/2003 00:00</v>
      </c>
      <c r="C497">
        <v>132</v>
      </c>
      <c r="D497" t="s">
        <v>7</v>
      </c>
      <c r="E497" s="2" t="s">
        <v>12</v>
      </c>
      <c r="F497">
        <f t="shared" si="7"/>
        <v>261.75600000000003</v>
      </c>
      <c r="G497" t="s">
        <v>16</v>
      </c>
      <c r="J497" t="str">
        <f>"02/08/2003 23:45"</f>
        <v>02/08/2003 23:45</v>
      </c>
    </row>
    <row r="498" spans="1:10" x14ac:dyDescent="0.3">
      <c r="A498" t="s">
        <v>6</v>
      </c>
      <c r="B498" t="str">
        <f>"02/09/2003 00:00"</f>
        <v>02/09/2003 00:00</v>
      </c>
      <c r="C498">
        <v>131</v>
      </c>
      <c r="D498" t="s">
        <v>7</v>
      </c>
      <c r="E498" s="2" t="s">
        <v>12</v>
      </c>
      <c r="F498">
        <f t="shared" si="7"/>
        <v>259.77300000000002</v>
      </c>
      <c r="G498" t="s">
        <v>16</v>
      </c>
      <c r="J498" t="str">
        <f>"02/09/2003 23:45"</f>
        <v>02/09/2003 23:45</v>
      </c>
    </row>
    <row r="499" spans="1:10" x14ac:dyDescent="0.3">
      <c r="A499" t="s">
        <v>6</v>
      </c>
      <c r="B499" t="str">
        <f>"02/10/2003 00:00"</f>
        <v>02/10/2003 00:00</v>
      </c>
      <c r="C499">
        <v>131</v>
      </c>
      <c r="D499" t="s">
        <v>7</v>
      </c>
      <c r="E499" s="2" t="s">
        <v>12</v>
      </c>
      <c r="F499">
        <f t="shared" si="7"/>
        <v>259.77300000000002</v>
      </c>
      <c r="G499" t="s">
        <v>16</v>
      </c>
      <c r="J499" t="str">
        <f>"02/10/2003 23:45"</f>
        <v>02/10/2003 23:45</v>
      </c>
    </row>
    <row r="500" spans="1:10" x14ac:dyDescent="0.3">
      <c r="A500" t="s">
        <v>6</v>
      </c>
      <c r="B500" t="str">
        <f>"02/11/2003 00:00"</f>
        <v>02/11/2003 00:00</v>
      </c>
      <c r="C500">
        <v>131</v>
      </c>
      <c r="D500" t="s">
        <v>7</v>
      </c>
      <c r="E500" s="2" t="s">
        <v>12</v>
      </c>
      <c r="F500">
        <f t="shared" si="7"/>
        <v>259.77300000000002</v>
      </c>
      <c r="G500" t="s">
        <v>16</v>
      </c>
      <c r="J500" t="str">
        <f>"02/11/2003 23:45"</f>
        <v>02/11/2003 23:45</v>
      </c>
    </row>
    <row r="501" spans="1:10" x14ac:dyDescent="0.3">
      <c r="A501" t="s">
        <v>6</v>
      </c>
      <c r="B501" t="str">
        <f>"02/12/2003 00:00"</f>
        <v>02/12/2003 00:00</v>
      </c>
      <c r="C501">
        <v>130</v>
      </c>
      <c r="D501" t="s">
        <v>7</v>
      </c>
      <c r="E501" s="2" t="s">
        <v>12</v>
      </c>
      <c r="F501">
        <f t="shared" si="7"/>
        <v>257.79000000000002</v>
      </c>
      <c r="G501" t="s">
        <v>16</v>
      </c>
      <c r="J501" t="str">
        <f>"02/12/2003 23:45"</f>
        <v>02/12/2003 23:45</v>
      </c>
    </row>
    <row r="502" spans="1:10" x14ac:dyDescent="0.3">
      <c r="A502" t="s">
        <v>6</v>
      </c>
      <c r="B502" t="str">
        <f>"02/13/2003 00:00"</f>
        <v>02/13/2003 00:00</v>
      </c>
      <c r="C502">
        <v>130</v>
      </c>
      <c r="D502" t="s">
        <v>7</v>
      </c>
      <c r="E502" s="2" t="s">
        <v>12</v>
      </c>
      <c r="F502">
        <f t="shared" si="7"/>
        <v>257.79000000000002</v>
      </c>
      <c r="G502" t="s">
        <v>16</v>
      </c>
      <c r="J502" t="str">
        <f>"02/13/2003 23:45"</f>
        <v>02/13/2003 23:45</v>
      </c>
    </row>
    <row r="503" spans="1:10" x14ac:dyDescent="0.3">
      <c r="A503" t="s">
        <v>6</v>
      </c>
      <c r="B503" t="str">
        <f>"02/14/2003 00:00"</f>
        <v>02/14/2003 00:00</v>
      </c>
      <c r="C503">
        <v>130</v>
      </c>
      <c r="D503" t="s">
        <v>7</v>
      </c>
      <c r="E503" s="2" t="s">
        <v>12</v>
      </c>
      <c r="F503">
        <f t="shared" si="7"/>
        <v>257.79000000000002</v>
      </c>
      <c r="G503" t="s">
        <v>16</v>
      </c>
      <c r="J503" t="str">
        <f>"02/14/2003 23:45"</f>
        <v>02/14/2003 23:45</v>
      </c>
    </row>
    <row r="504" spans="1:10" x14ac:dyDescent="0.3">
      <c r="A504" t="s">
        <v>6</v>
      </c>
      <c r="B504" t="str">
        <f>"02/15/2003 00:00"</f>
        <v>02/15/2003 00:00</v>
      </c>
      <c r="C504">
        <v>130</v>
      </c>
      <c r="D504" t="s">
        <v>7</v>
      </c>
      <c r="E504" s="2" t="s">
        <v>12</v>
      </c>
      <c r="F504">
        <f t="shared" si="7"/>
        <v>257.79000000000002</v>
      </c>
      <c r="G504" t="s">
        <v>16</v>
      </c>
      <c r="J504" t="str">
        <f>"02/15/2003 23:45"</f>
        <v>02/15/2003 23:45</v>
      </c>
    </row>
    <row r="505" spans="1:10" x14ac:dyDescent="0.3">
      <c r="A505" t="s">
        <v>6</v>
      </c>
      <c r="B505" t="str">
        <f>"02/16/2003 00:00"</f>
        <v>02/16/2003 00:00</v>
      </c>
      <c r="C505">
        <v>130</v>
      </c>
      <c r="D505" t="s">
        <v>7</v>
      </c>
      <c r="E505" s="2" t="s">
        <v>12</v>
      </c>
      <c r="F505">
        <f t="shared" si="7"/>
        <v>257.79000000000002</v>
      </c>
      <c r="G505" t="s">
        <v>16</v>
      </c>
      <c r="J505" t="str">
        <f>"02/16/2003 23:45"</f>
        <v>02/16/2003 23:45</v>
      </c>
    </row>
    <row r="506" spans="1:10" x14ac:dyDescent="0.3">
      <c r="A506" t="s">
        <v>6</v>
      </c>
      <c r="B506" t="str">
        <f>"02/17/2003 00:00"</f>
        <v>02/17/2003 00:00</v>
      </c>
      <c r="C506">
        <v>128</v>
      </c>
      <c r="D506" t="s">
        <v>7</v>
      </c>
      <c r="E506" s="2" t="s">
        <v>12</v>
      </c>
      <c r="F506">
        <f t="shared" si="7"/>
        <v>253.82400000000001</v>
      </c>
      <c r="G506" t="s">
        <v>16</v>
      </c>
      <c r="J506" t="str">
        <f>"02/17/2003 23:45"</f>
        <v>02/17/2003 23:45</v>
      </c>
    </row>
    <row r="507" spans="1:10" x14ac:dyDescent="0.3">
      <c r="A507" t="s">
        <v>6</v>
      </c>
      <c r="B507" t="str">
        <f>"02/18/2003 00:00"</f>
        <v>02/18/2003 00:00</v>
      </c>
      <c r="C507">
        <v>129</v>
      </c>
      <c r="D507" t="s">
        <v>7</v>
      </c>
      <c r="E507" s="2" t="s">
        <v>12</v>
      </c>
      <c r="F507">
        <f t="shared" si="7"/>
        <v>255.80700000000002</v>
      </c>
      <c r="G507" t="s">
        <v>16</v>
      </c>
      <c r="J507" t="str">
        <f>"02/18/2003 23:45"</f>
        <v>02/18/2003 23:45</v>
      </c>
    </row>
    <row r="508" spans="1:10" x14ac:dyDescent="0.3">
      <c r="A508" t="s">
        <v>6</v>
      </c>
      <c r="B508" t="str">
        <f>"02/19/2003 00:00"</f>
        <v>02/19/2003 00:00</v>
      </c>
      <c r="C508">
        <v>127</v>
      </c>
      <c r="D508" t="s">
        <v>7</v>
      </c>
      <c r="E508" s="2" t="s">
        <v>12</v>
      </c>
      <c r="F508">
        <f t="shared" si="7"/>
        <v>251.84100000000001</v>
      </c>
      <c r="G508" t="s">
        <v>16</v>
      </c>
      <c r="J508" t="str">
        <f>"02/19/2003 23:45"</f>
        <v>02/19/2003 23:45</v>
      </c>
    </row>
    <row r="509" spans="1:10" x14ac:dyDescent="0.3">
      <c r="A509" t="s">
        <v>6</v>
      </c>
      <c r="B509" t="str">
        <f>"02/20/2003 00:00"</f>
        <v>02/20/2003 00:00</v>
      </c>
      <c r="C509">
        <v>128</v>
      </c>
      <c r="D509" t="s">
        <v>7</v>
      </c>
      <c r="E509" s="2" t="s">
        <v>12</v>
      </c>
      <c r="F509">
        <f t="shared" si="7"/>
        <v>253.82400000000001</v>
      </c>
      <c r="G509" t="s">
        <v>16</v>
      </c>
      <c r="J509" t="str">
        <f>"02/20/2003 23:45"</f>
        <v>02/20/2003 23:45</v>
      </c>
    </row>
    <row r="510" spans="1:10" x14ac:dyDescent="0.3">
      <c r="A510" t="s">
        <v>6</v>
      </c>
      <c r="B510" t="str">
        <f>"02/21/2003 00:00"</f>
        <v>02/21/2003 00:00</v>
      </c>
      <c r="C510">
        <v>129</v>
      </c>
      <c r="D510" t="s">
        <v>7</v>
      </c>
      <c r="E510" s="2" t="s">
        <v>12</v>
      </c>
      <c r="F510">
        <f t="shared" si="7"/>
        <v>255.80700000000002</v>
      </c>
      <c r="G510" t="s">
        <v>16</v>
      </c>
      <c r="J510" t="str">
        <f>"02/21/2003 23:45"</f>
        <v>02/21/2003 23:45</v>
      </c>
    </row>
    <row r="511" spans="1:10" x14ac:dyDescent="0.3">
      <c r="A511" t="s">
        <v>6</v>
      </c>
      <c r="B511" t="str">
        <f>"02/22/2003 00:00"</f>
        <v>02/22/2003 00:00</v>
      </c>
      <c r="C511">
        <v>130</v>
      </c>
      <c r="D511" t="s">
        <v>7</v>
      </c>
      <c r="E511" s="2" t="s">
        <v>12</v>
      </c>
      <c r="F511">
        <f t="shared" si="7"/>
        <v>257.79000000000002</v>
      </c>
      <c r="G511" t="s">
        <v>16</v>
      </c>
      <c r="J511" t="str">
        <f>"02/22/2003 23:45"</f>
        <v>02/22/2003 23:45</v>
      </c>
    </row>
    <row r="512" spans="1:10" x14ac:dyDescent="0.3">
      <c r="A512" t="s">
        <v>6</v>
      </c>
      <c r="B512" t="str">
        <f>"02/23/2003 00:00"</f>
        <v>02/23/2003 00:00</v>
      </c>
      <c r="C512">
        <v>130</v>
      </c>
      <c r="D512" t="s">
        <v>7</v>
      </c>
      <c r="E512" s="2" t="s">
        <v>12</v>
      </c>
      <c r="F512">
        <f t="shared" si="7"/>
        <v>257.79000000000002</v>
      </c>
      <c r="G512" t="s">
        <v>16</v>
      </c>
      <c r="J512" t="str">
        <f>"02/23/2003 23:45"</f>
        <v>02/23/2003 23:45</v>
      </c>
    </row>
    <row r="513" spans="1:10" x14ac:dyDescent="0.3">
      <c r="A513" t="s">
        <v>6</v>
      </c>
      <c r="B513" t="str">
        <f>"02/24/2003 00:00"</f>
        <v>02/24/2003 00:00</v>
      </c>
      <c r="C513">
        <v>130</v>
      </c>
      <c r="D513" t="s">
        <v>7</v>
      </c>
      <c r="E513" s="2" t="s">
        <v>12</v>
      </c>
      <c r="F513">
        <f t="shared" si="7"/>
        <v>257.79000000000002</v>
      </c>
      <c r="G513" t="s">
        <v>16</v>
      </c>
      <c r="J513" t="str">
        <f>"02/24/2003 23:45"</f>
        <v>02/24/2003 23:45</v>
      </c>
    </row>
    <row r="514" spans="1:10" x14ac:dyDescent="0.3">
      <c r="A514" t="s">
        <v>6</v>
      </c>
      <c r="B514" t="str">
        <f>"02/25/2003 00:00"</f>
        <v>02/25/2003 00:00</v>
      </c>
      <c r="C514">
        <v>130</v>
      </c>
      <c r="D514" t="s">
        <v>7</v>
      </c>
      <c r="E514" s="2" t="s">
        <v>12</v>
      </c>
      <c r="F514">
        <f t="shared" si="7"/>
        <v>257.79000000000002</v>
      </c>
      <c r="G514" t="s">
        <v>16</v>
      </c>
      <c r="J514" t="str">
        <f>"02/25/2003 23:45"</f>
        <v>02/25/2003 23:45</v>
      </c>
    </row>
    <row r="515" spans="1:10" x14ac:dyDescent="0.3">
      <c r="A515" t="s">
        <v>6</v>
      </c>
      <c r="B515" t="str">
        <f>"02/26/2003 00:00"</f>
        <v>02/26/2003 00:00</v>
      </c>
      <c r="C515">
        <v>130</v>
      </c>
      <c r="D515" t="s">
        <v>7</v>
      </c>
      <c r="E515" s="2" t="s">
        <v>12</v>
      </c>
      <c r="F515">
        <f t="shared" si="7"/>
        <v>257.79000000000002</v>
      </c>
      <c r="G515" t="s">
        <v>16</v>
      </c>
      <c r="J515" t="str">
        <f>"02/26/2003 23:45"</f>
        <v>02/26/2003 23:45</v>
      </c>
    </row>
    <row r="516" spans="1:10" x14ac:dyDescent="0.3">
      <c r="A516" t="s">
        <v>6</v>
      </c>
      <c r="B516" t="str">
        <f>"02/27/2003 00:00"</f>
        <v>02/27/2003 00:00</v>
      </c>
      <c r="C516">
        <v>130</v>
      </c>
      <c r="D516" t="s">
        <v>7</v>
      </c>
      <c r="E516" s="2" t="s">
        <v>12</v>
      </c>
      <c r="F516">
        <f t="shared" ref="F516:F579" si="8">C516*1.983</f>
        <v>257.79000000000002</v>
      </c>
      <c r="G516" t="s">
        <v>16</v>
      </c>
      <c r="J516" t="str">
        <f>"02/27/2003 23:45"</f>
        <v>02/27/2003 23:45</v>
      </c>
    </row>
    <row r="517" spans="1:10" x14ac:dyDescent="0.3">
      <c r="A517" t="s">
        <v>6</v>
      </c>
      <c r="B517" t="str">
        <f>"02/28/2003 00:00"</f>
        <v>02/28/2003 00:00</v>
      </c>
      <c r="C517">
        <v>130</v>
      </c>
      <c r="D517" t="s">
        <v>7</v>
      </c>
      <c r="E517" s="2" t="s">
        <v>12</v>
      </c>
      <c r="F517">
        <f t="shared" si="8"/>
        <v>257.79000000000002</v>
      </c>
      <c r="G517" t="s">
        <v>16</v>
      </c>
      <c r="J517" t="str">
        <f>"02/28/2003 23:45"</f>
        <v>02/28/2003 23:45</v>
      </c>
    </row>
    <row r="518" spans="1:10" x14ac:dyDescent="0.3">
      <c r="A518" t="s">
        <v>6</v>
      </c>
      <c r="B518" t="str">
        <f>"03/01/2003 00:00"</f>
        <v>03/01/2003 00:00</v>
      </c>
      <c r="C518">
        <v>130</v>
      </c>
      <c r="D518" t="s">
        <v>7</v>
      </c>
      <c r="E518" s="2" t="s">
        <v>12</v>
      </c>
      <c r="F518">
        <f t="shared" si="8"/>
        <v>257.79000000000002</v>
      </c>
      <c r="G518" t="s">
        <v>16</v>
      </c>
      <c r="J518" t="str">
        <f>"03/01/2003 23:45"</f>
        <v>03/01/2003 23:45</v>
      </c>
    </row>
    <row r="519" spans="1:10" x14ac:dyDescent="0.3">
      <c r="A519" t="s">
        <v>6</v>
      </c>
      <c r="B519" t="str">
        <f>"03/02/2003 00:00"</f>
        <v>03/02/2003 00:00</v>
      </c>
      <c r="C519">
        <v>130</v>
      </c>
      <c r="D519" t="s">
        <v>7</v>
      </c>
      <c r="E519" s="2" t="s">
        <v>12</v>
      </c>
      <c r="F519">
        <f t="shared" si="8"/>
        <v>257.79000000000002</v>
      </c>
      <c r="G519" t="s">
        <v>16</v>
      </c>
      <c r="J519" t="str">
        <f>"03/02/2003 23:45"</f>
        <v>03/02/2003 23:45</v>
      </c>
    </row>
    <row r="520" spans="1:10" x14ac:dyDescent="0.3">
      <c r="A520" t="s">
        <v>6</v>
      </c>
      <c r="B520" t="str">
        <f>"03/03/2003 00:00"</f>
        <v>03/03/2003 00:00</v>
      </c>
      <c r="C520">
        <v>129</v>
      </c>
      <c r="D520" t="s">
        <v>7</v>
      </c>
      <c r="E520" s="2" t="s">
        <v>12</v>
      </c>
      <c r="F520">
        <f t="shared" si="8"/>
        <v>255.80700000000002</v>
      </c>
      <c r="G520" t="s">
        <v>16</v>
      </c>
      <c r="J520" t="str">
        <f>"03/03/2003 23:45"</f>
        <v>03/03/2003 23:45</v>
      </c>
    </row>
    <row r="521" spans="1:10" x14ac:dyDescent="0.3">
      <c r="A521" t="s">
        <v>6</v>
      </c>
      <c r="B521" t="str">
        <f>"03/04/2003 00:00"</f>
        <v>03/04/2003 00:00</v>
      </c>
      <c r="C521">
        <v>129</v>
      </c>
      <c r="D521" t="s">
        <v>7</v>
      </c>
      <c r="E521" s="2" t="s">
        <v>12</v>
      </c>
      <c r="F521">
        <f t="shared" si="8"/>
        <v>255.80700000000002</v>
      </c>
      <c r="G521" t="s">
        <v>16</v>
      </c>
      <c r="J521" t="str">
        <f>"03/04/2003 23:45"</f>
        <v>03/04/2003 23:45</v>
      </c>
    </row>
    <row r="522" spans="1:10" x14ac:dyDescent="0.3">
      <c r="A522" t="s">
        <v>6</v>
      </c>
      <c r="B522" t="str">
        <f>"03/05/2003 00:00"</f>
        <v>03/05/2003 00:00</v>
      </c>
      <c r="C522">
        <v>129</v>
      </c>
      <c r="D522" t="s">
        <v>7</v>
      </c>
      <c r="E522" s="2" t="s">
        <v>12</v>
      </c>
      <c r="F522">
        <f t="shared" si="8"/>
        <v>255.80700000000002</v>
      </c>
      <c r="G522" t="s">
        <v>16</v>
      </c>
      <c r="J522" t="str">
        <f>"03/05/2003 23:45"</f>
        <v>03/05/2003 23:45</v>
      </c>
    </row>
    <row r="523" spans="1:10" x14ac:dyDescent="0.3">
      <c r="A523" t="s">
        <v>6</v>
      </c>
      <c r="B523" t="str">
        <f>"03/06/2003 00:00"</f>
        <v>03/06/2003 00:00</v>
      </c>
      <c r="C523">
        <v>128</v>
      </c>
      <c r="D523" t="s">
        <v>7</v>
      </c>
      <c r="E523" s="2" t="s">
        <v>12</v>
      </c>
      <c r="F523">
        <f t="shared" si="8"/>
        <v>253.82400000000001</v>
      </c>
      <c r="G523" t="s">
        <v>16</v>
      </c>
      <c r="J523" t="str">
        <f>"03/06/2003 23:45"</f>
        <v>03/06/2003 23:45</v>
      </c>
    </row>
    <row r="524" spans="1:10" x14ac:dyDescent="0.3">
      <c r="A524" t="s">
        <v>6</v>
      </c>
      <c r="B524" t="str">
        <f>"03/07/2003 00:00"</f>
        <v>03/07/2003 00:00</v>
      </c>
      <c r="C524">
        <v>128</v>
      </c>
      <c r="D524" t="s">
        <v>7</v>
      </c>
      <c r="E524" s="2" t="s">
        <v>12</v>
      </c>
      <c r="F524">
        <f t="shared" si="8"/>
        <v>253.82400000000001</v>
      </c>
      <c r="G524" t="s">
        <v>16</v>
      </c>
      <c r="J524" t="str">
        <f>"03/07/2003 23:45"</f>
        <v>03/07/2003 23:45</v>
      </c>
    </row>
    <row r="525" spans="1:10" x14ac:dyDescent="0.3">
      <c r="A525" t="s">
        <v>6</v>
      </c>
      <c r="B525" t="str">
        <f>"03/08/2003 00:00"</f>
        <v>03/08/2003 00:00</v>
      </c>
      <c r="C525">
        <v>129</v>
      </c>
      <c r="D525" t="s">
        <v>7</v>
      </c>
      <c r="E525" s="2" t="s">
        <v>12</v>
      </c>
      <c r="F525">
        <f t="shared" si="8"/>
        <v>255.80700000000002</v>
      </c>
      <c r="G525" t="s">
        <v>16</v>
      </c>
      <c r="J525" t="str">
        <f>"03/08/2003 23:45"</f>
        <v>03/08/2003 23:45</v>
      </c>
    </row>
    <row r="526" spans="1:10" x14ac:dyDescent="0.3">
      <c r="A526" t="s">
        <v>6</v>
      </c>
      <c r="B526" t="str">
        <f>"03/09/2003 00:00"</f>
        <v>03/09/2003 00:00</v>
      </c>
      <c r="C526">
        <v>130</v>
      </c>
      <c r="D526" t="s">
        <v>7</v>
      </c>
      <c r="E526" s="2" t="s">
        <v>12</v>
      </c>
      <c r="F526">
        <f t="shared" si="8"/>
        <v>257.79000000000002</v>
      </c>
      <c r="G526" t="s">
        <v>16</v>
      </c>
      <c r="J526" t="str">
        <f>"03/09/2003 23:45"</f>
        <v>03/09/2003 23:45</v>
      </c>
    </row>
    <row r="527" spans="1:10" x14ac:dyDescent="0.3">
      <c r="A527" t="s">
        <v>6</v>
      </c>
      <c r="B527" t="str">
        <f>"03/10/2003 00:00"</f>
        <v>03/10/2003 00:00</v>
      </c>
      <c r="C527">
        <v>130</v>
      </c>
      <c r="D527" t="s">
        <v>7</v>
      </c>
      <c r="E527" s="2" t="s">
        <v>12</v>
      </c>
      <c r="F527">
        <f t="shared" si="8"/>
        <v>257.79000000000002</v>
      </c>
      <c r="G527" t="s">
        <v>16</v>
      </c>
      <c r="J527" t="str">
        <f>"03/10/2003 23:45"</f>
        <v>03/10/2003 23:45</v>
      </c>
    </row>
    <row r="528" spans="1:10" x14ac:dyDescent="0.3">
      <c r="A528" t="s">
        <v>6</v>
      </c>
      <c r="B528" t="str">
        <f>"03/11/2003 00:00"</f>
        <v>03/11/2003 00:00</v>
      </c>
      <c r="C528">
        <v>130</v>
      </c>
      <c r="D528" t="s">
        <v>7</v>
      </c>
      <c r="E528" s="2" t="s">
        <v>12</v>
      </c>
      <c r="F528">
        <f t="shared" si="8"/>
        <v>257.79000000000002</v>
      </c>
      <c r="G528" t="s">
        <v>16</v>
      </c>
      <c r="J528" t="str">
        <f>"03/11/2003 23:45"</f>
        <v>03/11/2003 23:45</v>
      </c>
    </row>
    <row r="529" spans="1:10" x14ac:dyDescent="0.3">
      <c r="A529" t="s">
        <v>6</v>
      </c>
      <c r="B529" t="str">
        <f>"03/12/2003 00:00"</f>
        <v>03/12/2003 00:00</v>
      </c>
      <c r="C529">
        <v>130</v>
      </c>
      <c r="D529" t="s">
        <v>7</v>
      </c>
      <c r="E529" s="2" t="s">
        <v>12</v>
      </c>
      <c r="F529">
        <f t="shared" si="8"/>
        <v>257.79000000000002</v>
      </c>
      <c r="G529" t="s">
        <v>16</v>
      </c>
      <c r="J529" t="str">
        <f>"03/12/2003 23:45"</f>
        <v>03/12/2003 23:45</v>
      </c>
    </row>
    <row r="530" spans="1:10" x14ac:dyDescent="0.3">
      <c r="A530" t="s">
        <v>6</v>
      </c>
      <c r="B530" t="str">
        <f>"03/13/2003 00:00"</f>
        <v>03/13/2003 00:00</v>
      </c>
      <c r="C530">
        <v>114</v>
      </c>
      <c r="D530" t="s">
        <v>7</v>
      </c>
      <c r="E530" s="2" t="s">
        <v>12</v>
      </c>
      <c r="F530">
        <f t="shared" si="8"/>
        <v>226.06200000000001</v>
      </c>
      <c r="G530" t="s">
        <v>16</v>
      </c>
      <c r="J530" t="str">
        <f>"03/13/2003 23:45"</f>
        <v>03/13/2003 23:45</v>
      </c>
    </row>
    <row r="531" spans="1:10" x14ac:dyDescent="0.3">
      <c r="A531" t="s">
        <v>6</v>
      </c>
      <c r="B531" t="str">
        <f>"03/14/2003 00:00"</f>
        <v>03/14/2003 00:00</v>
      </c>
      <c r="C531">
        <v>101</v>
      </c>
      <c r="D531" t="s">
        <v>7</v>
      </c>
      <c r="E531" s="2" t="s">
        <v>12</v>
      </c>
      <c r="F531">
        <f t="shared" si="8"/>
        <v>200.28300000000002</v>
      </c>
      <c r="G531" t="s">
        <v>16</v>
      </c>
      <c r="J531" t="str">
        <f>"03/14/2003 23:45"</f>
        <v>03/14/2003 23:45</v>
      </c>
    </row>
    <row r="532" spans="1:10" x14ac:dyDescent="0.3">
      <c r="A532" t="s">
        <v>6</v>
      </c>
      <c r="B532" t="str">
        <f>"03/15/2003 00:00"</f>
        <v>03/15/2003 00:00</v>
      </c>
      <c r="C532">
        <v>101</v>
      </c>
      <c r="D532" t="s">
        <v>7</v>
      </c>
      <c r="E532" s="2" t="s">
        <v>12</v>
      </c>
      <c r="F532">
        <f t="shared" si="8"/>
        <v>200.28300000000002</v>
      </c>
      <c r="G532" t="s">
        <v>16</v>
      </c>
      <c r="J532" t="str">
        <f>"03/15/2003 23:45"</f>
        <v>03/15/2003 23:45</v>
      </c>
    </row>
    <row r="533" spans="1:10" x14ac:dyDescent="0.3">
      <c r="A533" t="s">
        <v>6</v>
      </c>
      <c r="B533" t="str">
        <f>"03/16/2003 00:00"</f>
        <v>03/16/2003 00:00</v>
      </c>
      <c r="C533">
        <v>101</v>
      </c>
      <c r="D533" t="s">
        <v>7</v>
      </c>
      <c r="E533" s="2" t="s">
        <v>12</v>
      </c>
      <c r="F533">
        <f t="shared" si="8"/>
        <v>200.28300000000002</v>
      </c>
      <c r="G533" t="s">
        <v>16</v>
      </c>
      <c r="J533" t="str">
        <f>"03/16/2003 23:45"</f>
        <v>03/16/2003 23:45</v>
      </c>
    </row>
    <row r="534" spans="1:10" x14ac:dyDescent="0.3">
      <c r="A534" t="s">
        <v>6</v>
      </c>
      <c r="B534" t="str">
        <f>"03/17/2003 00:00"</f>
        <v>03/17/2003 00:00</v>
      </c>
      <c r="C534">
        <v>101</v>
      </c>
      <c r="D534" t="s">
        <v>7</v>
      </c>
      <c r="E534" s="2" t="s">
        <v>12</v>
      </c>
      <c r="F534">
        <f t="shared" si="8"/>
        <v>200.28300000000002</v>
      </c>
      <c r="G534" t="s">
        <v>16</v>
      </c>
      <c r="J534" t="str">
        <f>"03/17/2003 23:45"</f>
        <v>03/17/2003 23:45</v>
      </c>
    </row>
    <row r="535" spans="1:10" x14ac:dyDescent="0.3">
      <c r="A535" t="s">
        <v>6</v>
      </c>
      <c r="B535" t="str">
        <f>"03/18/2003 00:00"</f>
        <v>03/18/2003 00:00</v>
      </c>
      <c r="C535">
        <v>50</v>
      </c>
      <c r="D535" t="s">
        <v>7</v>
      </c>
      <c r="E535" s="2" t="s">
        <v>12</v>
      </c>
      <c r="F535">
        <f t="shared" si="8"/>
        <v>99.15</v>
      </c>
      <c r="G535" t="s">
        <v>16</v>
      </c>
      <c r="J535" t="str">
        <f>"03/18/2003 23:45"</f>
        <v>03/18/2003 23:45</v>
      </c>
    </row>
    <row r="536" spans="1:10" x14ac:dyDescent="0.3">
      <c r="A536" t="s">
        <v>6</v>
      </c>
      <c r="B536" t="str">
        <f>"03/19/2003 00:00"</f>
        <v>03/19/2003 00:00</v>
      </c>
      <c r="C536">
        <v>1.64</v>
      </c>
      <c r="D536" t="s">
        <v>7</v>
      </c>
      <c r="E536" s="2" t="s">
        <v>12</v>
      </c>
      <c r="F536">
        <f t="shared" si="8"/>
        <v>3.2521200000000001</v>
      </c>
      <c r="G536" t="s">
        <v>16</v>
      </c>
      <c r="J536" t="str">
        <f>"03/19/2003 23:45"</f>
        <v>03/19/2003 23:45</v>
      </c>
    </row>
    <row r="537" spans="1:10" x14ac:dyDescent="0.3">
      <c r="A537" t="s">
        <v>6</v>
      </c>
      <c r="B537" t="str">
        <f>"03/20/2003 00:00"</f>
        <v>03/20/2003 00:00</v>
      </c>
      <c r="C537">
        <v>1.73</v>
      </c>
      <c r="D537" t="s">
        <v>7</v>
      </c>
      <c r="E537" s="2" t="s">
        <v>12</v>
      </c>
      <c r="F537">
        <f t="shared" si="8"/>
        <v>3.43059</v>
      </c>
      <c r="G537" t="s">
        <v>16</v>
      </c>
      <c r="J537" t="str">
        <f>"03/20/2003 23:45"</f>
        <v>03/20/2003 23:45</v>
      </c>
    </row>
    <row r="538" spans="1:10" x14ac:dyDescent="0.3">
      <c r="A538" t="s">
        <v>6</v>
      </c>
      <c r="B538" t="str">
        <f>"03/21/2003 00:00"</f>
        <v>03/21/2003 00:00</v>
      </c>
      <c r="C538">
        <v>1.62</v>
      </c>
      <c r="D538" t="s">
        <v>7</v>
      </c>
      <c r="E538" s="2" t="s">
        <v>12</v>
      </c>
      <c r="F538">
        <f t="shared" si="8"/>
        <v>3.2124600000000005</v>
      </c>
      <c r="G538" t="s">
        <v>16</v>
      </c>
      <c r="J538" t="str">
        <f>"03/21/2003 23:45"</f>
        <v>03/21/2003 23:45</v>
      </c>
    </row>
    <row r="539" spans="1:10" x14ac:dyDescent="0.3">
      <c r="A539" t="s">
        <v>6</v>
      </c>
      <c r="B539" t="str">
        <f>"03/22/2003 00:00"</f>
        <v>03/22/2003 00:00</v>
      </c>
      <c r="C539">
        <v>1.62</v>
      </c>
      <c r="D539" t="s">
        <v>7</v>
      </c>
      <c r="E539" s="2" t="s">
        <v>12</v>
      </c>
      <c r="F539">
        <f t="shared" si="8"/>
        <v>3.2124600000000005</v>
      </c>
      <c r="G539" t="s">
        <v>16</v>
      </c>
      <c r="J539" t="str">
        <f>"03/22/2003 23:45"</f>
        <v>03/22/2003 23:45</v>
      </c>
    </row>
    <row r="540" spans="1:10" x14ac:dyDescent="0.3">
      <c r="A540" t="s">
        <v>6</v>
      </c>
      <c r="B540" t="str">
        <f>"03/23/2003 00:00"</f>
        <v>03/23/2003 00:00</v>
      </c>
      <c r="C540">
        <v>1.62</v>
      </c>
      <c r="D540" t="s">
        <v>7</v>
      </c>
      <c r="E540" s="2" t="s">
        <v>12</v>
      </c>
      <c r="F540">
        <f t="shared" si="8"/>
        <v>3.2124600000000005</v>
      </c>
      <c r="G540" t="s">
        <v>16</v>
      </c>
      <c r="J540" t="str">
        <f>"03/23/2003 23:45"</f>
        <v>03/23/2003 23:45</v>
      </c>
    </row>
    <row r="541" spans="1:10" x14ac:dyDescent="0.3">
      <c r="A541" t="s">
        <v>6</v>
      </c>
      <c r="B541" t="str">
        <f>"03/24/2003 00:00"</f>
        <v>03/24/2003 00:00</v>
      </c>
      <c r="C541">
        <v>1.65</v>
      </c>
      <c r="D541" t="s">
        <v>7</v>
      </c>
      <c r="E541" s="2" t="s">
        <v>12</v>
      </c>
      <c r="F541">
        <f t="shared" si="8"/>
        <v>3.2719499999999999</v>
      </c>
      <c r="G541" t="s">
        <v>16</v>
      </c>
      <c r="J541" t="str">
        <f>"03/24/2003 23:45"</f>
        <v>03/24/2003 23:45</v>
      </c>
    </row>
    <row r="542" spans="1:10" x14ac:dyDescent="0.3">
      <c r="A542" t="s">
        <v>6</v>
      </c>
      <c r="B542" t="str">
        <f>"03/25/2003 00:00"</f>
        <v>03/25/2003 00:00</v>
      </c>
      <c r="C542">
        <v>1.62</v>
      </c>
      <c r="D542" t="s">
        <v>7</v>
      </c>
      <c r="E542" s="2" t="s">
        <v>12</v>
      </c>
      <c r="F542">
        <f t="shared" si="8"/>
        <v>3.2124600000000005</v>
      </c>
      <c r="G542" t="s">
        <v>16</v>
      </c>
      <c r="J542" t="str">
        <f>"03/25/2003 23:45"</f>
        <v>03/25/2003 23:45</v>
      </c>
    </row>
    <row r="543" spans="1:10" x14ac:dyDescent="0.3">
      <c r="A543" t="s">
        <v>6</v>
      </c>
      <c r="B543" t="str">
        <f>"03/26/2003 00:00"</f>
        <v>03/26/2003 00:00</v>
      </c>
      <c r="C543">
        <v>1.62</v>
      </c>
      <c r="D543" t="s">
        <v>7</v>
      </c>
      <c r="E543" s="2" t="s">
        <v>12</v>
      </c>
      <c r="F543">
        <f t="shared" si="8"/>
        <v>3.2124600000000005</v>
      </c>
      <c r="G543" t="s">
        <v>16</v>
      </c>
      <c r="J543" t="str">
        <f>"03/26/2003 23:45"</f>
        <v>03/26/2003 23:45</v>
      </c>
    </row>
    <row r="544" spans="1:10" x14ac:dyDescent="0.3">
      <c r="A544" t="s">
        <v>6</v>
      </c>
      <c r="B544" t="str">
        <f>"03/27/2003 00:00"</f>
        <v>03/27/2003 00:00</v>
      </c>
      <c r="C544">
        <v>2.0499999999999998</v>
      </c>
      <c r="D544" t="s">
        <v>7</v>
      </c>
      <c r="E544" s="2" t="s">
        <v>12</v>
      </c>
      <c r="F544">
        <f t="shared" si="8"/>
        <v>4.06515</v>
      </c>
      <c r="G544" t="s">
        <v>16</v>
      </c>
      <c r="J544" t="str">
        <f>"03/27/2003 23:45"</f>
        <v>03/27/2003 23:45</v>
      </c>
    </row>
    <row r="545" spans="1:10" x14ac:dyDescent="0.3">
      <c r="A545" t="s">
        <v>6</v>
      </c>
      <c r="B545" t="str">
        <f>"03/28/2003 00:00"</f>
        <v>03/28/2003 00:00</v>
      </c>
      <c r="C545">
        <v>2.44</v>
      </c>
      <c r="D545" t="s">
        <v>7</v>
      </c>
      <c r="E545" s="2" t="s">
        <v>12</v>
      </c>
      <c r="F545">
        <f t="shared" si="8"/>
        <v>4.8385199999999999</v>
      </c>
      <c r="G545" t="s">
        <v>16</v>
      </c>
      <c r="J545" t="str">
        <f>"03/28/2003 23:45"</f>
        <v>03/28/2003 23:45</v>
      </c>
    </row>
    <row r="546" spans="1:10" x14ac:dyDescent="0.3">
      <c r="A546" t="s">
        <v>6</v>
      </c>
      <c r="B546" t="str">
        <f>"03/29/2003 00:00"</f>
        <v>03/29/2003 00:00</v>
      </c>
      <c r="C546">
        <v>2.42</v>
      </c>
      <c r="D546" t="s">
        <v>7</v>
      </c>
      <c r="E546" s="2" t="s">
        <v>12</v>
      </c>
      <c r="F546">
        <f t="shared" si="8"/>
        <v>4.7988600000000003</v>
      </c>
      <c r="G546" t="s">
        <v>16</v>
      </c>
      <c r="J546" t="str">
        <f>"03/29/2003 23:45"</f>
        <v>03/29/2003 23:45</v>
      </c>
    </row>
    <row r="547" spans="1:10" x14ac:dyDescent="0.3">
      <c r="A547" t="s">
        <v>6</v>
      </c>
      <c r="B547" t="str">
        <f>"03/30/2003 00:00"</f>
        <v>03/30/2003 00:00</v>
      </c>
      <c r="C547">
        <v>2.06</v>
      </c>
      <c r="D547" t="s">
        <v>7</v>
      </c>
      <c r="E547" s="2" t="s">
        <v>12</v>
      </c>
      <c r="F547">
        <f t="shared" si="8"/>
        <v>4.0849800000000007</v>
      </c>
      <c r="G547" t="s">
        <v>16</v>
      </c>
      <c r="J547" t="str">
        <f>"03/30/2003 23:45"</f>
        <v>03/30/2003 23:45</v>
      </c>
    </row>
    <row r="548" spans="1:10" x14ac:dyDescent="0.3">
      <c r="A548" t="s">
        <v>6</v>
      </c>
      <c r="B548" t="str">
        <f>"03/31/2003 00:00"</f>
        <v>03/31/2003 00:00</v>
      </c>
      <c r="C548">
        <v>1.92</v>
      </c>
      <c r="D548" t="s">
        <v>7</v>
      </c>
      <c r="E548" s="2" t="s">
        <v>12</v>
      </c>
      <c r="F548">
        <f t="shared" si="8"/>
        <v>3.8073600000000001</v>
      </c>
      <c r="G548" t="s">
        <v>16</v>
      </c>
      <c r="J548" t="str">
        <f>"03/31/2003 23:45"</f>
        <v>03/31/2003 23:45</v>
      </c>
    </row>
    <row r="549" spans="1:10" x14ac:dyDescent="0.3">
      <c r="A549" t="s">
        <v>6</v>
      </c>
      <c r="B549" t="str">
        <f>"04/01/2003 00:00"</f>
        <v>04/01/2003 00:00</v>
      </c>
      <c r="C549">
        <v>1.92</v>
      </c>
      <c r="D549" t="s">
        <v>7</v>
      </c>
      <c r="E549" s="2" t="s">
        <v>12</v>
      </c>
      <c r="F549">
        <f t="shared" si="8"/>
        <v>3.8073600000000001</v>
      </c>
      <c r="G549" t="s">
        <v>16</v>
      </c>
      <c r="J549" t="str">
        <f>"04/01/2003 23:45"</f>
        <v>04/01/2003 23:45</v>
      </c>
    </row>
    <row r="550" spans="1:10" x14ac:dyDescent="0.3">
      <c r="A550" t="s">
        <v>6</v>
      </c>
      <c r="B550" t="str">
        <f>"04/02/2003 00:00"</f>
        <v>04/02/2003 00:00</v>
      </c>
      <c r="C550">
        <v>1.92</v>
      </c>
      <c r="D550" t="s">
        <v>7</v>
      </c>
      <c r="E550" s="2" t="s">
        <v>12</v>
      </c>
      <c r="F550">
        <f t="shared" si="8"/>
        <v>3.8073600000000001</v>
      </c>
      <c r="G550" t="s">
        <v>16</v>
      </c>
      <c r="J550" t="str">
        <f>"04/02/2003 23:45"</f>
        <v>04/02/2003 23:45</v>
      </c>
    </row>
    <row r="551" spans="1:10" x14ac:dyDescent="0.3">
      <c r="A551" t="s">
        <v>6</v>
      </c>
      <c r="B551" t="str">
        <f>"04/03/2003 00:00"</f>
        <v>04/03/2003 00:00</v>
      </c>
      <c r="C551">
        <v>1.92</v>
      </c>
      <c r="D551" t="s">
        <v>7</v>
      </c>
      <c r="E551" s="2" t="s">
        <v>12</v>
      </c>
      <c r="F551">
        <f t="shared" si="8"/>
        <v>3.8073600000000001</v>
      </c>
      <c r="G551" t="s">
        <v>16</v>
      </c>
      <c r="J551" t="str">
        <f>"04/03/2003 23:45"</f>
        <v>04/03/2003 23:45</v>
      </c>
    </row>
    <row r="552" spans="1:10" x14ac:dyDescent="0.3">
      <c r="A552" t="s">
        <v>6</v>
      </c>
      <c r="B552" t="str">
        <f>"04/04/2003 00:00"</f>
        <v>04/04/2003 00:00</v>
      </c>
      <c r="C552">
        <v>2.1</v>
      </c>
      <c r="D552" t="s">
        <v>7</v>
      </c>
      <c r="E552" s="2" t="s">
        <v>12</v>
      </c>
      <c r="F552">
        <f t="shared" si="8"/>
        <v>4.1643000000000008</v>
      </c>
      <c r="G552" t="s">
        <v>16</v>
      </c>
      <c r="J552" t="str">
        <f>"04/04/2003 23:45"</f>
        <v>04/04/2003 23:45</v>
      </c>
    </row>
    <row r="553" spans="1:10" x14ac:dyDescent="0.3">
      <c r="A553" t="s">
        <v>6</v>
      </c>
      <c r="B553" t="str">
        <f>"04/05/2003 00:00"</f>
        <v>04/05/2003 00:00</v>
      </c>
      <c r="C553">
        <v>2.12</v>
      </c>
      <c r="D553" t="s">
        <v>7</v>
      </c>
      <c r="E553" s="2" t="s">
        <v>12</v>
      </c>
      <c r="F553">
        <f t="shared" si="8"/>
        <v>4.2039600000000004</v>
      </c>
      <c r="G553" t="s">
        <v>16</v>
      </c>
      <c r="J553" t="str">
        <f>"04/05/2003 23:45"</f>
        <v>04/05/2003 23:45</v>
      </c>
    </row>
    <row r="554" spans="1:10" x14ac:dyDescent="0.3">
      <c r="A554" t="s">
        <v>6</v>
      </c>
      <c r="B554" t="str">
        <f>"04/06/2003 00:00"</f>
        <v>04/06/2003 00:00</v>
      </c>
      <c r="C554">
        <v>2.0099999999999998</v>
      </c>
      <c r="D554" t="s">
        <v>7</v>
      </c>
      <c r="E554" s="2" t="s">
        <v>12</v>
      </c>
      <c r="F554">
        <f t="shared" si="8"/>
        <v>3.98583</v>
      </c>
      <c r="G554" t="s">
        <v>16</v>
      </c>
      <c r="J554" t="str">
        <f>"04/06/2003 23:45"</f>
        <v>04/06/2003 23:45</v>
      </c>
    </row>
    <row r="555" spans="1:10" x14ac:dyDescent="0.3">
      <c r="A555" t="s">
        <v>6</v>
      </c>
      <c r="B555" t="str">
        <f>"04/07/2003 00:00"</f>
        <v>04/07/2003 00:00</v>
      </c>
      <c r="C555">
        <v>2.48</v>
      </c>
      <c r="D555" t="s">
        <v>7</v>
      </c>
      <c r="E555" s="2" t="s">
        <v>12</v>
      </c>
      <c r="F555">
        <f t="shared" si="8"/>
        <v>4.91784</v>
      </c>
      <c r="G555" t="s">
        <v>16</v>
      </c>
      <c r="J555" t="str">
        <f>"04/07/2003 23:45"</f>
        <v>04/07/2003 23:45</v>
      </c>
    </row>
    <row r="556" spans="1:10" x14ac:dyDescent="0.3">
      <c r="A556" t="s">
        <v>6</v>
      </c>
      <c r="B556" t="str">
        <f>"04/08/2003 00:00"</f>
        <v>04/08/2003 00:00</v>
      </c>
      <c r="C556">
        <v>2.4900000000000002</v>
      </c>
      <c r="D556" t="s">
        <v>7</v>
      </c>
      <c r="E556" s="2" t="s">
        <v>12</v>
      </c>
      <c r="F556">
        <f t="shared" si="8"/>
        <v>4.9376700000000007</v>
      </c>
      <c r="G556" t="s">
        <v>16</v>
      </c>
      <c r="J556" t="str">
        <f>"04/08/2003 23:45"</f>
        <v>04/08/2003 23:45</v>
      </c>
    </row>
    <row r="557" spans="1:10" x14ac:dyDescent="0.3">
      <c r="A557" t="s">
        <v>6</v>
      </c>
      <c r="B557" t="str">
        <f>"04/09/2003 00:00"</f>
        <v>04/09/2003 00:00</v>
      </c>
      <c r="C557">
        <v>1.58</v>
      </c>
      <c r="D557" t="s">
        <v>7</v>
      </c>
      <c r="E557" s="2" t="s">
        <v>12</v>
      </c>
      <c r="F557">
        <f t="shared" si="8"/>
        <v>3.1331400000000005</v>
      </c>
      <c r="G557" t="s">
        <v>16</v>
      </c>
      <c r="J557" t="str">
        <f>"04/09/2003 23:45"</f>
        <v>04/09/2003 23:45</v>
      </c>
    </row>
    <row r="558" spans="1:10" x14ac:dyDescent="0.3">
      <c r="A558" t="s">
        <v>6</v>
      </c>
      <c r="B558" t="str">
        <f>"04/10/2003 00:00"</f>
        <v>04/10/2003 00:00</v>
      </c>
      <c r="C558">
        <v>47.8</v>
      </c>
      <c r="D558" t="s">
        <v>7</v>
      </c>
      <c r="E558" s="2" t="s">
        <v>12</v>
      </c>
      <c r="F558">
        <f t="shared" si="8"/>
        <v>94.787400000000005</v>
      </c>
      <c r="G558" t="s">
        <v>16</v>
      </c>
      <c r="J558" t="str">
        <f>"04/10/2003 23:45"</f>
        <v>04/10/2003 23:45</v>
      </c>
    </row>
    <row r="559" spans="1:10" x14ac:dyDescent="0.3">
      <c r="A559" t="s">
        <v>6</v>
      </c>
      <c r="B559" t="str">
        <f>"04/11/2003 00:00"</f>
        <v>04/11/2003 00:00</v>
      </c>
      <c r="C559">
        <v>81.3</v>
      </c>
      <c r="D559" t="s">
        <v>7</v>
      </c>
      <c r="E559" s="2" t="s">
        <v>12</v>
      </c>
      <c r="F559">
        <f t="shared" si="8"/>
        <v>161.21790000000001</v>
      </c>
      <c r="G559" t="s">
        <v>16</v>
      </c>
      <c r="J559" t="str">
        <f>"04/11/2003 23:45"</f>
        <v>04/11/2003 23:45</v>
      </c>
    </row>
    <row r="560" spans="1:10" x14ac:dyDescent="0.3">
      <c r="A560" t="s">
        <v>6</v>
      </c>
      <c r="B560" t="str">
        <f>"04/12/2003 00:00"</f>
        <v>04/12/2003 00:00</v>
      </c>
      <c r="C560">
        <v>0.63</v>
      </c>
      <c r="D560" t="s">
        <v>7</v>
      </c>
      <c r="E560" s="2" t="s">
        <v>12</v>
      </c>
      <c r="F560">
        <f t="shared" si="8"/>
        <v>1.24929</v>
      </c>
      <c r="G560" t="s">
        <v>16</v>
      </c>
      <c r="J560" t="str">
        <f>"04/12/2003 23:45"</f>
        <v>04/12/2003 23:45</v>
      </c>
    </row>
    <row r="561" spans="1:10" x14ac:dyDescent="0.3">
      <c r="A561" t="s">
        <v>6</v>
      </c>
      <c r="B561" t="str">
        <f>"04/13/2003 00:00"</f>
        <v>04/13/2003 00:00</v>
      </c>
      <c r="C561">
        <v>66.3</v>
      </c>
      <c r="D561" t="s">
        <v>7</v>
      </c>
      <c r="E561" s="2" t="s">
        <v>12</v>
      </c>
      <c r="F561">
        <f t="shared" si="8"/>
        <v>131.47290000000001</v>
      </c>
      <c r="G561" t="s">
        <v>16</v>
      </c>
      <c r="J561" t="str">
        <f>"04/13/2003 23:45"</f>
        <v>04/13/2003 23:45</v>
      </c>
    </row>
    <row r="562" spans="1:10" x14ac:dyDescent="0.3">
      <c r="A562" t="s">
        <v>6</v>
      </c>
      <c r="B562" t="str">
        <f>"04/14/2003 00:00"</f>
        <v>04/14/2003 00:00</v>
      </c>
      <c r="C562">
        <v>18</v>
      </c>
      <c r="D562" t="s">
        <v>7</v>
      </c>
      <c r="E562" s="2" t="s">
        <v>12</v>
      </c>
      <c r="F562">
        <f t="shared" si="8"/>
        <v>35.694000000000003</v>
      </c>
      <c r="G562" t="s">
        <v>16</v>
      </c>
      <c r="J562" t="str">
        <f>"04/14/2003 23:45"</f>
        <v>04/14/2003 23:45</v>
      </c>
    </row>
    <row r="563" spans="1:10" x14ac:dyDescent="0.3">
      <c r="A563" t="s">
        <v>6</v>
      </c>
      <c r="B563" t="str">
        <f>"04/15/2003 00:00"</f>
        <v>04/15/2003 00:00</v>
      </c>
      <c r="C563">
        <v>0.63700000000000001</v>
      </c>
      <c r="D563" t="s">
        <v>7</v>
      </c>
      <c r="E563" s="2" t="s">
        <v>12</v>
      </c>
      <c r="F563">
        <f t="shared" si="8"/>
        <v>1.263171</v>
      </c>
      <c r="G563" t="s">
        <v>16</v>
      </c>
      <c r="J563" t="str">
        <f>"04/15/2003 23:45"</f>
        <v>04/15/2003 23:45</v>
      </c>
    </row>
    <row r="564" spans="1:10" x14ac:dyDescent="0.3">
      <c r="A564" t="s">
        <v>6</v>
      </c>
      <c r="B564" t="str">
        <f>"04/16/2003 00:00"</f>
        <v>04/16/2003 00:00</v>
      </c>
      <c r="C564">
        <v>1.66</v>
      </c>
      <c r="D564" t="s">
        <v>7</v>
      </c>
      <c r="E564" s="2" t="s">
        <v>12</v>
      </c>
      <c r="F564">
        <f t="shared" si="8"/>
        <v>3.2917800000000002</v>
      </c>
      <c r="G564" t="s">
        <v>16</v>
      </c>
      <c r="J564" t="str">
        <f>"04/16/2003 23:45"</f>
        <v>04/16/2003 23:45</v>
      </c>
    </row>
    <row r="565" spans="1:10" x14ac:dyDescent="0.3">
      <c r="A565" t="s">
        <v>6</v>
      </c>
      <c r="B565" t="str">
        <f>"04/17/2003 00:00"</f>
        <v>04/17/2003 00:00</v>
      </c>
      <c r="C565">
        <v>0.63</v>
      </c>
      <c r="D565" t="s">
        <v>7</v>
      </c>
      <c r="E565" s="2" t="s">
        <v>12</v>
      </c>
      <c r="F565">
        <f t="shared" si="8"/>
        <v>1.24929</v>
      </c>
      <c r="G565" t="s">
        <v>16</v>
      </c>
      <c r="J565" t="str">
        <f>"04/17/2003 23:45"</f>
        <v>04/17/2003 23:45</v>
      </c>
    </row>
    <row r="566" spans="1:10" x14ac:dyDescent="0.3">
      <c r="A566" t="s">
        <v>6</v>
      </c>
      <c r="B566" t="str">
        <f>"04/18/2003 00:00"</f>
        <v>04/18/2003 00:00</v>
      </c>
      <c r="C566">
        <v>47.3</v>
      </c>
      <c r="D566" t="s">
        <v>7</v>
      </c>
      <c r="E566" s="2" t="s">
        <v>12</v>
      </c>
      <c r="F566">
        <f t="shared" si="8"/>
        <v>93.795900000000003</v>
      </c>
      <c r="G566" t="s">
        <v>16</v>
      </c>
      <c r="J566" t="str">
        <f>"04/18/2003 23:45"</f>
        <v>04/18/2003 23:45</v>
      </c>
    </row>
    <row r="567" spans="1:10" x14ac:dyDescent="0.3">
      <c r="A567" t="s">
        <v>6</v>
      </c>
      <c r="B567" t="str">
        <f>"04/19/2003 00:00"</f>
        <v>04/19/2003 00:00</v>
      </c>
      <c r="C567">
        <v>85.2</v>
      </c>
      <c r="D567" t="s">
        <v>7</v>
      </c>
      <c r="E567" s="2" t="s">
        <v>12</v>
      </c>
      <c r="F567">
        <f t="shared" si="8"/>
        <v>168.95160000000001</v>
      </c>
      <c r="G567" t="s">
        <v>16</v>
      </c>
      <c r="J567" t="str">
        <f>"04/19/2003 23:45"</f>
        <v>04/19/2003 23:45</v>
      </c>
    </row>
    <row r="568" spans="1:10" x14ac:dyDescent="0.3">
      <c r="A568" t="s">
        <v>6</v>
      </c>
      <c r="B568" t="str">
        <f>"04/20/2003 00:00"</f>
        <v>04/20/2003 00:00</v>
      </c>
      <c r="C568">
        <v>8.77</v>
      </c>
      <c r="D568" t="s">
        <v>7</v>
      </c>
      <c r="E568" s="2" t="s">
        <v>12</v>
      </c>
      <c r="F568">
        <f t="shared" si="8"/>
        <v>17.390910000000002</v>
      </c>
      <c r="G568" t="s">
        <v>16</v>
      </c>
      <c r="J568" t="str">
        <f>"04/20/2003 23:45"</f>
        <v>04/20/2003 23:45</v>
      </c>
    </row>
    <row r="569" spans="1:10" x14ac:dyDescent="0.3">
      <c r="A569" t="s">
        <v>6</v>
      </c>
      <c r="B569" t="str">
        <f>"04/21/2003 00:00"</f>
        <v>04/21/2003 00:00</v>
      </c>
      <c r="C569">
        <v>6.77</v>
      </c>
      <c r="D569" t="s">
        <v>7</v>
      </c>
      <c r="E569" s="2" t="s">
        <v>12</v>
      </c>
      <c r="F569">
        <f t="shared" si="8"/>
        <v>13.424910000000001</v>
      </c>
      <c r="G569" t="s">
        <v>16</v>
      </c>
      <c r="J569" t="str">
        <f>"04/21/2003 23:45"</f>
        <v>04/21/2003 23:45</v>
      </c>
    </row>
    <row r="570" spans="1:10" x14ac:dyDescent="0.3">
      <c r="A570" t="s">
        <v>6</v>
      </c>
      <c r="B570" t="str">
        <f>"04/22/2003 00:00"</f>
        <v>04/22/2003 00:00</v>
      </c>
      <c r="C570">
        <v>6.33</v>
      </c>
      <c r="D570" t="s">
        <v>7</v>
      </c>
      <c r="E570" s="2" t="s">
        <v>12</v>
      </c>
      <c r="F570">
        <f t="shared" si="8"/>
        <v>12.552390000000001</v>
      </c>
      <c r="G570" t="s">
        <v>16</v>
      </c>
      <c r="J570" t="str">
        <f>"04/22/2003 23:45"</f>
        <v>04/22/2003 23:45</v>
      </c>
    </row>
    <row r="571" spans="1:10" x14ac:dyDescent="0.3">
      <c r="A571" t="s">
        <v>6</v>
      </c>
      <c r="B571" t="str">
        <f>"04/23/2003 00:00"</f>
        <v>04/23/2003 00:00</v>
      </c>
      <c r="C571">
        <v>5.96</v>
      </c>
      <c r="D571" t="s">
        <v>7</v>
      </c>
      <c r="E571" s="2" t="s">
        <v>12</v>
      </c>
      <c r="F571">
        <f t="shared" si="8"/>
        <v>11.818680000000001</v>
      </c>
      <c r="G571" t="s">
        <v>16</v>
      </c>
      <c r="J571" t="str">
        <f>"04/23/2003 23:45"</f>
        <v>04/23/2003 23:45</v>
      </c>
    </row>
    <row r="572" spans="1:10" x14ac:dyDescent="0.3">
      <c r="A572" t="s">
        <v>6</v>
      </c>
      <c r="B572" t="str">
        <f>"04/24/2003 00:00"</f>
        <v>04/24/2003 00:00</v>
      </c>
      <c r="C572">
        <v>5.64</v>
      </c>
      <c r="D572" t="s">
        <v>7</v>
      </c>
      <c r="E572" s="2" t="s">
        <v>12</v>
      </c>
      <c r="F572">
        <f t="shared" si="8"/>
        <v>11.18412</v>
      </c>
      <c r="G572" t="s">
        <v>16</v>
      </c>
      <c r="J572" t="str">
        <f>"04/24/2003 23:45"</f>
        <v>04/24/2003 23:45</v>
      </c>
    </row>
    <row r="573" spans="1:10" x14ac:dyDescent="0.3">
      <c r="A573" t="s">
        <v>6</v>
      </c>
      <c r="B573" t="str">
        <f>"04/25/2003 00:00"</f>
        <v>04/25/2003 00:00</v>
      </c>
      <c r="C573">
        <v>3.13</v>
      </c>
      <c r="D573" t="s">
        <v>7</v>
      </c>
      <c r="E573" s="2" t="s">
        <v>12</v>
      </c>
      <c r="F573">
        <f t="shared" si="8"/>
        <v>6.2067899999999998</v>
      </c>
      <c r="G573" t="s">
        <v>16</v>
      </c>
      <c r="J573" t="str">
        <f>"04/25/2003 23:45"</f>
        <v>04/25/2003 23:45</v>
      </c>
    </row>
    <row r="574" spans="1:10" x14ac:dyDescent="0.3">
      <c r="A574" t="s">
        <v>6</v>
      </c>
      <c r="B574" t="str">
        <f>"04/26/2003 00:00"</f>
        <v>04/26/2003 00:00</v>
      </c>
      <c r="C574">
        <v>0.63</v>
      </c>
      <c r="D574" t="s">
        <v>7</v>
      </c>
      <c r="E574" s="2" t="s">
        <v>12</v>
      </c>
      <c r="F574">
        <f t="shared" si="8"/>
        <v>1.24929</v>
      </c>
      <c r="G574" t="s">
        <v>16</v>
      </c>
      <c r="J574" t="str">
        <f>"04/26/2003 23:45"</f>
        <v>04/26/2003 23:45</v>
      </c>
    </row>
    <row r="575" spans="1:10" x14ac:dyDescent="0.3">
      <c r="A575" t="s">
        <v>6</v>
      </c>
      <c r="B575" t="str">
        <f>"04/27/2003 00:00"</f>
        <v>04/27/2003 00:00</v>
      </c>
      <c r="C575">
        <v>0.63</v>
      </c>
      <c r="D575" t="s">
        <v>7</v>
      </c>
      <c r="E575" s="2" t="s">
        <v>12</v>
      </c>
      <c r="F575">
        <f t="shared" si="8"/>
        <v>1.24929</v>
      </c>
      <c r="G575" t="s">
        <v>16</v>
      </c>
      <c r="J575" t="str">
        <f>"04/27/2003 23:45"</f>
        <v>04/27/2003 23:45</v>
      </c>
    </row>
    <row r="576" spans="1:10" x14ac:dyDescent="0.3">
      <c r="A576" t="s">
        <v>6</v>
      </c>
      <c r="B576" t="str">
        <f>"04/28/2003 00:00"</f>
        <v>04/28/2003 00:00</v>
      </c>
      <c r="C576">
        <v>0.52500000000000002</v>
      </c>
      <c r="D576" t="s">
        <v>7</v>
      </c>
      <c r="E576" s="2" t="s">
        <v>12</v>
      </c>
      <c r="F576">
        <f t="shared" si="8"/>
        <v>1.0410750000000002</v>
      </c>
      <c r="G576" t="s">
        <v>16</v>
      </c>
      <c r="J576" t="str">
        <f>"04/28/2003 23:45"</f>
        <v>04/28/2003 23:45</v>
      </c>
    </row>
    <row r="577" spans="1:10" x14ac:dyDescent="0.3">
      <c r="A577" t="s">
        <v>6</v>
      </c>
      <c r="B577" t="str">
        <f>"04/29/2003 00:00"</f>
        <v>04/29/2003 00:00</v>
      </c>
      <c r="C577">
        <v>0.44</v>
      </c>
      <c r="D577" t="s">
        <v>7</v>
      </c>
      <c r="E577" s="2" t="s">
        <v>12</v>
      </c>
      <c r="F577">
        <f t="shared" si="8"/>
        <v>0.87252000000000007</v>
      </c>
      <c r="G577" t="s">
        <v>16</v>
      </c>
      <c r="J577" t="str">
        <f>"04/29/2003 23:45"</f>
        <v>04/29/2003 23:45</v>
      </c>
    </row>
    <row r="578" spans="1:10" x14ac:dyDescent="0.3">
      <c r="A578" t="s">
        <v>6</v>
      </c>
      <c r="B578" t="str">
        <f>"04/30/2003 00:00"</f>
        <v>04/30/2003 00:00</v>
      </c>
      <c r="C578">
        <v>0.44</v>
      </c>
      <c r="D578" t="s">
        <v>7</v>
      </c>
      <c r="E578" s="2" t="s">
        <v>12</v>
      </c>
      <c r="F578">
        <f t="shared" si="8"/>
        <v>0.87252000000000007</v>
      </c>
      <c r="G578" t="s">
        <v>16</v>
      </c>
      <c r="J578" t="str">
        <f>"04/30/2003 23:45"</f>
        <v>04/30/2003 23:45</v>
      </c>
    </row>
    <row r="579" spans="1:10" x14ac:dyDescent="0.3">
      <c r="A579" t="s">
        <v>6</v>
      </c>
      <c r="B579" t="str">
        <f>"05/01/2003 00:00"</f>
        <v>05/01/2003 00:00</v>
      </c>
      <c r="C579">
        <v>0.45800000000000002</v>
      </c>
      <c r="D579" t="s">
        <v>7</v>
      </c>
      <c r="E579" s="2" t="s">
        <v>12</v>
      </c>
      <c r="F579">
        <f t="shared" si="8"/>
        <v>0.90821400000000008</v>
      </c>
      <c r="G579" t="s">
        <v>16</v>
      </c>
      <c r="J579" t="str">
        <f>"05/01/2003 23:45"</f>
        <v>05/01/2003 23:45</v>
      </c>
    </row>
    <row r="580" spans="1:10" x14ac:dyDescent="0.3">
      <c r="A580" t="s">
        <v>6</v>
      </c>
      <c r="B580" t="str">
        <f>"05/02/2003 00:00"</f>
        <v>05/02/2003 00:00</v>
      </c>
      <c r="C580">
        <v>0.63</v>
      </c>
      <c r="D580" t="s">
        <v>7</v>
      </c>
      <c r="E580" s="2" t="s">
        <v>12</v>
      </c>
      <c r="F580">
        <f t="shared" ref="F580:F643" si="9">C580*1.983</f>
        <v>1.24929</v>
      </c>
      <c r="G580" t="s">
        <v>16</v>
      </c>
      <c r="J580" t="str">
        <f>"05/02/2003 23:45"</f>
        <v>05/02/2003 23:45</v>
      </c>
    </row>
    <row r="581" spans="1:10" x14ac:dyDescent="0.3">
      <c r="A581" t="s">
        <v>6</v>
      </c>
      <c r="B581" t="str">
        <f>"05/03/2003 00:00"</f>
        <v>05/03/2003 00:00</v>
      </c>
      <c r="C581">
        <v>0.63</v>
      </c>
      <c r="D581" t="s">
        <v>7</v>
      </c>
      <c r="E581" s="2" t="s">
        <v>12</v>
      </c>
      <c r="F581">
        <f t="shared" si="9"/>
        <v>1.24929</v>
      </c>
      <c r="G581" t="s">
        <v>16</v>
      </c>
      <c r="J581" t="str">
        <f>"05/03/2003 23:45"</f>
        <v>05/03/2003 23:45</v>
      </c>
    </row>
    <row r="582" spans="1:10" x14ac:dyDescent="0.3">
      <c r="A582" t="s">
        <v>6</v>
      </c>
      <c r="B582" t="str">
        <f>"05/04/2003 00:00"</f>
        <v>05/04/2003 00:00</v>
      </c>
      <c r="C582">
        <v>0.63</v>
      </c>
      <c r="D582" t="s">
        <v>7</v>
      </c>
      <c r="E582" s="2" t="s">
        <v>12</v>
      </c>
      <c r="F582">
        <f t="shared" si="9"/>
        <v>1.24929</v>
      </c>
      <c r="G582" t="s">
        <v>16</v>
      </c>
      <c r="J582" t="str">
        <f>"05/04/2003 23:45"</f>
        <v>05/04/2003 23:45</v>
      </c>
    </row>
    <row r="583" spans="1:10" x14ac:dyDescent="0.3">
      <c r="A583" t="s">
        <v>6</v>
      </c>
      <c r="B583" t="str">
        <f>"05/05/2003 00:00"</f>
        <v>05/05/2003 00:00</v>
      </c>
      <c r="C583">
        <v>0.63</v>
      </c>
      <c r="D583" t="s">
        <v>7</v>
      </c>
      <c r="E583" s="2" t="s">
        <v>12</v>
      </c>
      <c r="F583">
        <f t="shared" si="9"/>
        <v>1.24929</v>
      </c>
      <c r="G583" t="s">
        <v>16</v>
      </c>
      <c r="J583" t="str">
        <f>"05/05/2003 23:45"</f>
        <v>05/05/2003 23:45</v>
      </c>
    </row>
    <row r="584" spans="1:10" x14ac:dyDescent="0.3">
      <c r="A584" t="s">
        <v>6</v>
      </c>
      <c r="B584" t="str">
        <f>"05/06/2003 00:00"</f>
        <v>05/06/2003 00:00</v>
      </c>
      <c r="C584">
        <v>14.7</v>
      </c>
      <c r="D584" t="s">
        <v>7</v>
      </c>
      <c r="E584" s="2" t="s">
        <v>12</v>
      </c>
      <c r="F584">
        <f t="shared" si="9"/>
        <v>29.150099999999998</v>
      </c>
      <c r="G584" t="s">
        <v>16</v>
      </c>
      <c r="J584" t="str">
        <f>"05/06/2003 23:45"</f>
        <v>05/06/2003 23:45</v>
      </c>
    </row>
    <row r="585" spans="1:10" x14ac:dyDescent="0.3">
      <c r="A585" t="s">
        <v>6</v>
      </c>
      <c r="B585" t="str">
        <f>"05/07/2003 00:00"</f>
        <v>05/07/2003 00:00</v>
      </c>
      <c r="C585">
        <v>39.4</v>
      </c>
      <c r="D585" t="s">
        <v>7</v>
      </c>
      <c r="E585" s="2" t="s">
        <v>12</v>
      </c>
      <c r="F585">
        <f t="shared" si="9"/>
        <v>78.130200000000002</v>
      </c>
      <c r="G585" t="s">
        <v>16</v>
      </c>
      <c r="J585" t="str">
        <f>"05/07/2003 23:45"</f>
        <v>05/07/2003 23:45</v>
      </c>
    </row>
    <row r="586" spans="1:10" x14ac:dyDescent="0.3">
      <c r="A586" t="s">
        <v>6</v>
      </c>
      <c r="B586" t="str">
        <f>"05/08/2003 00:00"</f>
        <v>05/08/2003 00:00</v>
      </c>
      <c r="C586">
        <v>52.5</v>
      </c>
      <c r="D586" t="s">
        <v>7</v>
      </c>
      <c r="E586" s="2" t="s">
        <v>12</v>
      </c>
      <c r="F586">
        <f t="shared" si="9"/>
        <v>104.1075</v>
      </c>
      <c r="G586" t="s">
        <v>16</v>
      </c>
      <c r="J586" t="str">
        <f>"05/08/2003 23:45"</f>
        <v>05/08/2003 23:45</v>
      </c>
    </row>
    <row r="587" spans="1:10" x14ac:dyDescent="0.3">
      <c r="A587" t="s">
        <v>6</v>
      </c>
      <c r="B587" t="str">
        <f>"05/09/2003 00:00"</f>
        <v>05/09/2003 00:00</v>
      </c>
      <c r="C587">
        <v>74.2</v>
      </c>
      <c r="D587" t="s">
        <v>7</v>
      </c>
      <c r="E587" s="2" t="s">
        <v>12</v>
      </c>
      <c r="F587">
        <f t="shared" si="9"/>
        <v>147.13860000000003</v>
      </c>
      <c r="G587" t="s">
        <v>16</v>
      </c>
      <c r="J587" t="str">
        <f>"05/09/2003 23:45"</f>
        <v>05/09/2003 23:45</v>
      </c>
    </row>
    <row r="588" spans="1:10" x14ac:dyDescent="0.3">
      <c r="A588" t="s">
        <v>6</v>
      </c>
      <c r="B588" t="str">
        <f>"05/10/2003 00:00"</f>
        <v>05/10/2003 00:00</v>
      </c>
      <c r="C588">
        <v>101</v>
      </c>
      <c r="D588" t="s">
        <v>7</v>
      </c>
      <c r="E588" s="2" t="s">
        <v>12</v>
      </c>
      <c r="F588">
        <f t="shared" si="9"/>
        <v>200.28300000000002</v>
      </c>
      <c r="G588" t="s">
        <v>16</v>
      </c>
      <c r="J588" t="str">
        <f>"05/10/2003 23:45"</f>
        <v>05/10/2003 23:45</v>
      </c>
    </row>
    <row r="589" spans="1:10" x14ac:dyDescent="0.3">
      <c r="A589" t="s">
        <v>6</v>
      </c>
      <c r="B589" t="str">
        <f>"05/11/2003 00:00"</f>
        <v>05/11/2003 00:00</v>
      </c>
      <c r="C589">
        <v>102</v>
      </c>
      <c r="D589" t="s">
        <v>7</v>
      </c>
      <c r="E589" s="2" t="s">
        <v>12</v>
      </c>
      <c r="F589">
        <f t="shared" si="9"/>
        <v>202.26600000000002</v>
      </c>
      <c r="G589" t="s">
        <v>16</v>
      </c>
      <c r="J589" t="str">
        <f>"05/11/2003 23:45"</f>
        <v>05/11/2003 23:45</v>
      </c>
    </row>
    <row r="590" spans="1:10" x14ac:dyDescent="0.3">
      <c r="A590" t="s">
        <v>6</v>
      </c>
      <c r="B590" t="str">
        <f>"05/12/2003 00:00"</f>
        <v>05/12/2003 00:00</v>
      </c>
      <c r="C590">
        <v>47.8</v>
      </c>
      <c r="D590" t="s">
        <v>7</v>
      </c>
      <c r="E590" s="2" t="s">
        <v>12</v>
      </c>
      <c r="F590">
        <f t="shared" si="9"/>
        <v>94.787400000000005</v>
      </c>
      <c r="G590" t="s">
        <v>16</v>
      </c>
      <c r="J590" t="str">
        <f>"05/12/2003 23:45"</f>
        <v>05/12/2003 23:45</v>
      </c>
    </row>
    <row r="591" spans="1:10" x14ac:dyDescent="0.3">
      <c r="A591" t="s">
        <v>6</v>
      </c>
      <c r="B591" t="str">
        <f>"05/13/2003 00:00"</f>
        <v>05/13/2003 00:00</v>
      </c>
      <c r="C591">
        <v>1.07</v>
      </c>
      <c r="D591" t="s">
        <v>7</v>
      </c>
      <c r="E591" s="2" t="s">
        <v>12</v>
      </c>
      <c r="F591">
        <f t="shared" si="9"/>
        <v>2.1218100000000004</v>
      </c>
      <c r="G591" t="s">
        <v>16</v>
      </c>
      <c r="J591" t="str">
        <f>"05/13/2003 23:45"</f>
        <v>05/13/2003 23:45</v>
      </c>
    </row>
    <row r="592" spans="1:10" x14ac:dyDescent="0.3">
      <c r="A592" t="s">
        <v>6</v>
      </c>
      <c r="B592" t="str">
        <f>"05/14/2003 00:00"</f>
        <v>05/14/2003 00:00</v>
      </c>
      <c r="C592">
        <v>1.18</v>
      </c>
      <c r="D592" t="s">
        <v>7</v>
      </c>
      <c r="E592" s="2" t="s">
        <v>12</v>
      </c>
      <c r="F592">
        <f t="shared" si="9"/>
        <v>2.3399399999999999</v>
      </c>
      <c r="G592" t="s">
        <v>16</v>
      </c>
      <c r="J592" t="str">
        <f>"05/14/2003 23:45"</f>
        <v>05/14/2003 23:45</v>
      </c>
    </row>
    <row r="593" spans="1:10" x14ac:dyDescent="0.3">
      <c r="A593" t="s">
        <v>6</v>
      </c>
      <c r="B593" t="str">
        <f>"05/15/2003 00:00"</f>
        <v>05/15/2003 00:00</v>
      </c>
      <c r="C593">
        <v>1.34</v>
      </c>
      <c r="D593" t="s">
        <v>7</v>
      </c>
      <c r="E593" s="2" t="s">
        <v>12</v>
      </c>
      <c r="F593">
        <f t="shared" si="9"/>
        <v>2.6572200000000001</v>
      </c>
      <c r="G593" t="s">
        <v>16</v>
      </c>
      <c r="J593" t="str">
        <f>"05/15/2003 23:45"</f>
        <v>05/15/2003 23:45</v>
      </c>
    </row>
    <row r="594" spans="1:10" x14ac:dyDescent="0.3">
      <c r="A594" t="s">
        <v>6</v>
      </c>
      <c r="B594" t="str">
        <f>"05/16/2003 00:00"</f>
        <v>05/16/2003 00:00</v>
      </c>
      <c r="C594">
        <v>1.34</v>
      </c>
      <c r="D594" t="s">
        <v>7</v>
      </c>
      <c r="E594" s="2" t="s">
        <v>12</v>
      </c>
      <c r="F594">
        <f t="shared" si="9"/>
        <v>2.6572200000000001</v>
      </c>
      <c r="G594" t="s">
        <v>16</v>
      </c>
      <c r="J594" t="str">
        <f>"05/16/2003 23:45"</f>
        <v>05/16/2003 23:45</v>
      </c>
    </row>
    <row r="595" spans="1:10" x14ac:dyDescent="0.3">
      <c r="A595" t="s">
        <v>6</v>
      </c>
      <c r="B595" t="str">
        <f>"05/17/2003 00:00"</f>
        <v>05/17/2003 00:00</v>
      </c>
      <c r="C595">
        <v>1.34</v>
      </c>
      <c r="D595" t="s">
        <v>7</v>
      </c>
      <c r="E595" s="2" t="s">
        <v>12</v>
      </c>
      <c r="F595">
        <f t="shared" si="9"/>
        <v>2.6572200000000001</v>
      </c>
      <c r="G595" t="s">
        <v>16</v>
      </c>
      <c r="J595" t="str">
        <f>"05/17/2003 23:45"</f>
        <v>05/17/2003 23:45</v>
      </c>
    </row>
    <row r="596" spans="1:10" x14ac:dyDescent="0.3">
      <c r="A596" t="s">
        <v>6</v>
      </c>
      <c r="B596" t="str">
        <f>"05/18/2003 00:00"</f>
        <v>05/18/2003 00:00</v>
      </c>
      <c r="C596">
        <v>1.1200000000000001</v>
      </c>
      <c r="D596" t="s">
        <v>7</v>
      </c>
      <c r="E596" s="2" t="s">
        <v>12</v>
      </c>
      <c r="F596">
        <f t="shared" si="9"/>
        <v>2.2209600000000003</v>
      </c>
      <c r="G596" t="s">
        <v>16</v>
      </c>
      <c r="J596" t="str">
        <f>"05/18/2003 23:45"</f>
        <v>05/18/2003 23:45</v>
      </c>
    </row>
    <row r="597" spans="1:10" x14ac:dyDescent="0.3">
      <c r="A597" t="s">
        <v>6</v>
      </c>
      <c r="B597" t="str">
        <f>"05/19/2003 00:00"</f>
        <v>05/19/2003 00:00</v>
      </c>
      <c r="C597">
        <v>1.27</v>
      </c>
      <c r="D597" t="s">
        <v>7</v>
      </c>
      <c r="E597" s="2" t="s">
        <v>12</v>
      </c>
      <c r="F597">
        <f t="shared" si="9"/>
        <v>2.5184100000000003</v>
      </c>
      <c r="G597" t="s">
        <v>16</v>
      </c>
      <c r="J597" t="str">
        <f>"05/19/2003 23:45"</f>
        <v>05/19/2003 23:45</v>
      </c>
    </row>
    <row r="598" spans="1:10" x14ac:dyDescent="0.3">
      <c r="A598" t="s">
        <v>6</v>
      </c>
      <c r="B598" t="str">
        <f>"05/20/2003 00:00"</f>
        <v>05/20/2003 00:00</v>
      </c>
      <c r="C598">
        <v>1.27</v>
      </c>
      <c r="D598" t="s">
        <v>7</v>
      </c>
      <c r="E598" s="2" t="s">
        <v>12</v>
      </c>
      <c r="F598">
        <f t="shared" si="9"/>
        <v>2.5184100000000003</v>
      </c>
      <c r="G598" t="s">
        <v>16</v>
      </c>
      <c r="J598" t="str">
        <f>"05/20/2003 23:45"</f>
        <v>05/20/2003 23:45</v>
      </c>
    </row>
    <row r="599" spans="1:10" x14ac:dyDescent="0.3">
      <c r="A599" t="s">
        <v>6</v>
      </c>
      <c r="B599" t="str">
        <f>"05/21/2003 00:00"</f>
        <v>05/21/2003 00:00</v>
      </c>
      <c r="C599">
        <v>1.29</v>
      </c>
      <c r="D599" t="s">
        <v>7</v>
      </c>
      <c r="E599" s="2" t="s">
        <v>12</v>
      </c>
      <c r="F599">
        <f t="shared" si="9"/>
        <v>2.5580700000000003</v>
      </c>
      <c r="G599" t="s">
        <v>16</v>
      </c>
      <c r="J599" t="str">
        <f>"05/21/2003 23:45"</f>
        <v>05/21/2003 23:45</v>
      </c>
    </row>
    <row r="600" spans="1:10" x14ac:dyDescent="0.3">
      <c r="A600" t="s">
        <v>6</v>
      </c>
      <c r="B600" t="str">
        <f>"05/22/2003 00:00"</f>
        <v>05/22/2003 00:00</v>
      </c>
      <c r="C600">
        <v>59.8</v>
      </c>
      <c r="D600" t="s">
        <v>7</v>
      </c>
      <c r="E600" s="2" t="s">
        <v>12</v>
      </c>
      <c r="F600">
        <f t="shared" si="9"/>
        <v>118.5834</v>
      </c>
      <c r="G600" t="s">
        <v>16</v>
      </c>
      <c r="J600" t="str">
        <f>"05/22/2003 23:45"</f>
        <v>05/22/2003 23:45</v>
      </c>
    </row>
    <row r="601" spans="1:10" x14ac:dyDescent="0.3">
      <c r="A601" t="s">
        <v>6</v>
      </c>
      <c r="B601" t="str">
        <f>"05/23/2003 00:00"</f>
        <v>05/23/2003 00:00</v>
      </c>
      <c r="C601">
        <v>65.400000000000006</v>
      </c>
      <c r="D601" t="s">
        <v>7</v>
      </c>
      <c r="E601" s="2" t="s">
        <v>12</v>
      </c>
      <c r="F601">
        <f t="shared" si="9"/>
        <v>129.68820000000002</v>
      </c>
      <c r="G601" t="s">
        <v>16</v>
      </c>
      <c r="J601" t="str">
        <f>"05/23/2003 23:45"</f>
        <v>05/23/2003 23:45</v>
      </c>
    </row>
    <row r="602" spans="1:10" x14ac:dyDescent="0.3">
      <c r="A602" t="s">
        <v>6</v>
      </c>
      <c r="B602" t="str">
        <f>"05/24/2003 00:00"</f>
        <v>05/24/2003 00:00</v>
      </c>
      <c r="C602">
        <v>1.34</v>
      </c>
      <c r="D602" t="s">
        <v>7</v>
      </c>
      <c r="E602" s="2" t="s">
        <v>12</v>
      </c>
      <c r="F602">
        <f t="shared" si="9"/>
        <v>2.6572200000000001</v>
      </c>
      <c r="G602" t="s">
        <v>16</v>
      </c>
      <c r="J602" t="str">
        <f>"05/24/2003 23:45"</f>
        <v>05/24/2003 23:45</v>
      </c>
    </row>
    <row r="603" spans="1:10" x14ac:dyDescent="0.3">
      <c r="A603" t="s">
        <v>6</v>
      </c>
      <c r="B603" t="str">
        <f>"05/25/2003 00:00"</f>
        <v>05/25/2003 00:00</v>
      </c>
      <c r="C603">
        <v>1.34</v>
      </c>
      <c r="D603" t="s">
        <v>7</v>
      </c>
      <c r="E603" s="2" t="s">
        <v>12</v>
      </c>
      <c r="F603">
        <f t="shared" si="9"/>
        <v>2.6572200000000001</v>
      </c>
      <c r="G603" t="s">
        <v>16</v>
      </c>
      <c r="J603" t="str">
        <f>"05/25/2003 23:45"</f>
        <v>05/25/2003 23:45</v>
      </c>
    </row>
    <row r="604" spans="1:10" x14ac:dyDescent="0.3">
      <c r="A604" t="s">
        <v>6</v>
      </c>
      <c r="B604" t="str">
        <f>"05/26/2003 00:00"</f>
        <v>05/26/2003 00:00</v>
      </c>
      <c r="C604">
        <v>1.34</v>
      </c>
      <c r="D604" t="s">
        <v>7</v>
      </c>
      <c r="E604" s="2" t="s">
        <v>12</v>
      </c>
      <c r="F604">
        <f t="shared" si="9"/>
        <v>2.6572200000000001</v>
      </c>
      <c r="G604" t="s">
        <v>16</v>
      </c>
      <c r="J604" t="str">
        <f>"05/26/2003 23:45"</f>
        <v>05/26/2003 23:45</v>
      </c>
    </row>
    <row r="605" spans="1:10" x14ac:dyDescent="0.3">
      <c r="A605" t="s">
        <v>6</v>
      </c>
      <c r="B605" t="str">
        <f>"05/27/2003 00:00"</f>
        <v>05/27/2003 00:00</v>
      </c>
      <c r="C605">
        <v>1.34</v>
      </c>
      <c r="D605" t="s">
        <v>7</v>
      </c>
      <c r="E605" s="2" t="s">
        <v>12</v>
      </c>
      <c r="F605">
        <f t="shared" si="9"/>
        <v>2.6572200000000001</v>
      </c>
      <c r="G605" t="s">
        <v>16</v>
      </c>
      <c r="J605" t="str">
        <f>"05/27/2003 23:45"</f>
        <v>05/27/2003 23:45</v>
      </c>
    </row>
    <row r="606" spans="1:10" x14ac:dyDescent="0.3">
      <c r="A606" t="s">
        <v>6</v>
      </c>
      <c r="B606" t="str">
        <f>"05/28/2003 00:00"</f>
        <v>05/28/2003 00:00</v>
      </c>
      <c r="C606">
        <v>1.34</v>
      </c>
      <c r="D606" t="s">
        <v>7</v>
      </c>
      <c r="E606" s="2" t="s">
        <v>12</v>
      </c>
      <c r="F606">
        <f t="shared" si="9"/>
        <v>2.6572200000000001</v>
      </c>
      <c r="G606" t="s">
        <v>16</v>
      </c>
      <c r="J606" t="str">
        <f>"05/28/2003 23:45"</f>
        <v>05/28/2003 23:45</v>
      </c>
    </row>
    <row r="607" spans="1:10" x14ac:dyDescent="0.3">
      <c r="A607" t="s">
        <v>6</v>
      </c>
      <c r="B607" t="str">
        <f>"05/29/2003 00:00"</f>
        <v>05/29/2003 00:00</v>
      </c>
      <c r="C607">
        <v>1.34</v>
      </c>
      <c r="D607" t="s">
        <v>7</v>
      </c>
      <c r="E607" s="2" t="s">
        <v>12</v>
      </c>
      <c r="F607">
        <f t="shared" si="9"/>
        <v>2.6572200000000001</v>
      </c>
      <c r="G607" t="s">
        <v>16</v>
      </c>
      <c r="J607" t="str">
        <f>"05/29/2003 23:45"</f>
        <v>05/29/2003 23:45</v>
      </c>
    </row>
    <row r="608" spans="1:10" x14ac:dyDescent="0.3">
      <c r="A608" t="s">
        <v>6</v>
      </c>
      <c r="B608" t="str">
        <f>"05/30/2003 00:00"</f>
        <v>05/30/2003 00:00</v>
      </c>
      <c r="C608">
        <v>1.34</v>
      </c>
      <c r="D608" t="s">
        <v>7</v>
      </c>
      <c r="E608" s="2" t="s">
        <v>12</v>
      </c>
      <c r="F608">
        <f t="shared" si="9"/>
        <v>2.6572200000000001</v>
      </c>
      <c r="G608" t="s">
        <v>16</v>
      </c>
      <c r="J608" t="str">
        <f>"05/30/2003 23:45"</f>
        <v>05/30/2003 23:45</v>
      </c>
    </row>
    <row r="609" spans="1:10" x14ac:dyDescent="0.3">
      <c r="A609" t="s">
        <v>6</v>
      </c>
      <c r="B609" t="str">
        <f>"05/31/2003 00:00"</f>
        <v>05/31/2003 00:00</v>
      </c>
      <c r="C609">
        <v>1.3</v>
      </c>
      <c r="D609" t="s">
        <v>7</v>
      </c>
      <c r="E609" s="2" t="s">
        <v>12</v>
      </c>
      <c r="F609">
        <f t="shared" si="9"/>
        <v>2.5779000000000001</v>
      </c>
      <c r="G609" t="s">
        <v>16</v>
      </c>
      <c r="J609" t="str">
        <f>"05/31/2003 23:45"</f>
        <v>05/31/2003 23:45</v>
      </c>
    </row>
    <row r="610" spans="1:10" x14ac:dyDescent="0.3">
      <c r="A610" t="s">
        <v>6</v>
      </c>
      <c r="B610" t="str">
        <f>"06/01/2003 00:00"</f>
        <v>06/01/2003 00:00</v>
      </c>
      <c r="C610">
        <v>1.34</v>
      </c>
      <c r="D610" t="s">
        <v>7</v>
      </c>
      <c r="E610" s="2" t="s">
        <v>12</v>
      </c>
      <c r="F610">
        <f t="shared" si="9"/>
        <v>2.6572200000000001</v>
      </c>
      <c r="G610" t="s">
        <v>16</v>
      </c>
      <c r="J610" t="str">
        <f>"06/01/2003 23:45"</f>
        <v>06/01/2003 23:45</v>
      </c>
    </row>
    <row r="611" spans="1:10" x14ac:dyDescent="0.3">
      <c r="A611" t="s">
        <v>6</v>
      </c>
      <c r="B611" t="str">
        <f>"06/02/2003 00:00"</f>
        <v>06/02/2003 00:00</v>
      </c>
      <c r="C611">
        <v>1.3</v>
      </c>
      <c r="D611" t="s">
        <v>7</v>
      </c>
      <c r="E611" s="2" t="s">
        <v>12</v>
      </c>
      <c r="F611">
        <f t="shared" si="9"/>
        <v>2.5779000000000001</v>
      </c>
      <c r="G611" t="s">
        <v>16</v>
      </c>
      <c r="J611" t="str">
        <f>"06/02/2003 23:45"</f>
        <v>06/02/2003 23:45</v>
      </c>
    </row>
    <row r="612" spans="1:10" x14ac:dyDescent="0.3">
      <c r="A612" t="s">
        <v>6</v>
      </c>
      <c r="B612" t="str">
        <f>"06/03/2003 00:00"</f>
        <v>06/03/2003 00:00</v>
      </c>
      <c r="C612">
        <v>1.34</v>
      </c>
      <c r="D612" t="s">
        <v>7</v>
      </c>
      <c r="E612" s="2" t="s">
        <v>12</v>
      </c>
      <c r="F612">
        <f t="shared" si="9"/>
        <v>2.6572200000000001</v>
      </c>
      <c r="G612" t="s">
        <v>16</v>
      </c>
      <c r="J612" t="str">
        <f>"06/03/2003 23:45"</f>
        <v>06/03/2003 23:45</v>
      </c>
    </row>
    <row r="613" spans="1:10" x14ac:dyDescent="0.3">
      <c r="A613" t="s">
        <v>6</v>
      </c>
      <c r="B613" t="str">
        <f>"06/04/2003 00:00"</f>
        <v>06/04/2003 00:00</v>
      </c>
      <c r="C613">
        <v>1.3</v>
      </c>
      <c r="D613" t="s">
        <v>7</v>
      </c>
      <c r="E613" s="2" t="s">
        <v>12</v>
      </c>
      <c r="F613">
        <f t="shared" si="9"/>
        <v>2.5779000000000001</v>
      </c>
      <c r="G613" t="s">
        <v>16</v>
      </c>
      <c r="J613" t="str">
        <f>"06/04/2003 23:45"</f>
        <v>06/04/2003 23:45</v>
      </c>
    </row>
    <row r="614" spans="1:10" x14ac:dyDescent="0.3">
      <c r="A614" t="s">
        <v>6</v>
      </c>
      <c r="B614" t="str">
        <f>"06/05/2003 00:00"</f>
        <v>06/05/2003 00:00</v>
      </c>
      <c r="C614">
        <v>1.34</v>
      </c>
      <c r="D614" t="s">
        <v>7</v>
      </c>
      <c r="E614" s="2" t="s">
        <v>12</v>
      </c>
      <c r="F614">
        <f t="shared" si="9"/>
        <v>2.6572200000000001</v>
      </c>
      <c r="G614" t="s">
        <v>16</v>
      </c>
      <c r="J614" t="str">
        <f>"06/05/2003 23:45"</f>
        <v>06/05/2003 23:45</v>
      </c>
    </row>
    <row r="615" spans="1:10" x14ac:dyDescent="0.3">
      <c r="A615" t="s">
        <v>6</v>
      </c>
      <c r="B615" t="str">
        <f>"06/06/2003 00:00"</f>
        <v>06/06/2003 00:00</v>
      </c>
      <c r="C615">
        <v>1.34</v>
      </c>
      <c r="D615" t="s">
        <v>7</v>
      </c>
      <c r="E615" s="2" t="s">
        <v>12</v>
      </c>
      <c r="F615">
        <f t="shared" si="9"/>
        <v>2.6572200000000001</v>
      </c>
      <c r="G615" t="s">
        <v>16</v>
      </c>
      <c r="J615" t="str">
        <f>"06/06/2003 23:45"</f>
        <v>06/06/2003 23:45</v>
      </c>
    </row>
    <row r="616" spans="1:10" x14ac:dyDescent="0.3">
      <c r="A616" t="s">
        <v>6</v>
      </c>
      <c r="B616" t="str">
        <f>"06/07/2003 00:00"</f>
        <v>06/07/2003 00:00</v>
      </c>
      <c r="C616">
        <v>1.34</v>
      </c>
      <c r="D616" t="s">
        <v>7</v>
      </c>
      <c r="E616" s="2" t="s">
        <v>12</v>
      </c>
      <c r="F616">
        <f t="shared" si="9"/>
        <v>2.6572200000000001</v>
      </c>
      <c r="G616" t="s">
        <v>16</v>
      </c>
      <c r="J616" t="str">
        <f>"06/07/2003 23:45"</f>
        <v>06/07/2003 23:45</v>
      </c>
    </row>
    <row r="617" spans="1:10" x14ac:dyDescent="0.3">
      <c r="A617" t="s">
        <v>6</v>
      </c>
      <c r="B617" t="str">
        <f>"06/08/2003 00:00"</f>
        <v>06/08/2003 00:00</v>
      </c>
      <c r="C617">
        <v>1.34</v>
      </c>
      <c r="D617" t="s">
        <v>7</v>
      </c>
      <c r="E617" s="2" t="s">
        <v>12</v>
      </c>
      <c r="F617">
        <f t="shared" si="9"/>
        <v>2.6572200000000001</v>
      </c>
      <c r="G617" t="s">
        <v>16</v>
      </c>
      <c r="J617" t="str">
        <f>"06/08/2003 23:45"</f>
        <v>06/08/2003 23:45</v>
      </c>
    </row>
    <row r="618" spans="1:10" x14ac:dyDescent="0.3">
      <c r="A618" t="s">
        <v>6</v>
      </c>
      <c r="B618" t="str">
        <f>"06/09/2003 00:00"</f>
        <v>06/09/2003 00:00</v>
      </c>
      <c r="C618">
        <v>1.24</v>
      </c>
      <c r="D618" t="s">
        <v>7</v>
      </c>
      <c r="E618" s="2" t="s">
        <v>12</v>
      </c>
      <c r="F618">
        <f t="shared" si="9"/>
        <v>2.45892</v>
      </c>
      <c r="G618" t="s">
        <v>16</v>
      </c>
      <c r="J618" t="str">
        <f>"06/09/2003 23:45"</f>
        <v>06/09/2003 23:45</v>
      </c>
    </row>
    <row r="619" spans="1:10" x14ac:dyDescent="0.3">
      <c r="A619" t="s">
        <v>6</v>
      </c>
      <c r="B619" t="str">
        <f>"06/10/2003 00:00"</f>
        <v>06/10/2003 00:00</v>
      </c>
      <c r="C619">
        <v>1.24</v>
      </c>
      <c r="D619" t="s">
        <v>7</v>
      </c>
      <c r="E619" s="2" t="s">
        <v>12</v>
      </c>
      <c r="F619">
        <f t="shared" si="9"/>
        <v>2.45892</v>
      </c>
      <c r="G619" t="s">
        <v>16</v>
      </c>
      <c r="J619" t="str">
        <f>"06/10/2003 23:45"</f>
        <v>06/10/2003 23:45</v>
      </c>
    </row>
    <row r="620" spans="1:10" x14ac:dyDescent="0.3">
      <c r="A620" t="s">
        <v>6</v>
      </c>
      <c r="B620" t="str">
        <f>"06/11/2003 00:00"</f>
        <v>06/11/2003 00:00</v>
      </c>
      <c r="C620">
        <v>1.1499999999999999</v>
      </c>
      <c r="D620" t="s">
        <v>7</v>
      </c>
      <c r="E620" s="2" t="s">
        <v>12</v>
      </c>
      <c r="F620">
        <f t="shared" si="9"/>
        <v>2.2804500000000001</v>
      </c>
      <c r="G620" t="s">
        <v>16</v>
      </c>
      <c r="J620" t="str">
        <f>"06/11/2003 23:45"</f>
        <v>06/11/2003 23:45</v>
      </c>
    </row>
    <row r="621" spans="1:10" x14ac:dyDescent="0.3">
      <c r="A621" t="s">
        <v>6</v>
      </c>
      <c r="B621" t="str">
        <f>"06/12/2003 00:00"</f>
        <v>06/12/2003 00:00</v>
      </c>
      <c r="C621">
        <v>0.85899999999999999</v>
      </c>
      <c r="D621" t="s">
        <v>7</v>
      </c>
      <c r="E621" s="2" t="s">
        <v>12</v>
      </c>
      <c r="F621">
        <f t="shared" si="9"/>
        <v>1.703397</v>
      </c>
      <c r="G621" t="s">
        <v>16</v>
      </c>
      <c r="J621" t="str">
        <f>"06/12/2003 23:45"</f>
        <v>06/12/2003 23:45</v>
      </c>
    </row>
    <row r="622" spans="1:10" x14ac:dyDescent="0.3">
      <c r="A622" t="s">
        <v>6</v>
      </c>
      <c r="B622" t="str">
        <f>"06/13/2003 00:00"</f>
        <v>06/13/2003 00:00</v>
      </c>
      <c r="C622">
        <v>0.63</v>
      </c>
      <c r="D622" t="s">
        <v>7</v>
      </c>
      <c r="E622" s="2" t="s">
        <v>12</v>
      </c>
      <c r="F622">
        <f t="shared" si="9"/>
        <v>1.24929</v>
      </c>
      <c r="G622" t="s">
        <v>16</v>
      </c>
      <c r="J622" t="str">
        <f>"06/13/2003 23:45"</f>
        <v>06/13/2003 23:45</v>
      </c>
    </row>
    <row r="623" spans="1:10" x14ac:dyDescent="0.3">
      <c r="A623" t="s">
        <v>6</v>
      </c>
      <c r="B623" t="str">
        <f>"06/14/2003 00:00"</f>
        <v>06/14/2003 00:00</v>
      </c>
      <c r="C623">
        <v>0.81699999999999995</v>
      </c>
      <c r="D623" t="s">
        <v>7</v>
      </c>
      <c r="E623" s="2" t="s">
        <v>12</v>
      </c>
      <c r="F623">
        <f t="shared" si="9"/>
        <v>1.6201110000000001</v>
      </c>
      <c r="G623" t="s">
        <v>16</v>
      </c>
      <c r="J623" t="str">
        <f>"06/14/2003 23:45"</f>
        <v>06/14/2003 23:45</v>
      </c>
    </row>
    <row r="624" spans="1:10" x14ac:dyDescent="0.3">
      <c r="A624" t="s">
        <v>6</v>
      </c>
      <c r="B624" t="str">
        <f>"06/15/2003 00:00"</f>
        <v>06/15/2003 00:00</v>
      </c>
      <c r="C624">
        <v>1.3</v>
      </c>
      <c r="D624" t="s">
        <v>7</v>
      </c>
      <c r="E624" s="2" t="s">
        <v>12</v>
      </c>
      <c r="F624">
        <f t="shared" si="9"/>
        <v>2.5779000000000001</v>
      </c>
      <c r="G624" t="s">
        <v>16</v>
      </c>
      <c r="J624" t="str">
        <f>"06/15/2003 23:45"</f>
        <v>06/15/2003 23:45</v>
      </c>
    </row>
    <row r="625" spans="1:10" x14ac:dyDescent="0.3">
      <c r="A625" t="s">
        <v>6</v>
      </c>
      <c r="B625" t="str">
        <f>"06/16/2003 00:00"</f>
        <v>06/16/2003 00:00</v>
      </c>
      <c r="C625">
        <v>0.90300000000000002</v>
      </c>
      <c r="D625" t="s">
        <v>7</v>
      </c>
      <c r="E625" s="2" t="s">
        <v>12</v>
      </c>
      <c r="F625">
        <f t="shared" si="9"/>
        <v>1.7906490000000002</v>
      </c>
      <c r="G625" t="s">
        <v>16</v>
      </c>
      <c r="J625" t="str">
        <f>"06/16/2003 23:45"</f>
        <v>06/16/2003 23:45</v>
      </c>
    </row>
    <row r="626" spans="1:10" x14ac:dyDescent="0.3">
      <c r="A626" t="s">
        <v>6</v>
      </c>
      <c r="B626" t="str">
        <f>"06/17/2003 00:00"</f>
        <v>06/17/2003 00:00</v>
      </c>
      <c r="C626">
        <v>51.1</v>
      </c>
      <c r="D626" t="s">
        <v>7</v>
      </c>
      <c r="E626" s="2" t="s">
        <v>12</v>
      </c>
      <c r="F626">
        <f t="shared" si="9"/>
        <v>101.33130000000001</v>
      </c>
      <c r="G626" t="s">
        <v>16</v>
      </c>
      <c r="J626" t="str">
        <f>"06/17/2003 23:45"</f>
        <v>06/17/2003 23:45</v>
      </c>
    </row>
    <row r="627" spans="1:10" x14ac:dyDescent="0.3">
      <c r="A627" t="s">
        <v>6</v>
      </c>
      <c r="B627" t="str">
        <f>"06/18/2003 00:00"</f>
        <v>06/18/2003 00:00</v>
      </c>
      <c r="C627">
        <v>103</v>
      </c>
      <c r="D627" t="s">
        <v>7</v>
      </c>
      <c r="E627" s="2" t="s">
        <v>12</v>
      </c>
      <c r="F627">
        <f t="shared" si="9"/>
        <v>204.24900000000002</v>
      </c>
      <c r="G627" t="s">
        <v>16</v>
      </c>
      <c r="J627" t="str">
        <f>"06/18/2003 23:45"</f>
        <v>06/18/2003 23:45</v>
      </c>
    </row>
    <row r="628" spans="1:10" x14ac:dyDescent="0.3">
      <c r="A628" t="s">
        <v>6</v>
      </c>
      <c r="B628" t="str">
        <f>"06/19/2003 00:00"</f>
        <v>06/19/2003 00:00</v>
      </c>
      <c r="C628">
        <v>48.2</v>
      </c>
      <c r="D628" t="s">
        <v>7</v>
      </c>
      <c r="E628" s="2" t="s">
        <v>12</v>
      </c>
      <c r="F628">
        <f t="shared" si="9"/>
        <v>95.580600000000004</v>
      </c>
      <c r="G628" t="s">
        <v>16</v>
      </c>
      <c r="J628" t="str">
        <f>"06/19/2003 23:45"</f>
        <v>06/19/2003 23:45</v>
      </c>
    </row>
    <row r="629" spans="1:10" x14ac:dyDescent="0.3">
      <c r="A629" t="s">
        <v>6</v>
      </c>
      <c r="B629" t="str">
        <f>"06/20/2003 00:00"</f>
        <v>06/20/2003 00:00</v>
      </c>
      <c r="C629">
        <v>0.63</v>
      </c>
      <c r="D629" t="s">
        <v>7</v>
      </c>
      <c r="E629" s="2" t="s">
        <v>12</v>
      </c>
      <c r="F629">
        <f t="shared" si="9"/>
        <v>1.24929</v>
      </c>
      <c r="G629" t="s">
        <v>16</v>
      </c>
      <c r="J629" t="str">
        <f>"06/20/2003 23:45"</f>
        <v>06/20/2003 23:45</v>
      </c>
    </row>
    <row r="630" spans="1:10" x14ac:dyDescent="0.3">
      <c r="A630" t="s">
        <v>6</v>
      </c>
      <c r="B630" t="str">
        <f>"06/21/2003 00:00"</f>
        <v>06/21/2003 00:00</v>
      </c>
      <c r="C630">
        <v>0.63</v>
      </c>
      <c r="D630" t="s">
        <v>7</v>
      </c>
      <c r="E630" s="2" t="s">
        <v>12</v>
      </c>
      <c r="F630">
        <f t="shared" si="9"/>
        <v>1.24929</v>
      </c>
      <c r="G630" t="s">
        <v>16</v>
      </c>
      <c r="J630" t="str">
        <f>"06/21/2003 23:45"</f>
        <v>06/21/2003 23:45</v>
      </c>
    </row>
    <row r="631" spans="1:10" x14ac:dyDescent="0.3">
      <c r="A631" t="s">
        <v>6</v>
      </c>
      <c r="B631" t="str">
        <f>"06/22/2003 00:00"</f>
        <v>06/22/2003 00:00</v>
      </c>
      <c r="C631">
        <v>0.63</v>
      </c>
      <c r="D631" t="s">
        <v>7</v>
      </c>
      <c r="E631" s="2" t="s">
        <v>12</v>
      </c>
      <c r="F631">
        <f t="shared" si="9"/>
        <v>1.24929</v>
      </c>
      <c r="G631" t="s">
        <v>16</v>
      </c>
      <c r="J631" t="str">
        <f>"06/22/2003 23:45"</f>
        <v>06/22/2003 23:45</v>
      </c>
    </row>
    <row r="632" spans="1:10" x14ac:dyDescent="0.3">
      <c r="A632" t="s">
        <v>6</v>
      </c>
      <c r="B632" t="str">
        <f>"06/23/2003 00:00"</f>
        <v>06/23/2003 00:00</v>
      </c>
      <c r="C632">
        <v>0.63</v>
      </c>
      <c r="D632" t="s">
        <v>7</v>
      </c>
      <c r="E632" s="2" t="s">
        <v>12</v>
      </c>
      <c r="F632">
        <f t="shared" si="9"/>
        <v>1.24929</v>
      </c>
      <c r="G632" t="s">
        <v>16</v>
      </c>
      <c r="J632" t="str">
        <f>"06/23/2003 23:45"</f>
        <v>06/23/2003 23:45</v>
      </c>
    </row>
    <row r="633" spans="1:10" x14ac:dyDescent="0.3">
      <c r="A633" t="s">
        <v>6</v>
      </c>
      <c r="B633" t="str">
        <f>"06/24/2003 00:00"</f>
        <v>06/24/2003 00:00</v>
      </c>
      <c r="C633">
        <v>0.55900000000000005</v>
      </c>
      <c r="D633" t="s">
        <v>7</v>
      </c>
      <c r="E633" s="2" t="s">
        <v>12</v>
      </c>
      <c r="F633">
        <f t="shared" si="9"/>
        <v>1.1084970000000001</v>
      </c>
      <c r="G633" t="s">
        <v>16</v>
      </c>
      <c r="J633" t="str">
        <f>"06/24/2003 23:45"</f>
        <v>06/24/2003 23:45</v>
      </c>
    </row>
    <row r="634" spans="1:10" x14ac:dyDescent="0.3">
      <c r="A634" t="s">
        <v>6</v>
      </c>
      <c r="B634" t="str">
        <f>"06/25/2003 00:00"</f>
        <v>06/25/2003 00:00</v>
      </c>
      <c r="C634">
        <v>0.503</v>
      </c>
      <c r="D634" t="s">
        <v>7</v>
      </c>
      <c r="E634" s="2" t="s">
        <v>12</v>
      </c>
      <c r="F634">
        <f t="shared" si="9"/>
        <v>0.99744900000000003</v>
      </c>
      <c r="G634" t="s">
        <v>16</v>
      </c>
      <c r="J634" t="str">
        <f>"06/25/2003 23:45"</f>
        <v>06/25/2003 23:45</v>
      </c>
    </row>
    <row r="635" spans="1:10" x14ac:dyDescent="0.3">
      <c r="A635" t="s">
        <v>6</v>
      </c>
      <c r="B635" t="str">
        <f>"06/26/2003 00:00"</f>
        <v>06/26/2003 00:00</v>
      </c>
      <c r="C635">
        <v>56.9</v>
      </c>
      <c r="D635" t="s">
        <v>7</v>
      </c>
      <c r="E635" s="2" t="s">
        <v>12</v>
      </c>
      <c r="F635">
        <f t="shared" si="9"/>
        <v>112.8327</v>
      </c>
      <c r="G635" t="s">
        <v>16</v>
      </c>
      <c r="J635" t="str">
        <f>"06/26/2003 23:45"</f>
        <v>06/26/2003 23:45</v>
      </c>
    </row>
    <row r="636" spans="1:10" x14ac:dyDescent="0.3">
      <c r="A636" t="s">
        <v>6</v>
      </c>
      <c r="B636" t="str">
        <f>"06/27/2003 00:00"</f>
        <v>06/27/2003 00:00</v>
      </c>
      <c r="C636">
        <v>146</v>
      </c>
      <c r="D636" t="s">
        <v>7</v>
      </c>
      <c r="E636" s="2" t="s">
        <v>12</v>
      </c>
      <c r="F636">
        <f t="shared" si="9"/>
        <v>289.51800000000003</v>
      </c>
      <c r="G636" t="s">
        <v>16</v>
      </c>
      <c r="J636" t="str">
        <f>"06/27/2003 23:45"</f>
        <v>06/27/2003 23:45</v>
      </c>
    </row>
    <row r="637" spans="1:10" x14ac:dyDescent="0.3">
      <c r="A637" t="s">
        <v>6</v>
      </c>
      <c r="B637" t="str">
        <f>"06/28/2003 00:00"</f>
        <v>06/28/2003 00:00</v>
      </c>
      <c r="C637">
        <v>196</v>
      </c>
      <c r="D637" t="s">
        <v>7</v>
      </c>
      <c r="E637" s="2" t="s">
        <v>12</v>
      </c>
      <c r="F637">
        <f t="shared" si="9"/>
        <v>388.66800000000001</v>
      </c>
      <c r="G637" t="s">
        <v>16</v>
      </c>
      <c r="J637" t="str">
        <f>"06/28/2003 23:45"</f>
        <v>06/28/2003 23:45</v>
      </c>
    </row>
    <row r="638" spans="1:10" x14ac:dyDescent="0.3">
      <c r="A638" t="s">
        <v>6</v>
      </c>
      <c r="B638" t="str">
        <f>"06/29/2003 00:00"</f>
        <v>06/29/2003 00:00</v>
      </c>
      <c r="C638">
        <v>196</v>
      </c>
      <c r="D638" t="s">
        <v>7</v>
      </c>
      <c r="E638" s="2" t="s">
        <v>12</v>
      </c>
      <c r="F638">
        <f t="shared" si="9"/>
        <v>388.66800000000001</v>
      </c>
      <c r="G638" t="s">
        <v>16</v>
      </c>
      <c r="J638" t="str">
        <f>"06/29/2003 23:45"</f>
        <v>06/29/2003 23:45</v>
      </c>
    </row>
    <row r="639" spans="1:10" x14ac:dyDescent="0.3">
      <c r="A639" t="s">
        <v>6</v>
      </c>
      <c r="B639" t="str">
        <f>"06/30/2003 00:00"</f>
        <v>06/30/2003 00:00</v>
      </c>
      <c r="C639">
        <v>104</v>
      </c>
      <c r="D639" t="s">
        <v>7</v>
      </c>
      <c r="E639" s="2" t="s">
        <v>12</v>
      </c>
      <c r="F639">
        <f t="shared" si="9"/>
        <v>206.232</v>
      </c>
      <c r="G639" t="s">
        <v>16</v>
      </c>
      <c r="J639" t="str">
        <f>"06/30/2003 23:45"</f>
        <v>06/30/2003 23:45</v>
      </c>
    </row>
    <row r="640" spans="1:10" x14ac:dyDescent="0.3">
      <c r="A640" t="s">
        <v>6</v>
      </c>
      <c r="B640" t="str">
        <f>"07/01/2003 00:00"</f>
        <v>07/01/2003 00:00</v>
      </c>
      <c r="C640">
        <v>0.63</v>
      </c>
      <c r="D640" t="s">
        <v>7</v>
      </c>
      <c r="E640" s="2" t="s">
        <v>12</v>
      </c>
      <c r="F640">
        <f t="shared" si="9"/>
        <v>1.24929</v>
      </c>
      <c r="G640" t="s">
        <v>16</v>
      </c>
      <c r="J640" t="str">
        <f>"07/01/2003 23:45"</f>
        <v>07/01/2003 23:45</v>
      </c>
    </row>
    <row r="641" spans="1:10" x14ac:dyDescent="0.3">
      <c r="A641" t="s">
        <v>6</v>
      </c>
      <c r="B641" t="str">
        <f>"07/02/2003 00:00"</f>
        <v>07/02/2003 00:00</v>
      </c>
      <c r="C641">
        <v>0.63</v>
      </c>
      <c r="D641" t="s">
        <v>7</v>
      </c>
      <c r="E641" s="2" t="s">
        <v>12</v>
      </c>
      <c r="F641">
        <f t="shared" si="9"/>
        <v>1.24929</v>
      </c>
      <c r="G641" t="s">
        <v>16</v>
      </c>
      <c r="J641" t="str">
        <f>"07/02/2003 23:45"</f>
        <v>07/02/2003 23:45</v>
      </c>
    </row>
    <row r="642" spans="1:10" x14ac:dyDescent="0.3">
      <c r="A642" t="s">
        <v>6</v>
      </c>
      <c r="B642" t="str">
        <f>"07/03/2003 00:00"</f>
        <v>07/03/2003 00:00</v>
      </c>
      <c r="C642">
        <v>0.63</v>
      </c>
      <c r="D642" t="s">
        <v>7</v>
      </c>
      <c r="E642" s="2" t="s">
        <v>12</v>
      </c>
      <c r="F642">
        <f t="shared" si="9"/>
        <v>1.24929</v>
      </c>
      <c r="G642" t="s">
        <v>16</v>
      </c>
      <c r="J642" t="str">
        <f>"07/03/2003 23:45"</f>
        <v>07/03/2003 23:45</v>
      </c>
    </row>
    <row r="643" spans="1:10" x14ac:dyDescent="0.3">
      <c r="A643" t="s">
        <v>6</v>
      </c>
      <c r="B643" t="str">
        <f>"07/04/2003 00:00"</f>
        <v>07/04/2003 00:00</v>
      </c>
      <c r="C643">
        <v>81.7</v>
      </c>
      <c r="D643" t="s">
        <v>7</v>
      </c>
      <c r="E643" s="2" t="s">
        <v>12</v>
      </c>
      <c r="F643">
        <f t="shared" si="9"/>
        <v>162.01110000000003</v>
      </c>
      <c r="G643" t="s">
        <v>16</v>
      </c>
      <c r="J643" t="str">
        <f>"07/04/2003 23:45"</f>
        <v>07/04/2003 23:45</v>
      </c>
    </row>
    <row r="644" spans="1:10" x14ac:dyDescent="0.3">
      <c r="A644" t="s">
        <v>6</v>
      </c>
      <c r="B644" t="str">
        <f>"07/05/2003 00:00"</f>
        <v>07/05/2003 00:00</v>
      </c>
      <c r="C644">
        <v>149</v>
      </c>
      <c r="D644" t="s">
        <v>7</v>
      </c>
      <c r="E644" s="2" t="s">
        <v>12</v>
      </c>
      <c r="F644">
        <f t="shared" ref="F644:F707" si="10">C644*1.983</f>
        <v>295.46700000000004</v>
      </c>
      <c r="G644" t="s">
        <v>16</v>
      </c>
      <c r="J644" t="str">
        <f>"07/05/2003 23:45"</f>
        <v>07/05/2003 23:45</v>
      </c>
    </row>
    <row r="645" spans="1:10" x14ac:dyDescent="0.3">
      <c r="A645" t="s">
        <v>6</v>
      </c>
      <c r="B645" t="str">
        <f>"07/06/2003 00:00"</f>
        <v>07/06/2003 00:00</v>
      </c>
      <c r="C645">
        <v>149</v>
      </c>
      <c r="D645" t="s">
        <v>7</v>
      </c>
      <c r="E645" s="2" t="s">
        <v>12</v>
      </c>
      <c r="F645">
        <f t="shared" si="10"/>
        <v>295.46700000000004</v>
      </c>
      <c r="G645" t="s">
        <v>16</v>
      </c>
      <c r="J645" t="str">
        <f>"07/06/2003 23:45"</f>
        <v>07/06/2003 23:45</v>
      </c>
    </row>
    <row r="646" spans="1:10" x14ac:dyDescent="0.3">
      <c r="A646" t="s">
        <v>6</v>
      </c>
      <c r="B646" t="str">
        <f>"07/07/2003 00:00"</f>
        <v>07/07/2003 00:00</v>
      </c>
      <c r="C646">
        <v>149</v>
      </c>
      <c r="D646" t="s">
        <v>7</v>
      </c>
      <c r="E646" s="2" t="s">
        <v>12</v>
      </c>
      <c r="F646">
        <f t="shared" si="10"/>
        <v>295.46700000000004</v>
      </c>
      <c r="G646" t="s">
        <v>16</v>
      </c>
      <c r="J646" t="str">
        <f>"07/07/2003 23:45"</f>
        <v>07/07/2003 23:45</v>
      </c>
    </row>
    <row r="647" spans="1:10" x14ac:dyDescent="0.3">
      <c r="A647" t="s">
        <v>6</v>
      </c>
      <c r="B647" t="str">
        <f>"07/08/2003 00:00"</f>
        <v>07/08/2003 00:00</v>
      </c>
      <c r="C647">
        <v>111</v>
      </c>
      <c r="D647" t="s">
        <v>7</v>
      </c>
      <c r="E647" s="2" t="s">
        <v>12</v>
      </c>
      <c r="F647">
        <f t="shared" si="10"/>
        <v>220.113</v>
      </c>
      <c r="G647" t="s">
        <v>16</v>
      </c>
      <c r="J647" t="str">
        <f>"07/08/2003 23:45"</f>
        <v>07/08/2003 23:45</v>
      </c>
    </row>
    <row r="648" spans="1:10" x14ac:dyDescent="0.3">
      <c r="A648" t="s">
        <v>6</v>
      </c>
      <c r="B648" t="str">
        <f>"07/09/2003 00:00"</f>
        <v>07/09/2003 00:00</v>
      </c>
      <c r="C648">
        <v>101</v>
      </c>
      <c r="D648" t="s">
        <v>7</v>
      </c>
      <c r="E648" s="2" t="s">
        <v>12</v>
      </c>
      <c r="F648">
        <f t="shared" si="10"/>
        <v>200.28300000000002</v>
      </c>
      <c r="G648" t="s">
        <v>16</v>
      </c>
      <c r="J648" t="str">
        <f>"07/09/2003 23:45"</f>
        <v>07/09/2003 23:45</v>
      </c>
    </row>
    <row r="649" spans="1:10" x14ac:dyDescent="0.3">
      <c r="A649" t="s">
        <v>6</v>
      </c>
      <c r="B649" t="str">
        <f>"07/10/2003 00:00"</f>
        <v>07/10/2003 00:00</v>
      </c>
      <c r="C649">
        <v>101</v>
      </c>
      <c r="D649" t="s">
        <v>7</v>
      </c>
      <c r="E649" s="2" t="s">
        <v>12</v>
      </c>
      <c r="F649">
        <f t="shared" si="10"/>
        <v>200.28300000000002</v>
      </c>
      <c r="G649" t="s">
        <v>16</v>
      </c>
      <c r="J649" t="str">
        <f>"07/10/2003 23:45"</f>
        <v>07/10/2003 23:45</v>
      </c>
    </row>
    <row r="650" spans="1:10" x14ac:dyDescent="0.3">
      <c r="A650" t="s">
        <v>6</v>
      </c>
      <c r="B650" t="str">
        <f>"07/11/2003 00:00"</f>
        <v>07/11/2003 00:00</v>
      </c>
      <c r="C650">
        <v>157</v>
      </c>
      <c r="D650" t="s">
        <v>7</v>
      </c>
      <c r="E650" s="2" t="s">
        <v>12</v>
      </c>
      <c r="F650">
        <f t="shared" si="10"/>
        <v>311.33100000000002</v>
      </c>
      <c r="G650" t="s">
        <v>16</v>
      </c>
      <c r="J650" t="str">
        <f>"07/11/2003 23:45"</f>
        <v>07/11/2003 23:45</v>
      </c>
    </row>
    <row r="651" spans="1:10" x14ac:dyDescent="0.3">
      <c r="A651" t="s">
        <v>6</v>
      </c>
      <c r="B651" t="str">
        <f>"07/12/2003 00:00"</f>
        <v>07/12/2003 00:00</v>
      </c>
      <c r="C651">
        <v>200</v>
      </c>
      <c r="D651" t="s">
        <v>7</v>
      </c>
      <c r="E651" s="2" t="s">
        <v>12</v>
      </c>
      <c r="F651">
        <f t="shared" si="10"/>
        <v>396.6</v>
      </c>
      <c r="G651" t="s">
        <v>16</v>
      </c>
      <c r="J651" t="str">
        <f>"07/12/2003 23:45"</f>
        <v>07/12/2003 23:45</v>
      </c>
    </row>
    <row r="652" spans="1:10" x14ac:dyDescent="0.3">
      <c r="A652" t="s">
        <v>6</v>
      </c>
      <c r="B652" t="str">
        <f>"07/13/2003 00:00"</f>
        <v>07/13/2003 00:00</v>
      </c>
      <c r="C652">
        <v>160</v>
      </c>
      <c r="D652" t="s">
        <v>7</v>
      </c>
      <c r="E652" s="2" t="s">
        <v>12</v>
      </c>
      <c r="F652">
        <f t="shared" si="10"/>
        <v>317.28000000000003</v>
      </c>
      <c r="G652" t="s">
        <v>16</v>
      </c>
      <c r="J652" t="str">
        <f>"07/13/2003 23:45"</f>
        <v>07/13/2003 23:45</v>
      </c>
    </row>
    <row r="653" spans="1:10" x14ac:dyDescent="0.3">
      <c r="A653" t="s">
        <v>6</v>
      </c>
      <c r="B653" t="str">
        <f>"07/14/2003 00:00"</f>
        <v>07/14/2003 00:00</v>
      </c>
      <c r="C653">
        <v>143</v>
      </c>
      <c r="D653" t="s">
        <v>7</v>
      </c>
      <c r="E653" s="2" t="s">
        <v>12</v>
      </c>
      <c r="F653">
        <f t="shared" si="10"/>
        <v>283.56900000000002</v>
      </c>
      <c r="G653" t="s">
        <v>16</v>
      </c>
      <c r="J653" t="str">
        <f>"07/14/2003 23:45"</f>
        <v>07/14/2003 23:45</v>
      </c>
    </row>
    <row r="654" spans="1:10" x14ac:dyDescent="0.3">
      <c r="A654" t="s">
        <v>6</v>
      </c>
      <c r="B654" t="str">
        <f>"07/15/2003 00:00"</f>
        <v>07/15/2003 00:00</v>
      </c>
      <c r="C654">
        <v>175</v>
      </c>
      <c r="D654" t="s">
        <v>7</v>
      </c>
      <c r="E654" s="2" t="s">
        <v>12</v>
      </c>
      <c r="F654">
        <f t="shared" si="10"/>
        <v>347.02500000000003</v>
      </c>
      <c r="G654" t="s">
        <v>16</v>
      </c>
      <c r="J654" t="str">
        <f>"07/15/2003 23:45"</f>
        <v>07/15/2003 23:45</v>
      </c>
    </row>
    <row r="655" spans="1:10" x14ac:dyDescent="0.3">
      <c r="A655" t="s">
        <v>6</v>
      </c>
      <c r="B655" t="str">
        <f>"07/16/2003 00:00"</f>
        <v>07/16/2003 00:00</v>
      </c>
      <c r="C655">
        <v>199</v>
      </c>
      <c r="D655" t="s">
        <v>7</v>
      </c>
      <c r="E655" s="2" t="s">
        <v>12</v>
      </c>
      <c r="F655">
        <f t="shared" si="10"/>
        <v>394.61700000000002</v>
      </c>
      <c r="G655" t="s">
        <v>16</v>
      </c>
      <c r="J655" t="str">
        <f>"07/16/2003 23:45"</f>
        <v>07/16/2003 23:45</v>
      </c>
    </row>
    <row r="656" spans="1:10" x14ac:dyDescent="0.3">
      <c r="A656" t="s">
        <v>6</v>
      </c>
      <c r="B656" t="str">
        <f>"07/17/2003 00:00"</f>
        <v>07/17/2003 00:00</v>
      </c>
      <c r="C656">
        <v>280</v>
      </c>
      <c r="D656" t="s">
        <v>7</v>
      </c>
      <c r="E656" s="2" t="s">
        <v>12</v>
      </c>
      <c r="F656">
        <f t="shared" si="10"/>
        <v>555.24</v>
      </c>
      <c r="G656" t="s">
        <v>16</v>
      </c>
      <c r="J656" t="str">
        <f>"07/17/2003 23:45"</f>
        <v>07/17/2003 23:45</v>
      </c>
    </row>
    <row r="657" spans="1:10" x14ac:dyDescent="0.3">
      <c r="A657" t="s">
        <v>6</v>
      </c>
      <c r="B657" t="str">
        <f>"07/18/2003 00:00"</f>
        <v>07/18/2003 00:00</v>
      </c>
      <c r="C657">
        <v>302</v>
      </c>
      <c r="D657" t="s">
        <v>7</v>
      </c>
      <c r="E657" s="2" t="s">
        <v>12</v>
      </c>
      <c r="F657">
        <f t="shared" si="10"/>
        <v>598.86599999999999</v>
      </c>
      <c r="G657" t="s">
        <v>16</v>
      </c>
      <c r="J657" t="str">
        <f>"07/18/2003 23:45"</f>
        <v>07/18/2003 23:45</v>
      </c>
    </row>
    <row r="658" spans="1:10" x14ac:dyDescent="0.3">
      <c r="A658" t="s">
        <v>6</v>
      </c>
      <c r="B658" t="str">
        <f>"07/19/2003 00:00"</f>
        <v>07/19/2003 00:00</v>
      </c>
      <c r="C658">
        <v>260</v>
      </c>
      <c r="D658" t="s">
        <v>7</v>
      </c>
      <c r="E658" s="2" t="s">
        <v>12</v>
      </c>
      <c r="F658">
        <f t="shared" si="10"/>
        <v>515.58000000000004</v>
      </c>
      <c r="G658" t="s">
        <v>16</v>
      </c>
      <c r="J658" t="str">
        <f>"07/19/2003 23:45"</f>
        <v>07/19/2003 23:45</v>
      </c>
    </row>
    <row r="659" spans="1:10" x14ac:dyDescent="0.3">
      <c r="A659" t="s">
        <v>6</v>
      </c>
      <c r="B659" t="str">
        <f>"07/20/2003 00:00"</f>
        <v>07/20/2003 00:00</v>
      </c>
      <c r="C659">
        <v>226</v>
      </c>
      <c r="D659" t="s">
        <v>7</v>
      </c>
      <c r="E659" s="2" t="s">
        <v>12</v>
      </c>
      <c r="F659">
        <f t="shared" si="10"/>
        <v>448.15800000000002</v>
      </c>
      <c r="G659" t="s">
        <v>16</v>
      </c>
      <c r="J659" t="str">
        <f>"07/20/2003 23:45"</f>
        <v>07/20/2003 23:45</v>
      </c>
    </row>
    <row r="660" spans="1:10" x14ac:dyDescent="0.3">
      <c r="A660" t="s">
        <v>6</v>
      </c>
      <c r="B660" t="str">
        <f>"07/21/2003 00:00"</f>
        <v>07/21/2003 00:00</v>
      </c>
      <c r="C660">
        <v>252</v>
      </c>
      <c r="D660" t="s">
        <v>7</v>
      </c>
      <c r="E660" s="2" t="s">
        <v>12</v>
      </c>
      <c r="F660">
        <f t="shared" si="10"/>
        <v>499.71600000000001</v>
      </c>
      <c r="G660" t="s">
        <v>16</v>
      </c>
      <c r="J660" t="str">
        <f>"07/21/2003 23:45"</f>
        <v>07/21/2003 23:45</v>
      </c>
    </row>
    <row r="661" spans="1:10" x14ac:dyDescent="0.3">
      <c r="A661" t="s">
        <v>6</v>
      </c>
      <c r="B661" t="str">
        <f>"07/22/2003 00:00"</f>
        <v>07/22/2003 00:00</v>
      </c>
      <c r="C661">
        <v>319</v>
      </c>
      <c r="D661" t="s">
        <v>7</v>
      </c>
      <c r="E661" s="2" t="s">
        <v>12</v>
      </c>
      <c r="F661">
        <f t="shared" si="10"/>
        <v>632.577</v>
      </c>
      <c r="G661" t="s">
        <v>16</v>
      </c>
      <c r="J661" t="str">
        <f>"07/22/2003 23:45"</f>
        <v>07/22/2003 23:45</v>
      </c>
    </row>
    <row r="662" spans="1:10" x14ac:dyDescent="0.3">
      <c r="A662" t="s">
        <v>6</v>
      </c>
      <c r="B662" t="str">
        <f>"07/23/2003 00:00"</f>
        <v>07/23/2003 00:00</v>
      </c>
      <c r="C662">
        <v>324</v>
      </c>
      <c r="D662" t="s">
        <v>7</v>
      </c>
      <c r="E662" s="2" t="s">
        <v>12</v>
      </c>
      <c r="F662">
        <f t="shared" si="10"/>
        <v>642.49200000000008</v>
      </c>
      <c r="G662" t="s">
        <v>16</v>
      </c>
      <c r="J662" t="str">
        <f>"07/23/2003 23:45"</f>
        <v>07/23/2003 23:45</v>
      </c>
    </row>
    <row r="663" spans="1:10" x14ac:dyDescent="0.3">
      <c r="A663" t="s">
        <v>6</v>
      </c>
      <c r="B663" t="str">
        <f>"07/24/2003 00:00"</f>
        <v>07/24/2003 00:00</v>
      </c>
      <c r="C663">
        <v>142</v>
      </c>
      <c r="D663" t="s">
        <v>7</v>
      </c>
      <c r="E663" s="2" t="s">
        <v>12</v>
      </c>
      <c r="F663">
        <f t="shared" si="10"/>
        <v>281.58600000000001</v>
      </c>
      <c r="G663" t="s">
        <v>16</v>
      </c>
      <c r="J663" t="str">
        <f>"07/24/2003 23:45"</f>
        <v>07/24/2003 23:45</v>
      </c>
    </row>
    <row r="664" spans="1:10" x14ac:dyDescent="0.3">
      <c r="A664" t="s">
        <v>6</v>
      </c>
      <c r="B664" t="str">
        <f>"07/25/2003 00:00"</f>
        <v>07/25/2003 00:00</v>
      </c>
      <c r="C664">
        <v>327</v>
      </c>
      <c r="D664" t="s">
        <v>7</v>
      </c>
      <c r="E664" s="2" t="s">
        <v>12</v>
      </c>
      <c r="F664">
        <f t="shared" si="10"/>
        <v>648.44100000000003</v>
      </c>
      <c r="G664" t="s">
        <v>16</v>
      </c>
      <c r="J664" t="str">
        <f>"07/25/2003 23:45"</f>
        <v>07/25/2003 23:45</v>
      </c>
    </row>
    <row r="665" spans="1:10" x14ac:dyDescent="0.3">
      <c r="A665" t="s">
        <v>6</v>
      </c>
      <c r="B665" t="str">
        <f>"07/26/2003 00:00"</f>
        <v>07/26/2003 00:00</v>
      </c>
      <c r="C665">
        <v>261</v>
      </c>
      <c r="D665" t="s">
        <v>7</v>
      </c>
      <c r="E665" s="2" t="s">
        <v>12</v>
      </c>
      <c r="F665">
        <f t="shared" si="10"/>
        <v>517.56299999999999</v>
      </c>
      <c r="G665" t="s">
        <v>16</v>
      </c>
      <c r="J665" t="str">
        <f>"07/26/2003 23:45"</f>
        <v>07/26/2003 23:45</v>
      </c>
    </row>
    <row r="666" spans="1:10" x14ac:dyDescent="0.3">
      <c r="A666" t="s">
        <v>6</v>
      </c>
      <c r="B666" t="str">
        <f>"07/27/2003 00:00"</f>
        <v>07/27/2003 00:00</v>
      </c>
      <c r="C666">
        <v>227</v>
      </c>
      <c r="D666" t="s">
        <v>7</v>
      </c>
      <c r="E666" s="2" t="s">
        <v>12</v>
      </c>
      <c r="F666">
        <f t="shared" si="10"/>
        <v>450.14100000000002</v>
      </c>
      <c r="G666" t="s">
        <v>16</v>
      </c>
      <c r="J666" t="str">
        <f>"07/27/2003 23:45"</f>
        <v>07/27/2003 23:45</v>
      </c>
    </row>
    <row r="667" spans="1:10" x14ac:dyDescent="0.3">
      <c r="A667" t="s">
        <v>6</v>
      </c>
      <c r="B667" t="str">
        <f>"07/28/2003 00:00"</f>
        <v>07/28/2003 00:00</v>
      </c>
      <c r="C667">
        <v>217</v>
      </c>
      <c r="D667" t="s">
        <v>7</v>
      </c>
      <c r="E667" s="2" t="s">
        <v>12</v>
      </c>
      <c r="F667">
        <f t="shared" si="10"/>
        <v>430.31100000000004</v>
      </c>
      <c r="G667" t="s">
        <v>16</v>
      </c>
      <c r="J667" t="str">
        <f>"07/28/2003 23:45"</f>
        <v>07/28/2003 23:45</v>
      </c>
    </row>
    <row r="668" spans="1:10" x14ac:dyDescent="0.3">
      <c r="A668" t="s">
        <v>6</v>
      </c>
      <c r="B668" t="str">
        <f>"07/29/2003 00:00"</f>
        <v>07/29/2003 00:00</v>
      </c>
      <c r="C668">
        <v>200</v>
      </c>
      <c r="D668" t="s">
        <v>7</v>
      </c>
      <c r="E668" s="2" t="s">
        <v>12</v>
      </c>
      <c r="F668">
        <f t="shared" si="10"/>
        <v>396.6</v>
      </c>
      <c r="G668" t="s">
        <v>16</v>
      </c>
      <c r="J668" t="str">
        <f>"07/29/2003 23:45"</f>
        <v>07/29/2003 23:45</v>
      </c>
    </row>
    <row r="669" spans="1:10" x14ac:dyDescent="0.3">
      <c r="A669" t="s">
        <v>6</v>
      </c>
      <c r="B669" t="str">
        <f>"07/30/2003 00:00"</f>
        <v>07/30/2003 00:00</v>
      </c>
      <c r="C669">
        <v>165</v>
      </c>
      <c r="D669" t="s">
        <v>7</v>
      </c>
      <c r="E669" s="2" t="s">
        <v>12</v>
      </c>
      <c r="F669">
        <f t="shared" si="10"/>
        <v>327.19499999999999</v>
      </c>
      <c r="G669" t="s">
        <v>16</v>
      </c>
      <c r="J669" t="str">
        <f>"07/30/2003 23:45"</f>
        <v>07/30/2003 23:45</v>
      </c>
    </row>
    <row r="670" spans="1:10" x14ac:dyDescent="0.3">
      <c r="A670" t="s">
        <v>6</v>
      </c>
      <c r="B670" t="str">
        <f>"07/31/2003 00:00"</f>
        <v>07/31/2003 00:00</v>
      </c>
      <c r="C670">
        <v>101</v>
      </c>
      <c r="D670" t="s">
        <v>7</v>
      </c>
      <c r="E670" s="2" t="s">
        <v>12</v>
      </c>
      <c r="F670">
        <f t="shared" si="10"/>
        <v>200.28300000000002</v>
      </c>
      <c r="G670" t="s">
        <v>16</v>
      </c>
      <c r="J670" t="str">
        <f>"07/31/2003 23:45"</f>
        <v>07/31/2003 23:45</v>
      </c>
    </row>
    <row r="671" spans="1:10" x14ac:dyDescent="0.3">
      <c r="A671" t="s">
        <v>6</v>
      </c>
      <c r="B671" t="str">
        <f>"08/01/2003 00:00"</f>
        <v>08/01/2003 00:00</v>
      </c>
      <c r="C671">
        <v>113</v>
      </c>
      <c r="D671" t="s">
        <v>7</v>
      </c>
      <c r="E671" s="2" t="s">
        <v>12</v>
      </c>
      <c r="F671">
        <f t="shared" si="10"/>
        <v>224.07900000000001</v>
      </c>
      <c r="G671" t="s">
        <v>16</v>
      </c>
      <c r="J671" t="str">
        <f>"08/01/2003 23:45"</f>
        <v>08/01/2003 23:45</v>
      </c>
    </row>
    <row r="672" spans="1:10" x14ac:dyDescent="0.3">
      <c r="A672" t="s">
        <v>6</v>
      </c>
      <c r="B672" t="str">
        <f>"08/02/2003 00:00"</f>
        <v>08/02/2003 00:00</v>
      </c>
      <c r="C672">
        <v>165</v>
      </c>
      <c r="D672" t="s">
        <v>7</v>
      </c>
      <c r="E672" s="2" t="s">
        <v>12</v>
      </c>
      <c r="F672">
        <f t="shared" si="10"/>
        <v>327.19499999999999</v>
      </c>
      <c r="G672" t="s">
        <v>16</v>
      </c>
      <c r="J672" t="str">
        <f>"08/02/2003 23:45"</f>
        <v>08/02/2003 23:45</v>
      </c>
    </row>
    <row r="673" spans="1:10" x14ac:dyDescent="0.3">
      <c r="A673" t="s">
        <v>6</v>
      </c>
      <c r="B673" t="str">
        <f>"08/03/2003 00:00"</f>
        <v>08/03/2003 00:00</v>
      </c>
      <c r="C673">
        <v>193</v>
      </c>
      <c r="D673" t="s">
        <v>7</v>
      </c>
      <c r="E673" s="2" t="s">
        <v>12</v>
      </c>
      <c r="F673">
        <f t="shared" si="10"/>
        <v>382.71899999999999</v>
      </c>
      <c r="G673" t="s">
        <v>16</v>
      </c>
      <c r="J673" t="str">
        <f>"08/03/2003 23:45"</f>
        <v>08/03/2003 23:45</v>
      </c>
    </row>
    <row r="674" spans="1:10" x14ac:dyDescent="0.3">
      <c r="A674" t="s">
        <v>6</v>
      </c>
      <c r="B674" t="str">
        <f>"08/04/2003 00:00"</f>
        <v>08/04/2003 00:00</v>
      </c>
      <c r="C674">
        <v>193</v>
      </c>
      <c r="D674" t="s">
        <v>7</v>
      </c>
      <c r="E674" s="2" t="s">
        <v>12</v>
      </c>
      <c r="F674">
        <f t="shared" si="10"/>
        <v>382.71899999999999</v>
      </c>
      <c r="G674" t="s">
        <v>16</v>
      </c>
      <c r="J674" t="str">
        <f>"08/04/2003 23:45"</f>
        <v>08/04/2003 23:45</v>
      </c>
    </row>
    <row r="675" spans="1:10" x14ac:dyDescent="0.3">
      <c r="A675" t="s">
        <v>6</v>
      </c>
      <c r="B675" t="str">
        <f>"08/05/2003 00:00"</f>
        <v>08/05/2003 00:00</v>
      </c>
      <c r="C675">
        <v>194</v>
      </c>
      <c r="D675" t="s">
        <v>7</v>
      </c>
      <c r="E675" s="2" t="s">
        <v>12</v>
      </c>
      <c r="F675">
        <f t="shared" si="10"/>
        <v>384.702</v>
      </c>
      <c r="G675" t="s">
        <v>16</v>
      </c>
      <c r="J675" t="str">
        <f>"08/05/2003 23:45"</f>
        <v>08/05/2003 23:45</v>
      </c>
    </row>
    <row r="676" spans="1:10" x14ac:dyDescent="0.3">
      <c r="A676" t="s">
        <v>6</v>
      </c>
      <c r="B676" t="str">
        <f>"08/06/2003 00:00"</f>
        <v>08/06/2003 00:00</v>
      </c>
      <c r="C676">
        <v>221</v>
      </c>
      <c r="D676" t="s">
        <v>7</v>
      </c>
      <c r="E676" s="2" t="s">
        <v>12</v>
      </c>
      <c r="F676">
        <f t="shared" si="10"/>
        <v>438.24299999999999</v>
      </c>
      <c r="G676" t="s">
        <v>16</v>
      </c>
      <c r="J676" t="str">
        <f>"08/06/2003 23:45"</f>
        <v>08/06/2003 23:45</v>
      </c>
    </row>
    <row r="677" spans="1:10" x14ac:dyDescent="0.3">
      <c r="A677" t="s">
        <v>6</v>
      </c>
      <c r="B677" t="str">
        <f>"08/07/2003 00:00"</f>
        <v>08/07/2003 00:00</v>
      </c>
      <c r="C677">
        <v>246</v>
      </c>
      <c r="D677" t="s">
        <v>7</v>
      </c>
      <c r="E677" s="2" t="s">
        <v>12</v>
      </c>
      <c r="F677">
        <f t="shared" si="10"/>
        <v>487.81800000000004</v>
      </c>
      <c r="G677" t="s">
        <v>16</v>
      </c>
      <c r="J677" t="str">
        <f>"08/07/2003 23:45"</f>
        <v>08/07/2003 23:45</v>
      </c>
    </row>
    <row r="678" spans="1:10" x14ac:dyDescent="0.3">
      <c r="A678" t="s">
        <v>6</v>
      </c>
      <c r="B678" t="str">
        <f>"08/08/2003 00:00"</f>
        <v>08/08/2003 00:00</v>
      </c>
      <c r="C678">
        <v>246</v>
      </c>
      <c r="D678" t="s">
        <v>7</v>
      </c>
      <c r="E678" s="2" t="s">
        <v>12</v>
      </c>
      <c r="F678">
        <f t="shared" si="10"/>
        <v>487.81800000000004</v>
      </c>
      <c r="G678" t="s">
        <v>16</v>
      </c>
      <c r="J678" t="str">
        <f>"08/08/2003 23:45"</f>
        <v>08/08/2003 23:45</v>
      </c>
    </row>
    <row r="679" spans="1:10" x14ac:dyDescent="0.3">
      <c r="A679" t="s">
        <v>6</v>
      </c>
      <c r="B679" t="str">
        <f>"08/09/2003 00:00"</f>
        <v>08/09/2003 00:00</v>
      </c>
      <c r="C679">
        <v>210</v>
      </c>
      <c r="D679" t="s">
        <v>7</v>
      </c>
      <c r="E679" s="2" t="s">
        <v>12</v>
      </c>
      <c r="F679">
        <f t="shared" si="10"/>
        <v>416.43</v>
      </c>
      <c r="G679" t="s">
        <v>16</v>
      </c>
      <c r="J679" t="str">
        <f>"08/09/2003 23:45"</f>
        <v>08/09/2003 23:45</v>
      </c>
    </row>
    <row r="680" spans="1:10" x14ac:dyDescent="0.3">
      <c r="A680" t="s">
        <v>6</v>
      </c>
      <c r="B680" t="str">
        <f>"08/10/2003 00:00"</f>
        <v>08/10/2003 00:00</v>
      </c>
      <c r="C680">
        <v>178</v>
      </c>
      <c r="D680" t="s">
        <v>7</v>
      </c>
      <c r="E680" s="2" t="s">
        <v>12</v>
      </c>
      <c r="F680">
        <f t="shared" si="10"/>
        <v>352.97399999999999</v>
      </c>
      <c r="G680" t="s">
        <v>16</v>
      </c>
      <c r="J680" t="str">
        <f>"08/10/2003 23:45"</f>
        <v>08/10/2003 23:45</v>
      </c>
    </row>
    <row r="681" spans="1:10" x14ac:dyDescent="0.3">
      <c r="A681" t="s">
        <v>6</v>
      </c>
      <c r="B681" t="str">
        <f>"08/11/2003 00:00"</f>
        <v>08/11/2003 00:00</v>
      </c>
      <c r="C681">
        <v>182</v>
      </c>
      <c r="D681" t="s">
        <v>7</v>
      </c>
      <c r="E681" s="2" t="s">
        <v>12</v>
      </c>
      <c r="F681">
        <f t="shared" si="10"/>
        <v>360.90600000000001</v>
      </c>
      <c r="G681" t="s">
        <v>16</v>
      </c>
      <c r="J681" t="str">
        <f>"08/11/2003 23:45"</f>
        <v>08/11/2003 23:45</v>
      </c>
    </row>
    <row r="682" spans="1:10" x14ac:dyDescent="0.3">
      <c r="A682" t="s">
        <v>6</v>
      </c>
      <c r="B682" t="str">
        <f>"08/12/2003 00:00"</f>
        <v>08/12/2003 00:00</v>
      </c>
      <c r="C682">
        <v>183</v>
      </c>
      <c r="D682" t="s">
        <v>7</v>
      </c>
      <c r="E682" s="2" t="s">
        <v>12</v>
      </c>
      <c r="F682">
        <f t="shared" si="10"/>
        <v>362.88900000000001</v>
      </c>
      <c r="G682" t="s">
        <v>16</v>
      </c>
      <c r="J682" t="str">
        <f>"08/12/2003 23:45"</f>
        <v>08/12/2003 23:45</v>
      </c>
    </row>
    <row r="683" spans="1:10" x14ac:dyDescent="0.3">
      <c r="A683" t="s">
        <v>6</v>
      </c>
      <c r="B683" t="str">
        <f>"08/13/2003 00:00"</f>
        <v>08/13/2003 00:00</v>
      </c>
      <c r="C683">
        <v>183</v>
      </c>
      <c r="D683" t="s">
        <v>7</v>
      </c>
      <c r="E683" s="2" t="s">
        <v>12</v>
      </c>
      <c r="F683">
        <f t="shared" si="10"/>
        <v>362.88900000000001</v>
      </c>
      <c r="G683" t="s">
        <v>16</v>
      </c>
      <c r="J683" t="str">
        <f>"08/13/2003 23:45"</f>
        <v>08/13/2003 23:45</v>
      </c>
    </row>
    <row r="684" spans="1:10" x14ac:dyDescent="0.3">
      <c r="A684" t="s">
        <v>6</v>
      </c>
      <c r="B684" t="str">
        <f>"08/14/2003 00:00"</f>
        <v>08/14/2003 00:00</v>
      </c>
      <c r="C684">
        <v>184</v>
      </c>
      <c r="D684" t="s">
        <v>7</v>
      </c>
      <c r="E684" s="2" t="s">
        <v>12</v>
      </c>
      <c r="F684">
        <f t="shared" si="10"/>
        <v>364.87200000000001</v>
      </c>
      <c r="G684" t="s">
        <v>16</v>
      </c>
      <c r="J684" t="str">
        <f>"08/14/2003 23:45"</f>
        <v>08/14/2003 23:45</v>
      </c>
    </row>
    <row r="685" spans="1:10" x14ac:dyDescent="0.3">
      <c r="A685" t="s">
        <v>6</v>
      </c>
      <c r="B685" t="str">
        <f>"08/15/2003 00:00"</f>
        <v>08/15/2003 00:00</v>
      </c>
      <c r="C685">
        <v>186</v>
      </c>
      <c r="D685" t="s">
        <v>7</v>
      </c>
      <c r="E685" s="2" t="s">
        <v>12</v>
      </c>
      <c r="F685">
        <f t="shared" si="10"/>
        <v>368.83800000000002</v>
      </c>
      <c r="G685" t="s">
        <v>16</v>
      </c>
      <c r="J685" t="str">
        <f>"08/15/2003 23:45"</f>
        <v>08/15/2003 23:45</v>
      </c>
    </row>
    <row r="686" spans="1:10" x14ac:dyDescent="0.3">
      <c r="A686" t="s">
        <v>6</v>
      </c>
      <c r="B686" t="str">
        <f>"08/16/2003 00:00"</f>
        <v>08/16/2003 00:00</v>
      </c>
      <c r="C686">
        <v>185</v>
      </c>
      <c r="D686" t="s">
        <v>7</v>
      </c>
      <c r="E686" s="2" t="s">
        <v>12</v>
      </c>
      <c r="F686">
        <f t="shared" si="10"/>
        <v>366.85500000000002</v>
      </c>
      <c r="G686" t="s">
        <v>16</v>
      </c>
      <c r="J686" t="str">
        <f>"08/16/2003 23:45"</f>
        <v>08/16/2003 23:45</v>
      </c>
    </row>
    <row r="687" spans="1:10" x14ac:dyDescent="0.3">
      <c r="A687" t="s">
        <v>6</v>
      </c>
      <c r="B687" t="str">
        <f>"08/17/2003 00:00"</f>
        <v>08/17/2003 00:00</v>
      </c>
      <c r="C687">
        <v>185</v>
      </c>
      <c r="D687" t="s">
        <v>7</v>
      </c>
      <c r="E687" s="2" t="s">
        <v>12</v>
      </c>
      <c r="F687">
        <f t="shared" si="10"/>
        <v>366.85500000000002</v>
      </c>
      <c r="G687" t="s">
        <v>16</v>
      </c>
      <c r="J687" t="str">
        <f>"08/17/2003 23:45"</f>
        <v>08/17/2003 23:45</v>
      </c>
    </row>
    <row r="688" spans="1:10" x14ac:dyDescent="0.3">
      <c r="A688" t="s">
        <v>6</v>
      </c>
      <c r="B688" t="str">
        <f>"08/18/2003 00:00"</f>
        <v>08/18/2003 00:00</v>
      </c>
      <c r="C688">
        <v>209</v>
      </c>
      <c r="D688" t="s">
        <v>7</v>
      </c>
      <c r="E688" s="2" t="s">
        <v>12</v>
      </c>
      <c r="F688">
        <f t="shared" si="10"/>
        <v>414.447</v>
      </c>
      <c r="G688" t="s">
        <v>16</v>
      </c>
      <c r="J688" t="str">
        <f>"08/18/2003 23:45"</f>
        <v>08/18/2003 23:45</v>
      </c>
    </row>
    <row r="689" spans="1:10" x14ac:dyDescent="0.3">
      <c r="A689" t="s">
        <v>6</v>
      </c>
      <c r="B689" t="str">
        <f>"08/19/2003 00:00"</f>
        <v>08/19/2003 00:00</v>
      </c>
      <c r="C689">
        <v>225</v>
      </c>
      <c r="D689" t="s">
        <v>7</v>
      </c>
      <c r="E689" s="2" t="s">
        <v>12</v>
      </c>
      <c r="F689">
        <f t="shared" si="10"/>
        <v>446.17500000000001</v>
      </c>
      <c r="G689" t="s">
        <v>16</v>
      </c>
      <c r="J689" t="str">
        <f>"08/19/2003 23:45"</f>
        <v>08/19/2003 23:45</v>
      </c>
    </row>
    <row r="690" spans="1:10" x14ac:dyDescent="0.3">
      <c r="A690" t="s">
        <v>6</v>
      </c>
      <c r="B690" t="str">
        <f>"08/20/2003 00:00"</f>
        <v>08/20/2003 00:00</v>
      </c>
      <c r="C690">
        <v>223</v>
      </c>
      <c r="D690" t="s">
        <v>7</v>
      </c>
      <c r="E690" s="2" t="s">
        <v>12</v>
      </c>
      <c r="F690">
        <f t="shared" si="10"/>
        <v>442.209</v>
      </c>
      <c r="G690" t="s">
        <v>16</v>
      </c>
      <c r="J690" t="str">
        <f>"08/20/2003 23:45"</f>
        <v>08/20/2003 23:45</v>
      </c>
    </row>
    <row r="691" spans="1:10" x14ac:dyDescent="0.3">
      <c r="A691" t="s">
        <v>6</v>
      </c>
      <c r="B691" t="str">
        <f>"08/21/2003 00:00"</f>
        <v>08/21/2003 00:00</v>
      </c>
      <c r="C691">
        <v>222</v>
      </c>
      <c r="D691" t="s">
        <v>7</v>
      </c>
      <c r="E691" s="2" t="s">
        <v>12</v>
      </c>
      <c r="F691">
        <f t="shared" si="10"/>
        <v>440.226</v>
      </c>
      <c r="G691" t="s">
        <v>16</v>
      </c>
      <c r="J691" t="str">
        <f>"08/21/2003 23:45"</f>
        <v>08/21/2003 23:45</v>
      </c>
    </row>
    <row r="692" spans="1:10" x14ac:dyDescent="0.3">
      <c r="A692" t="s">
        <v>6</v>
      </c>
      <c r="B692" t="str">
        <f>"08/22/2003 00:00"</f>
        <v>08/22/2003 00:00</v>
      </c>
      <c r="C692">
        <v>249</v>
      </c>
      <c r="D692" t="s">
        <v>7</v>
      </c>
      <c r="E692" s="2" t="s">
        <v>12</v>
      </c>
      <c r="F692">
        <f t="shared" si="10"/>
        <v>493.767</v>
      </c>
      <c r="G692" t="s">
        <v>16</v>
      </c>
      <c r="J692" t="str">
        <f>"08/22/2003 23:45"</f>
        <v>08/22/2003 23:45</v>
      </c>
    </row>
    <row r="693" spans="1:10" x14ac:dyDescent="0.3">
      <c r="A693" t="s">
        <v>6</v>
      </c>
      <c r="B693" t="str">
        <f>"08/23/2003 00:00"</f>
        <v>08/23/2003 00:00</v>
      </c>
      <c r="C693">
        <v>266</v>
      </c>
      <c r="D693" t="s">
        <v>7</v>
      </c>
      <c r="E693" s="2" t="s">
        <v>12</v>
      </c>
      <c r="F693">
        <f t="shared" si="10"/>
        <v>527.47800000000007</v>
      </c>
      <c r="G693" t="s">
        <v>16</v>
      </c>
      <c r="J693" t="str">
        <f>"08/23/2003 23:45"</f>
        <v>08/23/2003 23:45</v>
      </c>
    </row>
    <row r="694" spans="1:10" x14ac:dyDescent="0.3">
      <c r="A694" t="s">
        <v>6</v>
      </c>
      <c r="B694" t="str">
        <f>"08/24/2003 00:00"</f>
        <v>08/24/2003 00:00</v>
      </c>
      <c r="C694">
        <v>271</v>
      </c>
      <c r="D694" t="s">
        <v>7</v>
      </c>
      <c r="E694" s="2" t="s">
        <v>12</v>
      </c>
      <c r="F694">
        <f t="shared" si="10"/>
        <v>537.39300000000003</v>
      </c>
      <c r="G694" t="s">
        <v>16</v>
      </c>
      <c r="J694" t="str">
        <f>"08/24/2003 23:45"</f>
        <v>08/24/2003 23:45</v>
      </c>
    </row>
    <row r="695" spans="1:10" x14ac:dyDescent="0.3">
      <c r="A695" t="s">
        <v>6</v>
      </c>
      <c r="B695" t="str">
        <f>"08/25/2003 00:00"</f>
        <v>08/25/2003 00:00</v>
      </c>
      <c r="C695">
        <v>271</v>
      </c>
      <c r="D695" t="s">
        <v>7</v>
      </c>
      <c r="E695" s="2" t="s">
        <v>12</v>
      </c>
      <c r="F695">
        <f t="shared" si="10"/>
        <v>537.39300000000003</v>
      </c>
      <c r="G695" t="s">
        <v>16</v>
      </c>
      <c r="J695" t="str">
        <f>"08/25/2003 23:45"</f>
        <v>08/25/2003 23:45</v>
      </c>
    </row>
    <row r="696" spans="1:10" x14ac:dyDescent="0.3">
      <c r="A696" t="s">
        <v>6</v>
      </c>
      <c r="B696" t="str">
        <f>"08/26/2003 00:00"</f>
        <v>08/26/2003 00:00</v>
      </c>
      <c r="C696">
        <v>297</v>
      </c>
      <c r="D696" t="s">
        <v>7</v>
      </c>
      <c r="E696" s="2" t="s">
        <v>12</v>
      </c>
      <c r="F696">
        <f t="shared" si="10"/>
        <v>588.95100000000002</v>
      </c>
      <c r="G696" t="s">
        <v>16</v>
      </c>
      <c r="J696" t="str">
        <f>"08/26/2003 23:45"</f>
        <v>08/26/2003 23:45</v>
      </c>
    </row>
    <row r="697" spans="1:10" x14ac:dyDescent="0.3">
      <c r="A697" t="s">
        <v>6</v>
      </c>
      <c r="B697" t="str">
        <f>"08/27/2003 00:00"</f>
        <v>08/27/2003 00:00</v>
      </c>
      <c r="C697">
        <v>315</v>
      </c>
      <c r="D697" t="s">
        <v>7</v>
      </c>
      <c r="E697" s="2" t="s">
        <v>12</v>
      </c>
      <c r="F697">
        <f t="shared" si="10"/>
        <v>624.64499999999998</v>
      </c>
      <c r="G697" t="s">
        <v>16</v>
      </c>
      <c r="J697" t="str">
        <f>"08/27/2003 23:45"</f>
        <v>08/27/2003 23:45</v>
      </c>
    </row>
    <row r="698" spans="1:10" x14ac:dyDescent="0.3">
      <c r="A698" t="s">
        <v>6</v>
      </c>
      <c r="B698" t="str">
        <f>"08/28/2003 00:00"</f>
        <v>08/28/2003 00:00</v>
      </c>
      <c r="C698">
        <v>315</v>
      </c>
      <c r="D698" t="s">
        <v>7</v>
      </c>
      <c r="E698" s="2" t="s">
        <v>12</v>
      </c>
      <c r="F698">
        <f t="shared" si="10"/>
        <v>624.64499999999998</v>
      </c>
      <c r="G698" t="s">
        <v>16</v>
      </c>
      <c r="J698" t="str">
        <f>"08/28/2003 23:45"</f>
        <v>08/28/2003 23:45</v>
      </c>
    </row>
    <row r="699" spans="1:10" x14ac:dyDescent="0.3">
      <c r="A699" t="s">
        <v>6</v>
      </c>
      <c r="B699" t="str">
        <f>"08/29/2003 00:00"</f>
        <v>08/29/2003 00:00</v>
      </c>
      <c r="C699">
        <v>264</v>
      </c>
      <c r="D699" t="s">
        <v>7</v>
      </c>
      <c r="E699" s="2" t="s">
        <v>12</v>
      </c>
      <c r="F699">
        <f t="shared" si="10"/>
        <v>523.51200000000006</v>
      </c>
      <c r="G699" t="s">
        <v>16</v>
      </c>
      <c r="J699" t="str">
        <f>"08/29/2003 23:45"</f>
        <v>08/29/2003 23:45</v>
      </c>
    </row>
    <row r="700" spans="1:10" x14ac:dyDescent="0.3">
      <c r="A700" t="s">
        <v>6</v>
      </c>
      <c r="B700" t="str">
        <f>"08/30/2003 00:00"</f>
        <v>08/30/2003 00:00</v>
      </c>
      <c r="C700">
        <v>222</v>
      </c>
      <c r="D700" t="s">
        <v>7</v>
      </c>
      <c r="E700" s="2" t="s">
        <v>12</v>
      </c>
      <c r="F700">
        <f t="shared" si="10"/>
        <v>440.226</v>
      </c>
      <c r="G700" t="s">
        <v>16</v>
      </c>
      <c r="J700" t="str">
        <f>"08/30/2003 23:45"</f>
        <v>08/30/2003 23:45</v>
      </c>
    </row>
    <row r="701" spans="1:10" x14ac:dyDescent="0.3">
      <c r="A701" t="s">
        <v>6</v>
      </c>
      <c r="B701" t="str">
        <f>"08/31/2003 00:00"</f>
        <v>08/31/2003 00:00</v>
      </c>
      <c r="C701">
        <v>150</v>
      </c>
      <c r="D701" t="s">
        <v>7</v>
      </c>
      <c r="E701" s="2" t="s">
        <v>12</v>
      </c>
      <c r="F701">
        <f t="shared" si="10"/>
        <v>297.45</v>
      </c>
      <c r="G701" t="s">
        <v>16</v>
      </c>
      <c r="J701" t="str">
        <f>"08/31/2003 23:45"</f>
        <v>08/31/2003 23:45</v>
      </c>
    </row>
    <row r="702" spans="1:10" x14ac:dyDescent="0.3">
      <c r="A702" t="s">
        <v>6</v>
      </c>
      <c r="B702" t="str">
        <f>"09/01/2003 00:00"</f>
        <v>09/01/2003 00:00</v>
      </c>
      <c r="C702">
        <v>169</v>
      </c>
      <c r="D702" t="s">
        <v>7</v>
      </c>
      <c r="E702" s="2" t="s">
        <v>12</v>
      </c>
      <c r="F702">
        <f t="shared" si="10"/>
        <v>335.12700000000001</v>
      </c>
      <c r="G702" t="s">
        <v>16</v>
      </c>
      <c r="J702" t="str">
        <f>"09/01/2003 23:45"</f>
        <v>09/01/2003 23:45</v>
      </c>
    </row>
    <row r="703" spans="1:10" x14ac:dyDescent="0.3">
      <c r="A703" t="s">
        <v>6</v>
      </c>
      <c r="B703" t="str">
        <f>"09/02/2003 00:00"</f>
        <v>09/02/2003 00:00</v>
      </c>
      <c r="C703">
        <v>250</v>
      </c>
      <c r="D703" t="s">
        <v>7</v>
      </c>
      <c r="E703" s="2" t="s">
        <v>12</v>
      </c>
      <c r="F703">
        <f t="shared" si="10"/>
        <v>495.75</v>
      </c>
      <c r="G703" t="s">
        <v>16</v>
      </c>
      <c r="J703" t="str">
        <f>"09/02/2003 23:45"</f>
        <v>09/02/2003 23:45</v>
      </c>
    </row>
    <row r="704" spans="1:10" x14ac:dyDescent="0.3">
      <c r="A704" t="s">
        <v>6</v>
      </c>
      <c r="B704" t="str">
        <f>"09/03/2003 00:00"</f>
        <v>09/03/2003 00:00</v>
      </c>
      <c r="C704">
        <v>297</v>
      </c>
      <c r="D704" t="s">
        <v>7</v>
      </c>
      <c r="E704" s="2" t="s">
        <v>12</v>
      </c>
      <c r="F704">
        <f t="shared" si="10"/>
        <v>588.95100000000002</v>
      </c>
      <c r="G704" t="s">
        <v>16</v>
      </c>
      <c r="J704" t="str">
        <f>"09/03/2003 23:45"</f>
        <v>09/03/2003 23:45</v>
      </c>
    </row>
    <row r="705" spans="1:10" x14ac:dyDescent="0.3">
      <c r="A705" t="s">
        <v>6</v>
      </c>
      <c r="B705" t="str">
        <f>"09/04/2003 00:00"</f>
        <v>09/04/2003 00:00</v>
      </c>
      <c r="C705">
        <v>352</v>
      </c>
      <c r="D705" t="s">
        <v>7</v>
      </c>
      <c r="E705" s="2" t="s">
        <v>12</v>
      </c>
      <c r="F705">
        <f t="shared" si="10"/>
        <v>698.01600000000008</v>
      </c>
      <c r="G705" t="s">
        <v>16</v>
      </c>
      <c r="J705" t="str">
        <f>"09/04/2003 23:45"</f>
        <v>09/04/2003 23:45</v>
      </c>
    </row>
    <row r="706" spans="1:10" x14ac:dyDescent="0.3">
      <c r="A706" t="s">
        <v>6</v>
      </c>
      <c r="B706" t="str">
        <f>"09/05/2003 00:00"</f>
        <v>09/05/2003 00:00</v>
      </c>
      <c r="C706">
        <v>256</v>
      </c>
      <c r="D706" t="s">
        <v>7</v>
      </c>
      <c r="E706" s="2" t="s">
        <v>12</v>
      </c>
      <c r="F706">
        <f t="shared" si="10"/>
        <v>507.64800000000002</v>
      </c>
      <c r="G706" t="s">
        <v>16</v>
      </c>
      <c r="J706" t="str">
        <f>"09/05/2003 23:45"</f>
        <v>09/05/2003 23:45</v>
      </c>
    </row>
    <row r="707" spans="1:10" x14ac:dyDescent="0.3">
      <c r="A707" t="s">
        <v>6</v>
      </c>
      <c r="B707" t="str">
        <f>"09/06/2003 00:00"</f>
        <v>09/06/2003 00:00</v>
      </c>
      <c r="C707">
        <v>112</v>
      </c>
      <c r="D707" t="s">
        <v>7</v>
      </c>
      <c r="E707" s="2" t="s">
        <v>12</v>
      </c>
      <c r="F707">
        <f t="shared" si="10"/>
        <v>222.096</v>
      </c>
      <c r="G707" t="s">
        <v>16</v>
      </c>
      <c r="J707" t="str">
        <f>"09/06/2003 23:45"</f>
        <v>09/06/2003 23:45</v>
      </c>
    </row>
    <row r="708" spans="1:10" x14ac:dyDescent="0.3">
      <c r="A708" t="s">
        <v>6</v>
      </c>
      <c r="B708" t="str">
        <f>"09/07/2003 00:00"</f>
        <v>09/07/2003 00:00</v>
      </c>
      <c r="C708">
        <v>40.700000000000003</v>
      </c>
      <c r="D708" t="s">
        <v>7</v>
      </c>
      <c r="E708" s="2" t="s">
        <v>12</v>
      </c>
      <c r="F708">
        <f t="shared" ref="F708:F771" si="11">C708*1.983</f>
        <v>80.708100000000016</v>
      </c>
      <c r="G708" t="s">
        <v>16</v>
      </c>
      <c r="J708" t="str">
        <f>"09/07/2003 23:45"</f>
        <v>09/07/2003 23:45</v>
      </c>
    </row>
    <row r="709" spans="1:10" x14ac:dyDescent="0.3">
      <c r="A709" t="s">
        <v>6</v>
      </c>
      <c r="B709" t="str">
        <f>"09/08/2003 00:00"</f>
        <v>09/08/2003 00:00</v>
      </c>
      <c r="C709">
        <v>0.28000000000000003</v>
      </c>
      <c r="D709" t="s">
        <v>7</v>
      </c>
      <c r="E709" s="2" t="s">
        <v>12</v>
      </c>
      <c r="F709">
        <f t="shared" si="11"/>
        <v>0.55524000000000007</v>
      </c>
      <c r="G709" t="s">
        <v>16</v>
      </c>
      <c r="J709" t="str">
        <f>"09/08/2003 23:45"</f>
        <v>09/08/2003 23:45</v>
      </c>
    </row>
    <row r="710" spans="1:10" x14ac:dyDescent="0.3">
      <c r="A710" t="s">
        <v>6</v>
      </c>
      <c r="B710" t="str">
        <f>"09/09/2003 00:00"</f>
        <v>09/09/2003 00:00</v>
      </c>
      <c r="C710">
        <v>0.28000000000000003</v>
      </c>
      <c r="D710" t="s">
        <v>7</v>
      </c>
      <c r="E710" s="2" t="s">
        <v>12</v>
      </c>
      <c r="F710">
        <f t="shared" si="11"/>
        <v>0.55524000000000007</v>
      </c>
      <c r="G710" t="s">
        <v>16</v>
      </c>
      <c r="J710" t="str">
        <f>"09/09/2003 23:45"</f>
        <v>09/09/2003 23:45</v>
      </c>
    </row>
    <row r="711" spans="1:10" x14ac:dyDescent="0.3">
      <c r="A711" t="s">
        <v>6</v>
      </c>
      <c r="B711" t="str">
        <f>"09/10/2003 00:00"</f>
        <v>09/10/2003 00:00</v>
      </c>
      <c r="C711">
        <v>0.28000000000000003</v>
      </c>
      <c r="D711" t="s">
        <v>7</v>
      </c>
      <c r="E711" s="2" t="s">
        <v>12</v>
      </c>
      <c r="F711">
        <f t="shared" si="11"/>
        <v>0.55524000000000007</v>
      </c>
      <c r="G711" t="s">
        <v>16</v>
      </c>
      <c r="J711" t="str">
        <f>"09/10/2003 23:45"</f>
        <v>09/10/2003 23:45</v>
      </c>
    </row>
    <row r="712" spans="1:10" x14ac:dyDescent="0.3">
      <c r="A712" t="s">
        <v>6</v>
      </c>
      <c r="B712" t="str">
        <f>"09/11/2003 00:00"</f>
        <v>09/11/2003 00:00</v>
      </c>
      <c r="C712">
        <v>0.21099999999999999</v>
      </c>
      <c r="D712" t="s">
        <v>7</v>
      </c>
      <c r="E712" s="2" t="s">
        <v>12</v>
      </c>
      <c r="F712">
        <f t="shared" si="11"/>
        <v>0.41841299999999998</v>
      </c>
      <c r="G712" t="s">
        <v>16</v>
      </c>
      <c r="J712" t="str">
        <f>"09/11/2003 23:45"</f>
        <v>09/11/2003 23:45</v>
      </c>
    </row>
    <row r="713" spans="1:10" x14ac:dyDescent="0.3">
      <c r="A713" t="s">
        <v>6</v>
      </c>
      <c r="B713" t="str">
        <f>"09/12/2003 00:00"</f>
        <v>09/12/2003 00:00</v>
      </c>
      <c r="C713">
        <v>0.15</v>
      </c>
      <c r="D713" t="s">
        <v>7</v>
      </c>
      <c r="E713" s="2" t="s">
        <v>12</v>
      </c>
      <c r="F713">
        <f t="shared" si="11"/>
        <v>0.29744999999999999</v>
      </c>
      <c r="G713" t="s">
        <v>16</v>
      </c>
      <c r="J713" t="str">
        <f>"09/12/2003 23:45"</f>
        <v>09/12/2003 23:45</v>
      </c>
    </row>
    <row r="714" spans="1:10" x14ac:dyDescent="0.3">
      <c r="A714" t="s">
        <v>6</v>
      </c>
      <c r="B714" t="str">
        <f>"09/13/2003 00:00"</f>
        <v>09/13/2003 00:00</v>
      </c>
      <c r="C714">
        <v>0.15</v>
      </c>
      <c r="D714" t="s">
        <v>7</v>
      </c>
      <c r="E714" s="2" t="s">
        <v>12</v>
      </c>
      <c r="F714">
        <f t="shared" si="11"/>
        <v>0.29744999999999999</v>
      </c>
      <c r="G714" t="s">
        <v>16</v>
      </c>
      <c r="J714" t="str">
        <f>"09/13/2003 23:45"</f>
        <v>09/13/2003 23:45</v>
      </c>
    </row>
    <row r="715" spans="1:10" x14ac:dyDescent="0.3">
      <c r="A715" t="s">
        <v>6</v>
      </c>
      <c r="B715" t="str">
        <f>"09/14/2003 00:00"</f>
        <v>09/14/2003 00:00</v>
      </c>
      <c r="C715">
        <v>0.15</v>
      </c>
      <c r="D715" t="s">
        <v>7</v>
      </c>
      <c r="E715" s="2" t="s">
        <v>12</v>
      </c>
      <c r="F715">
        <f t="shared" si="11"/>
        <v>0.29744999999999999</v>
      </c>
      <c r="G715" t="s">
        <v>16</v>
      </c>
      <c r="J715" t="str">
        <f>"09/14/2003 23:45"</f>
        <v>09/14/2003 23:45</v>
      </c>
    </row>
    <row r="716" spans="1:10" x14ac:dyDescent="0.3">
      <c r="A716" t="s">
        <v>6</v>
      </c>
      <c r="B716" t="str">
        <f>"09/15/2003 00:00"</f>
        <v>09/15/2003 00:00</v>
      </c>
      <c r="C716">
        <v>0.15</v>
      </c>
      <c r="D716" t="s">
        <v>7</v>
      </c>
      <c r="E716" s="2" t="s">
        <v>12</v>
      </c>
      <c r="F716">
        <f t="shared" si="11"/>
        <v>0.29744999999999999</v>
      </c>
      <c r="G716" t="s">
        <v>16</v>
      </c>
      <c r="J716" t="str">
        <f>"09/15/2003 23:45"</f>
        <v>09/15/2003 23:45</v>
      </c>
    </row>
    <row r="717" spans="1:10" x14ac:dyDescent="0.3">
      <c r="A717" t="s">
        <v>6</v>
      </c>
      <c r="B717" t="str">
        <f>"09/16/2003 00:00"</f>
        <v>09/16/2003 00:00</v>
      </c>
      <c r="C717">
        <v>0.15</v>
      </c>
      <c r="D717" t="s">
        <v>7</v>
      </c>
      <c r="E717" s="2" t="s">
        <v>12</v>
      </c>
      <c r="F717">
        <f t="shared" si="11"/>
        <v>0.29744999999999999</v>
      </c>
      <c r="G717" t="s">
        <v>16</v>
      </c>
      <c r="J717" t="str">
        <f>"09/16/2003 23:45"</f>
        <v>09/16/2003 23:45</v>
      </c>
    </row>
    <row r="718" spans="1:10" x14ac:dyDescent="0.3">
      <c r="A718" t="s">
        <v>6</v>
      </c>
      <c r="B718" t="str">
        <f>"09/17/2003 00:00"</f>
        <v>09/17/2003 00:00</v>
      </c>
      <c r="C718">
        <v>0.15</v>
      </c>
      <c r="D718" t="s">
        <v>7</v>
      </c>
      <c r="E718" s="2" t="s">
        <v>12</v>
      </c>
      <c r="F718">
        <f t="shared" si="11"/>
        <v>0.29744999999999999</v>
      </c>
      <c r="G718" t="s">
        <v>16</v>
      </c>
      <c r="J718" t="str">
        <f>"09/17/2003 23:45"</f>
        <v>09/17/2003 23:45</v>
      </c>
    </row>
    <row r="719" spans="1:10" x14ac:dyDescent="0.3">
      <c r="A719" t="s">
        <v>6</v>
      </c>
      <c r="B719" t="str">
        <f>"09/18/2003 00:00"</f>
        <v>09/18/2003 00:00</v>
      </c>
      <c r="C719">
        <v>0.15</v>
      </c>
      <c r="D719" t="s">
        <v>7</v>
      </c>
      <c r="E719" s="2" t="s">
        <v>12</v>
      </c>
      <c r="F719">
        <f t="shared" si="11"/>
        <v>0.29744999999999999</v>
      </c>
      <c r="G719" t="s">
        <v>16</v>
      </c>
      <c r="J719" t="str">
        <f>"09/18/2003 23:45"</f>
        <v>09/18/2003 23:45</v>
      </c>
    </row>
    <row r="720" spans="1:10" x14ac:dyDescent="0.3">
      <c r="A720" t="s">
        <v>6</v>
      </c>
      <c r="B720" t="str">
        <f>"09/19/2003 00:00"</f>
        <v>09/19/2003 00:00</v>
      </c>
      <c r="C720">
        <v>0.15</v>
      </c>
      <c r="D720" t="s">
        <v>7</v>
      </c>
      <c r="E720" s="2" t="s">
        <v>12</v>
      </c>
      <c r="F720">
        <f t="shared" si="11"/>
        <v>0.29744999999999999</v>
      </c>
      <c r="G720" t="s">
        <v>16</v>
      </c>
      <c r="J720" t="str">
        <f>"09/19/2003 21:15"</f>
        <v>09/19/2003 21:15</v>
      </c>
    </row>
    <row r="721" spans="1:10" x14ac:dyDescent="0.3">
      <c r="A721" t="s">
        <v>6</v>
      </c>
      <c r="B721" t="str">
        <f>"09/20/2003 00:00"</f>
        <v>09/20/2003 00:00</v>
      </c>
      <c r="C721">
        <v>0.15</v>
      </c>
      <c r="D721" t="s">
        <v>7</v>
      </c>
      <c r="E721" s="2" t="s">
        <v>12</v>
      </c>
      <c r="F721">
        <f t="shared" si="11"/>
        <v>0.29744999999999999</v>
      </c>
      <c r="G721" t="s">
        <v>16</v>
      </c>
      <c r="J721" t="str">
        <f>"09/20/2003 23:45"</f>
        <v>09/20/2003 23:45</v>
      </c>
    </row>
    <row r="722" spans="1:10" x14ac:dyDescent="0.3">
      <c r="A722" t="s">
        <v>6</v>
      </c>
      <c r="B722" t="str">
        <f>"09/21/2003 00:00"</f>
        <v>09/21/2003 00:00</v>
      </c>
      <c r="C722">
        <v>0.15</v>
      </c>
      <c r="D722" t="s">
        <v>7</v>
      </c>
      <c r="E722" s="2" t="s">
        <v>12</v>
      </c>
      <c r="F722">
        <f t="shared" si="11"/>
        <v>0.29744999999999999</v>
      </c>
      <c r="G722" t="s">
        <v>16</v>
      </c>
      <c r="J722" t="str">
        <f>"09/21/2003 23:45"</f>
        <v>09/21/2003 23:45</v>
      </c>
    </row>
    <row r="723" spans="1:10" x14ac:dyDescent="0.3">
      <c r="A723" t="s">
        <v>6</v>
      </c>
      <c r="B723" t="str">
        <f>"09/22/2003 00:00"</f>
        <v>09/22/2003 00:00</v>
      </c>
      <c r="C723">
        <v>0.15</v>
      </c>
      <c r="D723" t="s">
        <v>7</v>
      </c>
      <c r="E723" s="2" t="s">
        <v>12</v>
      </c>
      <c r="F723">
        <f t="shared" si="11"/>
        <v>0.29744999999999999</v>
      </c>
      <c r="G723" t="s">
        <v>16</v>
      </c>
      <c r="J723" t="str">
        <f>"09/22/2003 23:45"</f>
        <v>09/22/2003 23:45</v>
      </c>
    </row>
    <row r="724" spans="1:10" x14ac:dyDescent="0.3">
      <c r="A724" t="s">
        <v>6</v>
      </c>
      <c r="B724" t="str">
        <f>"09/23/2003 00:00"</f>
        <v>09/23/2003 00:00</v>
      </c>
      <c r="C724">
        <v>0.15</v>
      </c>
      <c r="D724" t="s">
        <v>7</v>
      </c>
      <c r="E724" s="2" t="s">
        <v>12</v>
      </c>
      <c r="F724">
        <f t="shared" si="11"/>
        <v>0.29744999999999999</v>
      </c>
      <c r="G724" t="s">
        <v>16</v>
      </c>
      <c r="J724" t="str">
        <f>"09/23/2003 23:45"</f>
        <v>09/23/2003 23:45</v>
      </c>
    </row>
    <row r="725" spans="1:10" x14ac:dyDescent="0.3">
      <c r="A725" t="s">
        <v>6</v>
      </c>
      <c r="B725" t="str">
        <f>"09/24/2003 00:00"</f>
        <v>09/24/2003 00:00</v>
      </c>
      <c r="C725">
        <v>0.121</v>
      </c>
      <c r="D725" t="s">
        <v>7</v>
      </c>
      <c r="E725" s="2" t="s">
        <v>12</v>
      </c>
      <c r="F725">
        <f t="shared" si="11"/>
        <v>0.23994300000000002</v>
      </c>
      <c r="G725" t="s">
        <v>16</v>
      </c>
      <c r="J725" t="str">
        <f>"09/24/2003 23:45"</f>
        <v>09/24/2003 23:45</v>
      </c>
    </row>
    <row r="726" spans="1:10" x14ac:dyDescent="0.3">
      <c r="A726" t="s">
        <v>6</v>
      </c>
      <c r="B726" t="str">
        <f>"09/25/2003 00:00"</f>
        <v>09/25/2003 00:00</v>
      </c>
      <c r="C726">
        <v>0.05</v>
      </c>
      <c r="D726" t="s">
        <v>7</v>
      </c>
      <c r="E726" s="2" t="s">
        <v>12</v>
      </c>
      <c r="F726">
        <f t="shared" si="11"/>
        <v>9.9150000000000016E-2</v>
      </c>
      <c r="G726" t="s">
        <v>16</v>
      </c>
      <c r="J726" t="str">
        <f>"09/25/2003 23:45"</f>
        <v>09/25/2003 23:45</v>
      </c>
    </row>
    <row r="727" spans="1:10" x14ac:dyDescent="0.3">
      <c r="A727" t="s">
        <v>6</v>
      </c>
      <c r="B727" t="str">
        <f>"09/26/2003 00:00"</f>
        <v>09/26/2003 00:00</v>
      </c>
      <c r="C727">
        <v>0.05</v>
      </c>
      <c r="D727" t="s">
        <v>7</v>
      </c>
      <c r="E727" s="2" t="s">
        <v>12</v>
      </c>
      <c r="F727">
        <f t="shared" si="11"/>
        <v>9.9150000000000016E-2</v>
      </c>
      <c r="G727" t="s">
        <v>16</v>
      </c>
      <c r="J727" t="str">
        <f>"09/26/2003 23:45"</f>
        <v>09/26/2003 23:45</v>
      </c>
    </row>
    <row r="728" spans="1:10" x14ac:dyDescent="0.3">
      <c r="A728" t="s">
        <v>6</v>
      </c>
      <c r="B728" t="str">
        <f>"09/27/2003 00:00"</f>
        <v>09/27/2003 00:00</v>
      </c>
      <c r="C728">
        <v>0.05</v>
      </c>
      <c r="D728" t="s">
        <v>7</v>
      </c>
      <c r="E728" s="2" t="s">
        <v>12</v>
      </c>
      <c r="F728">
        <f t="shared" si="11"/>
        <v>9.9150000000000016E-2</v>
      </c>
      <c r="G728" t="s">
        <v>16</v>
      </c>
      <c r="J728" t="str">
        <f>"09/27/2003 23:45"</f>
        <v>09/27/2003 23:45</v>
      </c>
    </row>
    <row r="729" spans="1:10" x14ac:dyDescent="0.3">
      <c r="A729" t="s">
        <v>6</v>
      </c>
      <c r="B729" t="str">
        <f>"09/28/2003 00:00"</f>
        <v>09/28/2003 00:00</v>
      </c>
      <c r="C729">
        <v>0.05</v>
      </c>
      <c r="D729" t="s">
        <v>7</v>
      </c>
      <c r="E729" s="2" t="s">
        <v>12</v>
      </c>
      <c r="F729">
        <f t="shared" si="11"/>
        <v>9.9150000000000016E-2</v>
      </c>
      <c r="G729" t="s">
        <v>16</v>
      </c>
      <c r="J729" t="str">
        <f>"09/28/2003 23:45"</f>
        <v>09/28/2003 23:45</v>
      </c>
    </row>
    <row r="730" spans="1:10" x14ac:dyDescent="0.3">
      <c r="A730" t="s">
        <v>6</v>
      </c>
      <c r="B730" t="str">
        <f>"09/29/2003 00:00"</f>
        <v>09/29/2003 00:00</v>
      </c>
      <c r="C730">
        <v>44.4</v>
      </c>
      <c r="D730" t="s">
        <v>7</v>
      </c>
      <c r="E730" s="2" t="s">
        <v>12</v>
      </c>
      <c r="F730">
        <f t="shared" si="11"/>
        <v>88.045200000000008</v>
      </c>
      <c r="G730" t="s">
        <v>16</v>
      </c>
      <c r="J730" t="str">
        <f>"09/29/2003 23:45"</f>
        <v>09/29/2003 23:45</v>
      </c>
    </row>
    <row r="731" spans="1:10" x14ac:dyDescent="0.3">
      <c r="A731" t="s">
        <v>6</v>
      </c>
      <c r="B731" t="str">
        <f>"09/30/2003 00:00"</f>
        <v>09/30/2003 00:00</v>
      </c>
      <c r="C731">
        <v>177</v>
      </c>
      <c r="D731" t="s">
        <v>7</v>
      </c>
      <c r="E731" s="2" t="s">
        <v>12</v>
      </c>
      <c r="F731">
        <f t="shared" si="11"/>
        <v>350.99100000000004</v>
      </c>
      <c r="G731" t="s">
        <v>16</v>
      </c>
      <c r="J731" t="str">
        <f>"09/30/2003 23:45"</f>
        <v>09/30/2003 23:45</v>
      </c>
    </row>
    <row r="732" spans="1:10" x14ac:dyDescent="0.3">
      <c r="A732" t="s">
        <v>6</v>
      </c>
      <c r="B732" t="str">
        <f>"10/01/2003 00:00"</f>
        <v>10/01/2003 00:00</v>
      </c>
      <c r="C732">
        <v>246</v>
      </c>
      <c r="D732" t="s">
        <v>7</v>
      </c>
      <c r="E732" s="2" t="s">
        <v>12</v>
      </c>
      <c r="F732">
        <f t="shared" si="11"/>
        <v>487.81800000000004</v>
      </c>
      <c r="G732" t="s">
        <v>16</v>
      </c>
      <c r="J732" t="str">
        <f>"10/01/2003 23:45"</f>
        <v>10/01/2003 23:45</v>
      </c>
    </row>
    <row r="733" spans="1:10" x14ac:dyDescent="0.3">
      <c r="A733" t="s">
        <v>6</v>
      </c>
      <c r="B733" t="str">
        <f>"10/02/2003 00:00"</f>
        <v>10/02/2003 00:00</v>
      </c>
      <c r="C733">
        <v>246</v>
      </c>
      <c r="D733" t="s">
        <v>7</v>
      </c>
      <c r="E733" s="2" t="s">
        <v>12</v>
      </c>
      <c r="F733">
        <f t="shared" si="11"/>
        <v>487.81800000000004</v>
      </c>
      <c r="G733" t="s">
        <v>16</v>
      </c>
      <c r="J733" t="str">
        <f>"10/02/2003 23:45"</f>
        <v>10/02/2003 23:45</v>
      </c>
    </row>
    <row r="734" spans="1:10" x14ac:dyDescent="0.3">
      <c r="A734" t="s">
        <v>6</v>
      </c>
      <c r="B734" t="str">
        <f>"10/03/2003 00:00"</f>
        <v>10/03/2003 00:00</v>
      </c>
      <c r="C734">
        <v>191</v>
      </c>
      <c r="D734" t="s">
        <v>7</v>
      </c>
      <c r="E734" s="2" t="s">
        <v>12</v>
      </c>
      <c r="F734">
        <f t="shared" si="11"/>
        <v>378.75300000000004</v>
      </c>
      <c r="G734" t="s">
        <v>16</v>
      </c>
      <c r="J734" t="str">
        <f>"10/03/2003 23:45"</f>
        <v>10/03/2003 23:45</v>
      </c>
    </row>
    <row r="735" spans="1:10" x14ac:dyDescent="0.3">
      <c r="A735" t="s">
        <v>6</v>
      </c>
      <c r="B735" t="str">
        <f>"10/04/2003 00:00"</f>
        <v>10/04/2003 00:00</v>
      </c>
      <c r="C735">
        <v>145</v>
      </c>
      <c r="D735" t="s">
        <v>7</v>
      </c>
      <c r="E735" s="2" t="s">
        <v>12</v>
      </c>
      <c r="F735">
        <f t="shared" si="11"/>
        <v>287.53500000000003</v>
      </c>
      <c r="G735" t="s">
        <v>16</v>
      </c>
      <c r="J735" t="str">
        <f>"10/04/2003 23:45"</f>
        <v>10/04/2003 23:45</v>
      </c>
    </row>
    <row r="736" spans="1:10" x14ac:dyDescent="0.3">
      <c r="A736" t="s">
        <v>6</v>
      </c>
      <c r="B736" t="str">
        <f>"10/05/2003 00:00"</f>
        <v>10/05/2003 00:00</v>
      </c>
      <c r="C736">
        <v>144</v>
      </c>
      <c r="D736" t="s">
        <v>7</v>
      </c>
      <c r="E736" s="2" t="s">
        <v>12</v>
      </c>
      <c r="F736">
        <f t="shared" si="11"/>
        <v>285.55200000000002</v>
      </c>
      <c r="G736" t="s">
        <v>16</v>
      </c>
      <c r="J736" t="str">
        <f>"10/05/2003 23:45"</f>
        <v>10/05/2003 23:45</v>
      </c>
    </row>
    <row r="737" spans="1:10" x14ac:dyDescent="0.3">
      <c r="A737" t="s">
        <v>6</v>
      </c>
      <c r="B737" t="str">
        <f>"10/06/2003 00:00"</f>
        <v>10/06/2003 00:00</v>
      </c>
      <c r="C737">
        <v>206</v>
      </c>
      <c r="D737" t="s">
        <v>7</v>
      </c>
      <c r="E737" s="2" t="s">
        <v>12</v>
      </c>
      <c r="F737">
        <f t="shared" si="11"/>
        <v>408.49800000000005</v>
      </c>
      <c r="G737" t="s">
        <v>16</v>
      </c>
      <c r="J737" t="str">
        <f>"10/06/2003 23:45"</f>
        <v>10/06/2003 23:45</v>
      </c>
    </row>
    <row r="738" spans="1:10" x14ac:dyDescent="0.3">
      <c r="A738" t="s">
        <v>6</v>
      </c>
      <c r="B738" t="str">
        <f>"10/07/2003 00:00"</f>
        <v>10/07/2003 00:00</v>
      </c>
      <c r="C738">
        <v>243</v>
      </c>
      <c r="D738" t="s">
        <v>7</v>
      </c>
      <c r="E738" s="2" t="s">
        <v>12</v>
      </c>
      <c r="F738">
        <f t="shared" si="11"/>
        <v>481.86900000000003</v>
      </c>
      <c r="G738" t="s">
        <v>16</v>
      </c>
      <c r="J738" t="str">
        <f>"10/07/2003 23:45"</f>
        <v>10/07/2003 23:45</v>
      </c>
    </row>
    <row r="739" spans="1:10" x14ac:dyDescent="0.3">
      <c r="A739" t="s">
        <v>6</v>
      </c>
      <c r="B739" t="str">
        <f>"10/08/2003 00:00"</f>
        <v>10/08/2003 00:00</v>
      </c>
      <c r="C739">
        <v>274</v>
      </c>
      <c r="D739" t="s">
        <v>7</v>
      </c>
      <c r="E739" s="2" t="s">
        <v>12</v>
      </c>
      <c r="F739">
        <f t="shared" si="11"/>
        <v>543.34199999999998</v>
      </c>
      <c r="G739" t="s">
        <v>16</v>
      </c>
      <c r="J739" t="str">
        <f>"10/08/2003 23:45"</f>
        <v>10/08/2003 23:45</v>
      </c>
    </row>
    <row r="740" spans="1:10" x14ac:dyDescent="0.3">
      <c r="A740" t="s">
        <v>6</v>
      </c>
      <c r="B740" t="str">
        <f>"10/09/2003 00:00"</f>
        <v>10/09/2003 00:00</v>
      </c>
      <c r="C740">
        <v>294</v>
      </c>
      <c r="D740" t="s">
        <v>7</v>
      </c>
      <c r="E740" s="2" t="s">
        <v>12</v>
      </c>
      <c r="F740">
        <f t="shared" si="11"/>
        <v>583.00200000000007</v>
      </c>
      <c r="G740" t="s">
        <v>16</v>
      </c>
      <c r="J740" t="str">
        <f>"10/09/2003 23:45"</f>
        <v>10/09/2003 23:45</v>
      </c>
    </row>
    <row r="741" spans="1:10" x14ac:dyDescent="0.3">
      <c r="A741" t="s">
        <v>6</v>
      </c>
      <c r="B741" t="str">
        <f>"10/10/2003 00:00"</f>
        <v>10/10/2003 00:00</v>
      </c>
      <c r="C741">
        <v>293</v>
      </c>
      <c r="D741" t="s">
        <v>7</v>
      </c>
      <c r="E741" s="2" t="s">
        <v>12</v>
      </c>
      <c r="F741">
        <f t="shared" si="11"/>
        <v>581.01900000000001</v>
      </c>
      <c r="G741" t="s">
        <v>16</v>
      </c>
      <c r="J741" t="str">
        <f>"10/10/2003 23:45"</f>
        <v>10/10/2003 23:45</v>
      </c>
    </row>
    <row r="742" spans="1:10" x14ac:dyDescent="0.3">
      <c r="A742" t="s">
        <v>6</v>
      </c>
      <c r="B742" t="str">
        <f>"10/11/2003 00:00"</f>
        <v>10/11/2003 00:00</v>
      </c>
      <c r="C742">
        <v>294</v>
      </c>
      <c r="D742" t="s">
        <v>7</v>
      </c>
      <c r="E742" s="2" t="s">
        <v>12</v>
      </c>
      <c r="F742">
        <f t="shared" si="11"/>
        <v>583.00200000000007</v>
      </c>
      <c r="G742" t="s">
        <v>16</v>
      </c>
      <c r="J742" t="str">
        <f>"10/11/2003 23:45"</f>
        <v>10/11/2003 23:45</v>
      </c>
    </row>
    <row r="743" spans="1:10" x14ac:dyDescent="0.3">
      <c r="A743" t="s">
        <v>6</v>
      </c>
      <c r="B743" t="str">
        <f>"10/12/2003 00:00"</f>
        <v>10/12/2003 00:00</v>
      </c>
      <c r="C743">
        <v>293</v>
      </c>
      <c r="D743" t="s">
        <v>7</v>
      </c>
      <c r="E743" s="2" t="s">
        <v>12</v>
      </c>
      <c r="F743">
        <f t="shared" si="11"/>
        <v>581.01900000000001</v>
      </c>
      <c r="G743" t="s">
        <v>16</v>
      </c>
      <c r="J743" t="str">
        <f>"10/12/2003 23:45"</f>
        <v>10/12/2003 23:45</v>
      </c>
    </row>
    <row r="744" spans="1:10" x14ac:dyDescent="0.3">
      <c r="A744" t="s">
        <v>6</v>
      </c>
      <c r="B744" t="str">
        <f>"10/13/2003 00:00"</f>
        <v>10/13/2003 00:00</v>
      </c>
      <c r="C744">
        <v>248</v>
      </c>
      <c r="D744" t="s">
        <v>7</v>
      </c>
      <c r="E744" s="2" t="s">
        <v>12</v>
      </c>
      <c r="F744">
        <f t="shared" si="11"/>
        <v>491.78400000000005</v>
      </c>
      <c r="G744" t="s">
        <v>16</v>
      </c>
      <c r="J744" t="str">
        <f>"10/13/2003 23:45"</f>
        <v>10/13/2003 23:45</v>
      </c>
    </row>
    <row r="745" spans="1:10" x14ac:dyDescent="0.3">
      <c r="A745" t="s">
        <v>6</v>
      </c>
      <c r="B745" t="str">
        <f>"10/14/2003 00:00"</f>
        <v>10/14/2003 00:00</v>
      </c>
      <c r="C745">
        <v>220</v>
      </c>
      <c r="D745" t="s">
        <v>7</v>
      </c>
      <c r="E745" s="2" t="s">
        <v>12</v>
      </c>
      <c r="F745">
        <f t="shared" si="11"/>
        <v>436.26000000000005</v>
      </c>
      <c r="G745" t="s">
        <v>16</v>
      </c>
      <c r="J745" t="str">
        <f>"10/14/2003 23:45"</f>
        <v>10/14/2003 23:45</v>
      </c>
    </row>
    <row r="746" spans="1:10" x14ac:dyDescent="0.3">
      <c r="A746" t="s">
        <v>6</v>
      </c>
      <c r="B746" t="str">
        <f>"10/15/2003 00:00"</f>
        <v>10/15/2003 00:00</v>
      </c>
      <c r="C746">
        <v>256</v>
      </c>
      <c r="D746" t="s">
        <v>7</v>
      </c>
      <c r="E746" s="2" t="s">
        <v>12</v>
      </c>
      <c r="F746">
        <f t="shared" si="11"/>
        <v>507.64800000000002</v>
      </c>
      <c r="G746" t="s">
        <v>16</v>
      </c>
      <c r="J746" t="str">
        <f>"10/15/2003 23:45"</f>
        <v>10/15/2003 23:45</v>
      </c>
    </row>
    <row r="747" spans="1:10" x14ac:dyDescent="0.3">
      <c r="A747" t="s">
        <v>6</v>
      </c>
      <c r="B747" t="str">
        <f>"10/16/2003 00:00"</f>
        <v>10/16/2003 00:00</v>
      </c>
      <c r="C747">
        <v>278</v>
      </c>
      <c r="D747" t="s">
        <v>7</v>
      </c>
      <c r="E747" s="2" t="s">
        <v>12</v>
      </c>
      <c r="F747">
        <f t="shared" si="11"/>
        <v>551.274</v>
      </c>
      <c r="G747" t="s">
        <v>16</v>
      </c>
      <c r="J747" t="str">
        <f>"10/16/2003 23:45"</f>
        <v>10/16/2003 23:45</v>
      </c>
    </row>
    <row r="748" spans="1:10" x14ac:dyDescent="0.3">
      <c r="A748" t="s">
        <v>6</v>
      </c>
      <c r="B748" t="str">
        <f>"10/17/2003 00:00"</f>
        <v>10/17/2003 00:00</v>
      </c>
      <c r="C748">
        <v>278</v>
      </c>
      <c r="D748" t="s">
        <v>7</v>
      </c>
      <c r="E748" s="2" t="s">
        <v>12</v>
      </c>
      <c r="F748">
        <f t="shared" si="11"/>
        <v>551.274</v>
      </c>
      <c r="G748" t="s">
        <v>16</v>
      </c>
      <c r="J748" t="str">
        <f>"10/17/2003 23:45"</f>
        <v>10/17/2003 23:45</v>
      </c>
    </row>
    <row r="749" spans="1:10" x14ac:dyDescent="0.3">
      <c r="A749" t="s">
        <v>6</v>
      </c>
      <c r="B749" t="str">
        <f>"10/18/2003 00:00"</f>
        <v>10/18/2003 00:00</v>
      </c>
      <c r="C749">
        <v>278</v>
      </c>
      <c r="D749" t="s">
        <v>7</v>
      </c>
      <c r="E749" s="2" t="s">
        <v>12</v>
      </c>
      <c r="F749">
        <f t="shared" si="11"/>
        <v>551.274</v>
      </c>
      <c r="G749" t="s">
        <v>16</v>
      </c>
      <c r="J749" t="str">
        <f>"10/18/2003 23:45"</f>
        <v>10/18/2003 23:45</v>
      </c>
    </row>
    <row r="750" spans="1:10" x14ac:dyDescent="0.3">
      <c r="A750" t="s">
        <v>6</v>
      </c>
      <c r="B750" t="str">
        <f>"10/19/2003 00:00"</f>
        <v>10/19/2003 00:00</v>
      </c>
      <c r="C750">
        <v>299</v>
      </c>
      <c r="D750" t="s">
        <v>7</v>
      </c>
      <c r="E750" s="2" t="s">
        <v>12</v>
      </c>
      <c r="F750">
        <f t="shared" si="11"/>
        <v>592.91700000000003</v>
      </c>
      <c r="G750" t="s">
        <v>16</v>
      </c>
      <c r="J750" t="str">
        <f>"10/19/2003 23:45"</f>
        <v>10/19/2003 23:45</v>
      </c>
    </row>
    <row r="751" spans="1:10" x14ac:dyDescent="0.3">
      <c r="A751" t="s">
        <v>6</v>
      </c>
      <c r="B751" t="str">
        <f>"10/20/2003 00:00"</f>
        <v>10/20/2003 00:00</v>
      </c>
      <c r="C751">
        <v>364</v>
      </c>
      <c r="D751" t="s">
        <v>7</v>
      </c>
      <c r="E751" s="2" t="s">
        <v>12</v>
      </c>
      <c r="F751">
        <f t="shared" si="11"/>
        <v>721.81200000000001</v>
      </c>
      <c r="G751" t="s">
        <v>16</v>
      </c>
      <c r="J751" t="str">
        <f>"10/20/2003 23:45"</f>
        <v>10/20/2003 23:45</v>
      </c>
    </row>
    <row r="752" spans="1:10" x14ac:dyDescent="0.3">
      <c r="A752" t="s">
        <v>6</v>
      </c>
      <c r="B752" t="str">
        <f>"10/21/2003 00:00"</f>
        <v>10/21/2003 00:00</v>
      </c>
      <c r="C752">
        <v>408</v>
      </c>
      <c r="D752" t="s">
        <v>7</v>
      </c>
      <c r="E752" s="2" t="s">
        <v>12</v>
      </c>
      <c r="F752">
        <f t="shared" si="11"/>
        <v>809.06400000000008</v>
      </c>
      <c r="G752" t="s">
        <v>16</v>
      </c>
      <c r="J752" t="str">
        <f>"10/21/2003 23:45"</f>
        <v>10/21/2003 23:45</v>
      </c>
    </row>
    <row r="753" spans="1:10" x14ac:dyDescent="0.3">
      <c r="A753" t="s">
        <v>6</v>
      </c>
      <c r="B753" t="str">
        <f>"10/22/2003 00:00"</f>
        <v>10/22/2003 00:00</v>
      </c>
      <c r="C753">
        <v>324</v>
      </c>
      <c r="D753" t="s">
        <v>7</v>
      </c>
      <c r="E753" s="2" t="s">
        <v>12</v>
      </c>
      <c r="F753">
        <f t="shared" si="11"/>
        <v>642.49200000000008</v>
      </c>
      <c r="G753" t="s">
        <v>16</v>
      </c>
      <c r="J753" t="str">
        <f>"10/22/2003 23:45"</f>
        <v>10/22/2003 23:45</v>
      </c>
    </row>
    <row r="754" spans="1:10" x14ac:dyDescent="0.3">
      <c r="A754" t="s">
        <v>6</v>
      </c>
      <c r="B754" t="str">
        <f>"10/23/2003 00:00"</f>
        <v>10/23/2003 00:00</v>
      </c>
      <c r="C754">
        <v>252</v>
      </c>
      <c r="D754" t="s">
        <v>7</v>
      </c>
      <c r="E754" s="2" t="s">
        <v>12</v>
      </c>
      <c r="F754">
        <f t="shared" si="11"/>
        <v>499.71600000000001</v>
      </c>
      <c r="G754" t="s">
        <v>16</v>
      </c>
      <c r="J754" t="str">
        <f>"10/23/2003 23:45"</f>
        <v>10/23/2003 23:45</v>
      </c>
    </row>
    <row r="755" spans="1:10" x14ac:dyDescent="0.3">
      <c r="A755" t="s">
        <v>6</v>
      </c>
      <c r="B755" t="str">
        <f>"10/24/2003 00:00"</f>
        <v>10/24/2003 00:00</v>
      </c>
      <c r="C755">
        <v>252</v>
      </c>
      <c r="D755" t="s">
        <v>7</v>
      </c>
      <c r="E755" s="2" t="s">
        <v>12</v>
      </c>
      <c r="F755">
        <f t="shared" si="11"/>
        <v>499.71600000000001</v>
      </c>
      <c r="G755" t="s">
        <v>16</v>
      </c>
      <c r="J755" t="str">
        <f>"10/24/2003 23:45"</f>
        <v>10/24/2003 23:45</v>
      </c>
    </row>
    <row r="756" spans="1:10" x14ac:dyDescent="0.3">
      <c r="A756" t="s">
        <v>6</v>
      </c>
      <c r="B756" t="str">
        <f>"10/25/2003 00:00"</f>
        <v>10/25/2003 00:00</v>
      </c>
      <c r="C756">
        <v>207</v>
      </c>
      <c r="D756" t="s">
        <v>7</v>
      </c>
      <c r="E756" s="2" t="s">
        <v>12</v>
      </c>
      <c r="F756">
        <f t="shared" si="11"/>
        <v>410.48099999999999</v>
      </c>
      <c r="G756" t="s">
        <v>16</v>
      </c>
      <c r="J756" t="str">
        <f>"10/25/2003 23:45"</f>
        <v>10/25/2003 23:45</v>
      </c>
    </row>
    <row r="757" spans="1:10" x14ac:dyDescent="0.3">
      <c r="A757" t="s">
        <v>6</v>
      </c>
      <c r="B757" t="str">
        <f>"10/26/2003 00:00"</f>
        <v>10/26/2003 00:00</v>
      </c>
      <c r="C757">
        <v>169</v>
      </c>
      <c r="D757" t="s">
        <v>7</v>
      </c>
      <c r="E757" s="2" t="s">
        <v>12</v>
      </c>
      <c r="F757">
        <f t="shared" si="11"/>
        <v>335.12700000000001</v>
      </c>
      <c r="G757" t="s">
        <v>16</v>
      </c>
      <c r="J757" t="str">
        <f>"10/26/2003 23:45"</f>
        <v>10/26/2003 23:45</v>
      </c>
    </row>
    <row r="758" spans="1:10" x14ac:dyDescent="0.3">
      <c r="A758" t="s">
        <v>6</v>
      </c>
      <c r="B758" t="str">
        <f>"10/27/2003 00:00"</f>
        <v>10/27/2003 00:00</v>
      </c>
      <c r="C758">
        <v>146</v>
      </c>
      <c r="D758" t="s">
        <v>7</v>
      </c>
      <c r="E758" s="2" t="s">
        <v>12</v>
      </c>
      <c r="F758">
        <f t="shared" si="11"/>
        <v>289.51800000000003</v>
      </c>
      <c r="G758" t="s">
        <v>16</v>
      </c>
      <c r="J758" t="str">
        <f>"10/27/2003 23:45"</f>
        <v>10/27/2003 23:45</v>
      </c>
    </row>
    <row r="759" spans="1:10" x14ac:dyDescent="0.3">
      <c r="A759" t="s">
        <v>6</v>
      </c>
      <c r="B759" t="str">
        <f>"10/28/2003 00:00"</f>
        <v>10/28/2003 00:00</v>
      </c>
      <c r="C759">
        <v>132</v>
      </c>
      <c r="D759" t="s">
        <v>7</v>
      </c>
      <c r="E759" s="2" t="s">
        <v>12</v>
      </c>
      <c r="F759">
        <f t="shared" si="11"/>
        <v>261.75600000000003</v>
      </c>
      <c r="G759" t="s">
        <v>16</v>
      </c>
      <c r="J759" t="str">
        <f>"10/28/2003 23:45"</f>
        <v>10/28/2003 23:45</v>
      </c>
    </row>
    <row r="760" spans="1:10" x14ac:dyDescent="0.3">
      <c r="A760" t="s">
        <v>6</v>
      </c>
      <c r="B760" t="str">
        <f>"10/29/2003 00:00"</f>
        <v>10/29/2003 00:00</v>
      </c>
      <c r="C760">
        <v>132</v>
      </c>
      <c r="D760" t="s">
        <v>7</v>
      </c>
      <c r="E760" s="2" t="s">
        <v>12</v>
      </c>
      <c r="F760">
        <f t="shared" si="11"/>
        <v>261.75600000000003</v>
      </c>
      <c r="G760" t="s">
        <v>16</v>
      </c>
      <c r="J760" t="str">
        <f>"10/29/2003 23:45"</f>
        <v>10/29/2003 23:45</v>
      </c>
    </row>
    <row r="761" spans="1:10" x14ac:dyDescent="0.3">
      <c r="A761" t="s">
        <v>6</v>
      </c>
      <c r="B761" t="str">
        <f>"10/30/2003 00:00"</f>
        <v>10/30/2003 00:00</v>
      </c>
      <c r="C761">
        <v>132</v>
      </c>
      <c r="D761" t="s">
        <v>7</v>
      </c>
      <c r="E761" s="2" t="s">
        <v>12</v>
      </c>
      <c r="F761">
        <f t="shared" si="11"/>
        <v>261.75600000000003</v>
      </c>
      <c r="G761" t="s">
        <v>16</v>
      </c>
      <c r="J761" t="str">
        <f>"10/30/2003 23:45"</f>
        <v>10/30/2003 23:45</v>
      </c>
    </row>
    <row r="762" spans="1:10" x14ac:dyDescent="0.3">
      <c r="A762" t="s">
        <v>6</v>
      </c>
      <c r="B762" t="str">
        <f>"10/31/2003 00:00"</f>
        <v>10/31/2003 00:00</v>
      </c>
      <c r="C762">
        <v>131</v>
      </c>
      <c r="D762" t="s">
        <v>7</v>
      </c>
      <c r="E762" s="2" t="s">
        <v>12</v>
      </c>
      <c r="F762">
        <f t="shared" si="11"/>
        <v>259.77300000000002</v>
      </c>
      <c r="G762" t="s">
        <v>16</v>
      </c>
      <c r="J762" t="str">
        <f>"10/31/2003 23:45"</f>
        <v>10/31/2003 23:45</v>
      </c>
    </row>
    <row r="763" spans="1:10" x14ac:dyDescent="0.3">
      <c r="A763" t="s">
        <v>6</v>
      </c>
      <c r="B763" t="str">
        <f>"11/01/2003 00:00"</f>
        <v>11/01/2003 00:00</v>
      </c>
      <c r="C763">
        <v>130</v>
      </c>
      <c r="D763" t="s">
        <v>7</v>
      </c>
      <c r="E763" s="2" t="s">
        <v>12</v>
      </c>
      <c r="F763">
        <f t="shared" si="11"/>
        <v>257.79000000000002</v>
      </c>
      <c r="G763" t="s">
        <v>16</v>
      </c>
      <c r="J763" t="str">
        <f>"11/01/2003 23:45"</f>
        <v>11/01/2003 23:45</v>
      </c>
    </row>
    <row r="764" spans="1:10" x14ac:dyDescent="0.3">
      <c r="A764" t="s">
        <v>6</v>
      </c>
      <c r="B764" t="str">
        <f>"11/02/2003 00:00"</f>
        <v>11/02/2003 00:00</v>
      </c>
      <c r="C764">
        <v>130</v>
      </c>
      <c r="D764" t="s">
        <v>7</v>
      </c>
      <c r="E764" s="2" t="s">
        <v>12</v>
      </c>
      <c r="F764">
        <f t="shared" si="11"/>
        <v>257.79000000000002</v>
      </c>
      <c r="G764" t="s">
        <v>16</v>
      </c>
      <c r="J764" t="str">
        <f>"11/02/2003 23:45"</f>
        <v>11/02/2003 23:45</v>
      </c>
    </row>
    <row r="765" spans="1:10" x14ac:dyDescent="0.3">
      <c r="A765" t="s">
        <v>6</v>
      </c>
      <c r="B765" t="str">
        <f>"11/03/2003 00:00"</f>
        <v>11/03/2003 00:00</v>
      </c>
      <c r="C765">
        <v>108</v>
      </c>
      <c r="D765" t="s">
        <v>7</v>
      </c>
      <c r="E765" s="2" t="s">
        <v>12</v>
      </c>
      <c r="F765">
        <f t="shared" si="11"/>
        <v>214.16400000000002</v>
      </c>
      <c r="G765" t="s">
        <v>16</v>
      </c>
      <c r="J765" t="str">
        <f>"11/03/2003 23:45"</f>
        <v>11/03/2003 23:45</v>
      </c>
    </row>
    <row r="766" spans="1:10" x14ac:dyDescent="0.3">
      <c r="A766" t="s">
        <v>6</v>
      </c>
      <c r="B766" t="str">
        <f>"11/04/2003 00:00"</f>
        <v>11/04/2003 00:00</v>
      </c>
      <c r="C766">
        <v>83.5</v>
      </c>
      <c r="D766" t="s">
        <v>7</v>
      </c>
      <c r="E766" s="2" t="s">
        <v>12</v>
      </c>
      <c r="F766">
        <f t="shared" si="11"/>
        <v>165.5805</v>
      </c>
      <c r="G766" t="s">
        <v>16</v>
      </c>
      <c r="J766" t="str">
        <f>"11/04/2003 23:45"</f>
        <v>11/04/2003 23:45</v>
      </c>
    </row>
    <row r="767" spans="1:10" x14ac:dyDescent="0.3">
      <c r="A767" t="s">
        <v>6</v>
      </c>
      <c r="B767" t="str">
        <f>"11/05/2003 00:00"</f>
        <v>11/05/2003 00:00</v>
      </c>
      <c r="C767">
        <v>79.8</v>
      </c>
      <c r="D767" t="s">
        <v>7</v>
      </c>
      <c r="E767" s="2" t="s">
        <v>12</v>
      </c>
      <c r="F767">
        <f t="shared" si="11"/>
        <v>158.24340000000001</v>
      </c>
      <c r="G767" t="s">
        <v>16</v>
      </c>
      <c r="J767" t="str">
        <f>"11/05/2003 23:45"</f>
        <v>11/05/2003 23:45</v>
      </c>
    </row>
    <row r="768" spans="1:10" x14ac:dyDescent="0.3">
      <c r="A768" t="s">
        <v>6</v>
      </c>
      <c r="B768" t="str">
        <f>"11/06/2003 00:00"</f>
        <v>11/06/2003 00:00</v>
      </c>
      <c r="C768">
        <v>79.8</v>
      </c>
      <c r="D768" t="s">
        <v>7</v>
      </c>
      <c r="E768" s="2" t="s">
        <v>12</v>
      </c>
      <c r="F768">
        <f t="shared" si="11"/>
        <v>158.24340000000001</v>
      </c>
      <c r="G768" t="s">
        <v>16</v>
      </c>
      <c r="J768" t="str">
        <f>"11/06/2003 23:45"</f>
        <v>11/06/2003 23:45</v>
      </c>
    </row>
    <row r="769" spans="1:10" x14ac:dyDescent="0.3">
      <c r="A769" t="s">
        <v>6</v>
      </c>
      <c r="B769" t="str">
        <f>"11/07/2003 00:00"</f>
        <v>11/07/2003 00:00</v>
      </c>
      <c r="C769">
        <v>109</v>
      </c>
      <c r="D769" t="s">
        <v>7</v>
      </c>
      <c r="E769" s="2" t="s">
        <v>12</v>
      </c>
      <c r="F769">
        <f t="shared" si="11"/>
        <v>216.14700000000002</v>
      </c>
      <c r="G769" t="s">
        <v>16</v>
      </c>
      <c r="J769" t="str">
        <f>"11/07/2003 23:45"</f>
        <v>11/07/2003 23:45</v>
      </c>
    </row>
    <row r="770" spans="1:10" x14ac:dyDescent="0.3">
      <c r="A770" t="s">
        <v>6</v>
      </c>
      <c r="B770" t="str">
        <f>"11/08/2003 00:00"</f>
        <v>11/08/2003 00:00</v>
      </c>
      <c r="C770">
        <v>131</v>
      </c>
      <c r="D770" t="s">
        <v>7</v>
      </c>
      <c r="E770" s="2" t="s">
        <v>12</v>
      </c>
      <c r="F770">
        <f t="shared" si="11"/>
        <v>259.77300000000002</v>
      </c>
      <c r="G770" t="s">
        <v>16</v>
      </c>
      <c r="J770" t="str">
        <f>"11/08/2003 23:45"</f>
        <v>11/08/2003 23:45</v>
      </c>
    </row>
    <row r="771" spans="1:10" x14ac:dyDescent="0.3">
      <c r="A771" t="s">
        <v>6</v>
      </c>
      <c r="B771" t="str">
        <f>"11/09/2003 00:00"</f>
        <v>11/09/2003 00:00</v>
      </c>
      <c r="C771">
        <v>132</v>
      </c>
      <c r="D771" t="s">
        <v>7</v>
      </c>
      <c r="E771" s="2" t="s">
        <v>12</v>
      </c>
      <c r="F771">
        <f t="shared" si="11"/>
        <v>261.75600000000003</v>
      </c>
      <c r="G771" t="s">
        <v>16</v>
      </c>
      <c r="J771" t="str">
        <f>"11/09/2003 23:45"</f>
        <v>11/09/2003 23:45</v>
      </c>
    </row>
    <row r="772" spans="1:10" x14ac:dyDescent="0.3">
      <c r="A772" t="s">
        <v>6</v>
      </c>
      <c r="B772" t="str">
        <f>"11/10/2003 00:00"</f>
        <v>11/10/2003 00:00</v>
      </c>
      <c r="C772">
        <v>117</v>
      </c>
      <c r="D772" t="s">
        <v>7</v>
      </c>
      <c r="E772" s="2" t="s">
        <v>12</v>
      </c>
      <c r="F772">
        <f t="shared" ref="F772:F835" si="12">C772*1.983</f>
        <v>232.01100000000002</v>
      </c>
      <c r="G772" t="s">
        <v>16</v>
      </c>
      <c r="J772" t="str">
        <f>"11/10/2003 23:45"</f>
        <v>11/10/2003 23:45</v>
      </c>
    </row>
    <row r="773" spans="1:10" x14ac:dyDescent="0.3">
      <c r="A773" t="s">
        <v>6</v>
      </c>
      <c r="B773" t="str">
        <f>"11/11/2003 00:00"</f>
        <v>11/11/2003 00:00</v>
      </c>
      <c r="C773">
        <v>106</v>
      </c>
      <c r="D773" t="s">
        <v>7</v>
      </c>
      <c r="E773" s="2" t="s">
        <v>12</v>
      </c>
      <c r="F773">
        <f t="shared" si="12"/>
        <v>210.19800000000001</v>
      </c>
      <c r="G773" t="s">
        <v>16</v>
      </c>
      <c r="J773" t="str">
        <f>"11/11/2003 23:45"</f>
        <v>11/11/2003 23:45</v>
      </c>
    </row>
    <row r="774" spans="1:10" x14ac:dyDescent="0.3">
      <c r="A774" t="s">
        <v>6</v>
      </c>
      <c r="B774" t="str">
        <f>"11/12/2003 00:00"</f>
        <v>11/12/2003 00:00</v>
      </c>
      <c r="C774">
        <v>104</v>
      </c>
      <c r="D774" t="s">
        <v>7</v>
      </c>
      <c r="E774" s="2" t="s">
        <v>12</v>
      </c>
      <c r="F774">
        <f t="shared" si="12"/>
        <v>206.232</v>
      </c>
      <c r="G774" t="s">
        <v>16</v>
      </c>
      <c r="J774" t="str">
        <f>"11/12/2003 23:45"</f>
        <v>11/12/2003 23:45</v>
      </c>
    </row>
    <row r="775" spans="1:10" x14ac:dyDescent="0.3">
      <c r="A775" t="s">
        <v>6</v>
      </c>
      <c r="B775" t="str">
        <f>"11/13/2003 00:00"</f>
        <v>11/13/2003 00:00</v>
      </c>
      <c r="C775">
        <v>103</v>
      </c>
      <c r="D775" t="s">
        <v>7</v>
      </c>
      <c r="E775" s="2" t="s">
        <v>12</v>
      </c>
      <c r="F775">
        <f t="shared" si="12"/>
        <v>204.24900000000002</v>
      </c>
      <c r="G775" t="s">
        <v>16</v>
      </c>
      <c r="J775" t="str">
        <f>"11/13/2003 23:45"</f>
        <v>11/13/2003 23:45</v>
      </c>
    </row>
    <row r="776" spans="1:10" x14ac:dyDescent="0.3">
      <c r="A776" t="s">
        <v>6</v>
      </c>
      <c r="B776" t="str">
        <f>"11/14/2003 00:00"</f>
        <v>11/14/2003 00:00</v>
      </c>
      <c r="C776">
        <v>103</v>
      </c>
      <c r="D776" t="s">
        <v>7</v>
      </c>
      <c r="E776" s="2" t="s">
        <v>12</v>
      </c>
      <c r="F776">
        <f t="shared" si="12"/>
        <v>204.24900000000002</v>
      </c>
      <c r="G776" t="s">
        <v>16</v>
      </c>
      <c r="J776" t="str">
        <f>"11/14/2003 23:45"</f>
        <v>11/14/2003 23:45</v>
      </c>
    </row>
    <row r="777" spans="1:10" x14ac:dyDescent="0.3">
      <c r="A777" t="s">
        <v>6</v>
      </c>
      <c r="B777" t="str">
        <f>"11/15/2003 00:00"</f>
        <v>11/15/2003 00:00</v>
      </c>
      <c r="C777">
        <v>102</v>
      </c>
      <c r="D777" t="s">
        <v>7</v>
      </c>
      <c r="E777" s="2" t="s">
        <v>12</v>
      </c>
      <c r="F777">
        <f t="shared" si="12"/>
        <v>202.26600000000002</v>
      </c>
      <c r="G777" t="s">
        <v>16</v>
      </c>
      <c r="J777" t="str">
        <f>"11/15/2003 23:45"</f>
        <v>11/15/2003 23:45</v>
      </c>
    </row>
    <row r="778" spans="1:10" x14ac:dyDescent="0.3">
      <c r="A778" t="s">
        <v>6</v>
      </c>
      <c r="B778" t="str">
        <f>"11/16/2003 00:00"</f>
        <v>11/16/2003 00:00</v>
      </c>
      <c r="C778">
        <v>114</v>
      </c>
      <c r="D778" t="s">
        <v>7</v>
      </c>
      <c r="E778" s="2" t="s">
        <v>12</v>
      </c>
      <c r="F778">
        <f t="shared" si="12"/>
        <v>226.06200000000001</v>
      </c>
      <c r="G778" t="s">
        <v>16</v>
      </c>
      <c r="J778" t="str">
        <f>"11/16/2003 23:45"</f>
        <v>11/16/2003 23:45</v>
      </c>
    </row>
    <row r="779" spans="1:10" x14ac:dyDescent="0.3">
      <c r="A779" t="s">
        <v>6</v>
      </c>
      <c r="B779" t="str">
        <f>"11/17/2003 00:00"</f>
        <v>11/17/2003 00:00</v>
      </c>
      <c r="C779">
        <v>126</v>
      </c>
      <c r="D779" t="s">
        <v>7</v>
      </c>
      <c r="E779" s="2" t="s">
        <v>12</v>
      </c>
      <c r="F779">
        <f t="shared" si="12"/>
        <v>249.858</v>
      </c>
      <c r="G779" t="s">
        <v>16</v>
      </c>
      <c r="J779" t="str">
        <f>"11/17/2003 23:45"</f>
        <v>11/17/2003 23:45</v>
      </c>
    </row>
    <row r="780" spans="1:10" x14ac:dyDescent="0.3">
      <c r="A780" t="s">
        <v>6</v>
      </c>
      <c r="B780" t="str">
        <f>"11/18/2003 00:00"</f>
        <v>11/18/2003 00:00</v>
      </c>
      <c r="C780">
        <v>125</v>
      </c>
      <c r="D780" t="s">
        <v>7</v>
      </c>
      <c r="E780" s="2" t="s">
        <v>12</v>
      </c>
      <c r="F780">
        <f t="shared" si="12"/>
        <v>247.875</v>
      </c>
      <c r="G780" t="s">
        <v>16</v>
      </c>
      <c r="J780" t="str">
        <f>"11/18/2003 23:45"</f>
        <v>11/18/2003 23:45</v>
      </c>
    </row>
    <row r="781" spans="1:10" x14ac:dyDescent="0.3">
      <c r="A781" t="s">
        <v>6</v>
      </c>
      <c r="B781" t="str">
        <f>"11/19/2003 00:00"</f>
        <v>11/19/2003 00:00</v>
      </c>
      <c r="C781">
        <v>126</v>
      </c>
      <c r="D781" t="s">
        <v>7</v>
      </c>
      <c r="E781" s="2" t="s">
        <v>12</v>
      </c>
      <c r="F781">
        <f t="shared" si="12"/>
        <v>249.858</v>
      </c>
      <c r="G781" t="s">
        <v>16</v>
      </c>
      <c r="J781" t="str">
        <f>"11/19/2003 23:45"</f>
        <v>11/19/2003 23:45</v>
      </c>
    </row>
    <row r="782" spans="1:10" x14ac:dyDescent="0.3">
      <c r="A782" t="s">
        <v>6</v>
      </c>
      <c r="B782" t="str">
        <f>"11/20/2003 00:00"</f>
        <v>11/20/2003 00:00</v>
      </c>
      <c r="C782">
        <v>126</v>
      </c>
      <c r="D782" t="s">
        <v>7</v>
      </c>
      <c r="E782" s="2" t="s">
        <v>12</v>
      </c>
      <c r="F782">
        <f t="shared" si="12"/>
        <v>249.858</v>
      </c>
      <c r="G782" t="s">
        <v>16</v>
      </c>
      <c r="J782" t="str">
        <f>"11/20/2003 23:45"</f>
        <v>11/20/2003 23:45</v>
      </c>
    </row>
    <row r="783" spans="1:10" x14ac:dyDescent="0.3">
      <c r="A783" t="s">
        <v>6</v>
      </c>
      <c r="B783" t="str">
        <f>"11/21/2003 00:00"</f>
        <v>11/21/2003 00:00</v>
      </c>
      <c r="C783">
        <v>100</v>
      </c>
      <c r="D783" t="s">
        <v>7</v>
      </c>
      <c r="E783" s="2" t="s">
        <v>12</v>
      </c>
      <c r="F783">
        <f t="shared" si="12"/>
        <v>198.3</v>
      </c>
      <c r="G783" t="s">
        <v>16</v>
      </c>
      <c r="J783" t="str">
        <f>"11/21/2003 23:45"</f>
        <v>11/21/2003 23:45</v>
      </c>
    </row>
    <row r="784" spans="1:10" x14ac:dyDescent="0.3">
      <c r="A784" t="s">
        <v>6</v>
      </c>
      <c r="B784" t="str">
        <f>"11/22/2003 00:00"</f>
        <v>11/22/2003 00:00</v>
      </c>
      <c r="C784">
        <v>73.8</v>
      </c>
      <c r="D784" t="s">
        <v>7</v>
      </c>
      <c r="E784" s="2" t="s">
        <v>12</v>
      </c>
      <c r="F784">
        <f t="shared" si="12"/>
        <v>146.34540000000001</v>
      </c>
      <c r="G784" t="s">
        <v>16</v>
      </c>
      <c r="J784" t="str">
        <f>"11/22/2003 23:45"</f>
        <v>11/22/2003 23:45</v>
      </c>
    </row>
    <row r="785" spans="1:10" x14ac:dyDescent="0.3">
      <c r="A785" t="s">
        <v>6</v>
      </c>
      <c r="B785" t="str">
        <f>"11/23/2003 00:00"</f>
        <v>11/23/2003 00:00</v>
      </c>
      <c r="C785">
        <v>73.7</v>
      </c>
      <c r="D785" t="s">
        <v>7</v>
      </c>
      <c r="E785" s="2" t="s">
        <v>12</v>
      </c>
      <c r="F785">
        <f t="shared" si="12"/>
        <v>146.14710000000002</v>
      </c>
      <c r="G785" t="s">
        <v>16</v>
      </c>
      <c r="J785" t="str">
        <f>"11/23/2003 23:45"</f>
        <v>11/23/2003 23:45</v>
      </c>
    </row>
    <row r="786" spans="1:10" x14ac:dyDescent="0.3">
      <c r="A786" t="s">
        <v>6</v>
      </c>
      <c r="B786" t="str">
        <f>"11/24/2003 00:00"</f>
        <v>11/24/2003 00:00</v>
      </c>
      <c r="C786">
        <v>73.8</v>
      </c>
      <c r="D786" t="s">
        <v>7</v>
      </c>
      <c r="E786" s="2" t="s">
        <v>12</v>
      </c>
      <c r="F786">
        <f t="shared" si="12"/>
        <v>146.34540000000001</v>
      </c>
      <c r="G786" t="s">
        <v>16</v>
      </c>
      <c r="J786" t="str">
        <f>"11/24/2003 23:45"</f>
        <v>11/24/2003 23:45</v>
      </c>
    </row>
    <row r="787" spans="1:10" x14ac:dyDescent="0.3">
      <c r="A787" t="s">
        <v>6</v>
      </c>
      <c r="B787" t="str">
        <f>"11/25/2003 00:00"</f>
        <v>11/25/2003 00:00</v>
      </c>
      <c r="C787">
        <v>73.8</v>
      </c>
      <c r="D787" t="s">
        <v>7</v>
      </c>
      <c r="E787" s="2" t="s">
        <v>12</v>
      </c>
      <c r="F787">
        <f t="shared" si="12"/>
        <v>146.34540000000001</v>
      </c>
      <c r="G787" t="s">
        <v>16</v>
      </c>
      <c r="J787" t="str">
        <f>"11/25/2003 23:45"</f>
        <v>11/25/2003 23:45</v>
      </c>
    </row>
    <row r="788" spans="1:10" x14ac:dyDescent="0.3">
      <c r="A788" t="s">
        <v>6</v>
      </c>
      <c r="B788" t="str">
        <f>"11/26/2003 00:00"</f>
        <v>11/26/2003 00:00</v>
      </c>
      <c r="C788">
        <v>73.8</v>
      </c>
      <c r="D788" t="s">
        <v>7</v>
      </c>
      <c r="E788" s="2" t="s">
        <v>12</v>
      </c>
      <c r="F788">
        <f t="shared" si="12"/>
        <v>146.34540000000001</v>
      </c>
      <c r="G788" t="s">
        <v>16</v>
      </c>
      <c r="J788" t="str">
        <f>"11/26/2003 23:45"</f>
        <v>11/26/2003 23:45</v>
      </c>
    </row>
    <row r="789" spans="1:10" x14ac:dyDescent="0.3">
      <c r="A789" t="s">
        <v>6</v>
      </c>
      <c r="B789" t="str">
        <f>"11/27/2003 00:00"</f>
        <v>11/27/2003 00:00</v>
      </c>
      <c r="C789">
        <v>73.8</v>
      </c>
      <c r="D789" t="s">
        <v>7</v>
      </c>
      <c r="E789" s="2" t="s">
        <v>12</v>
      </c>
      <c r="F789">
        <f t="shared" si="12"/>
        <v>146.34540000000001</v>
      </c>
      <c r="G789" t="s">
        <v>16</v>
      </c>
      <c r="J789" t="str">
        <f>"11/27/2003 23:45"</f>
        <v>11/27/2003 23:45</v>
      </c>
    </row>
    <row r="790" spans="1:10" x14ac:dyDescent="0.3">
      <c r="A790" t="s">
        <v>6</v>
      </c>
      <c r="B790" t="str">
        <f>"11/28/2003 00:00"</f>
        <v>11/28/2003 00:00</v>
      </c>
      <c r="C790">
        <v>73.8</v>
      </c>
      <c r="D790" t="s">
        <v>7</v>
      </c>
      <c r="E790" s="2" t="s">
        <v>12</v>
      </c>
      <c r="F790">
        <f t="shared" si="12"/>
        <v>146.34540000000001</v>
      </c>
      <c r="G790" t="s">
        <v>16</v>
      </c>
      <c r="J790" t="str">
        <f>"11/28/2003 23:45"</f>
        <v>11/28/2003 23:45</v>
      </c>
    </row>
    <row r="791" spans="1:10" x14ac:dyDescent="0.3">
      <c r="A791" t="s">
        <v>6</v>
      </c>
      <c r="B791" t="str">
        <f>"11/29/2003 00:00"</f>
        <v>11/29/2003 00:00</v>
      </c>
      <c r="C791">
        <v>73.8</v>
      </c>
      <c r="D791" t="s">
        <v>7</v>
      </c>
      <c r="E791" s="2" t="s">
        <v>12</v>
      </c>
      <c r="F791">
        <f t="shared" si="12"/>
        <v>146.34540000000001</v>
      </c>
      <c r="G791" t="s">
        <v>16</v>
      </c>
      <c r="J791" t="str">
        <f>"11/29/2003 23:45"</f>
        <v>11/29/2003 23:45</v>
      </c>
    </row>
    <row r="792" spans="1:10" x14ac:dyDescent="0.3">
      <c r="A792" t="s">
        <v>6</v>
      </c>
      <c r="B792" t="str">
        <f>"11/30/2003 00:00"</f>
        <v>11/30/2003 00:00</v>
      </c>
      <c r="C792">
        <v>73.8</v>
      </c>
      <c r="D792" t="s">
        <v>7</v>
      </c>
      <c r="E792" s="2" t="s">
        <v>12</v>
      </c>
      <c r="F792">
        <f t="shared" si="12"/>
        <v>146.34540000000001</v>
      </c>
      <c r="G792" t="s">
        <v>16</v>
      </c>
      <c r="J792" t="str">
        <f>"11/30/2003 23:45"</f>
        <v>11/30/2003 23:45</v>
      </c>
    </row>
    <row r="793" spans="1:10" x14ac:dyDescent="0.3">
      <c r="A793" t="s">
        <v>6</v>
      </c>
      <c r="B793" t="str">
        <f>"12/01/2003 00:00"</f>
        <v>12/01/2003 00:00</v>
      </c>
      <c r="C793">
        <v>67.3</v>
      </c>
      <c r="D793" t="s">
        <v>7</v>
      </c>
      <c r="E793" s="2" t="s">
        <v>12</v>
      </c>
      <c r="F793">
        <f t="shared" si="12"/>
        <v>133.45590000000001</v>
      </c>
      <c r="G793" t="s">
        <v>16</v>
      </c>
      <c r="J793" t="str">
        <f>"12/01/2003 23:45"</f>
        <v>12/01/2003 23:45</v>
      </c>
    </row>
    <row r="794" spans="1:10" x14ac:dyDescent="0.3">
      <c r="A794" t="s">
        <v>6</v>
      </c>
      <c r="B794" t="str">
        <f>"12/02/2003 00:00"</f>
        <v>12/02/2003 00:00</v>
      </c>
      <c r="C794">
        <v>55.8</v>
      </c>
      <c r="D794" t="s">
        <v>7</v>
      </c>
      <c r="E794" s="2" t="s">
        <v>12</v>
      </c>
      <c r="F794">
        <f t="shared" si="12"/>
        <v>110.6514</v>
      </c>
      <c r="G794" t="s">
        <v>16</v>
      </c>
      <c r="J794" t="str">
        <f>"12/02/2003 23:45"</f>
        <v>12/02/2003 23:45</v>
      </c>
    </row>
    <row r="795" spans="1:10" x14ac:dyDescent="0.3">
      <c r="A795" t="s">
        <v>6</v>
      </c>
      <c r="B795" t="str">
        <f>"12/03/2003 00:00"</f>
        <v>12/03/2003 00:00</v>
      </c>
      <c r="C795">
        <v>51.5</v>
      </c>
      <c r="D795" t="s">
        <v>7</v>
      </c>
      <c r="E795" s="2" t="s">
        <v>12</v>
      </c>
      <c r="F795">
        <f t="shared" si="12"/>
        <v>102.12450000000001</v>
      </c>
      <c r="G795" t="s">
        <v>16</v>
      </c>
      <c r="J795" t="str">
        <f>"12/03/2003 23:45"</f>
        <v>12/03/2003 23:45</v>
      </c>
    </row>
    <row r="796" spans="1:10" x14ac:dyDescent="0.3">
      <c r="A796" t="s">
        <v>6</v>
      </c>
      <c r="B796" t="str">
        <f>"12/04/2003 00:00"</f>
        <v>12/04/2003 00:00</v>
      </c>
      <c r="C796">
        <v>51.8</v>
      </c>
      <c r="D796" t="s">
        <v>7</v>
      </c>
      <c r="E796" s="2" t="s">
        <v>12</v>
      </c>
      <c r="F796">
        <f t="shared" si="12"/>
        <v>102.71939999999999</v>
      </c>
      <c r="G796" t="s">
        <v>16</v>
      </c>
      <c r="J796" t="str">
        <f>"12/04/2003 23:45"</f>
        <v>12/04/2003 23:45</v>
      </c>
    </row>
    <row r="797" spans="1:10" x14ac:dyDescent="0.3">
      <c r="A797" t="s">
        <v>6</v>
      </c>
      <c r="B797" t="str">
        <f>"12/05/2003 00:00"</f>
        <v>12/05/2003 00:00</v>
      </c>
      <c r="C797">
        <v>51.7</v>
      </c>
      <c r="D797" t="s">
        <v>7</v>
      </c>
      <c r="E797" s="2" t="s">
        <v>12</v>
      </c>
      <c r="F797">
        <f t="shared" si="12"/>
        <v>102.5211</v>
      </c>
      <c r="G797" t="s">
        <v>16</v>
      </c>
      <c r="J797" t="str">
        <f>"12/05/2003 23:45"</f>
        <v>12/05/2003 23:45</v>
      </c>
    </row>
    <row r="798" spans="1:10" x14ac:dyDescent="0.3">
      <c r="A798" t="s">
        <v>6</v>
      </c>
      <c r="B798" t="str">
        <f>"12/06/2003 00:00"</f>
        <v>12/06/2003 00:00</v>
      </c>
      <c r="C798">
        <v>51.4</v>
      </c>
      <c r="D798" t="s">
        <v>7</v>
      </c>
      <c r="E798" s="2" t="s">
        <v>12</v>
      </c>
      <c r="F798">
        <f t="shared" si="12"/>
        <v>101.92620000000001</v>
      </c>
      <c r="G798" t="s">
        <v>16</v>
      </c>
      <c r="J798" t="str">
        <f>"12/06/2003 23:45"</f>
        <v>12/06/2003 23:45</v>
      </c>
    </row>
    <row r="799" spans="1:10" x14ac:dyDescent="0.3">
      <c r="A799" t="s">
        <v>6</v>
      </c>
      <c r="B799" t="str">
        <f>"12/07/2003 00:00"</f>
        <v>12/07/2003 00:00</v>
      </c>
      <c r="C799">
        <v>51.5</v>
      </c>
      <c r="D799" t="s">
        <v>7</v>
      </c>
      <c r="E799" s="2" t="s">
        <v>12</v>
      </c>
      <c r="F799">
        <f t="shared" si="12"/>
        <v>102.12450000000001</v>
      </c>
      <c r="G799" t="s">
        <v>16</v>
      </c>
      <c r="J799" t="str">
        <f>"12/07/2003 23:45"</f>
        <v>12/07/2003 23:45</v>
      </c>
    </row>
    <row r="800" spans="1:10" x14ac:dyDescent="0.3">
      <c r="A800" t="s">
        <v>6</v>
      </c>
      <c r="B800" t="str">
        <f>"12/08/2003 00:00"</f>
        <v>12/08/2003 00:00</v>
      </c>
      <c r="C800">
        <v>52.2</v>
      </c>
      <c r="D800" t="s">
        <v>7</v>
      </c>
      <c r="E800" s="2" t="s">
        <v>12</v>
      </c>
      <c r="F800">
        <f t="shared" si="12"/>
        <v>103.51260000000001</v>
      </c>
      <c r="G800" t="s">
        <v>16</v>
      </c>
      <c r="J800" t="str">
        <f>"12/08/2003 23:45"</f>
        <v>12/08/2003 23:45</v>
      </c>
    </row>
    <row r="801" spans="1:10" x14ac:dyDescent="0.3">
      <c r="A801" t="s">
        <v>6</v>
      </c>
      <c r="B801" t="str">
        <f>"12/09/2003 00:00"</f>
        <v>12/09/2003 00:00</v>
      </c>
      <c r="C801">
        <v>51.9</v>
      </c>
      <c r="D801" t="s">
        <v>7</v>
      </c>
      <c r="E801" s="2" t="s">
        <v>12</v>
      </c>
      <c r="F801">
        <f t="shared" si="12"/>
        <v>102.9177</v>
      </c>
      <c r="G801" t="s">
        <v>16</v>
      </c>
      <c r="J801" t="str">
        <f>"12/09/2003 23:45"</f>
        <v>12/09/2003 23:45</v>
      </c>
    </row>
    <row r="802" spans="1:10" x14ac:dyDescent="0.3">
      <c r="A802" t="s">
        <v>6</v>
      </c>
      <c r="B802" t="str">
        <f>"12/10/2003 00:00"</f>
        <v>12/10/2003 00:00</v>
      </c>
      <c r="C802">
        <v>52</v>
      </c>
      <c r="D802" t="s">
        <v>7</v>
      </c>
      <c r="E802" s="2" t="s">
        <v>12</v>
      </c>
      <c r="F802">
        <f t="shared" si="12"/>
        <v>103.116</v>
      </c>
      <c r="G802" t="s">
        <v>16</v>
      </c>
      <c r="J802" t="str">
        <f>"12/10/2003 23:45"</f>
        <v>12/10/2003 23:45</v>
      </c>
    </row>
    <row r="803" spans="1:10" x14ac:dyDescent="0.3">
      <c r="A803" t="s">
        <v>6</v>
      </c>
      <c r="B803" t="str">
        <f>"12/11/2003 00:00"</f>
        <v>12/11/2003 00:00</v>
      </c>
      <c r="C803">
        <v>51.4</v>
      </c>
      <c r="D803" t="s">
        <v>7</v>
      </c>
      <c r="E803" s="2" t="s">
        <v>12</v>
      </c>
      <c r="F803">
        <f t="shared" si="12"/>
        <v>101.92620000000001</v>
      </c>
      <c r="G803" t="s">
        <v>16</v>
      </c>
      <c r="J803" t="str">
        <f>"12/11/2003 23:45"</f>
        <v>12/11/2003 23:45</v>
      </c>
    </row>
    <row r="804" spans="1:10" x14ac:dyDescent="0.3">
      <c r="A804" t="s">
        <v>6</v>
      </c>
      <c r="B804" t="str">
        <f>"12/12/2003 00:00"</f>
        <v>12/12/2003 00:00</v>
      </c>
      <c r="C804">
        <v>51.9</v>
      </c>
      <c r="D804" t="s">
        <v>7</v>
      </c>
      <c r="E804" s="2" t="s">
        <v>12</v>
      </c>
      <c r="F804">
        <f t="shared" si="12"/>
        <v>102.9177</v>
      </c>
      <c r="G804" t="s">
        <v>16</v>
      </c>
      <c r="J804" t="str">
        <f>"12/12/2003 23:45"</f>
        <v>12/12/2003 23:45</v>
      </c>
    </row>
    <row r="805" spans="1:10" x14ac:dyDescent="0.3">
      <c r="A805" t="s">
        <v>6</v>
      </c>
      <c r="B805" t="str">
        <f>"12/13/2003 00:00"</f>
        <v>12/13/2003 00:00</v>
      </c>
      <c r="C805">
        <v>51.7</v>
      </c>
      <c r="D805" t="s">
        <v>7</v>
      </c>
      <c r="E805" s="2" t="s">
        <v>12</v>
      </c>
      <c r="F805">
        <f t="shared" si="12"/>
        <v>102.5211</v>
      </c>
      <c r="G805" t="s">
        <v>16</v>
      </c>
      <c r="J805" t="str">
        <f>"12/13/2003 23:45"</f>
        <v>12/13/2003 23:45</v>
      </c>
    </row>
    <row r="806" spans="1:10" x14ac:dyDescent="0.3">
      <c r="A806" t="s">
        <v>6</v>
      </c>
      <c r="B806" t="str">
        <f>"12/14/2003 00:00"</f>
        <v>12/14/2003 00:00</v>
      </c>
      <c r="C806">
        <v>51.6</v>
      </c>
      <c r="D806" t="s">
        <v>7</v>
      </c>
      <c r="E806" s="2" t="s">
        <v>12</v>
      </c>
      <c r="F806">
        <f t="shared" si="12"/>
        <v>102.3228</v>
      </c>
      <c r="G806" t="s">
        <v>16</v>
      </c>
      <c r="J806" t="str">
        <f>"12/14/2003 23:45"</f>
        <v>12/14/2003 23:45</v>
      </c>
    </row>
    <row r="807" spans="1:10" x14ac:dyDescent="0.3">
      <c r="A807" t="s">
        <v>6</v>
      </c>
      <c r="B807" t="str">
        <f>"12/15/2003 00:00"</f>
        <v>12/15/2003 00:00</v>
      </c>
      <c r="C807">
        <v>47.3</v>
      </c>
      <c r="D807" t="s">
        <v>7</v>
      </c>
      <c r="E807" s="2" t="s">
        <v>12</v>
      </c>
      <c r="F807">
        <f t="shared" si="12"/>
        <v>93.795900000000003</v>
      </c>
      <c r="G807" t="s">
        <v>16</v>
      </c>
      <c r="J807" t="str">
        <f>"12/15/2003 23:45"</f>
        <v>12/15/2003 23:45</v>
      </c>
    </row>
    <row r="808" spans="1:10" x14ac:dyDescent="0.3">
      <c r="A808" t="s">
        <v>6</v>
      </c>
      <c r="B808" t="str">
        <f>"12/16/2003 00:00"</f>
        <v>12/16/2003 00:00</v>
      </c>
      <c r="C808">
        <v>41</v>
      </c>
      <c r="D808" t="s">
        <v>7</v>
      </c>
      <c r="E808" s="2" t="s">
        <v>12</v>
      </c>
      <c r="F808">
        <f t="shared" si="12"/>
        <v>81.302999999999997</v>
      </c>
      <c r="G808" t="s">
        <v>16</v>
      </c>
      <c r="J808" t="str">
        <f>"12/16/2003 23:45"</f>
        <v>12/16/2003 23:45</v>
      </c>
    </row>
    <row r="809" spans="1:10" x14ac:dyDescent="0.3">
      <c r="A809" t="s">
        <v>6</v>
      </c>
      <c r="B809" t="str">
        <f>"12/17/2003 00:00"</f>
        <v>12/17/2003 00:00</v>
      </c>
      <c r="C809">
        <v>40.6</v>
      </c>
      <c r="D809" t="s">
        <v>7</v>
      </c>
      <c r="E809" s="2" t="s">
        <v>12</v>
      </c>
      <c r="F809">
        <f t="shared" si="12"/>
        <v>80.509800000000013</v>
      </c>
      <c r="G809" t="s">
        <v>16</v>
      </c>
      <c r="J809" t="str">
        <f>"12/17/2003 23:45"</f>
        <v>12/17/2003 23:45</v>
      </c>
    </row>
    <row r="810" spans="1:10" x14ac:dyDescent="0.3">
      <c r="A810" t="s">
        <v>6</v>
      </c>
      <c r="B810" t="str">
        <f>"12/18/2003 00:00"</f>
        <v>12/18/2003 00:00</v>
      </c>
      <c r="C810">
        <v>40.9</v>
      </c>
      <c r="D810" t="s">
        <v>7</v>
      </c>
      <c r="E810" s="2" t="s">
        <v>12</v>
      </c>
      <c r="F810">
        <f t="shared" si="12"/>
        <v>81.104699999999994</v>
      </c>
      <c r="G810" t="s">
        <v>16</v>
      </c>
      <c r="J810" t="str">
        <f>"12/18/2003 23:45"</f>
        <v>12/18/2003 23:45</v>
      </c>
    </row>
    <row r="811" spans="1:10" x14ac:dyDescent="0.3">
      <c r="A811" t="s">
        <v>6</v>
      </c>
      <c r="B811" t="str">
        <f>"12/19/2003 00:00"</f>
        <v>12/19/2003 00:00</v>
      </c>
      <c r="C811">
        <v>40.6</v>
      </c>
      <c r="D811" t="s">
        <v>7</v>
      </c>
      <c r="E811" s="2" t="s">
        <v>12</v>
      </c>
      <c r="F811">
        <f t="shared" si="12"/>
        <v>80.509800000000013</v>
      </c>
      <c r="G811" t="s">
        <v>16</v>
      </c>
      <c r="J811" t="str">
        <f>"12/19/2003 23:45"</f>
        <v>12/19/2003 23:45</v>
      </c>
    </row>
    <row r="812" spans="1:10" x14ac:dyDescent="0.3">
      <c r="A812" t="s">
        <v>6</v>
      </c>
      <c r="B812" t="str">
        <f>"12/20/2003 00:00"</f>
        <v>12/20/2003 00:00</v>
      </c>
      <c r="C812">
        <v>40.9</v>
      </c>
      <c r="D812" t="s">
        <v>7</v>
      </c>
      <c r="E812" s="2" t="s">
        <v>12</v>
      </c>
      <c r="F812">
        <f t="shared" si="12"/>
        <v>81.104699999999994</v>
      </c>
      <c r="G812" t="s">
        <v>16</v>
      </c>
      <c r="J812" t="str">
        <f>"12/20/2003 23:45"</f>
        <v>12/20/2003 23:45</v>
      </c>
    </row>
    <row r="813" spans="1:10" x14ac:dyDescent="0.3">
      <c r="A813" t="s">
        <v>6</v>
      </c>
      <c r="B813" t="str">
        <f>"12/21/2003 00:00"</f>
        <v>12/21/2003 00:00</v>
      </c>
      <c r="C813">
        <v>40.5</v>
      </c>
      <c r="D813" t="s">
        <v>7</v>
      </c>
      <c r="E813" s="2" t="s">
        <v>12</v>
      </c>
      <c r="F813">
        <f t="shared" si="12"/>
        <v>80.311500000000009</v>
      </c>
      <c r="G813" t="s">
        <v>16</v>
      </c>
      <c r="J813" t="str">
        <f>"12/21/2003 23:45"</f>
        <v>12/21/2003 23:45</v>
      </c>
    </row>
    <row r="814" spans="1:10" x14ac:dyDescent="0.3">
      <c r="A814" t="s">
        <v>6</v>
      </c>
      <c r="B814" t="str">
        <f>"12/22/2003 00:00"</f>
        <v>12/22/2003 00:00</v>
      </c>
      <c r="C814">
        <v>41</v>
      </c>
      <c r="D814" t="s">
        <v>7</v>
      </c>
      <c r="E814" s="2" t="s">
        <v>12</v>
      </c>
      <c r="F814">
        <f t="shared" si="12"/>
        <v>81.302999999999997</v>
      </c>
      <c r="G814" t="s">
        <v>16</v>
      </c>
      <c r="J814" t="str">
        <f>"12/22/2003 23:45"</f>
        <v>12/22/2003 23:45</v>
      </c>
    </row>
    <row r="815" spans="1:10" x14ac:dyDescent="0.3">
      <c r="A815" t="s">
        <v>6</v>
      </c>
      <c r="B815" t="str">
        <f>"12/23/2003 00:00"</f>
        <v>12/23/2003 00:00</v>
      </c>
      <c r="C815">
        <v>40.9</v>
      </c>
      <c r="D815" t="s">
        <v>7</v>
      </c>
      <c r="E815" s="2" t="s">
        <v>12</v>
      </c>
      <c r="F815">
        <f t="shared" si="12"/>
        <v>81.104699999999994</v>
      </c>
      <c r="G815" t="s">
        <v>16</v>
      </c>
      <c r="J815" t="str">
        <f>"12/23/2003 23:45"</f>
        <v>12/23/2003 23:45</v>
      </c>
    </row>
    <row r="816" spans="1:10" x14ac:dyDescent="0.3">
      <c r="A816" t="s">
        <v>6</v>
      </c>
      <c r="B816" t="str">
        <f>"12/24/2003 00:00"</f>
        <v>12/24/2003 00:00</v>
      </c>
      <c r="C816">
        <v>41</v>
      </c>
      <c r="D816" t="s">
        <v>7</v>
      </c>
      <c r="E816" s="2" t="s">
        <v>12</v>
      </c>
      <c r="F816">
        <f t="shared" si="12"/>
        <v>81.302999999999997</v>
      </c>
      <c r="G816" t="s">
        <v>16</v>
      </c>
      <c r="J816" t="str">
        <f>"12/24/2003 23:45"</f>
        <v>12/24/2003 23:45</v>
      </c>
    </row>
    <row r="817" spans="1:10" x14ac:dyDescent="0.3">
      <c r="A817" t="s">
        <v>6</v>
      </c>
      <c r="B817" t="str">
        <f>"12/25/2003 00:00"</f>
        <v>12/25/2003 00:00</v>
      </c>
      <c r="C817">
        <v>40.700000000000003</v>
      </c>
      <c r="D817" t="s">
        <v>7</v>
      </c>
      <c r="E817" s="2" t="s">
        <v>12</v>
      </c>
      <c r="F817">
        <f t="shared" si="12"/>
        <v>80.708100000000016</v>
      </c>
      <c r="G817" t="s">
        <v>16</v>
      </c>
      <c r="J817" t="str">
        <f>"12/25/2003 23:45"</f>
        <v>12/25/2003 23:45</v>
      </c>
    </row>
    <row r="818" spans="1:10" x14ac:dyDescent="0.3">
      <c r="A818" t="s">
        <v>6</v>
      </c>
      <c r="B818" t="str">
        <f>"12/26/2003 00:00"</f>
        <v>12/26/2003 00:00</v>
      </c>
      <c r="C818">
        <v>41</v>
      </c>
      <c r="D818" t="s">
        <v>7</v>
      </c>
      <c r="E818" s="2" t="s">
        <v>12</v>
      </c>
      <c r="F818">
        <f t="shared" si="12"/>
        <v>81.302999999999997</v>
      </c>
      <c r="G818" t="s">
        <v>16</v>
      </c>
      <c r="J818" t="str">
        <f>"12/26/2003 23:45"</f>
        <v>12/26/2003 23:45</v>
      </c>
    </row>
    <row r="819" spans="1:10" x14ac:dyDescent="0.3">
      <c r="A819" t="s">
        <v>6</v>
      </c>
      <c r="B819" t="str">
        <f>"12/27/2003 00:00"</f>
        <v>12/27/2003 00:00</v>
      </c>
      <c r="C819">
        <v>41.1</v>
      </c>
      <c r="D819" t="s">
        <v>7</v>
      </c>
      <c r="E819" s="2" t="s">
        <v>12</v>
      </c>
      <c r="F819">
        <f t="shared" si="12"/>
        <v>81.501300000000001</v>
      </c>
      <c r="G819" t="s">
        <v>16</v>
      </c>
      <c r="J819" t="str">
        <f>"12/27/2003 23:45"</f>
        <v>12/27/2003 23:45</v>
      </c>
    </row>
    <row r="820" spans="1:10" x14ac:dyDescent="0.3">
      <c r="A820" t="s">
        <v>6</v>
      </c>
      <c r="B820" t="str">
        <f>"12/28/2003 00:00"</f>
        <v>12/28/2003 00:00</v>
      </c>
      <c r="C820">
        <v>41.1</v>
      </c>
      <c r="D820" t="s">
        <v>7</v>
      </c>
      <c r="E820" s="2" t="s">
        <v>12</v>
      </c>
      <c r="F820">
        <f t="shared" si="12"/>
        <v>81.501300000000001</v>
      </c>
      <c r="G820" t="s">
        <v>16</v>
      </c>
      <c r="J820" t="str">
        <f>"12/28/2003 23:45"</f>
        <v>12/28/2003 23:45</v>
      </c>
    </row>
    <row r="821" spans="1:10" x14ac:dyDescent="0.3">
      <c r="A821" t="s">
        <v>6</v>
      </c>
      <c r="B821" t="str">
        <f>"12/29/2003 00:00"</f>
        <v>12/29/2003 00:00</v>
      </c>
      <c r="C821">
        <v>41.1</v>
      </c>
      <c r="D821" t="s">
        <v>7</v>
      </c>
      <c r="E821" s="2" t="s">
        <v>12</v>
      </c>
      <c r="F821">
        <f t="shared" si="12"/>
        <v>81.501300000000001</v>
      </c>
      <c r="G821" t="s">
        <v>16</v>
      </c>
      <c r="J821" t="str">
        <f>"12/29/2003 23:45"</f>
        <v>12/29/2003 23:45</v>
      </c>
    </row>
    <row r="822" spans="1:10" x14ac:dyDescent="0.3">
      <c r="A822" t="s">
        <v>6</v>
      </c>
      <c r="B822" t="str">
        <f>"12/30/2003 00:00"</f>
        <v>12/30/2003 00:00</v>
      </c>
      <c r="C822">
        <v>41.1</v>
      </c>
      <c r="D822" t="s">
        <v>7</v>
      </c>
      <c r="E822" s="2" t="s">
        <v>12</v>
      </c>
      <c r="F822">
        <f t="shared" si="12"/>
        <v>81.501300000000001</v>
      </c>
      <c r="G822" t="s">
        <v>16</v>
      </c>
      <c r="J822" t="str">
        <f>"12/30/2003 23:45"</f>
        <v>12/30/2003 23:45</v>
      </c>
    </row>
    <row r="823" spans="1:10" x14ac:dyDescent="0.3">
      <c r="A823" t="s">
        <v>6</v>
      </c>
      <c r="B823" t="str">
        <f>"12/31/2003 00:00"</f>
        <v>12/31/2003 00:00</v>
      </c>
      <c r="C823">
        <v>40.700000000000003</v>
      </c>
      <c r="D823" t="s">
        <v>7</v>
      </c>
      <c r="E823" s="2" t="s">
        <v>12</v>
      </c>
      <c r="F823">
        <f t="shared" si="12"/>
        <v>80.708100000000016</v>
      </c>
      <c r="G823" t="s">
        <v>16</v>
      </c>
      <c r="J823" t="str">
        <f>"12/31/2003 23:45"</f>
        <v>12/31/2003 23:45</v>
      </c>
    </row>
    <row r="824" spans="1:10" x14ac:dyDescent="0.3">
      <c r="A824" t="s">
        <v>6</v>
      </c>
      <c r="B824" t="str">
        <f>"01/01/2004 00:00"</f>
        <v>01/01/2004 00:00</v>
      </c>
      <c r="C824">
        <v>40.1</v>
      </c>
      <c r="D824" t="s">
        <v>7</v>
      </c>
      <c r="E824" s="2" t="s">
        <v>12</v>
      </c>
      <c r="F824">
        <f t="shared" si="12"/>
        <v>79.518300000000011</v>
      </c>
      <c r="G824" t="s">
        <v>16</v>
      </c>
      <c r="J824" t="str">
        <f>"01/01/2004 23:45"</f>
        <v>01/01/2004 23:45</v>
      </c>
    </row>
    <row r="825" spans="1:10" x14ac:dyDescent="0.3">
      <c r="A825" t="s">
        <v>6</v>
      </c>
      <c r="B825" t="str">
        <f>"01/02/2004 00:00"</f>
        <v>01/02/2004 00:00</v>
      </c>
      <c r="C825">
        <v>40.200000000000003</v>
      </c>
      <c r="D825" t="s">
        <v>7</v>
      </c>
      <c r="E825" s="2" t="s">
        <v>12</v>
      </c>
      <c r="F825">
        <f t="shared" si="12"/>
        <v>79.716600000000014</v>
      </c>
      <c r="G825" t="s">
        <v>16</v>
      </c>
      <c r="J825" t="str">
        <f>"01/02/2004 23:45"</f>
        <v>01/02/2004 23:45</v>
      </c>
    </row>
    <row r="826" spans="1:10" x14ac:dyDescent="0.3">
      <c r="A826" t="s">
        <v>6</v>
      </c>
      <c r="B826" t="str">
        <f>"01/03/2004 00:00"</f>
        <v>01/03/2004 00:00</v>
      </c>
      <c r="C826">
        <v>40.200000000000003</v>
      </c>
      <c r="D826" t="s">
        <v>7</v>
      </c>
      <c r="E826" s="2" t="s">
        <v>12</v>
      </c>
      <c r="F826">
        <f t="shared" si="12"/>
        <v>79.716600000000014</v>
      </c>
      <c r="G826" t="s">
        <v>16</v>
      </c>
      <c r="J826" t="str">
        <f>"01/03/2004 23:45"</f>
        <v>01/03/2004 23:45</v>
      </c>
    </row>
    <row r="827" spans="1:10" x14ac:dyDescent="0.3">
      <c r="A827" t="s">
        <v>6</v>
      </c>
      <c r="B827" t="str">
        <f>"01/04/2004 00:00"</f>
        <v>01/04/2004 00:00</v>
      </c>
      <c r="C827">
        <v>40.5</v>
      </c>
      <c r="D827" t="s">
        <v>7</v>
      </c>
      <c r="E827" s="2" t="s">
        <v>12</v>
      </c>
      <c r="F827">
        <f t="shared" si="12"/>
        <v>80.311500000000009</v>
      </c>
      <c r="G827" t="s">
        <v>16</v>
      </c>
      <c r="J827" t="str">
        <f>"01/04/2004 23:45"</f>
        <v>01/04/2004 23:45</v>
      </c>
    </row>
    <row r="828" spans="1:10" x14ac:dyDescent="0.3">
      <c r="A828" t="s">
        <v>6</v>
      </c>
      <c r="B828" t="str">
        <f>"01/05/2004 00:00"</f>
        <v>01/05/2004 00:00</v>
      </c>
      <c r="C828">
        <v>40.1</v>
      </c>
      <c r="D828" t="s">
        <v>7</v>
      </c>
      <c r="E828" s="2" t="s">
        <v>12</v>
      </c>
      <c r="F828">
        <f t="shared" si="12"/>
        <v>79.518300000000011</v>
      </c>
      <c r="G828" t="s">
        <v>16</v>
      </c>
      <c r="J828" t="str">
        <f>"01/05/2004 23:45"</f>
        <v>01/05/2004 23:45</v>
      </c>
    </row>
    <row r="829" spans="1:10" x14ac:dyDescent="0.3">
      <c r="A829" t="s">
        <v>6</v>
      </c>
      <c r="B829" t="str">
        <f>"01/06/2004 00:00"</f>
        <v>01/06/2004 00:00</v>
      </c>
      <c r="C829">
        <v>40.1</v>
      </c>
      <c r="D829" t="s">
        <v>7</v>
      </c>
      <c r="E829" s="2" t="s">
        <v>12</v>
      </c>
      <c r="F829">
        <f t="shared" si="12"/>
        <v>79.518300000000011</v>
      </c>
      <c r="G829" t="s">
        <v>16</v>
      </c>
      <c r="J829" t="str">
        <f>"01/06/2004 23:45"</f>
        <v>01/06/2004 23:45</v>
      </c>
    </row>
    <row r="830" spans="1:10" x14ac:dyDescent="0.3">
      <c r="A830" t="s">
        <v>6</v>
      </c>
      <c r="B830" t="str">
        <f>"01/07/2004 00:00"</f>
        <v>01/07/2004 00:00</v>
      </c>
      <c r="C830">
        <v>40.1</v>
      </c>
      <c r="D830" t="s">
        <v>7</v>
      </c>
      <c r="E830" s="2" t="s">
        <v>12</v>
      </c>
      <c r="F830">
        <f t="shared" si="12"/>
        <v>79.518300000000011</v>
      </c>
      <c r="G830" t="s">
        <v>16</v>
      </c>
      <c r="J830" t="str">
        <f>"01/07/2004 23:45"</f>
        <v>01/07/2004 23:45</v>
      </c>
    </row>
    <row r="831" spans="1:10" x14ac:dyDescent="0.3">
      <c r="A831" t="s">
        <v>6</v>
      </c>
      <c r="B831" t="str">
        <f>"01/08/2004 00:00"</f>
        <v>01/08/2004 00:00</v>
      </c>
      <c r="C831">
        <v>40.200000000000003</v>
      </c>
      <c r="D831" t="s">
        <v>7</v>
      </c>
      <c r="E831" s="2" t="s">
        <v>12</v>
      </c>
      <c r="F831">
        <f t="shared" si="12"/>
        <v>79.716600000000014</v>
      </c>
      <c r="G831" t="s">
        <v>16</v>
      </c>
      <c r="J831" t="str">
        <f>"01/08/2004 23:45"</f>
        <v>01/08/2004 23:45</v>
      </c>
    </row>
    <row r="832" spans="1:10" x14ac:dyDescent="0.3">
      <c r="A832" t="s">
        <v>6</v>
      </c>
      <c r="B832" t="str">
        <f>"01/09/2004 00:00"</f>
        <v>01/09/2004 00:00</v>
      </c>
      <c r="C832">
        <v>40.1</v>
      </c>
      <c r="D832" t="s">
        <v>7</v>
      </c>
      <c r="E832" s="2" t="s">
        <v>12</v>
      </c>
      <c r="F832">
        <f t="shared" si="12"/>
        <v>79.518300000000011</v>
      </c>
      <c r="G832" t="s">
        <v>16</v>
      </c>
      <c r="J832" t="str">
        <f>"01/09/2004 23:45"</f>
        <v>01/09/2004 23:45</v>
      </c>
    </row>
    <row r="833" spans="1:10" x14ac:dyDescent="0.3">
      <c r="A833" t="s">
        <v>6</v>
      </c>
      <c r="B833" t="str">
        <f>"01/10/2004 00:00"</f>
        <v>01/10/2004 00:00</v>
      </c>
      <c r="C833">
        <v>39.700000000000003</v>
      </c>
      <c r="D833" t="s">
        <v>7</v>
      </c>
      <c r="E833" s="2" t="s">
        <v>12</v>
      </c>
      <c r="F833">
        <f t="shared" si="12"/>
        <v>78.725100000000012</v>
      </c>
      <c r="G833" t="s">
        <v>16</v>
      </c>
      <c r="J833" t="str">
        <f>"01/10/2004 23:45"</f>
        <v>01/10/2004 23:45</v>
      </c>
    </row>
    <row r="834" spans="1:10" x14ac:dyDescent="0.3">
      <c r="A834" t="s">
        <v>6</v>
      </c>
      <c r="B834" t="str">
        <f>"01/11/2004 00:00"</f>
        <v>01/11/2004 00:00</v>
      </c>
      <c r="C834">
        <v>39.9</v>
      </c>
      <c r="D834" t="s">
        <v>7</v>
      </c>
      <c r="E834" s="2" t="s">
        <v>12</v>
      </c>
      <c r="F834">
        <f t="shared" si="12"/>
        <v>79.121700000000004</v>
      </c>
      <c r="G834" t="s">
        <v>16</v>
      </c>
      <c r="J834" t="str">
        <f>"01/11/2004 23:45"</f>
        <v>01/11/2004 23:45</v>
      </c>
    </row>
    <row r="835" spans="1:10" x14ac:dyDescent="0.3">
      <c r="A835" t="s">
        <v>6</v>
      </c>
      <c r="B835" t="str">
        <f>"01/12/2004 00:00"</f>
        <v>01/12/2004 00:00</v>
      </c>
      <c r="C835">
        <v>40.200000000000003</v>
      </c>
      <c r="D835" t="s">
        <v>7</v>
      </c>
      <c r="E835" s="2" t="s">
        <v>12</v>
      </c>
      <c r="F835">
        <f t="shared" si="12"/>
        <v>79.716600000000014</v>
      </c>
      <c r="G835" t="s">
        <v>16</v>
      </c>
      <c r="J835" t="str">
        <f>"01/12/2004 23:45"</f>
        <v>01/12/2004 23:45</v>
      </c>
    </row>
    <row r="836" spans="1:10" x14ac:dyDescent="0.3">
      <c r="A836" t="s">
        <v>6</v>
      </c>
      <c r="B836" t="str">
        <f>"01/13/2004 00:00"</f>
        <v>01/13/2004 00:00</v>
      </c>
      <c r="C836">
        <v>40.200000000000003</v>
      </c>
      <c r="D836" t="s">
        <v>7</v>
      </c>
      <c r="E836" s="2" t="s">
        <v>12</v>
      </c>
      <c r="F836">
        <f t="shared" ref="F836:F899" si="13">C836*1.983</f>
        <v>79.716600000000014</v>
      </c>
      <c r="G836" t="s">
        <v>16</v>
      </c>
      <c r="J836" t="str">
        <f>"01/13/2004 23:45"</f>
        <v>01/13/2004 23:45</v>
      </c>
    </row>
    <row r="837" spans="1:10" x14ac:dyDescent="0.3">
      <c r="A837" t="s">
        <v>6</v>
      </c>
      <c r="B837" t="str">
        <f>"01/14/2004 00:00"</f>
        <v>01/14/2004 00:00</v>
      </c>
      <c r="C837">
        <v>40.200000000000003</v>
      </c>
      <c r="D837" t="s">
        <v>7</v>
      </c>
      <c r="E837" s="2" t="s">
        <v>12</v>
      </c>
      <c r="F837">
        <f t="shared" si="13"/>
        <v>79.716600000000014</v>
      </c>
      <c r="G837" t="s">
        <v>16</v>
      </c>
      <c r="J837" t="str">
        <f>"01/14/2004 23:45"</f>
        <v>01/14/2004 23:45</v>
      </c>
    </row>
    <row r="838" spans="1:10" x14ac:dyDescent="0.3">
      <c r="A838" t="s">
        <v>6</v>
      </c>
      <c r="B838" t="str">
        <f>"01/15/2004 00:00"</f>
        <v>01/15/2004 00:00</v>
      </c>
      <c r="C838">
        <v>40.1</v>
      </c>
      <c r="D838" t="s">
        <v>7</v>
      </c>
      <c r="E838" s="2" t="s">
        <v>12</v>
      </c>
      <c r="F838">
        <f t="shared" si="13"/>
        <v>79.518300000000011</v>
      </c>
      <c r="G838" t="s">
        <v>16</v>
      </c>
      <c r="J838" t="str">
        <f>"01/15/2004 23:45"</f>
        <v>01/15/2004 23:45</v>
      </c>
    </row>
    <row r="839" spans="1:10" x14ac:dyDescent="0.3">
      <c r="A839" t="s">
        <v>6</v>
      </c>
      <c r="B839" t="str">
        <f>"01/16/2004 00:00"</f>
        <v>01/16/2004 00:00</v>
      </c>
      <c r="C839">
        <v>40.200000000000003</v>
      </c>
      <c r="D839" t="s">
        <v>7</v>
      </c>
      <c r="E839" s="2" t="s">
        <v>12</v>
      </c>
      <c r="F839">
        <f t="shared" si="13"/>
        <v>79.716600000000014</v>
      </c>
      <c r="G839" t="s">
        <v>16</v>
      </c>
      <c r="J839" t="str">
        <f>"01/16/2004 23:45"</f>
        <v>01/16/2004 23:45</v>
      </c>
    </row>
    <row r="840" spans="1:10" x14ac:dyDescent="0.3">
      <c r="A840" t="s">
        <v>6</v>
      </c>
      <c r="B840" t="str">
        <f>"01/17/2004 00:00"</f>
        <v>01/17/2004 00:00</v>
      </c>
      <c r="C840">
        <v>40.200000000000003</v>
      </c>
      <c r="D840" t="s">
        <v>7</v>
      </c>
      <c r="E840" s="2" t="s">
        <v>12</v>
      </c>
      <c r="F840">
        <f t="shared" si="13"/>
        <v>79.716600000000014</v>
      </c>
      <c r="G840" t="s">
        <v>16</v>
      </c>
      <c r="J840" t="str">
        <f>"01/17/2004 23:45"</f>
        <v>01/17/2004 23:45</v>
      </c>
    </row>
    <row r="841" spans="1:10" x14ac:dyDescent="0.3">
      <c r="A841" t="s">
        <v>6</v>
      </c>
      <c r="B841" t="str">
        <f>"01/18/2004 00:00"</f>
        <v>01/18/2004 00:00</v>
      </c>
      <c r="C841">
        <v>40.200000000000003</v>
      </c>
      <c r="D841" t="s">
        <v>7</v>
      </c>
      <c r="E841" s="2" t="s">
        <v>12</v>
      </c>
      <c r="F841">
        <f t="shared" si="13"/>
        <v>79.716600000000014</v>
      </c>
      <c r="G841" t="s">
        <v>16</v>
      </c>
      <c r="J841" t="str">
        <f>"01/18/2004 23:45"</f>
        <v>01/18/2004 23:45</v>
      </c>
    </row>
    <row r="842" spans="1:10" x14ac:dyDescent="0.3">
      <c r="A842" t="s">
        <v>6</v>
      </c>
      <c r="B842" t="str">
        <f>"01/19/2004 00:00"</f>
        <v>01/19/2004 00:00</v>
      </c>
      <c r="C842">
        <v>40.299999999999997</v>
      </c>
      <c r="D842" t="s">
        <v>7</v>
      </c>
      <c r="E842" s="2" t="s">
        <v>12</v>
      </c>
      <c r="F842">
        <f t="shared" si="13"/>
        <v>79.914900000000003</v>
      </c>
      <c r="G842" t="s">
        <v>16</v>
      </c>
      <c r="J842" t="str">
        <f>"01/19/2004 23:45"</f>
        <v>01/19/2004 23:45</v>
      </c>
    </row>
    <row r="843" spans="1:10" x14ac:dyDescent="0.3">
      <c r="A843" t="s">
        <v>6</v>
      </c>
      <c r="B843" t="str">
        <f>"01/20/2004 00:00"</f>
        <v>01/20/2004 00:00</v>
      </c>
      <c r="C843">
        <v>40.4</v>
      </c>
      <c r="D843" t="s">
        <v>7</v>
      </c>
      <c r="E843" s="2" t="s">
        <v>12</v>
      </c>
      <c r="F843">
        <f t="shared" si="13"/>
        <v>80.113200000000006</v>
      </c>
      <c r="G843" t="s">
        <v>16</v>
      </c>
      <c r="J843" t="str">
        <f>"01/20/2004 23:45"</f>
        <v>01/20/2004 23:45</v>
      </c>
    </row>
    <row r="844" spans="1:10" x14ac:dyDescent="0.3">
      <c r="A844" t="s">
        <v>6</v>
      </c>
      <c r="B844" t="str">
        <f>"01/21/2004 00:00"</f>
        <v>01/21/2004 00:00</v>
      </c>
      <c r="C844">
        <v>40.4</v>
      </c>
      <c r="D844" t="s">
        <v>7</v>
      </c>
      <c r="E844" s="2" t="s">
        <v>12</v>
      </c>
      <c r="F844">
        <f t="shared" si="13"/>
        <v>80.113200000000006</v>
      </c>
      <c r="G844" t="s">
        <v>16</v>
      </c>
      <c r="J844" t="str">
        <f>"01/21/2004 23:45"</f>
        <v>01/21/2004 23:45</v>
      </c>
    </row>
    <row r="845" spans="1:10" x14ac:dyDescent="0.3">
      <c r="A845" t="s">
        <v>6</v>
      </c>
      <c r="B845" t="str">
        <f>"01/22/2004 00:00"</f>
        <v>01/22/2004 00:00</v>
      </c>
      <c r="C845">
        <v>40.200000000000003</v>
      </c>
      <c r="D845" t="s">
        <v>7</v>
      </c>
      <c r="E845" s="2" t="s">
        <v>12</v>
      </c>
      <c r="F845">
        <f t="shared" si="13"/>
        <v>79.716600000000014</v>
      </c>
      <c r="G845" t="s">
        <v>16</v>
      </c>
      <c r="J845" t="str">
        <f>"01/22/2004 23:45"</f>
        <v>01/22/2004 23:45</v>
      </c>
    </row>
    <row r="846" spans="1:10" x14ac:dyDescent="0.3">
      <c r="A846" t="s">
        <v>6</v>
      </c>
      <c r="B846" t="str">
        <f>"01/23/2004 00:00"</f>
        <v>01/23/2004 00:00</v>
      </c>
      <c r="C846">
        <v>40.299999999999997</v>
      </c>
      <c r="D846" t="s">
        <v>7</v>
      </c>
      <c r="E846" s="2" t="s">
        <v>12</v>
      </c>
      <c r="F846">
        <f t="shared" si="13"/>
        <v>79.914900000000003</v>
      </c>
      <c r="G846" t="s">
        <v>16</v>
      </c>
      <c r="J846" t="str">
        <f>"01/23/2004 23:45"</f>
        <v>01/23/2004 23:45</v>
      </c>
    </row>
    <row r="847" spans="1:10" x14ac:dyDescent="0.3">
      <c r="A847" t="s">
        <v>6</v>
      </c>
      <c r="B847" t="str">
        <f>"01/24/2004 00:00"</f>
        <v>01/24/2004 00:00</v>
      </c>
      <c r="C847">
        <v>40.4</v>
      </c>
      <c r="D847" t="s">
        <v>7</v>
      </c>
      <c r="E847" s="2" t="s">
        <v>12</v>
      </c>
      <c r="F847">
        <f t="shared" si="13"/>
        <v>80.113200000000006</v>
      </c>
      <c r="G847" t="s">
        <v>16</v>
      </c>
      <c r="J847" t="str">
        <f>"01/24/2004 23:45"</f>
        <v>01/24/2004 23:45</v>
      </c>
    </row>
    <row r="848" spans="1:10" x14ac:dyDescent="0.3">
      <c r="A848" t="s">
        <v>6</v>
      </c>
      <c r="B848" t="str">
        <f>"01/25/2004 00:00"</f>
        <v>01/25/2004 00:00</v>
      </c>
      <c r="C848">
        <v>40.299999999999997</v>
      </c>
      <c r="D848" t="s">
        <v>7</v>
      </c>
      <c r="E848" s="2" t="s">
        <v>12</v>
      </c>
      <c r="F848">
        <f t="shared" si="13"/>
        <v>79.914900000000003</v>
      </c>
      <c r="G848" t="s">
        <v>16</v>
      </c>
      <c r="J848" t="str">
        <f>"01/25/2004 23:45"</f>
        <v>01/25/2004 23:45</v>
      </c>
    </row>
    <row r="849" spans="1:10" x14ac:dyDescent="0.3">
      <c r="A849" t="s">
        <v>6</v>
      </c>
      <c r="B849" t="str">
        <f>"01/26/2004 00:00"</f>
        <v>01/26/2004 00:00</v>
      </c>
      <c r="C849">
        <v>40.5</v>
      </c>
      <c r="D849" t="s">
        <v>7</v>
      </c>
      <c r="E849" s="2" t="s">
        <v>12</v>
      </c>
      <c r="F849">
        <f t="shared" si="13"/>
        <v>80.311500000000009</v>
      </c>
      <c r="G849" t="s">
        <v>16</v>
      </c>
      <c r="J849" t="str">
        <f>"01/26/2004 23:45"</f>
        <v>01/26/2004 23:45</v>
      </c>
    </row>
    <row r="850" spans="1:10" x14ac:dyDescent="0.3">
      <c r="A850" t="s">
        <v>6</v>
      </c>
      <c r="B850" t="str">
        <f>"01/27/2004 00:00"</f>
        <v>01/27/2004 00:00</v>
      </c>
      <c r="C850">
        <v>40.6</v>
      </c>
      <c r="D850" t="s">
        <v>7</v>
      </c>
      <c r="E850" s="2" t="s">
        <v>12</v>
      </c>
      <c r="F850">
        <f t="shared" si="13"/>
        <v>80.509800000000013</v>
      </c>
      <c r="G850" t="s">
        <v>16</v>
      </c>
      <c r="J850" t="str">
        <f>"01/27/2004 23:45"</f>
        <v>01/27/2004 23:45</v>
      </c>
    </row>
    <row r="851" spans="1:10" x14ac:dyDescent="0.3">
      <c r="A851" t="s">
        <v>6</v>
      </c>
      <c r="B851" t="str">
        <f>"01/28/2004 00:00"</f>
        <v>01/28/2004 00:00</v>
      </c>
      <c r="C851">
        <v>40.799999999999997</v>
      </c>
      <c r="D851" t="s">
        <v>7</v>
      </c>
      <c r="E851" s="2" t="s">
        <v>12</v>
      </c>
      <c r="F851">
        <f t="shared" si="13"/>
        <v>80.906400000000005</v>
      </c>
      <c r="G851" t="s">
        <v>16</v>
      </c>
      <c r="J851" t="str">
        <f>"01/28/2004 23:45"</f>
        <v>01/28/2004 23:45</v>
      </c>
    </row>
    <row r="852" spans="1:10" x14ac:dyDescent="0.3">
      <c r="A852" t="s">
        <v>6</v>
      </c>
      <c r="B852" t="str">
        <f>"01/29/2004 00:00"</f>
        <v>01/29/2004 00:00</v>
      </c>
      <c r="C852">
        <v>40.5</v>
      </c>
      <c r="D852" t="s">
        <v>7</v>
      </c>
      <c r="E852" s="2" t="s">
        <v>12</v>
      </c>
      <c r="F852">
        <f t="shared" si="13"/>
        <v>80.311500000000009</v>
      </c>
      <c r="G852" t="s">
        <v>16</v>
      </c>
      <c r="J852" t="str">
        <f>"01/29/2004 23:45"</f>
        <v>01/29/2004 23:45</v>
      </c>
    </row>
    <row r="853" spans="1:10" x14ac:dyDescent="0.3">
      <c r="A853" t="s">
        <v>6</v>
      </c>
      <c r="B853" t="str">
        <f>"01/30/2004 00:00"</f>
        <v>01/30/2004 00:00</v>
      </c>
      <c r="C853">
        <v>40.700000000000003</v>
      </c>
      <c r="D853" t="s">
        <v>7</v>
      </c>
      <c r="E853" s="2" t="s">
        <v>12</v>
      </c>
      <c r="F853">
        <f t="shared" si="13"/>
        <v>80.708100000000016</v>
      </c>
      <c r="G853" t="s">
        <v>16</v>
      </c>
      <c r="J853" t="str">
        <f>"01/30/2004 23:45"</f>
        <v>01/30/2004 23:45</v>
      </c>
    </row>
    <row r="854" spans="1:10" x14ac:dyDescent="0.3">
      <c r="A854" t="s">
        <v>6</v>
      </c>
      <c r="B854" t="str">
        <f>"01/31/2004 00:00"</f>
        <v>01/31/2004 00:00</v>
      </c>
      <c r="C854">
        <v>41.1</v>
      </c>
      <c r="D854" t="s">
        <v>7</v>
      </c>
      <c r="E854" s="2" t="s">
        <v>12</v>
      </c>
      <c r="F854">
        <f t="shared" si="13"/>
        <v>81.501300000000001</v>
      </c>
      <c r="G854" t="s">
        <v>16</v>
      </c>
      <c r="J854" t="str">
        <f>"01/31/2004 23:45"</f>
        <v>01/31/2004 23:45</v>
      </c>
    </row>
    <row r="855" spans="1:10" x14ac:dyDescent="0.3">
      <c r="A855" t="s">
        <v>6</v>
      </c>
      <c r="B855" t="str">
        <f>"02/01/2004 00:00"</f>
        <v>02/01/2004 00:00</v>
      </c>
      <c r="C855">
        <v>41</v>
      </c>
      <c r="D855" t="s">
        <v>7</v>
      </c>
      <c r="E855" s="2" t="s">
        <v>12</v>
      </c>
      <c r="F855">
        <f t="shared" si="13"/>
        <v>81.302999999999997</v>
      </c>
      <c r="G855" t="s">
        <v>16</v>
      </c>
      <c r="J855" t="str">
        <f>"02/01/2004 23:45"</f>
        <v>02/01/2004 23:45</v>
      </c>
    </row>
    <row r="856" spans="1:10" x14ac:dyDescent="0.3">
      <c r="A856" t="s">
        <v>6</v>
      </c>
      <c r="B856" t="str">
        <f>"02/02/2004 00:00"</f>
        <v>02/02/2004 00:00</v>
      </c>
      <c r="C856">
        <v>40.799999999999997</v>
      </c>
      <c r="D856" t="s">
        <v>7</v>
      </c>
      <c r="E856" s="2" t="s">
        <v>12</v>
      </c>
      <c r="F856">
        <f t="shared" si="13"/>
        <v>80.906400000000005</v>
      </c>
      <c r="G856" t="s">
        <v>16</v>
      </c>
      <c r="J856" t="str">
        <f>"02/02/2004 23:45"</f>
        <v>02/02/2004 23:45</v>
      </c>
    </row>
    <row r="857" spans="1:10" x14ac:dyDescent="0.3">
      <c r="A857" t="s">
        <v>6</v>
      </c>
      <c r="B857" t="str">
        <f>"02/03/2004 00:00"</f>
        <v>02/03/2004 00:00</v>
      </c>
      <c r="C857">
        <v>46.8</v>
      </c>
      <c r="D857" t="s">
        <v>7</v>
      </c>
      <c r="E857" s="2" t="s">
        <v>12</v>
      </c>
      <c r="F857">
        <f t="shared" si="13"/>
        <v>92.804400000000001</v>
      </c>
      <c r="G857" t="s">
        <v>16</v>
      </c>
      <c r="J857" t="str">
        <f>"02/03/2004 23:45"</f>
        <v>02/03/2004 23:45</v>
      </c>
    </row>
    <row r="858" spans="1:10" x14ac:dyDescent="0.3">
      <c r="A858" t="s">
        <v>6</v>
      </c>
      <c r="B858" t="str">
        <f>"02/04/2004 00:00"</f>
        <v>02/04/2004 00:00</v>
      </c>
      <c r="C858">
        <v>53.4</v>
      </c>
      <c r="D858" t="s">
        <v>7</v>
      </c>
      <c r="E858" s="2" t="s">
        <v>12</v>
      </c>
      <c r="F858">
        <f t="shared" si="13"/>
        <v>105.8922</v>
      </c>
      <c r="G858" t="s">
        <v>16</v>
      </c>
      <c r="J858" t="str">
        <f>"02/04/2004 23:45"</f>
        <v>02/04/2004 23:45</v>
      </c>
    </row>
    <row r="859" spans="1:10" x14ac:dyDescent="0.3">
      <c r="A859" t="s">
        <v>6</v>
      </c>
      <c r="B859" t="str">
        <f>"02/05/2004 00:00"</f>
        <v>02/05/2004 00:00</v>
      </c>
      <c r="C859">
        <v>55.1</v>
      </c>
      <c r="D859" t="s">
        <v>7</v>
      </c>
      <c r="E859" s="2" t="s">
        <v>12</v>
      </c>
      <c r="F859">
        <f t="shared" si="13"/>
        <v>109.26330000000002</v>
      </c>
      <c r="G859" t="s">
        <v>16</v>
      </c>
      <c r="J859" t="str">
        <f>"02/05/2004 23:45"</f>
        <v>02/05/2004 23:45</v>
      </c>
    </row>
    <row r="860" spans="1:10" x14ac:dyDescent="0.3">
      <c r="A860" t="s">
        <v>6</v>
      </c>
      <c r="B860" t="str">
        <f>"02/06/2004 00:00"</f>
        <v>02/06/2004 00:00</v>
      </c>
      <c r="C860">
        <v>63.2</v>
      </c>
      <c r="D860" t="s">
        <v>7</v>
      </c>
      <c r="E860" s="2" t="s">
        <v>12</v>
      </c>
      <c r="F860">
        <f t="shared" si="13"/>
        <v>125.32560000000001</v>
      </c>
      <c r="G860" t="s">
        <v>16</v>
      </c>
      <c r="J860" t="str">
        <f>"02/06/2004 23:45"</f>
        <v>02/06/2004 23:45</v>
      </c>
    </row>
    <row r="861" spans="1:10" x14ac:dyDescent="0.3">
      <c r="A861" t="s">
        <v>6</v>
      </c>
      <c r="B861" t="str">
        <f>"02/07/2004 00:00"</f>
        <v>02/07/2004 00:00</v>
      </c>
      <c r="C861">
        <v>67</v>
      </c>
      <c r="D861" t="s">
        <v>7</v>
      </c>
      <c r="E861" s="2" t="s">
        <v>12</v>
      </c>
      <c r="F861">
        <f t="shared" si="13"/>
        <v>132.86100000000002</v>
      </c>
      <c r="G861" t="s">
        <v>16</v>
      </c>
      <c r="J861" t="str">
        <f>"02/07/2004 23:45"</f>
        <v>02/07/2004 23:45</v>
      </c>
    </row>
    <row r="862" spans="1:10" x14ac:dyDescent="0.3">
      <c r="A862" t="s">
        <v>6</v>
      </c>
      <c r="B862" t="str">
        <f>"02/08/2004 00:00"</f>
        <v>02/08/2004 00:00</v>
      </c>
      <c r="C862">
        <v>67.3</v>
      </c>
      <c r="D862" t="s">
        <v>7</v>
      </c>
      <c r="E862" s="2" t="s">
        <v>12</v>
      </c>
      <c r="F862">
        <f t="shared" si="13"/>
        <v>133.45590000000001</v>
      </c>
      <c r="G862" t="s">
        <v>16</v>
      </c>
      <c r="J862" t="str">
        <f>"02/08/2004 23:45"</f>
        <v>02/08/2004 23:45</v>
      </c>
    </row>
    <row r="863" spans="1:10" x14ac:dyDescent="0.3">
      <c r="A863" t="s">
        <v>6</v>
      </c>
      <c r="B863" t="str">
        <f>"02/09/2004 00:00"</f>
        <v>02/09/2004 00:00</v>
      </c>
      <c r="C863">
        <v>73.099999999999994</v>
      </c>
      <c r="D863" t="s">
        <v>7</v>
      </c>
      <c r="E863" s="2" t="s">
        <v>12</v>
      </c>
      <c r="F863">
        <f t="shared" si="13"/>
        <v>144.9573</v>
      </c>
      <c r="G863" t="s">
        <v>16</v>
      </c>
      <c r="J863" t="str">
        <f>"02/09/2004 23:45"</f>
        <v>02/09/2004 23:45</v>
      </c>
    </row>
    <row r="864" spans="1:10" x14ac:dyDescent="0.3">
      <c r="A864" t="s">
        <v>6</v>
      </c>
      <c r="B864" t="str">
        <f>"02/10/2004 00:00"</f>
        <v>02/10/2004 00:00</v>
      </c>
      <c r="C864">
        <v>83.8</v>
      </c>
      <c r="D864" t="s">
        <v>7</v>
      </c>
      <c r="E864" s="2" t="s">
        <v>12</v>
      </c>
      <c r="F864">
        <f t="shared" si="13"/>
        <v>166.1754</v>
      </c>
      <c r="G864" t="s">
        <v>16</v>
      </c>
      <c r="J864" t="str">
        <f>"02/10/2004 23:45"</f>
        <v>02/10/2004 23:45</v>
      </c>
    </row>
    <row r="865" spans="1:10" x14ac:dyDescent="0.3">
      <c r="A865" t="s">
        <v>6</v>
      </c>
      <c r="B865" t="str">
        <f>"02/11/2004 00:00"</f>
        <v>02/11/2004 00:00</v>
      </c>
      <c r="C865">
        <v>88.5</v>
      </c>
      <c r="D865" t="s">
        <v>7</v>
      </c>
      <c r="E865" s="2" t="s">
        <v>12</v>
      </c>
      <c r="F865">
        <f t="shared" si="13"/>
        <v>175.49550000000002</v>
      </c>
      <c r="G865" t="s">
        <v>16</v>
      </c>
      <c r="J865" t="str">
        <f>"02/11/2004 23:45"</f>
        <v>02/11/2004 23:45</v>
      </c>
    </row>
    <row r="866" spans="1:10" x14ac:dyDescent="0.3">
      <c r="A866" t="s">
        <v>6</v>
      </c>
      <c r="B866" t="str">
        <f>"02/12/2004 00:00"</f>
        <v>02/12/2004 00:00</v>
      </c>
      <c r="C866">
        <v>88.5</v>
      </c>
      <c r="D866" t="s">
        <v>7</v>
      </c>
      <c r="E866" s="2" t="s">
        <v>12</v>
      </c>
      <c r="F866">
        <f t="shared" si="13"/>
        <v>175.49550000000002</v>
      </c>
      <c r="G866" t="s">
        <v>16</v>
      </c>
      <c r="J866" t="str">
        <f>"02/12/2004 23:45"</f>
        <v>02/12/2004 23:45</v>
      </c>
    </row>
    <row r="867" spans="1:10" x14ac:dyDescent="0.3">
      <c r="A867" t="s">
        <v>6</v>
      </c>
      <c r="B867" t="str">
        <f>"02/13/2004 00:00"</f>
        <v>02/13/2004 00:00</v>
      </c>
      <c r="C867">
        <v>88.1</v>
      </c>
      <c r="D867" t="s">
        <v>7</v>
      </c>
      <c r="E867" s="2" t="s">
        <v>12</v>
      </c>
      <c r="F867">
        <f t="shared" si="13"/>
        <v>174.70230000000001</v>
      </c>
      <c r="G867" t="s">
        <v>16</v>
      </c>
      <c r="J867" t="str">
        <f>"02/13/2004 23:45"</f>
        <v>02/13/2004 23:45</v>
      </c>
    </row>
    <row r="868" spans="1:10" x14ac:dyDescent="0.3">
      <c r="A868" t="s">
        <v>6</v>
      </c>
      <c r="B868" t="str">
        <f>"02/14/2004 00:00"</f>
        <v>02/14/2004 00:00</v>
      </c>
      <c r="C868">
        <v>88.1</v>
      </c>
      <c r="D868" t="s">
        <v>7</v>
      </c>
      <c r="E868" s="2" t="s">
        <v>12</v>
      </c>
      <c r="F868">
        <f t="shared" si="13"/>
        <v>174.70230000000001</v>
      </c>
      <c r="G868" t="s">
        <v>16</v>
      </c>
      <c r="J868" t="str">
        <f>"02/14/2004 23:45"</f>
        <v>02/14/2004 23:45</v>
      </c>
    </row>
    <row r="869" spans="1:10" x14ac:dyDescent="0.3">
      <c r="A869" t="s">
        <v>6</v>
      </c>
      <c r="B869" t="str">
        <f>"02/15/2004 00:00"</f>
        <v>02/15/2004 00:00</v>
      </c>
      <c r="C869">
        <v>88.1</v>
      </c>
      <c r="D869" t="s">
        <v>7</v>
      </c>
      <c r="E869" s="2" t="s">
        <v>12</v>
      </c>
      <c r="F869">
        <f t="shared" si="13"/>
        <v>174.70230000000001</v>
      </c>
      <c r="G869" t="s">
        <v>16</v>
      </c>
      <c r="J869" t="str">
        <f>"02/15/2004 23:45"</f>
        <v>02/15/2004 23:45</v>
      </c>
    </row>
    <row r="870" spans="1:10" x14ac:dyDescent="0.3">
      <c r="A870" t="s">
        <v>6</v>
      </c>
      <c r="B870" t="str">
        <f>"02/16/2004 00:00"</f>
        <v>02/16/2004 00:00</v>
      </c>
      <c r="C870">
        <v>88.1</v>
      </c>
      <c r="D870" t="s">
        <v>7</v>
      </c>
      <c r="E870" s="2" t="s">
        <v>12</v>
      </c>
      <c r="F870">
        <f t="shared" si="13"/>
        <v>174.70230000000001</v>
      </c>
      <c r="G870" t="s">
        <v>16</v>
      </c>
      <c r="J870" t="str">
        <f>"02/16/2004 23:45"</f>
        <v>02/16/2004 23:45</v>
      </c>
    </row>
    <row r="871" spans="1:10" x14ac:dyDescent="0.3">
      <c r="A871" t="s">
        <v>6</v>
      </c>
      <c r="B871" t="str">
        <f>"02/17/2004 00:00"</f>
        <v>02/17/2004 00:00</v>
      </c>
      <c r="C871">
        <v>88.2</v>
      </c>
      <c r="D871" t="s">
        <v>7</v>
      </c>
      <c r="E871" s="2" t="s">
        <v>12</v>
      </c>
      <c r="F871">
        <f t="shared" si="13"/>
        <v>174.90060000000003</v>
      </c>
      <c r="G871" t="s">
        <v>16</v>
      </c>
      <c r="J871" t="str">
        <f>"02/17/2004 23:45"</f>
        <v>02/17/2004 23:45</v>
      </c>
    </row>
    <row r="872" spans="1:10" x14ac:dyDescent="0.3">
      <c r="A872" t="s">
        <v>6</v>
      </c>
      <c r="B872" t="str">
        <f>"02/18/2004 00:00"</f>
        <v>02/18/2004 00:00</v>
      </c>
      <c r="C872">
        <v>88.1</v>
      </c>
      <c r="D872" t="s">
        <v>7</v>
      </c>
      <c r="E872" s="2" t="s">
        <v>12</v>
      </c>
      <c r="F872">
        <f t="shared" si="13"/>
        <v>174.70230000000001</v>
      </c>
      <c r="G872" t="s">
        <v>16</v>
      </c>
      <c r="J872" t="str">
        <f>"02/18/2004 23:45"</f>
        <v>02/18/2004 23:45</v>
      </c>
    </row>
    <row r="873" spans="1:10" x14ac:dyDescent="0.3">
      <c r="A873" t="s">
        <v>6</v>
      </c>
      <c r="B873" t="str">
        <f>"02/19/2004 00:00"</f>
        <v>02/19/2004 00:00</v>
      </c>
      <c r="C873">
        <v>88.2</v>
      </c>
      <c r="D873" t="s">
        <v>7</v>
      </c>
      <c r="E873" s="2" t="s">
        <v>12</v>
      </c>
      <c r="F873">
        <f t="shared" si="13"/>
        <v>174.90060000000003</v>
      </c>
      <c r="G873" t="s">
        <v>16</v>
      </c>
      <c r="J873" t="str">
        <f>"02/19/2004 23:45"</f>
        <v>02/19/2004 23:45</v>
      </c>
    </row>
    <row r="874" spans="1:10" x14ac:dyDescent="0.3">
      <c r="A874" t="s">
        <v>6</v>
      </c>
      <c r="B874" t="str">
        <f>"02/20/2004 00:00"</f>
        <v>02/20/2004 00:00</v>
      </c>
      <c r="C874">
        <v>88.5</v>
      </c>
      <c r="D874" t="s">
        <v>7</v>
      </c>
      <c r="E874" s="2" t="s">
        <v>12</v>
      </c>
      <c r="F874">
        <f t="shared" si="13"/>
        <v>175.49550000000002</v>
      </c>
      <c r="G874" t="s">
        <v>16</v>
      </c>
      <c r="J874" t="str">
        <f>"02/20/2004 23:45"</f>
        <v>02/20/2004 23:45</v>
      </c>
    </row>
    <row r="875" spans="1:10" x14ac:dyDescent="0.3">
      <c r="A875" t="s">
        <v>6</v>
      </c>
      <c r="B875" t="str">
        <f>"02/21/2004 00:00"</f>
        <v>02/21/2004 00:00</v>
      </c>
      <c r="C875">
        <v>88.1</v>
      </c>
      <c r="D875" t="s">
        <v>7</v>
      </c>
      <c r="E875" s="2" t="s">
        <v>12</v>
      </c>
      <c r="F875">
        <f t="shared" si="13"/>
        <v>174.70230000000001</v>
      </c>
      <c r="G875" t="s">
        <v>16</v>
      </c>
      <c r="J875" t="str">
        <f>"02/21/2004 23:45"</f>
        <v>02/21/2004 23:45</v>
      </c>
    </row>
    <row r="876" spans="1:10" x14ac:dyDescent="0.3">
      <c r="A876" t="s">
        <v>6</v>
      </c>
      <c r="B876" t="str">
        <f>"02/22/2004 00:00"</f>
        <v>02/22/2004 00:00</v>
      </c>
      <c r="C876">
        <v>88.1</v>
      </c>
      <c r="D876" t="s">
        <v>7</v>
      </c>
      <c r="E876" s="2" t="s">
        <v>12</v>
      </c>
      <c r="F876">
        <f t="shared" si="13"/>
        <v>174.70230000000001</v>
      </c>
      <c r="G876" t="s">
        <v>16</v>
      </c>
      <c r="J876" t="str">
        <f>"02/22/2004 23:45"</f>
        <v>02/22/2004 23:45</v>
      </c>
    </row>
    <row r="877" spans="1:10" x14ac:dyDescent="0.3">
      <c r="A877" t="s">
        <v>6</v>
      </c>
      <c r="B877" t="str">
        <f>"02/23/2004 00:00"</f>
        <v>02/23/2004 00:00</v>
      </c>
      <c r="C877">
        <v>88.2</v>
      </c>
      <c r="D877" t="s">
        <v>7</v>
      </c>
      <c r="E877" s="2" t="s">
        <v>12</v>
      </c>
      <c r="F877">
        <f t="shared" si="13"/>
        <v>174.90060000000003</v>
      </c>
      <c r="G877" t="s">
        <v>16</v>
      </c>
      <c r="J877" t="str">
        <f>"02/23/2004 23:45"</f>
        <v>02/23/2004 23:45</v>
      </c>
    </row>
    <row r="878" spans="1:10" x14ac:dyDescent="0.3">
      <c r="A878" t="s">
        <v>6</v>
      </c>
      <c r="B878" t="str">
        <f>"02/24/2004 00:00"</f>
        <v>02/24/2004 00:00</v>
      </c>
      <c r="C878">
        <v>88.1</v>
      </c>
      <c r="D878" t="s">
        <v>7</v>
      </c>
      <c r="E878" s="2" t="s">
        <v>12</v>
      </c>
      <c r="F878">
        <f t="shared" si="13"/>
        <v>174.70230000000001</v>
      </c>
      <c r="G878" t="s">
        <v>16</v>
      </c>
      <c r="J878" t="str">
        <f>"02/24/2004 23:45"</f>
        <v>02/24/2004 23:45</v>
      </c>
    </row>
    <row r="879" spans="1:10" x14ac:dyDescent="0.3">
      <c r="A879" t="s">
        <v>6</v>
      </c>
      <c r="B879" t="str">
        <f>"02/25/2004 00:00"</f>
        <v>02/25/2004 00:00</v>
      </c>
      <c r="C879">
        <v>88.1</v>
      </c>
      <c r="D879" t="s">
        <v>7</v>
      </c>
      <c r="E879" s="2" t="s">
        <v>12</v>
      </c>
      <c r="F879">
        <f t="shared" si="13"/>
        <v>174.70230000000001</v>
      </c>
      <c r="G879" t="s">
        <v>16</v>
      </c>
      <c r="J879" t="str">
        <f>"02/25/2004 23:45"</f>
        <v>02/25/2004 23:45</v>
      </c>
    </row>
    <row r="880" spans="1:10" x14ac:dyDescent="0.3">
      <c r="A880" t="s">
        <v>6</v>
      </c>
      <c r="B880" t="str">
        <f>"02/26/2004 00:00"</f>
        <v>02/26/2004 00:00</v>
      </c>
      <c r="C880">
        <v>88.1</v>
      </c>
      <c r="D880" t="s">
        <v>7</v>
      </c>
      <c r="E880" s="2" t="s">
        <v>12</v>
      </c>
      <c r="F880">
        <f t="shared" si="13"/>
        <v>174.70230000000001</v>
      </c>
      <c r="G880" t="s">
        <v>16</v>
      </c>
      <c r="J880" t="str">
        <f>"02/26/2004 23:45"</f>
        <v>02/26/2004 23:45</v>
      </c>
    </row>
    <row r="881" spans="1:10" x14ac:dyDescent="0.3">
      <c r="A881" t="s">
        <v>6</v>
      </c>
      <c r="B881" t="str">
        <f>"02/27/2004 00:00"</f>
        <v>02/27/2004 00:00</v>
      </c>
      <c r="C881">
        <v>87.1</v>
      </c>
      <c r="D881" t="s">
        <v>7</v>
      </c>
      <c r="E881" s="2" t="s">
        <v>12</v>
      </c>
      <c r="F881">
        <f t="shared" si="13"/>
        <v>172.7193</v>
      </c>
      <c r="G881" t="s">
        <v>16</v>
      </c>
      <c r="J881" t="str">
        <f>"02/27/2004 23:45"</f>
        <v>02/27/2004 23:45</v>
      </c>
    </row>
    <row r="882" spans="1:10" x14ac:dyDescent="0.3">
      <c r="A882" t="s">
        <v>6</v>
      </c>
      <c r="B882" t="str">
        <f>"02/28/2004 00:00"</f>
        <v>02/28/2004 00:00</v>
      </c>
      <c r="C882">
        <v>88.1</v>
      </c>
      <c r="D882" t="s">
        <v>7</v>
      </c>
      <c r="E882" s="2" t="s">
        <v>12</v>
      </c>
      <c r="F882">
        <f t="shared" si="13"/>
        <v>174.70230000000001</v>
      </c>
      <c r="G882" t="s">
        <v>16</v>
      </c>
      <c r="J882" t="str">
        <f>"02/28/2004 23:45"</f>
        <v>02/28/2004 23:45</v>
      </c>
    </row>
    <row r="883" spans="1:10" x14ac:dyDescent="0.3">
      <c r="A883" t="s">
        <v>6</v>
      </c>
      <c r="B883" t="str">
        <f>"02/29/2004 00:00"</f>
        <v>02/29/2004 00:00</v>
      </c>
      <c r="C883">
        <v>88.1</v>
      </c>
      <c r="D883" t="s">
        <v>7</v>
      </c>
      <c r="E883" s="2" t="s">
        <v>12</v>
      </c>
      <c r="F883">
        <f t="shared" si="13"/>
        <v>174.70230000000001</v>
      </c>
      <c r="G883" t="s">
        <v>16</v>
      </c>
      <c r="J883" t="str">
        <f>"02/29/2004 23:45"</f>
        <v>02/29/2004 23:45</v>
      </c>
    </row>
    <row r="884" spans="1:10" x14ac:dyDescent="0.3">
      <c r="A884" t="s">
        <v>6</v>
      </c>
      <c r="B884" t="str">
        <f>"03/01/2004 00:00"</f>
        <v>03/01/2004 00:00</v>
      </c>
      <c r="C884">
        <v>88.1</v>
      </c>
      <c r="D884" t="s">
        <v>7</v>
      </c>
      <c r="E884" s="2" t="s">
        <v>12</v>
      </c>
      <c r="F884">
        <f t="shared" si="13"/>
        <v>174.70230000000001</v>
      </c>
      <c r="G884" t="s">
        <v>16</v>
      </c>
      <c r="J884" t="str">
        <f>"03/01/2004 23:45"</f>
        <v>03/01/2004 23:45</v>
      </c>
    </row>
    <row r="885" spans="1:10" x14ac:dyDescent="0.3">
      <c r="A885" t="s">
        <v>6</v>
      </c>
      <c r="B885" t="str">
        <f>"03/02/2004 00:00"</f>
        <v>03/02/2004 00:00</v>
      </c>
      <c r="C885">
        <v>95.9</v>
      </c>
      <c r="D885" t="s">
        <v>7</v>
      </c>
      <c r="E885" s="2" t="s">
        <v>12</v>
      </c>
      <c r="F885">
        <f t="shared" si="13"/>
        <v>190.16970000000003</v>
      </c>
      <c r="G885" t="s">
        <v>16</v>
      </c>
      <c r="J885" t="str">
        <f>"03/02/2004 23:45"</f>
        <v>03/02/2004 23:45</v>
      </c>
    </row>
    <row r="886" spans="1:10" x14ac:dyDescent="0.3">
      <c r="A886" t="s">
        <v>6</v>
      </c>
      <c r="B886" t="str">
        <f>"03/03/2004 00:00"</f>
        <v>03/03/2004 00:00</v>
      </c>
      <c r="C886">
        <v>108</v>
      </c>
      <c r="D886" t="s">
        <v>7</v>
      </c>
      <c r="E886" s="2" t="s">
        <v>12</v>
      </c>
      <c r="F886">
        <f t="shared" si="13"/>
        <v>214.16400000000002</v>
      </c>
      <c r="G886" t="s">
        <v>16</v>
      </c>
      <c r="J886" t="str">
        <f>"03/03/2004 23:45"</f>
        <v>03/03/2004 23:45</v>
      </c>
    </row>
    <row r="887" spans="1:10" x14ac:dyDescent="0.3">
      <c r="A887" t="s">
        <v>6</v>
      </c>
      <c r="B887" t="str">
        <f>"03/04/2004 00:00"</f>
        <v>03/04/2004 00:00</v>
      </c>
      <c r="C887">
        <v>115</v>
      </c>
      <c r="D887" t="s">
        <v>7</v>
      </c>
      <c r="E887" s="2" t="s">
        <v>12</v>
      </c>
      <c r="F887">
        <f t="shared" si="13"/>
        <v>228.04500000000002</v>
      </c>
      <c r="G887" t="s">
        <v>16</v>
      </c>
      <c r="J887" t="str">
        <f>"03/04/2004 23:45"</f>
        <v>03/04/2004 23:45</v>
      </c>
    </row>
    <row r="888" spans="1:10" x14ac:dyDescent="0.3">
      <c r="A888" t="s">
        <v>6</v>
      </c>
      <c r="B888" t="str">
        <f>"03/05/2004 00:00"</f>
        <v>03/05/2004 00:00</v>
      </c>
      <c r="C888">
        <v>115</v>
      </c>
      <c r="D888" t="s">
        <v>7</v>
      </c>
      <c r="E888" s="2" t="s">
        <v>12</v>
      </c>
      <c r="F888">
        <f t="shared" si="13"/>
        <v>228.04500000000002</v>
      </c>
      <c r="G888" t="s">
        <v>16</v>
      </c>
      <c r="J888" t="str">
        <f>"03/05/2004 23:45"</f>
        <v>03/05/2004 23:45</v>
      </c>
    </row>
    <row r="889" spans="1:10" x14ac:dyDescent="0.3">
      <c r="A889" t="s">
        <v>6</v>
      </c>
      <c r="B889" t="str">
        <f>"03/06/2004 00:00"</f>
        <v>03/06/2004 00:00</v>
      </c>
      <c r="C889">
        <v>115</v>
      </c>
      <c r="D889" t="s">
        <v>7</v>
      </c>
      <c r="E889" s="2" t="s">
        <v>12</v>
      </c>
      <c r="F889">
        <f t="shared" si="13"/>
        <v>228.04500000000002</v>
      </c>
      <c r="G889" t="s">
        <v>16</v>
      </c>
      <c r="J889" t="str">
        <f>"03/06/2004 23:45"</f>
        <v>03/06/2004 23:45</v>
      </c>
    </row>
    <row r="890" spans="1:10" x14ac:dyDescent="0.3">
      <c r="A890" t="s">
        <v>6</v>
      </c>
      <c r="B890" t="str">
        <f>"03/07/2004 00:00"</f>
        <v>03/07/2004 00:00</v>
      </c>
      <c r="C890">
        <v>114</v>
      </c>
      <c r="D890" t="s">
        <v>7</v>
      </c>
      <c r="E890" s="2" t="s">
        <v>12</v>
      </c>
      <c r="F890">
        <f t="shared" si="13"/>
        <v>226.06200000000001</v>
      </c>
      <c r="G890" t="s">
        <v>16</v>
      </c>
      <c r="J890" t="str">
        <f>"03/07/2004 23:45"</f>
        <v>03/07/2004 23:45</v>
      </c>
    </row>
    <row r="891" spans="1:10" x14ac:dyDescent="0.3">
      <c r="A891" t="s">
        <v>6</v>
      </c>
      <c r="B891" t="str">
        <f>"03/08/2004 00:00"</f>
        <v>03/08/2004 00:00</v>
      </c>
      <c r="C891">
        <v>113</v>
      </c>
      <c r="D891" t="s">
        <v>7</v>
      </c>
      <c r="E891" s="2" t="s">
        <v>12</v>
      </c>
      <c r="F891">
        <f t="shared" si="13"/>
        <v>224.07900000000001</v>
      </c>
      <c r="G891" t="s">
        <v>16</v>
      </c>
      <c r="J891" t="str">
        <f>"03/08/2004 23:45"</f>
        <v>03/08/2004 23:45</v>
      </c>
    </row>
    <row r="892" spans="1:10" x14ac:dyDescent="0.3">
      <c r="A892" t="s">
        <v>6</v>
      </c>
      <c r="B892" t="str">
        <f>"03/09/2004 00:00"</f>
        <v>03/09/2004 00:00</v>
      </c>
      <c r="C892">
        <v>123</v>
      </c>
      <c r="D892" t="s">
        <v>7</v>
      </c>
      <c r="E892" s="2" t="s">
        <v>12</v>
      </c>
      <c r="F892">
        <f t="shared" si="13"/>
        <v>243.90900000000002</v>
      </c>
      <c r="G892" t="s">
        <v>16</v>
      </c>
      <c r="J892" t="str">
        <f>"03/09/2004 23:45"</f>
        <v>03/09/2004 23:45</v>
      </c>
    </row>
    <row r="893" spans="1:10" x14ac:dyDescent="0.3">
      <c r="A893" t="s">
        <v>6</v>
      </c>
      <c r="B893" t="str">
        <f>"03/10/2004 00:00"</f>
        <v>03/10/2004 00:00</v>
      </c>
      <c r="C893">
        <v>138</v>
      </c>
      <c r="D893" t="s">
        <v>7</v>
      </c>
      <c r="E893" s="2" t="s">
        <v>12</v>
      </c>
      <c r="F893">
        <f t="shared" si="13"/>
        <v>273.654</v>
      </c>
      <c r="G893" t="s">
        <v>16</v>
      </c>
      <c r="J893" t="str">
        <f>"03/10/2004 23:45"</f>
        <v>03/10/2004 23:45</v>
      </c>
    </row>
    <row r="894" spans="1:10" x14ac:dyDescent="0.3">
      <c r="A894" t="s">
        <v>6</v>
      </c>
      <c r="B894" t="str">
        <f>"03/11/2004 00:00"</f>
        <v>03/11/2004 00:00</v>
      </c>
      <c r="C894">
        <v>142</v>
      </c>
      <c r="D894" t="s">
        <v>7</v>
      </c>
      <c r="E894" s="2" t="s">
        <v>12</v>
      </c>
      <c r="F894">
        <f t="shared" si="13"/>
        <v>281.58600000000001</v>
      </c>
      <c r="G894" t="s">
        <v>16</v>
      </c>
      <c r="J894" t="str">
        <f>"03/11/2004 23:45"</f>
        <v>03/11/2004 23:45</v>
      </c>
    </row>
    <row r="895" spans="1:10" x14ac:dyDescent="0.3">
      <c r="A895" t="s">
        <v>6</v>
      </c>
      <c r="B895" t="str">
        <f>"03/12/2004 00:00"</f>
        <v>03/12/2004 00:00</v>
      </c>
      <c r="C895">
        <v>140</v>
      </c>
      <c r="D895" t="s">
        <v>7</v>
      </c>
      <c r="E895" s="2" t="s">
        <v>12</v>
      </c>
      <c r="F895">
        <f t="shared" si="13"/>
        <v>277.62</v>
      </c>
      <c r="G895" t="s">
        <v>16</v>
      </c>
      <c r="J895" t="str">
        <f>"03/12/2004 23:45"</f>
        <v>03/12/2004 23:45</v>
      </c>
    </row>
    <row r="896" spans="1:10" x14ac:dyDescent="0.3">
      <c r="A896" t="s">
        <v>6</v>
      </c>
      <c r="B896" t="str">
        <f>"03/13/2004 00:00"</f>
        <v>03/13/2004 00:00</v>
      </c>
      <c r="C896">
        <v>140</v>
      </c>
      <c r="D896" t="s">
        <v>7</v>
      </c>
      <c r="E896" s="2" t="s">
        <v>12</v>
      </c>
      <c r="F896">
        <f t="shared" si="13"/>
        <v>277.62</v>
      </c>
      <c r="G896" t="s">
        <v>16</v>
      </c>
      <c r="J896" t="str">
        <f>"03/13/2004 23:45"</f>
        <v>03/13/2004 23:45</v>
      </c>
    </row>
    <row r="897" spans="1:10" x14ac:dyDescent="0.3">
      <c r="A897" t="s">
        <v>6</v>
      </c>
      <c r="B897" t="str">
        <f>"03/14/2004 00:00"</f>
        <v>03/14/2004 00:00</v>
      </c>
      <c r="C897">
        <v>138</v>
      </c>
      <c r="D897" t="s">
        <v>7</v>
      </c>
      <c r="E897" s="2" t="s">
        <v>12</v>
      </c>
      <c r="F897">
        <f t="shared" si="13"/>
        <v>273.654</v>
      </c>
      <c r="G897" t="s">
        <v>16</v>
      </c>
      <c r="J897" t="str">
        <f>"03/14/2004 23:45"</f>
        <v>03/14/2004 23:45</v>
      </c>
    </row>
    <row r="898" spans="1:10" x14ac:dyDescent="0.3">
      <c r="A898" t="s">
        <v>6</v>
      </c>
      <c r="B898" t="str">
        <f>"03/15/2004 00:00"</f>
        <v>03/15/2004 00:00</v>
      </c>
      <c r="C898">
        <v>148</v>
      </c>
      <c r="D898" t="s">
        <v>7</v>
      </c>
      <c r="E898" s="2" t="s">
        <v>12</v>
      </c>
      <c r="F898">
        <f t="shared" si="13"/>
        <v>293.48400000000004</v>
      </c>
      <c r="G898" t="s">
        <v>16</v>
      </c>
      <c r="J898" t="str">
        <f>"03/15/2004 23:45"</f>
        <v>03/15/2004 23:45</v>
      </c>
    </row>
    <row r="899" spans="1:10" x14ac:dyDescent="0.3">
      <c r="A899" t="s">
        <v>6</v>
      </c>
      <c r="B899" t="str">
        <f>"03/16/2004 00:00"</f>
        <v>03/16/2004 00:00</v>
      </c>
      <c r="C899">
        <v>154</v>
      </c>
      <c r="D899" t="s">
        <v>7</v>
      </c>
      <c r="E899" s="2" t="s">
        <v>12</v>
      </c>
      <c r="F899">
        <f t="shared" si="13"/>
        <v>305.38200000000001</v>
      </c>
      <c r="G899" t="s">
        <v>16</v>
      </c>
      <c r="J899" t="str">
        <f>"03/16/2004 23:45"</f>
        <v>03/16/2004 23:45</v>
      </c>
    </row>
    <row r="900" spans="1:10" x14ac:dyDescent="0.3">
      <c r="A900" t="s">
        <v>6</v>
      </c>
      <c r="B900" t="str">
        <f>"03/17/2004 00:00"</f>
        <v>03/17/2004 00:00</v>
      </c>
      <c r="C900">
        <v>154</v>
      </c>
      <c r="D900" t="s">
        <v>7</v>
      </c>
      <c r="E900" s="2" t="s">
        <v>12</v>
      </c>
      <c r="F900">
        <f t="shared" ref="F900:F963" si="14">C900*1.983</f>
        <v>305.38200000000001</v>
      </c>
      <c r="G900" t="s">
        <v>16</v>
      </c>
      <c r="J900" t="str">
        <f>"03/17/2004 23:45"</f>
        <v>03/17/2004 23:45</v>
      </c>
    </row>
    <row r="901" spans="1:10" x14ac:dyDescent="0.3">
      <c r="A901" t="s">
        <v>6</v>
      </c>
      <c r="B901" t="str">
        <f>"03/18/2004 00:00"</f>
        <v>03/18/2004 00:00</v>
      </c>
      <c r="C901">
        <v>172</v>
      </c>
      <c r="D901" t="s">
        <v>7</v>
      </c>
      <c r="E901" s="2" t="s">
        <v>12</v>
      </c>
      <c r="F901">
        <f t="shared" si="14"/>
        <v>341.07600000000002</v>
      </c>
      <c r="G901" t="s">
        <v>16</v>
      </c>
      <c r="J901" t="str">
        <f>"03/18/2004 23:45"</f>
        <v>03/18/2004 23:45</v>
      </c>
    </row>
    <row r="902" spans="1:10" x14ac:dyDescent="0.3">
      <c r="A902" t="s">
        <v>6</v>
      </c>
      <c r="B902" t="str">
        <f>"03/19/2004 00:00"</f>
        <v>03/19/2004 00:00</v>
      </c>
      <c r="C902">
        <v>186</v>
      </c>
      <c r="D902" t="s">
        <v>7</v>
      </c>
      <c r="E902" s="2" t="s">
        <v>12</v>
      </c>
      <c r="F902">
        <f t="shared" si="14"/>
        <v>368.83800000000002</v>
      </c>
      <c r="G902" t="s">
        <v>16</v>
      </c>
      <c r="J902" t="str">
        <f>"03/19/2004 23:45"</f>
        <v>03/19/2004 23:45</v>
      </c>
    </row>
    <row r="903" spans="1:10" x14ac:dyDescent="0.3">
      <c r="A903" t="s">
        <v>6</v>
      </c>
      <c r="B903" t="str">
        <f>"03/20/2004 00:00"</f>
        <v>03/20/2004 00:00</v>
      </c>
      <c r="C903">
        <v>186</v>
      </c>
      <c r="D903" t="s">
        <v>7</v>
      </c>
      <c r="E903" s="2" t="s">
        <v>12</v>
      </c>
      <c r="F903">
        <f t="shared" si="14"/>
        <v>368.83800000000002</v>
      </c>
      <c r="G903" t="s">
        <v>16</v>
      </c>
      <c r="J903" t="str">
        <f>"03/20/2004 23:45"</f>
        <v>03/20/2004 23:45</v>
      </c>
    </row>
    <row r="904" spans="1:10" x14ac:dyDescent="0.3">
      <c r="A904" t="s">
        <v>6</v>
      </c>
      <c r="B904" t="str">
        <f>"03/21/2004 00:00"</f>
        <v>03/21/2004 00:00</v>
      </c>
      <c r="C904">
        <v>186</v>
      </c>
      <c r="D904" t="s">
        <v>7</v>
      </c>
      <c r="E904" s="2" t="s">
        <v>12</v>
      </c>
      <c r="F904">
        <f t="shared" si="14"/>
        <v>368.83800000000002</v>
      </c>
      <c r="G904" t="s">
        <v>16</v>
      </c>
      <c r="J904" t="str">
        <f>"03/21/2004 23:45"</f>
        <v>03/21/2004 23:45</v>
      </c>
    </row>
    <row r="905" spans="1:10" x14ac:dyDescent="0.3">
      <c r="A905" t="s">
        <v>6</v>
      </c>
      <c r="B905" t="str">
        <f>"03/22/2004 00:00"</f>
        <v>03/22/2004 00:00</v>
      </c>
      <c r="C905">
        <v>168</v>
      </c>
      <c r="D905" t="s">
        <v>7</v>
      </c>
      <c r="E905" s="2" t="s">
        <v>12</v>
      </c>
      <c r="F905">
        <f t="shared" si="14"/>
        <v>333.14400000000001</v>
      </c>
      <c r="G905" t="s">
        <v>16</v>
      </c>
      <c r="J905" t="str">
        <f>"03/22/2004 23:45"</f>
        <v>03/22/2004 23:45</v>
      </c>
    </row>
    <row r="906" spans="1:10" x14ac:dyDescent="0.3">
      <c r="A906" t="s">
        <v>6</v>
      </c>
      <c r="B906" t="str">
        <f>"03/23/2004 00:00"</f>
        <v>03/23/2004 00:00</v>
      </c>
      <c r="C906">
        <v>157</v>
      </c>
      <c r="D906" t="s">
        <v>7</v>
      </c>
      <c r="E906" s="2" t="s">
        <v>12</v>
      </c>
      <c r="F906">
        <f t="shared" si="14"/>
        <v>311.33100000000002</v>
      </c>
      <c r="G906" t="s">
        <v>16</v>
      </c>
      <c r="J906" t="str">
        <f>"03/23/2004 23:45"</f>
        <v>03/23/2004 23:45</v>
      </c>
    </row>
    <row r="907" spans="1:10" x14ac:dyDescent="0.3">
      <c r="A907" t="s">
        <v>6</v>
      </c>
      <c r="B907" t="str">
        <f>"03/24/2004 00:00"</f>
        <v>03/24/2004 00:00</v>
      </c>
      <c r="C907">
        <v>148</v>
      </c>
      <c r="D907" t="s">
        <v>7</v>
      </c>
      <c r="E907" s="2" t="s">
        <v>12</v>
      </c>
      <c r="F907">
        <f t="shared" si="14"/>
        <v>293.48400000000004</v>
      </c>
      <c r="G907" t="s">
        <v>16</v>
      </c>
      <c r="J907" t="str">
        <f>"03/24/2004 23:45"</f>
        <v>03/24/2004 23:45</v>
      </c>
    </row>
    <row r="908" spans="1:10" x14ac:dyDescent="0.3">
      <c r="A908" t="s">
        <v>6</v>
      </c>
      <c r="B908" t="str">
        <f>"03/25/2004 00:00"</f>
        <v>03/25/2004 00:00</v>
      </c>
      <c r="C908">
        <v>135</v>
      </c>
      <c r="D908" t="s">
        <v>7</v>
      </c>
      <c r="E908" s="2" t="s">
        <v>12</v>
      </c>
      <c r="F908">
        <f t="shared" si="14"/>
        <v>267.70500000000004</v>
      </c>
      <c r="G908" t="s">
        <v>16</v>
      </c>
      <c r="J908" t="str">
        <f>"03/25/2004 23:45"</f>
        <v>03/25/2004 23:45</v>
      </c>
    </row>
    <row r="909" spans="1:10" x14ac:dyDescent="0.3">
      <c r="A909" t="s">
        <v>6</v>
      </c>
      <c r="B909" t="str">
        <f>"03/26/2004 00:00"</f>
        <v>03/26/2004 00:00</v>
      </c>
      <c r="C909">
        <v>110</v>
      </c>
      <c r="D909" t="s">
        <v>7</v>
      </c>
      <c r="E909" s="2" t="s">
        <v>12</v>
      </c>
      <c r="F909">
        <f t="shared" si="14"/>
        <v>218.13000000000002</v>
      </c>
      <c r="G909" t="s">
        <v>16</v>
      </c>
      <c r="J909" t="str">
        <f>"03/26/2004 23:45"</f>
        <v>03/26/2004 23:45</v>
      </c>
    </row>
    <row r="910" spans="1:10" x14ac:dyDescent="0.3">
      <c r="A910" t="s">
        <v>6</v>
      </c>
      <c r="B910" t="str">
        <f>"03/27/2004 00:00"</f>
        <v>03/27/2004 00:00</v>
      </c>
      <c r="C910">
        <v>97.8</v>
      </c>
      <c r="D910" t="s">
        <v>7</v>
      </c>
      <c r="E910" s="2" t="s">
        <v>12</v>
      </c>
      <c r="F910">
        <f t="shared" si="14"/>
        <v>193.9374</v>
      </c>
      <c r="G910" t="s">
        <v>16</v>
      </c>
      <c r="J910" t="str">
        <f>"03/27/2004 23:45"</f>
        <v>03/27/2004 23:45</v>
      </c>
    </row>
    <row r="911" spans="1:10" x14ac:dyDescent="0.3">
      <c r="A911" t="s">
        <v>6</v>
      </c>
      <c r="B911" t="str">
        <f>"03/28/2004 00:00"</f>
        <v>03/28/2004 00:00</v>
      </c>
      <c r="C911">
        <v>75.099999999999994</v>
      </c>
      <c r="D911" t="s">
        <v>7</v>
      </c>
      <c r="E911" s="2" t="s">
        <v>12</v>
      </c>
      <c r="F911">
        <f t="shared" si="14"/>
        <v>148.92329999999998</v>
      </c>
      <c r="G911" t="s">
        <v>16</v>
      </c>
      <c r="J911" t="str">
        <f>"03/28/2004 23:45"</f>
        <v>03/28/2004 23:45</v>
      </c>
    </row>
    <row r="912" spans="1:10" x14ac:dyDescent="0.3">
      <c r="A912" t="s">
        <v>6</v>
      </c>
      <c r="B912" t="str">
        <f>"03/29/2004 00:00"</f>
        <v>03/29/2004 00:00</v>
      </c>
      <c r="C912">
        <v>61.1</v>
      </c>
      <c r="D912" t="s">
        <v>7</v>
      </c>
      <c r="E912" s="2" t="s">
        <v>12</v>
      </c>
      <c r="F912">
        <f t="shared" si="14"/>
        <v>121.16130000000001</v>
      </c>
      <c r="G912" t="s">
        <v>16</v>
      </c>
      <c r="J912" t="str">
        <f>"03/29/2004 23:45"</f>
        <v>03/29/2004 23:45</v>
      </c>
    </row>
    <row r="913" spans="1:10" x14ac:dyDescent="0.3">
      <c r="A913" t="s">
        <v>6</v>
      </c>
      <c r="B913" t="str">
        <f>"03/30/2004 00:00"</f>
        <v>03/30/2004 00:00</v>
      </c>
      <c r="C913">
        <v>62.1</v>
      </c>
      <c r="D913" t="s">
        <v>7</v>
      </c>
      <c r="E913" s="2" t="s">
        <v>12</v>
      </c>
      <c r="F913">
        <f t="shared" si="14"/>
        <v>123.14430000000002</v>
      </c>
      <c r="G913" t="s">
        <v>16</v>
      </c>
      <c r="J913" t="str">
        <f>"03/30/2004 23:45"</f>
        <v>03/30/2004 23:45</v>
      </c>
    </row>
    <row r="914" spans="1:10" x14ac:dyDescent="0.3">
      <c r="A914" t="s">
        <v>6</v>
      </c>
      <c r="B914" t="str">
        <f>"03/31/2004 00:00"</f>
        <v>03/31/2004 00:00</v>
      </c>
      <c r="C914">
        <v>99.1</v>
      </c>
      <c r="D914" t="s">
        <v>7</v>
      </c>
      <c r="E914" s="2" t="s">
        <v>12</v>
      </c>
      <c r="F914">
        <f t="shared" si="14"/>
        <v>196.5153</v>
      </c>
      <c r="G914" t="s">
        <v>16</v>
      </c>
      <c r="J914" t="str">
        <f>"03/31/2004 23:45"</f>
        <v>03/31/2004 23:45</v>
      </c>
    </row>
    <row r="915" spans="1:10" x14ac:dyDescent="0.3">
      <c r="A915" t="s">
        <v>6</v>
      </c>
      <c r="B915" t="str">
        <f>"04/01/2004 00:00"</f>
        <v>04/01/2004 00:00</v>
      </c>
      <c r="C915">
        <v>148</v>
      </c>
      <c r="D915" t="s">
        <v>7</v>
      </c>
      <c r="E915" s="2" t="s">
        <v>12</v>
      </c>
      <c r="F915">
        <f t="shared" si="14"/>
        <v>293.48400000000004</v>
      </c>
      <c r="G915" t="s">
        <v>16</v>
      </c>
      <c r="J915" t="str">
        <f>"04/01/2004 23:45"</f>
        <v>04/01/2004 23:45</v>
      </c>
    </row>
    <row r="916" spans="1:10" x14ac:dyDescent="0.3">
      <c r="A916" t="s">
        <v>6</v>
      </c>
      <c r="B916" t="str">
        <f>"04/02/2004 00:00"</f>
        <v>04/02/2004 00:00</v>
      </c>
      <c r="C916">
        <v>168</v>
      </c>
      <c r="D916" t="s">
        <v>7</v>
      </c>
      <c r="E916" s="2" t="s">
        <v>12</v>
      </c>
      <c r="F916">
        <f t="shared" si="14"/>
        <v>333.14400000000001</v>
      </c>
      <c r="G916" t="s">
        <v>16</v>
      </c>
      <c r="J916" t="str">
        <f>"04/02/2004 23:45"</f>
        <v>04/02/2004 23:45</v>
      </c>
    </row>
    <row r="917" spans="1:10" x14ac:dyDescent="0.3">
      <c r="A917" t="s">
        <v>6</v>
      </c>
      <c r="B917" t="str">
        <f>"04/03/2004 00:00"</f>
        <v>04/03/2004 00:00</v>
      </c>
      <c r="C917">
        <v>169</v>
      </c>
      <c r="D917" t="s">
        <v>7</v>
      </c>
      <c r="E917" s="2" t="s">
        <v>12</v>
      </c>
      <c r="F917">
        <f t="shared" si="14"/>
        <v>335.12700000000001</v>
      </c>
      <c r="G917" t="s">
        <v>16</v>
      </c>
      <c r="J917" t="str">
        <f>"04/03/2004 23:45"</f>
        <v>04/03/2004 23:45</v>
      </c>
    </row>
    <row r="918" spans="1:10" x14ac:dyDescent="0.3">
      <c r="A918" t="s">
        <v>6</v>
      </c>
      <c r="B918" t="str">
        <f>"04/04/2004 00:00"</f>
        <v>04/04/2004 00:00</v>
      </c>
      <c r="C918">
        <v>169</v>
      </c>
      <c r="D918" t="s">
        <v>7</v>
      </c>
      <c r="E918" s="2" t="s">
        <v>12</v>
      </c>
      <c r="F918">
        <f t="shared" si="14"/>
        <v>335.12700000000001</v>
      </c>
      <c r="G918" t="s">
        <v>16</v>
      </c>
      <c r="J918" t="str">
        <f>"04/04/2004 23:45"</f>
        <v>04/04/2004 23:45</v>
      </c>
    </row>
    <row r="919" spans="1:10" x14ac:dyDescent="0.3">
      <c r="A919" t="s">
        <v>6</v>
      </c>
      <c r="B919" t="str">
        <f>"04/05/2004 00:00"</f>
        <v>04/05/2004 00:00</v>
      </c>
      <c r="C919">
        <v>168</v>
      </c>
      <c r="D919" t="s">
        <v>7</v>
      </c>
      <c r="E919" s="2" t="s">
        <v>12</v>
      </c>
      <c r="F919">
        <f t="shared" si="14"/>
        <v>333.14400000000001</v>
      </c>
      <c r="G919" t="s">
        <v>16</v>
      </c>
      <c r="J919" t="str">
        <f>"04/05/2004 09:30"</f>
        <v>04/05/2004 09:30</v>
      </c>
    </row>
    <row r="920" spans="1:10" x14ac:dyDescent="0.3">
      <c r="A920" t="s">
        <v>6</v>
      </c>
      <c r="B920" t="str">
        <f>"04/06/2004 00:00"</f>
        <v>04/06/2004 00:00</v>
      </c>
      <c r="C920">
        <v>124</v>
      </c>
      <c r="D920" t="s">
        <v>7</v>
      </c>
      <c r="E920" s="2" t="s">
        <v>12</v>
      </c>
      <c r="F920">
        <f t="shared" si="14"/>
        <v>245.89200000000002</v>
      </c>
      <c r="G920" t="s">
        <v>16</v>
      </c>
      <c r="J920" t="str">
        <f>"04/06/2004 23:45"</f>
        <v>04/06/2004 23:45</v>
      </c>
    </row>
    <row r="921" spans="1:10" x14ac:dyDescent="0.3">
      <c r="A921" t="s">
        <v>6</v>
      </c>
      <c r="B921" t="str">
        <f>"04/07/2004 00:00"</f>
        <v>04/07/2004 00:00</v>
      </c>
      <c r="C921">
        <v>125</v>
      </c>
      <c r="D921" t="s">
        <v>7</v>
      </c>
      <c r="E921" s="2" t="s">
        <v>12</v>
      </c>
      <c r="F921">
        <f t="shared" si="14"/>
        <v>247.875</v>
      </c>
      <c r="G921" t="s">
        <v>16</v>
      </c>
      <c r="J921" t="str">
        <f>"04/07/2004 23:45"</f>
        <v>04/07/2004 23:45</v>
      </c>
    </row>
    <row r="922" spans="1:10" x14ac:dyDescent="0.3">
      <c r="A922" t="s">
        <v>6</v>
      </c>
      <c r="B922" t="str">
        <f>"04/08/2004 00:00"</f>
        <v>04/08/2004 00:00</v>
      </c>
      <c r="C922">
        <v>125</v>
      </c>
      <c r="D922" t="s">
        <v>7</v>
      </c>
      <c r="E922" s="2" t="s">
        <v>12</v>
      </c>
      <c r="F922">
        <f t="shared" si="14"/>
        <v>247.875</v>
      </c>
      <c r="G922" t="s">
        <v>16</v>
      </c>
      <c r="J922" t="str">
        <f>"04/08/2004 23:45"</f>
        <v>04/08/2004 23:45</v>
      </c>
    </row>
    <row r="923" spans="1:10" x14ac:dyDescent="0.3">
      <c r="A923" t="s">
        <v>6</v>
      </c>
      <c r="B923" t="str">
        <f>"04/09/2004 00:00"</f>
        <v>04/09/2004 00:00</v>
      </c>
      <c r="C923">
        <v>93.8</v>
      </c>
      <c r="D923" t="s">
        <v>7</v>
      </c>
      <c r="E923" s="2" t="s">
        <v>12</v>
      </c>
      <c r="F923">
        <f t="shared" si="14"/>
        <v>186.00540000000001</v>
      </c>
      <c r="G923" t="s">
        <v>16</v>
      </c>
      <c r="J923" t="str">
        <f>"04/09/2004 23:45"</f>
        <v>04/09/2004 23:45</v>
      </c>
    </row>
    <row r="924" spans="1:10" x14ac:dyDescent="0.3">
      <c r="A924" t="s">
        <v>6</v>
      </c>
      <c r="B924" t="str">
        <f>"04/10/2004 00:00"</f>
        <v>04/10/2004 00:00</v>
      </c>
      <c r="C924">
        <v>72.2</v>
      </c>
      <c r="D924" t="s">
        <v>7</v>
      </c>
      <c r="E924" s="2" t="s">
        <v>12</v>
      </c>
      <c r="F924">
        <f t="shared" si="14"/>
        <v>143.17260000000002</v>
      </c>
      <c r="G924" t="s">
        <v>16</v>
      </c>
      <c r="J924" t="str">
        <f>"04/10/2004 23:45"</f>
        <v>04/10/2004 23:45</v>
      </c>
    </row>
    <row r="925" spans="1:10" x14ac:dyDescent="0.3">
      <c r="A925" t="s">
        <v>6</v>
      </c>
      <c r="B925" t="str">
        <f>"04/11/2004 00:00"</f>
        <v>04/11/2004 00:00</v>
      </c>
      <c r="C925">
        <v>72.5</v>
      </c>
      <c r="D925" t="s">
        <v>7</v>
      </c>
      <c r="E925" s="2" t="s">
        <v>12</v>
      </c>
      <c r="F925">
        <f t="shared" si="14"/>
        <v>143.76750000000001</v>
      </c>
      <c r="G925" t="s">
        <v>16</v>
      </c>
      <c r="J925" t="str">
        <f>"04/11/2004 23:45"</f>
        <v>04/11/2004 23:45</v>
      </c>
    </row>
    <row r="926" spans="1:10" x14ac:dyDescent="0.3">
      <c r="A926" t="s">
        <v>6</v>
      </c>
      <c r="B926" t="str">
        <f>"04/12/2004 00:00"</f>
        <v>04/12/2004 00:00</v>
      </c>
      <c r="C926">
        <v>72.599999999999994</v>
      </c>
      <c r="D926" t="s">
        <v>7</v>
      </c>
      <c r="E926" s="2" t="s">
        <v>12</v>
      </c>
      <c r="F926">
        <f t="shared" si="14"/>
        <v>143.9658</v>
      </c>
      <c r="G926" t="s">
        <v>16</v>
      </c>
      <c r="J926" t="str">
        <f>"04/12/2004 23:45"</f>
        <v>04/12/2004 23:45</v>
      </c>
    </row>
    <row r="927" spans="1:10" x14ac:dyDescent="0.3">
      <c r="A927" t="s">
        <v>6</v>
      </c>
      <c r="B927" t="str">
        <f>"04/13/2004 00:00"</f>
        <v>04/13/2004 00:00</v>
      </c>
      <c r="C927">
        <v>72.7</v>
      </c>
      <c r="D927" t="s">
        <v>7</v>
      </c>
      <c r="E927" s="2" t="s">
        <v>12</v>
      </c>
      <c r="F927">
        <f t="shared" si="14"/>
        <v>144.16410000000002</v>
      </c>
      <c r="G927" t="s">
        <v>16</v>
      </c>
      <c r="J927" t="str">
        <f>"04/13/2004 23:45"</f>
        <v>04/13/2004 23:45</v>
      </c>
    </row>
    <row r="928" spans="1:10" x14ac:dyDescent="0.3">
      <c r="A928" t="s">
        <v>6</v>
      </c>
      <c r="B928" t="str">
        <f>"04/14/2004 00:00"</f>
        <v>04/14/2004 00:00</v>
      </c>
      <c r="C928">
        <v>72.7</v>
      </c>
      <c r="D928" t="s">
        <v>7</v>
      </c>
      <c r="E928" s="2" t="s">
        <v>12</v>
      </c>
      <c r="F928">
        <f t="shared" si="14"/>
        <v>144.16410000000002</v>
      </c>
      <c r="G928" t="s">
        <v>16</v>
      </c>
      <c r="J928" t="str">
        <f>"04/14/2004 23:45"</f>
        <v>04/14/2004 23:45</v>
      </c>
    </row>
    <row r="929" spans="1:10" x14ac:dyDescent="0.3">
      <c r="A929" t="s">
        <v>6</v>
      </c>
      <c r="B929" t="str">
        <f>"04/15/2004 00:00"</f>
        <v>04/15/2004 00:00</v>
      </c>
      <c r="C929">
        <v>72.2</v>
      </c>
      <c r="D929" t="s">
        <v>7</v>
      </c>
      <c r="E929" s="2" t="s">
        <v>12</v>
      </c>
      <c r="F929">
        <f t="shared" si="14"/>
        <v>143.17260000000002</v>
      </c>
      <c r="G929" t="s">
        <v>16</v>
      </c>
      <c r="J929" t="str">
        <f>"04/15/2004 23:45"</f>
        <v>04/15/2004 23:45</v>
      </c>
    </row>
    <row r="930" spans="1:10" x14ac:dyDescent="0.3">
      <c r="A930" t="s">
        <v>6</v>
      </c>
      <c r="B930" t="str">
        <f>"04/16/2004 00:00"</f>
        <v>04/16/2004 00:00</v>
      </c>
      <c r="C930">
        <v>118</v>
      </c>
      <c r="D930" t="s">
        <v>7</v>
      </c>
      <c r="E930" s="2" t="s">
        <v>12</v>
      </c>
      <c r="F930">
        <f t="shared" si="14"/>
        <v>233.994</v>
      </c>
      <c r="G930" t="s">
        <v>16</v>
      </c>
      <c r="J930" t="str">
        <f>"04/16/2004 23:45"</f>
        <v>04/16/2004 23:45</v>
      </c>
    </row>
    <row r="931" spans="1:10" x14ac:dyDescent="0.3">
      <c r="A931" t="s">
        <v>6</v>
      </c>
      <c r="B931" t="str">
        <f>"04/17/2004 00:00"</f>
        <v>04/17/2004 00:00</v>
      </c>
      <c r="C931">
        <v>205</v>
      </c>
      <c r="D931" t="s">
        <v>7</v>
      </c>
      <c r="E931" s="2" t="s">
        <v>12</v>
      </c>
      <c r="F931">
        <f t="shared" si="14"/>
        <v>406.51500000000004</v>
      </c>
      <c r="G931" t="s">
        <v>16</v>
      </c>
      <c r="J931" t="str">
        <f>"04/17/2004 23:45"</f>
        <v>04/17/2004 23:45</v>
      </c>
    </row>
    <row r="932" spans="1:10" x14ac:dyDescent="0.3">
      <c r="A932" t="s">
        <v>6</v>
      </c>
      <c r="B932" t="str">
        <f>"04/18/2004 00:00"</f>
        <v>04/18/2004 00:00</v>
      </c>
      <c r="C932">
        <v>250</v>
      </c>
      <c r="D932" t="s">
        <v>7</v>
      </c>
      <c r="E932" s="2" t="s">
        <v>12</v>
      </c>
      <c r="F932">
        <f t="shared" si="14"/>
        <v>495.75</v>
      </c>
      <c r="G932" t="s">
        <v>16</v>
      </c>
      <c r="J932" t="str">
        <f>"04/18/2004 23:45"</f>
        <v>04/18/2004 23:45</v>
      </c>
    </row>
    <row r="933" spans="1:10" x14ac:dyDescent="0.3">
      <c r="A933" t="s">
        <v>6</v>
      </c>
      <c r="B933" t="str">
        <f>"04/19/2004 00:00"</f>
        <v>04/19/2004 00:00</v>
      </c>
      <c r="C933">
        <v>228</v>
      </c>
      <c r="D933" t="s">
        <v>7</v>
      </c>
      <c r="E933" s="2" t="s">
        <v>12</v>
      </c>
      <c r="F933">
        <f t="shared" si="14"/>
        <v>452.12400000000002</v>
      </c>
      <c r="G933" t="s">
        <v>16</v>
      </c>
      <c r="J933" t="str">
        <f>"04/19/2004 23:45"</f>
        <v>04/19/2004 23:45</v>
      </c>
    </row>
    <row r="934" spans="1:10" x14ac:dyDescent="0.3">
      <c r="A934" t="s">
        <v>6</v>
      </c>
      <c r="B934" t="str">
        <f>"04/20/2004 00:00"</f>
        <v>04/20/2004 00:00</v>
      </c>
      <c r="C934">
        <v>149</v>
      </c>
      <c r="D934" t="s">
        <v>7</v>
      </c>
      <c r="E934" s="2" t="s">
        <v>12</v>
      </c>
      <c r="F934">
        <f t="shared" si="14"/>
        <v>295.46700000000004</v>
      </c>
      <c r="G934" t="s">
        <v>16</v>
      </c>
      <c r="J934" t="str">
        <f>"04/20/2004 23:45"</f>
        <v>04/20/2004 23:45</v>
      </c>
    </row>
    <row r="935" spans="1:10" x14ac:dyDescent="0.3">
      <c r="A935" t="s">
        <v>6</v>
      </c>
      <c r="B935" t="str">
        <f>"04/21/2004 00:00"</f>
        <v>04/21/2004 00:00</v>
      </c>
      <c r="C935">
        <v>112</v>
      </c>
      <c r="D935" t="s">
        <v>7</v>
      </c>
      <c r="E935" s="2" t="s">
        <v>12</v>
      </c>
      <c r="F935">
        <f t="shared" si="14"/>
        <v>222.096</v>
      </c>
      <c r="G935" t="s">
        <v>16</v>
      </c>
      <c r="J935" t="str">
        <f>"04/21/2004 23:45"</f>
        <v>04/21/2004 23:45</v>
      </c>
    </row>
    <row r="936" spans="1:10" x14ac:dyDescent="0.3">
      <c r="A936" t="s">
        <v>6</v>
      </c>
      <c r="B936" t="str">
        <f>"04/22/2004 00:00"</f>
        <v>04/22/2004 00:00</v>
      </c>
      <c r="C936">
        <v>112</v>
      </c>
      <c r="D936" t="s">
        <v>7</v>
      </c>
      <c r="E936" s="2" t="s">
        <v>12</v>
      </c>
      <c r="F936">
        <f t="shared" si="14"/>
        <v>222.096</v>
      </c>
      <c r="G936" t="s">
        <v>16</v>
      </c>
      <c r="J936" t="str">
        <f>"04/22/2004 23:45"</f>
        <v>04/22/2004 23:45</v>
      </c>
    </row>
    <row r="937" spans="1:10" x14ac:dyDescent="0.3">
      <c r="A937" t="s">
        <v>6</v>
      </c>
      <c r="B937" t="str">
        <f>"04/23/2004 00:00"</f>
        <v>04/23/2004 00:00</v>
      </c>
      <c r="C937">
        <v>113</v>
      </c>
      <c r="D937" t="s">
        <v>7</v>
      </c>
      <c r="E937" s="2" t="s">
        <v>12</v>
      </c>
      <c r="F937">
        <f t="shared" si="14"/>
        <v>224.07900000000001</v>
      </c>
      <c r="G937" t="s">
        <v>16</v>
      </c>
      <c r="J937" t="str">
        <f>"04/23/2004 23:45"</f>
        <v>04/23/2004 23:45</v>
      </c>
    </row>
    <row r="938" spans="1:10" x14ac:dyDescent="0.3">
      <c r="A938" t="s">
        <v>6</v>
      </c>
      <c r="B938" t="str">
        <f>"04/24/2004 00:00"</f>
        <v>04/24/2004 00:00</v>
      </c>
      <c r="C938">
        <v>113</v>
      </c>
      <c r="D938" t="s">
        <v>7</v>
      </c>
      <c r="E938" s="2" t="s">
        <v>12</v>
      </c>
      <c r="F938">
        <f t="shared" si="14"/>
        <v>224.07900000000001</v>
      </c>
      <c r="G938" t="s">
        <v>16</v>
      </c>
      <c r="J938" t="str">
        <f>"04/24/2004 23:45"</f>
        <v>04/24/2004 23:45</v>
      </c>
    </row>
    <row r="939" spans="1:10" x14ac:dyDescent="0.3">
      <c r="A939" t="s">
        <v>6</v>
      </c>
      <c r="B939" t="str">
        <f>"04/25/2004 00:00"</f>
        <v>04/25/2004 00:00</v>
      </c>
      <c r="C939">
        <v>113</v>
      </c>
      <c r="D939" t="s">
        <v>7</v>
      </c>
      <c r="E939" s="2" t="s">
        <v>12</v>
      </c>
      <c r="F939">
        <f t="shared" si="14"/>
        <v>224.07900000000001</v>
      </c>
      <c r="G939" t="s">
        <v>16</v>
      </c>
      <c r="J939" t="str">
        <f>"04/25/2004 23:45"</f>
        <v>04/25/2004 23:45</v>
      </c>
    </row>
    <row r="940" spans="1:10" x14ac:dyDescent="0.3">
      <c r="A940" t="s">
        <v>6</v>
      </c>
      <c r="B940" t="str">
        <f>"04/26/2004 00:00"</f>
        <v>04/26/2004 00:00</v>
      </c>
      <c r="C940">
        <v>113</v>
      </c>
      <c r="D940" t="s">
        <v>7</v>
      </c>
      <c r="E940" s="2" t="s">
        <v>12</v>
      </c>
      <c r="F940">
        <f t="shared" si="14"/>
        <v>224.07900000000001</v>
      </c>
      <c r="G940" t="s">
        <v>16</v>
      </c>
      <c r="J940" t="str">
        <f>"04/26/2004 23:45"</f>
        <v>04/26/2004 23:45</v>
      </c>
    </row>
    <row r="941" spans="1:10" x14ac:dyDescent="0.3">
      <c r="A941" t="s">
        <v>6</v>
      </c>
      <c r="B941" t="str">
        <f>"04/27/2004 00:00"</f>
        <v>04/27/2004 00:00</v>
      </c>
      <c r="C941">
        <v>113</v>
      </c>
      <c r="D941" t="s">
        <v>7</v>
      </c>
      <c r="E941" s="2" t="s">
        <v>12</v>
      </c>
      <c r="F941">
        <f t="shared" si="14"/>
        <v>224.07900000000001</v>
      </c>
      <c r="G941" t="s">
        <v>16</v>
      </c>
      <c r="J941" t="str">
        <f>"04/27/2004 23:45"</f>
        <v>04/27/2004 23:45</v>
      </c>
    </row>
    <row r="942" spans="1:10" x14ac:dyDescent="0.3">
      <c r="A942" t="s">
        <v>6</v>
      </c>
      <c r="B942" t="str">
        <f>"04/28/2004 00:00"</f>
        <v>04/28/2004 00:00</v>
      </c>
      <c r="C942">
        <v>113</v>
      </c>
      <c r="D942" t="s">
        <v>7</v>
      </c>
      <c r="E942" s="2" t="s">
        <v>12</v>
      </c>
      <c r="F942">
        <f t="shared" si="14"/>
        <v>224.07900000000001</v>
      </c>
      <c r="G942" t="s">
        <v>16</v>
      </c>
      <c r="J942" t="str">
        <f>"04/28/2004 23:45"</f>
        <v>04/28/2004 23:45</v>
      </c>
    </row>
    <row r="943" spans="1:10" x14ac:dyDescent="0.3">
      <c r="A943" t="s">
        <v>6</v>
      </c>
      <c r="B943" t="str">
        <f>"04/29/2004 00:00"</f>
        <v>04/29/2004 00:00</v>
      </c>
      <c r="C943">
        <v>113</v>
      </c>
      <c r="D943" t="s">
        <v>7</v>
      </c>
      <c r="E943" s="2" t="s">
        <v>12</v>
      </c>
      <c r="F943">
        <f t="shared" si="14"/>
        <v>224.07900000000001</v>
      </c>
      <c r="G943" t="s">
        <v>16</v>
      </c>
      <c r="J943" t="str">
        <f>"04/29/2004 23:45"</f>
        <v>04/29/2004 23:45</v>
      </c>
    </row>
    <row r="944" spans="1:10" x14ac:dyDescent="0.3">
      <c r="A944" t="s">
        <v>6</v>
      </c>
      <c r="B944" t="str">
        <f>"04/30/2004 00:00"</f>
        <v>04/30/2004 00:00</v>
      </c>
      <c r="C944">
        <v>107</v>
      </c>
      <c r="D944" t="s">
        <v>7</v>
      </c>
      <c r="E944" s="2" t="s">
        <v>12</v>
      </c>
      <c r="F944">
        <f t="shared" si="14"/>
        <v>212.18100000000001</v>
      </c>
      <c r="G944" t="s">
        <v>16</v>
      </c>
      <c r="J944" t="str">
        <f>"04/30/2004 23:45"</f>
        <v>04/30/2004 23:45</v>
      </c>
    </row>
    <row r="945" spans="1:10" x14ac:dyDescent="0.3">
      <c r="A945" t="s">
        <v>6</v>
      </c>
      <c r="B945" t="str">
        <f>"05/01/2004 00:00"</f>
        <v>05/01/2004 00:00</v>
      </c>
      <c r="C945">
        <v>85.4</v>
      </c>
      <c r="D945" t="s">
        <v>7</v>
      </c>
      <c r="E945" s="2" t="s">
        <v>12</v>
      </c>
      <c r="F945">
        <f t="shared" si="14"/>
        <v>169.34820000000002</v>
      </c>
      <c r="G945" t="s">
        <v>16</v>
      </c>
      <c r="J945" t="str">
        <f>"05/01/2004 23:45"</f>
        <v>05/01/2004 23:45</v>
      </c>
    </row>
    <row r="946" spans="1:10" x14ac:dyDescent="0.3">
      <c r="A946" t="s">
        <v>6</v>
      </c>
      <c r="B946" t="str">
        <f>"05/02/2004 00:00"</f>
        <v>05/02/2004 00:00</v>
      </c>
      <c r="C946">
        <v>76.2</v>
      </c>
      <c r="D946" t="s">
        <v>7</v>
      </c>
      <c r="E946" s="2" t="s">
        <v>12</v>
      </c>
      <c r="F946">
        <f t="shared" si="14"/>
        <v>151.1046</v>
      </c>
      <c r="G946" t="s">
        <v>16</v>
      </c>
      <c r="J946" t="str">
        <f>"05/02/2004 23:45"</f>
        <v>05/02/2004 23:45</v>
      </c>
    </row>
    <row r="947" spans="1:10" x14ac:dyDescent="0.3">
      <c r="A947" t="s">
        <v>6</v>
      </c>
      <c r="B947" t="str">
        <f>"05/03/2004 00:00"</f>
        <v>05/03/2004 00:00</v>
      </c>
      <c r="C947">
        <v>76.2</v>
      </c>
      <c r="D947" t="s">
        <v>7</v>
      </c>
      <c r="E947" s="2" t="s">
        <v>12</v>
      </c>
      <c r="F947">
        <f t="shared" si="14"/>
        <v>151.1046</v>
      </c>
      <c r="G947" t="s">
        <v>16</v>
      </c>
      <c r="J947" t="str">
        <f>"05/03/2004 23:45"</f>
        <v>05/03/2004 23:45</v>
      </c>
    </row>
    <row r="948" spans="1:10" x14ac:dyDescent="0.3">
      <c r="A948" t="s">
        <v>6</v>
      </c>
      <c r="B948" t="str">
        <f>"05/04/2004 00:00"</f>
        <v>05/04/2004 00:00</v>
      </c>
      <c r="C948">
        <v>76.2</v>
      </c>
      <c r="D948" t="s">
        <v>7</v>
      </c>
      <c r="E948" s="2" t="s">
        <v>12</v>
      </c>
      <c r="F948">
        <f t="shared" si="14"/>
        <v>151.1046</v>
      </c>
      <c r="G948" t="s">
        <v>16</v>
      </c>
      <c r="J948" t="str">
        <f>"05/04/2004 23:45"</f>
        <v>05/04/2004 23:45</v>
      </c>
    </row>
    <row r="949" spans="1:10" x14ac:dyDescent="0.3">
      <c r="A949" t="s">
        <v>6</v>
      </c>
      <c r="B949" t="str">
        <f>"05/05/2004 00:00"</f>
        <v>05/05/2004 00:00</v>
      </c>
      <c r="C949">
        <v>76.2</v>
      </c>
      <c r="D949" t="s">
        <v>7</v>
      </c>
      <c r="E949" s="2" t="s">
        <v>12</v>
      </c>
      <c r="F949">
        <f t="shared" si="14"/>
        <v>151.1046</v>
      </c>
      <c r="G949" t="s">
        <v>16</v>
      </c>
      <c r="J949" t="str">
        <f>"05/05/2004 23:45"</f>
        <v>05/05/2004 23:45</v>
      </c>
    </row>
    <row r="950" spans="1:10" x14ac:dyDescent="0.3">
      <c r="A950" t="s">
        <v>6</v>
      </c>
      <c r="B950" t="str">
        <f>"05/06/2004 00:00"</f>
        <v>05/06/2004 00:00</v>
      </c>
      <c r="C950">
        <v>76.2</v>
      </c>
      <c r="D950" t="s">
        <v>7</v>
      </c>
      <c r="E950" s="2" t="s">
        <v>12</v>
      </c>
      <c r="F950">
        <f t="shared" si="14"/>
        <v>151.1046</v>
      </c>
      <c r="G950" t="s">
        <v>16</v>
      </c>
      <c r="J950" t="str">
        <f>"05/06/2004 23:45"</f>
        <v>05/06/2004 23:45</v>
      </c>
    </row>
    <row r="951" spans="1:10" x14ac:dyDescent="0.3">
      <c r="A951" t="s">
        <v>6</v>
      </c>
      <c r="B951" t="str">
        <f>"05/07/2004 00:00"</f>
        <v>05/07/2004 00:00</v>
      </c>
      <c r="C951">
        <v>76.2</v>
      </c>
      <c r="D951" t="s">
        <v>7</v>
      </c>
      <c r="E951" s="2" t="s">
        <v>12</v>
      </c>
      <c r="F951">
        <f t="shared" si="14"/>
        <v>151.1046</v>
      </c>
      <c r="G951" t="s">
        <v>16</v>
      </c>
      <c r="J951" t="str">
        <f>"05/07/2004 23:45"</f>
        <v>05/07/2004 23:45</v>
      </c>
    </row>
    <row r="952" spans="1:10" x14ac:dyDescent="0.3">
      <c r="A952" t="s">
        <v>6</v>
      </c>
      <c r="B952" t="str">
        <f>"05/08/2004 00:00"</f>
        <v>05/08/2004 00:00</v>
      </c>
      <c r="C952">
        <v>76.400000000000006</v>
      </c>
      <c r="D952" t="s">
        <v>7</v>
      </c>
      <c r="E952" s="2" t="s">
        <v>12</v>
      </c>
      <c r="F952">
        <f t="shared" si="14"/>
        <v>151.50120000000001</v>
      </c>
      <c r="G952" t="s">
        <v>16</v>
      </c>
      <c r="J952" t="str">
        <f>"05/08/2004 23:45"</f>
        <v>05/08/2004 23:45</v>
      </c>
    </row>
    <row r="953" spans="1:10" x14ac:dyDescent="0.3">
      <c r="A953" t="s">
        <v>6</v>
      </c>
      <c r="B953" t="str">
        <f>"05/09/2004 00:00"</f>
        <v>05/09/2004 00:00</v>
      </c>
      <c r="C953">
        <v>77.3</v>
      </c>
      <c r="D953" t="s">
        <v>7</v>
      </c>
      <c r="E953" s="2" t="s">
        <v>12</v>
      </c>
      <c r="F953">
        <f t="shared" si="14"/>
        <v>153.2859</v>
      </c>
      <c r="G953" t="s">
        <v>16</v>
      </c>
      <c r="J953" t="str">
        <f>"05/09/2004 23:45"</f>
        <v>05/09/2004 23:45</v>
      </c>
    </row>
    <row r="954" spans="1:10" x14ac:dyDescent="0.3">
      <c r="A954" t="s">
        <v>6</v>
      </c>
      <c r="B954" t="str">
        <f>"05/10/2004 00:00"</f>
        <v>05/10/2004 00:00</v>
      </c>
      <c r="C954">
        <v>76.099999999999994</v>
      </c>
      <c r="D954" t="s">
        <v>7</v>
      </c>
      <c r="E954" s="2" t="s">
        <v>12</v>
      </c>
      <c r="F954">
        <f t="shared" si="14"/>
        <v>150.90629999999999</v>
      </c>
      <c r="G954" t="s">
        <v>16</v>
      </c>
      <c r="J954" t="str">
        <f>"05/10/2004 23:45"</f>
        <v>05/10/2004 23:45</v>
      </c>
    </row>
    <row r="955" spans="1:10" x14ac:dyDescent="0.3">
      <c r="A955" t="s">
        <v>6</v>
      </c>
      <c r="B955" t="str">
        <f>"05/11/2004 00:00"</f>
        <v>05/11/2004 00:00</v>
      </c>
      <c r="C955">
        <v>60.8</v>
      </c>
      <c r="D955" t="s">
        <v>7</v>
      </c>
      <c r="E955" s="2" t="s">
        <v>12</v>
      </c>
      <c r="F955">
        <f t="shared" si="14"/>
        <v>120.5664</v>
      </c>
      <c r="G955" t="s">
        <v>16</v>
      </c>
      <c r="J955" t="str">
        <f>"05/11/2004 23:45"</f>
        <v>05/11/2004 23:45</v>
      </c>
    </row>
    <row r="956" spans="1:10" x14ac:dyDescent="0.3">
      <c r="A956" t="s">
        <v>6</v>
      </c>
      <c r="B956" t="str">
        <f>"05/12/2004 00:00"</f>
        <v>05/12/2004 00:00</v>
      </c>
      <c r="C956">
        <v>49.1</v>
      </c>
      <c r="D956" t="s">
        <v>7</v>
      </c>
      <c r="E956" s="2" t="s">
        <v>12</v>
      </c>
      <c r="F956">
        <f t="shared" si="14"/>
        <v>97.365300000000005</v>
      </c>
      <c r="G956" t="s">
        <v>16</v>
      </c>
      <c r="J956" t="str">
        <f>"05/12/2004 23:45"</f>
        <v>05/12/2004 23:45</v>
      </c>
    </row>
    <row r="957" spans="1:10" x14ac:dyDescent="0.3">
      <c r="A957" t="s">
        <v>6</v>
      </c>
      <c r="B957" t="str">
        <f>"05/13/2004 00:00"</f>
        <v>05/13/2004 00:00</v>
      </c>
      <c r="C957">
        <v>49.2</v>
      </c>
      <c r="D957" t="s">
        <v>7</v>
      </c>
      <c r="E957" s="2" t="s">
        <v>12</v>
      </c>
      <c r="F957">
        <f t="shared" si="14"/>
        <v>97.563600000000008</v>
      </c>
      <c r="G957" t="s">
        <v>16</v>
      </c>
      <c r="J957" t="str">
        <f>"05/13/2004 23:45"</f>
        <v>05/13/2004 23:45</v>
      </c>
    </row>
    <row r="958" spans="1:10" x14ac:dyDescent="0.3">
      <c r="A958" t="s">
        <v>6</v>
      </c>
      <c r="B958" t="str">
        <f>"05/14/2004 00:00"</f>
        <v>05/14/2004 00:00</v>
      </c>
      <c r="C958">
        <v>48.6</v>
      </c>
      <c r="D958" t="s">
        <v>7</v>
      </c>
      <c r="E958" s="2" t="s">
        <v>12</v>
      </c>
      <c r="F958">
        <f t="shared" si="14"/>
        <v>96.373800000000003</v>
      </c>
      <c r="G958" t="s">
        <v>16</v>
      </c>
      <c r="J958" t="str">
        <f>"05/14/2004 23:45"</f>
        <v>05/14/2004 23:45</v>
      </c>
    </row>
    <row r="959" spans="1:10" x14ac:dyDescent="0.3">
      <c r="A959" t="s">
        <v>6</v>
      </c>
      <c r="B959" t="str">
        <f>"05/15/2004 00:00"</f>
        <v>05/15/2004 00:00</v>
      </c>
      <c r="C959">
        <v>49.6</v>
      </c>
      <c r="D959" t="s">
        <v>7</v>
      </c>
      <c r="E959" s="2" t="s">
        <v>12</v>
      </c>
      <c r="F959">
        <f t="shared" si="14"/>
        <v>98.356800000000007</v>
      </c>
      <c r="G959" t="s">
        <v>16</v>
      </c>
      <c r="J959" t="str">
        <f>"05/15/2004 23:45"</f>
        <v>05/15/2004 23:45</v>
      </c>
    </row>
    <row r="960" spans="1:10" x14ac:dyDescent="0.3">
      <c r="A960" t="s">
        <v>6</v>
      </c>
      <c r="B960" t="str">
        <f>"05/16/2004 00:00"</f>
        <v>05/16/2004 00:00</v>
      </c>
      <c r="C960">
        <v>49.8</v>
      </c>
      <c r="D960" t="s">
        <v>7</v>
      </c>
      <c r="E960" s="2" t="s">
        <v>12</v>
      </c>
      <c r="F960">
        <f t="shared" si="14"/>
        <v>98.753399999999999</v>
      </c>
      <c r="G960" t="s">
        <v>16</v>
      </c>
      <c r="J960" t="str">
        <f>"05/16/2004 23:45"</f>
        <v>05/16/2004 23:45</v>
      </c>
    </row>
    <row r="961" spans="1:10" x14ac:dyDescent="0.3">
      <c r="A961" t="s">
        <v>6</v>
      </c>
      <c r="B961" t="str">
        <f>"05/17/2004 00:00"</f>
        <v>05/17/2004 00:00</v>
      </c>
      <c r="C961">
        <v>51.7</v>
      </c>
      <c r="D961" t="s">
        <v>7</v>
      </c>
      <c r="E961" s="2" t="s">
        <v>12</v>
      </c>
      <c r="F961">
        <f t="shared" si="14"/>
        <v>102.5211</v>
      </c>
      <c r="G961" t="s">
        <v>16</v>
      </c>
      <c r="J961" t="str">
        <f>"05/17/2004 23:45"</f>
        <v>05/17/2004 23:45</v>
      </c>
    </row>
    <row r="962" spans="1:10" x14ac:dyDescent="0.3">
      <c r="A962" t="s">
        <v>6</v>
      </c>
      <c r="B962" t="str">
        <f>"05/18/2004 00:00"</f>
        <v>05/18/2004 00:00</v>
      </c>
      <c r="C962">
        <v>51.1</v>
      </c>
      <c r="D962" t="s">
        <v>7</v>
      </c>
      <c r="E962" s="2" t="s">
        <v>12</v>
      </c>
      <c r="F962">
        <f t="shared" si="14"/>
        <v>101.33130000000001</v>
      </c>
      <c r="G962" t="s">
        <v>16</v>
      </c>
      <c r="J962" t="str">
        <f>"05/18/2004 23:45"</f>
        <v>05/18/2004 23:45</v>
      </c>
    </row>
    <row r="963" spans="1:10" x14ac:dyDescent="0.3">
      <c r="A963" t="s">
        <v>6</v>
      </c>
      <c r="B963" t="str">
        <f>"05/19/2004 00:00"</f>
        <v>05/19/2004 00:00</v>
      </c>
      <c r="C963">
        <v>70.7</v>
      </c>
      <c r="D963" t="s">
        <v>7</v>
      </c>
      <c r="E963" s="2" t="s">
        <v>12</v>
      </c>
      <c r="F963">
        <f t="shared" si="14"/>
        <v>140.19810000000001</v>
      </c>
      <c r="G963" t="s">
        <v>16</v>
      </c>
      <c r="J963" t="str">
        <f>"05/19/2004 23:45"</f>
        <v>05/19/2004 23:45</v>
      </c>
    </row>
    <row r="964" spans="1:10" x14ac:dyDescent="0.3">
      <c r="A964" t="s">
        <v>6</v>
      </c>
      <c r="B964" t="str">
        <f>"05/20/2004 00:00"</f>
        <v>05/20/2004 00:00</v>
      </c>
      <c r="C964">
        <v>118</v>
      </c>
      <c r="D964" t="s">
        <v>7</v>
      </c>
      <c r="E964" s="2" t="s">
        <v>12</v>
      </c>
      <c r="F964">
        <f t="shared" ref="F964:F1027" si="15">C964*1.983</f>
        <v>233.994</v>
      </c>
      <c r="G964" t="s">
        <v>16</v>
      </c>
      <c r="J964" t="str">
        <f>"05/20/2004 23:45"</f>
        <v>05/20/2004 23:45</v>
      </c>
    </row>
    <row r="965" spans="1:10" x14ac:dyDescent="0.3">
      <c r="A965" t="s">
        <v>6</v>
      </c>
      <c r="B965" t="str">
        <f>"05/21/2004 00:00"</f>
        <v>05/21/2004 00:00</v>
      </c>
      <c r="C965">
        <v>154</v>
      </c>
      <c r="D965" t="s">
        <v>7</v>
      </c>
      <c r="E965" s="2" t="s">
        <v>12</v>
      </c>
      <c r="F965">
        <f t="shared" si="15"/>
        <v>305.38200000000001</v>
      </c>
      <c r="G965" t="s">
        <v>16</v>
      </c>
      <c r="J965" t="str">
        <f>"05/21/2004 23:45"</f>
        <v>05/21/2004 23:45</v>
      </c>
    </row>
    <row r="966" spans="1:10" x14ac:dyDescent="0.3">
      <c r="A966" t="s">
        <v>6</v>
      </c>
      <c r="B966" t="str">
        <f>"05/22/2004 00:00"</f>
        <v>05/22/2004 00:00</v>
      </c>
      <c r="C966">
        <v>198</v>
      </c>
      <c r="D966" t="s">
        <v>7</v>
      </c>
      <c r="E966" s="2" t="s">
        <v>12</v>
      </c>
      <c r="F966">
        <f t="shared" si="15"/>
        <v>392.63400000000001</v>
      </c>
      <c r="G966" t="s">
        <v>16</v>
      </c>
      <c r="J966" t="str">
        <f>"05/22/2004 23:45"</f>
        <v>05/22/2004 23:45</v>
      </c>
    </row>
    <row r="967" spans="1:10" x14ac:dyDescent="0.3">
      <c r="A967" t="s">
        <v>6</v>
      </c>
      <c r="B967" t="str">
        <f>"05/23/2004 00:00"</f>
        <v>05/23/2004 00:00</v>
      </c>
      <c r="C967">
        <v>198</v>
      </c>
      <c r="D967" t="s">
        <v>7</v>
      </c>
      <c r="E967" s="2" t="s">
        <v>12</v>
      </c>
      <c r="F967">
        <f t="shared" si="15"/>
        <v>392.63400000000001</v>
      </c>
      <c r="G967" t="s">
        <v>16</v>
      </c>
      <c r="J967" t="str">
        <f>"05/23/2004 23:45"</f>
        <v>05/23/2004 23:45</v>
      </c>
    </row>
    <row r="968" spans="1:10" x14ac:dyDescent="0.3">
      <c r="A968" t="s">
        <v>6</v>
      </c>
      <c r="B968" t="str">
        <f>"05/24/2004 00:00"</f>
        <v>05/24/2004 00:00</v>
      </c>
      <c r="C968">
        <v>199</v>
      </c>
      <c r="D968" t="s">
        <v>7</v>
      </c>
      <c r="E968" s="2" t="s">
        <v>12</v>
      </c>
      <c r="F968">
        <f t="shared" si="15"/>
        <v>394.61700000000002</v>
      </c>
      <c r="G968" t="s">
        <v>16</v>
      </c>
      <c r="J968" t="str">
        <f>"05/24/2004 23:45"</f>
        <v>05/24/2004 23:45</v>
      </c>
    </row>
    <row r="969" spans="1:10" x14ac:dyDescent="0.3">
      <c r="A969" t="s">
        <v>6</v>
      </c>
      <c r="B969" t="str">
        <f>"05/25/2004 00:00"</f>
        <v>05/25/2004 00:00</v>
      </c>
      <c r="C969">
        <v>199</v>
      </c>
      <c r="D969" t="s">
        <v>7</v>
      </c>
      <c r="E969" s="2" t="s">
        <v>12</v>
      </c>
      <c r="F969">
        <f t="shared" si="15"/>
        <v>394.61700000000002</v>
      </c>
      <c r="G969" t="s">
        <v>16</v>
      </c>
      <c r="J969" t="str">
        <f>"05/25/2004 23:45"</f>
        <v>05/25/2004 23:45</v>
      </c>
    </row>
    <row r="970" spans="1:10" x14ac:dyDescent="0.3">
      <c r="A970" t="s">
        <v>6</v>
      </c>
      <c r="B970" t="str">
        <f>"05/26/2004 00:00"</f>
        <v>05/26/2004 00:00</v>
      </c>
      <c r="C970">
        <v>168</v>
      </c>
      <c r="D970" t="s">
        <v>7</v>
      </c>
      <c r="E970" s="2" t="s">
        <v>12</v>
      </c>
      <c r="F970">
        <f t="shared" si="15"/>
        <v>333.14400000000001</v>
      </c>
      <c r="G970" t="s">
        <v>16</v>
      </c>
      <c r="J970" t="str">
        <f>"05/26/2004 23:45"</f>
        <v>05/26/2004 23:45</v>
      </c>
    </row>
    <row r="971" spans="1:10" x14ac:dyDescent="0.3">
      <c r="A971" t="s">
        <v>6</v>
      </c>
      <c r="B971" t="str">
        <f>"05/27/2004 00:00"</f>
        <v>05/27/2004 00:00</v>
      </c>
      <c r="C971">
        <v>149</v>
      </c>
      <c r="D971" t="s">
        <v>7</v>
      </c>
      <c r="E971" s="2" t="s">
        <v>12</v>
      </c>
      <c r="F971">
        <f t="shared" si="15"/>
        <v>295.46700000000004</v>
      </c>
      <c r="G971" t="s">
        <v>16</v>
      </c>
      <c r="J971" t="str">
        <f>"05/27/2004 23:45"</f>
        <v>05/27/2004 23:45</v>
      </c>
    </row>
    <row r="972" spans="1:10" x14ac:dyDescent="0.3">
      <c r="A972" t="s">
        <v>6</v>
      </c>
      <c r="B972" t="str">
        <f>"05/28/2004 00:00"</f>
        <v>05/28/2004 00:00</v>
      </c>
      <c r="C972">
        <v>194</v>
      </c>
      <c r="D972" t="s">
        <v>7</v>
      </c>
      <c r="E972" s="2" t="s">
        <v>12</v>
      </c>
      <c r="F972">
        <f t="shared" si="15"/>
        <v>384.702</v>
      </c>
      <c r="G972" t="s">
        <v>16</v>
      </c>
      <c r="J972" t="str">
        <f>"05/28/2004 23:45"</f>
        <v>05/28/2004 23:45</v>
      </c>
    </row>
    <row r="973" spans="1:10" x14ac:dyDescent="0.3">
      <c r="A973" t="s">
        <v>6</v>
      </c>
      <c r="B973" t="str">
        <f>"05/29/2004 00:00"</f>
        <v>05/29/2004 00:00</v>
      </c>
      <c r="C973">
        <v>241</v>
      </c>
      <c r="D973" t="s">
        <v>7</v>
      </c>
      <c r="E973" s="2" t="s">
        <v>12</v>
      </c>
      <c r="F973">
        <f t="shared" si="15"/>
        <v>477.90300000000002</v>
      </c>
      <c r="G973" t="s">
        <v>16</v>
      </c>
      <c r="J973" t="str">
        <f>"05/29/2004 23:45"</f>
        <v>05/29/2004 23:45</v>
      </c>
    </row>
    <row r="974" spans="1:10" x14ac:dyDescent="0.3">
      <c r="A974" t="s">
        <v>6</v>
      </c>
      <c r="B974" t="str">
        <f>"05/30/2004 00:00"</f>
        <v>05/30/2004 00:00</v>
      </c>
      <c r="C974">
        <v>256</v>
      </c>
      <c r="D974" t="s">
        <v>7</v>
      </c>
      <c r="E974" s="2" t="s">
        <v>12</v>
      </c>
      <c r="F974">
        <f t="shared" si="15"/>
        <v>507.64800000000002</v>
      </c>
      <c r="G974" t="s">
        <v>16</v>
      </c>
      <c r="J974" t="str">
        <f>"05/30/2004 23:45"</f>
        <v>05/30/2004 23:45</v>
      </c>
    </row>
    <row r="975" spans="1:10" x14ac:dyDescent="0.3">
      <c r="A975" t="s">
        <v>6</v>
      </c>
      <c r="B975" t="str">
        <f>"05/31/2004 00:00"</f>
        <v>05/31/2004 00:00</v>
      </c>
      <c r="C975">
        <v>233</v>
      </c>
      <c r="D975" t="s">
        <v>7</v>
      </c>
      <c r="E975" s="2" t="s">
        <v>12</v>
      </c>
      <c r="F975">
        <f t="shared" si="15"/>
        <v>462.03900000000004</v>
      </c>
      <c r="G975" t="s">
        <v>16</v>
      </c>
      <c r="J975" t="str">
        <f>"05/31/2004 23:45"</f>
        <v>05/31/2004 23:45</v>
      </c>
    </row>
    <row r="976" spans="1:10" x14ac:dyDescent="0.3">
      <c r="A976" t="s">
        <v>6</v>
      </c>
      <c r="B976" t="str">
        <f>"06/01/2004 00:00"</f>
        <v>06/01/2004 00:00</v>
      </c>
      <c r="C976">
        <v>211</v>
      </c>
      <c r="D976" t="s">
        <v>7</v>
      </c>
      <c r="E976" s="2" t="s">
        <v>12</v>
      </c>
      <c r="F976">
        <f t="shared" si="15"/>
        <v>418.41300000000001</v>
      </c>
      <c r="G976" t="s">
        <v>16</v>
      </c>
      <c r="J976" t="str">
        <f>"06/01/2004 23:45"</f>
        <v>06/01/2004 23:45</v>
      </c>
    </row>
    <row r="977" spans="1:10" x14ac:dyDescent="0.3">
      <c r="A977" t="s">
        <v>6</v>
      </c>
      <c r="B977" t="str">
        <f>"06/02/2004 00:00"</f>
        <v>06/02/2004 00:00</v>
      </c>
      <c r="C977">
        <v>211</v>
      </c>
      <c r="D977" t="s">
        <v>7</v>
      </c>
      <c r="E977" s="2" t="s">
        <v>12</v>
      </c>
      <c r="F977">
        <f t="shared" si="15"/>
        <v>418.41300000000001</v>
      </c>
      <c r="G977" t="s">
        <v>16</v>
      </c>
      <c r="J977" t="str">
        <f>"06/02/2004 23:45"</f>
        <v>06/02/2004 23:45</v>
      </c>
    </row>
    <row r="978" spans="1:10" x14ac:dyDescent="0.3">
      <c r="A978" t="s">
        <v>6</v>
      </c>
      <c r="B978" t="str">
        <f>"06/03/2004 00:00"</f>
        <v>06/03/2004 00:00</v>
      </c>
      <c r="C978">
        <v>233</v>
      </c>
      <c r="D978" t="s">
        <v>7</v>
      </c>
      <c r="E978" s="2" t="s">
        <v>12</v>
      </c>
      <c r="F978">
        <f t="shared" si="15"/>
        <v>462.03900000000004</v>
      </c>
      <c r="G978" t="s">
        <v>16</v>
      </c>
      <c r="J978" t="str">
        <f>"06/03/2004 23:45"</f>
        <v>06/03/2004 23:45</v>
      </c>
    </row>
    <row r="979" spans="1:10" x14ac:dyDescent="0.3">
      <c r="A979" t="s">
        <v>6</v>
      </c>
      <c r="B979" t="str">
        <f>"06/04/2004 00:00"</f>
        <v>06/04/2004 00:00</v>
      </c>
      <c r="C979">
        <v>267</v>
      </c>
      <c r="D979" t="s">
        <v>7</v>
      </c>
      <c r="E979" s="2" t="s">
        <v>12</v>
      </c>
      <c r="F979">
        <f t="shared" si="15"/>
        <v>529.46100000000001</v>
      </c>
      <c r="G979" t="s">
        <v>16</v>
      </c>
      <c r="J979" t="str">
        <f>"06/04/2004 23:45"</f>
        <v>06/04/2004 23:45</v>
      </c>
    </row>
    <row r="980" spans="1:10" x14ac:dyDescent="0.3">
      <c r="A980" t="s">
        <v>6</v>
      </c>
      <c r="B980" t="str">
        <f>"06/05/2004 00:00"</f>
        <v>06/05/2004 00:00</v>
      </c>
      <c r="C980">
        <v>286</v>
      </c>
      <c r="D980" t="s">
        <v>7</v>
      </c>
      <c r="E980" s="2" t="s">
        <v>12</v>
      </c>
      <c r="F980">
        <f t="shared" si="15"/>
        <v>567.13800000000003</v>
      </c>
      <c r="G980" t="s">
        <v>16</v>
      </c>
      <c r="J980" t="str">
        <f>"06/05/2004 23:45"</f>
        <v>06/05/2004 23:45</v>
      </c>
    </row>
    <row r="981" spans="1:10" x14ac:dyDescent="0.3">
      <c r="A981" t="s">
        <v>6</v>
      </c>
      <c r="B981" t="str">
        <f>"06/06/2004 00:00"</f>
        <v>06/06/2004 00:00</v>
      </c>
      <c r="C981">
        <v>285</v>
      </c>
      <c r="D981" t="s">
        <v>7</v>
      </c>
      <c r="E981" s="2" t="s">
        <v>12</v>
      </c>
      <c r="F981">
        <f t="shared" si="15"/>
        <v>565.15499999999997</v>
      </c>
      <c r="G981" t="s">
        <v>16</v>
      </c>
      <c r="J981" t="str">
        <f>"06/06/2004 23:45"</f>
        <v>06/06/2004 23:45</v>
      </c>
    </row>
    <row r="982" spans="1:10" x14ac:dyDescent="0.3">
      <c r="A982" t="s">
        <v>6</v>
      </c>
      <c r="B982" t="str">
        <f>"06/07/2004 00:00"</f>
        <v>06/07/2004 00:00</v>
      </c>
      <c r="C982">
        <v>308</v>
      </c>
      <c r="D982" t="s">
        <v>7</v>
      </c>
      <c r="E982" s="2" t="s">
        <v>12</v>
      </c>
      <c r="F982">
        <f t="shared" si="15"/>
        <v>610.76400000000001</v>
      </c>
      <c r="G982" t="s">
        <v>16</v>
      </c>
      <c r="J982" t="str">
        <f>"06/07/2004 23:45"</f>
        <v>06/07/2004 23:45</v>
      </c>
    </row>
    <row r="983" spans="1:10" x14ac:dyDescent="0.3">
      <c r="A983" t="s">
        <v>6</v>
      </c>
      <c r="B983" t="str">
        <f>"06/08/2004 00:00"</f>
        <v>06/08/2004 00:00</v>
      </c>
      <c r="C983">
        <v>328</v>
      </c>
      <c r="D983" t="s">
        <v>7</v>
      </c>
      <c r="E983" s="2" t="s">
        <v>12</v>
      </c>
      <c r="F983">
        <f t="shared" si="15"/>
        <v>650.42399999999998</v>
      </c>
      <c r="G983" t="s">
        <v>16</v>
      </c>
      <c r="J983" t="str">
        <f>"06/08/2004 23:45"</f>
        <v>06/08/2004 23:45</v>
      </c>
    </row>
    <row r="984" spans="1:10" x14ac:dyDescent="0.3">
      <c r="A984" t="s">
        <v>6</v>
      </c>
      <c r="B984" t="str">
        <f>"06/09/2004 00:00"</f>
        <v>06/09/2004 00:00</v>
      </c>
      <c r="C984">
        <v>357</v>
      </c>
      <c r="D984" t="s">
        <v>7</v>
      </c>
      <c r="E984" s="2" t="s">
        <v>12</v>
      </c>
      <c r="F984">
        <f t="shared" si="15"/>
        <v>707.93100000000004</v>
      </c>
      <c r="G984" t="s">
        <v>16</v>
      </c>
      <c r="J984" t="str">
        <f>"06/09/2004 23:45"</f>
        <v>06/09/2004 23:45</v>
      </c>
    </row>
    <row r="985" spans="1:10" x14ac:dyDescent="0.3">
      <c r="A985" t="s">
        <v>6</v>
      </c>
      <c r="B985" t="str">
        <f>"06/10/2004 00:00"</f>
        <v>06/10/2004 00:00</v>
      </c>
      <c r="C985">
        <v>392</v>
      </c>
      <c r="D985" t="s">
        <v>7</v>
      </c>
      <c r="E985" s="2" t="s">
        <v>12</v>
      </c>
      <c r="F985">
        <f t="shared" si="15"/>
        <v>777.33600000000001</v>
      </c>
      <c r="G985" t="s">
        <v>16</v>
      </c>
      <c r="J985" t="str">
        <f>"06/10/2004 23:45"</f>
        <v>06/10/2004 23:45</v>
      </c>
    </row>
    <row r="986" spans="1:10" x14ac:dyDescent="0.3">
      <c r="A986" t="s">
        <v>6</v>
      </c>
      <c r="B986" t="str">
        <f>"06/11/2004 00:00"</f>
        <v>06/11/2004 00:00</v>
      </c>
      <c r="C986">
        <v>392</v>
      </c>
      <c r="D986" t="s">
        <v>7</v>
      </c>
      <c r="E986" s="2" t="s">
        <v>12</v>
      </c>
      <c r="F986">
        <f t="shared" si="15"/>
        <v>777.33600000000001</v>
      </c>
      <c r="G986" t="s">
        <v>16</v>
      </c>
      <c r="J986" t="str">
        <f>"06/11/2004 23:45"</f>
        <v>06/11/2004 23:45</v>
      </c>
    </row>
    <row r="987" spans="1:10" x14ac:dyDescent="0.3">
      <c r="A987" t="s">
        <v>6</v>
      </c>
      <c r="B987" t="str">
        <f>"06/12/2004 00:00"</f>
        <v>06/12/2004 00:00</v>
      </c>
      <c r="C987">
        <v>392</v>
      </c>
      <c r="D987" t="s">
        <v>7</v>
      </c>
      <c r="E987" s="2" t="s">
        <v>12</v>
      </c>
      <c r="F987">
        <f t="shared" si="15"/>
        <v>777.33600000000001</v>
      </c>
      <c r="G987" t="s">
        <v>16</v>
      </c>
      <c r="J987" t="str">
        <f>"06/12/2004 23:45"</f>
        <v>06/12/2004 23:45</v>
      </c>
    </row>
    <row r="988" spans="1:10" x14ac:dyDescent="0.3">
      <c r="A988" t="s">
        <v>6</v>
      </c>
      <c r="B988" t="str">
        <f>"06/13/2004 00:00"</f>
        <v>06/13/2004 00:00</v>
      </c>
      <c r="C988">
        <v>337</v>
      </c>
      <c r="D988" t="s">
        <v>7</v>
      </c>
      <c r="E988" s="2" t="s">
        <v>12</v>
      </c>
      <c r="F988">
        <f t="shared" si="15"/>
        <v>668.27100000000007</v>
      </c>
      <c r="G988" t="s">
        <v>16</v>
      </c>
      <c r="J988" t="str">
        <f>"06/13/2004 23:45"</f>
        <v>06/13/2004 23:45</v>
      </c>
    </row>
    <row r="989" spans="1:10" x14ac:dyDescent="0.3">
      <c r="A989" t="s">
        <v>6</v>
      </c>
      <c r="B989" t="str">
        <f>"06/14/2004 00:00"</f>
        <v>06/14/2004 00:00</v>
      </c>
      <c r="C989">
        <v>299</v>
      </c>
      <c r="D989" t="s">
        <v>7</v>
      </c>
      <c r="E989" s="2" t="s">
        <v>12</v>
      </c>
      <c r="F989">
        <f t="shared" si="15"/>
        <v>592.91700000000003</v>
      </c>
      <c r="G989" t="s">
        <v>16</v>
      </c>
      <c r="J989" t="str">
        <f>"06/14/2004 23:45"</f>
        <v>06/14/2004 23:45</v>
      </c>
    </row>
    <row r="990" spans="1:10" x14ac:dyDescent="0.3">
      <c r="A990" t="s">
        <v>6</v>
      </c>
      <c r="B990" t="str">
        <f>"06/15/2004 00:00"</f>
        <v>06/15/2004 00:00</v>
      </c>
      <c r="C990">
        <v>277</v>
      </c>
      <c r="D990" t="s">
        <v>7</v>
      </c>
      <c r="E990" s="2" t="s">
        <v>12</v>
      </c>
      <c r="F990">
        <f t="shared" si="15"/>
        <v>549.29100000000005</v>
      </c>
      <c r="G990" t="s">
        <v>16</v>
      </c>
      <c r="J990" t="str">
        <f>"06/15/2004 23:45"</f>
        <v>06/15/2004 23:45</v>
      </c>
    </row>
    <row r="991" spans="1:10" x14ac:dyDescent="0.3">
      <c r="A991" t="s">
        <v>6</v>
      </c>
      <c r="B991" t="str">
        <f>"06/16/2004 00:00"</f>
        <v>06/16/2004 00:00</v>
      </c>
      <c r="C991">
        <v>250</v>
      </c>
      <c r="D991" t="s">
        <v>7</v>
      </c>
      <c r="E991" s="2" t="s">
        <v>12</v>
      </c>
      <c r="F991">
        <f t="shared" si="15"/>
        <v>495.75</v>
      </c>
      <c r="G991" t="s">
        <v>16</v>
      </c>
      <c r="J991" t="str">
        <f>"06/16/2004 23:45"</f>
        <v>06/16/2004 23:45</v>
      </c>
    </row>
    <row r="992" spans="1:10" x14ac:dyDescent="0.3">
      <c r="A992" t="s">
        <v>6</v>
      </c>
      <c r="B992" t="str">
        <f>"06/17/2004 00:00"</f>
        <v>06/17/2004 00:00</v>
      </c>
      <c r="C992">
        <v>250</v>
      </c>
      <c r="D992" t="s">
        <v>7</v>
      </c>
      <c r="E992" s="2" t="s">
        <v>12</v>
      </c>
      <c r="F992">
        <f t="shared" si="15"/>
        <v>495.75</v>
      </c>
      <c r="G992" t="s">
        <v>16</v>
      </c>
      <c r="J992" t="str">
        <f>"06/17/2004 23:45"</f>
        <v>06/17/2004 23:45</v>
      </c>
    </row>
    <row r="993" spans="1:10" x14ac:dyDescent="0.3">
      <c r="A993" t="s">
        <v>6</v>
      </c>
      <c r="B993" t="str">
        <f>"06/18/2004 00:00"</f>
        <v>06/18/2004 00:00</v>
      </c>
      <c r="C993">
        <v>199</v>
      </c>
      <c r="D993" t="s">
        <v>7</v>
      </c>
      <c r="E993" s="2" t="s">
        <v>12</v>
      </c>
      <c r="F993">
        <f t="shared" si="15"/>
        <v>394.61700000000002</v>
      </c>
      <c r="G993" t="s">
        <v>16</v>
      </c>
      <c r="J993" t="str">
        <f>"06/18/2004 23:45"</f>
        <v>06/18/2004 23:45</v>
      </c>
    </row>
    <row r="994" spans="1:10" x14ac:dyDescent="0.3">
      <c r="A994" t="s">
        <v>6</v>
      </c>
      <c r="B994" t="str">
        <f>"06/19/2004 00:00"</f>
        <v>06/19/2004 00:00</v>
      </c>
      <c r="C994">
        <v>132</v>
      </c>
      <c r="D994" t="s">
        <v>7</v>
      </c>
      <c r="E994" s="2" t="s">
        <v>12</v>
      </c>
      <c r="F994">
        <f t="shared" si="15"/>
        <v>261.75600000000003</v>
      </c>
      <c r="G994" t="s">
        <v>16</v>
      </c>
      <c r="J994" t="str">
        <f>"06/19/2004 23:45"</f>
        <v>06/19/2004 23:45</v>
      </c>
    </row>
    <row r="995" spans="1:10" x14ac:dyDescent="0.3">
      <c r="A995" t="s">
        <v>6</v>
      </c>
      <c r="B995" t="str">
        <f>"06/20/2004 00:00"</f>
        <v>06/20/2004 00:00</v>
      </c>
      <c r="C995">
        <v>132</v>
      </c>
      <c r="D995" t="s">
        <v>7</v>
      </c>
      <c r="E995" s="2" t="s">
        <v>12</v>
      </c>
      <c r="F995">
        <f t="shared" si="15"/>
        <v>261.75600000000003</v>
      </c>
      <c r="G995" t="s">
        <v>16</v>
      </c>
      <c r="J995" t="str">
        <f>"06/20/2004 23:45"</f>
        <v>06/20/2004 23:45</v>
      </c>
    </row>
    <row r="996" spans="1:10" x14ac:dyDescent="0.3">
      <c r="A996" t="s">
        <v>6</v>
      </c>
      <c r="B996" t="str">
        <f>"06/21/2004 00:00"</f>
        <v>06/21/2004 00:00</v>
      </c>
      <c r="C996">
        <v>178</v>
      </c>
      <c r="D996" t="s">
        <v>7</v>
      </c>
      <c r="E996" s="2" t="s">
        <v>12</v>
      </c>
      <c r="F996">
        <f t="shared" si="15"/>
        <v>352.97399999999999</v>
      </c>
      <c r="G996" t="s">
        <v>16</v>
      </c>
      <c r="J996" t="str">
        <f>"06/21/2004 23:45"</f>
        <v>06/21/2004 23:45</v>
      </c>
    </row>
    <row r="997" spans="1:10" x14ac:dyDescent="0.3">
      <c r="A997" t="s">
        <v>6</v>
      </c>
      <c r="B997" t="str">
        <f>"06/22/2004 00:00"</f>
        <v>06/22/2004 00:00</v>
      </c>
      <c r="C997">
        <v>190</v>
      </c>
      <c r="D997" t="s">
        <v>7</v>
      </c>
      <c r="E997" s="2" t="s">
        <v>12</v>
      </c>
      <c r="F997">
        <f t="shared" si="15"/>
        <v>376.77000000000004</v>
      </c>
      <c r="G997" t="s">
        <v>16</v>
      </c>
      <c r="J997" t="str">
        <f>"06/22/2004 23:45"</f>
        <v>06/22/2004 23:45</v>
      </c>
    </row>
    <row r="998" spans="1:10" x14ac:dyDescent="0.3">
      <c r="A998" t="s">
        <v>6</v>
      </c>
      <c r="B998" t="str">
        <f>"06/23/2004 00:00"</f>
        <v>06/23/2004 00:00</v>
      </c>
      <c r="C998">
        <v>130</v>
      </c>
      <c r="D998" t="s">
        <v>7</v>
      </c>
      <c r="E998" s="2" t="s">
        <v>12</v>
      </c>
      <c r="F998">
        <f t="shared" si="15"/>
        <v>257.79000000000002</v>
      </c>
      <c r="G998" t="s">
        <v>16</v>
      </c>
      <c r="J998" t="str">
        <f>"06/23/2004 23:45"</f>
        <v>06/23/2004 23:45</v>
      </c>
    </row>
    <row r="999" spans="1:10" x14ac:dyDescent="0.3">
      <c r="A999" t="s">
        <v>6</v>
      </c>
      <c r="B999" t="str">
        <f>"06/24/2004 00:00"</f>
        <v>06/24/2004 00:00</v>
      </c>
      <c r="C999">
        <v>172</v>
      </c>
      <c r="D999" t="s">
        <v>7</v>
      </c>
      <c r="E999" s="2" t="s">
        <v>12</v>
      </c>
      <c r="F999">
        <f t="shared" si="15"/>
        <v>341.07600000000002</v>
      </c>
      <c r="G999" t="s">
        <v>16</v>
      </c>
      <c r="J999" t="str">
        <f>"06/24/2004 23:45"</f>
        <v>06/24/2004 23:45</v>
      </c>
    </row>
    <row r="1000" spans="1:10" x14ac:dyDescent="0.3">
      <c r="A1000" t="s">
        <v>6</v>
      </c>
      <c r="B1000" t="str">
        <f>"06/25/2004 00:00"</f>
        <v>06/25/2004 00:00</v>
      </c>
      <c r="C1000">
        <v>278</v>
      </c>
      <c r="D1000" t="s">
        <v>7</v>
      </c>
      <c r="E1000" s="2" t="s">
        <v>12</v>
      </c>
      <c r="F1000">
        <f t="shared" si="15"/>
        <v>551.274</v>
      </c>
      <c r="G1000" t="s">
        <v>16</v>
      </c>
      <c r="J1000" t="str">
        <f>"06/25/2004 23:45"</f>
        <v>06/25/2004 23:45</v>
      </c>
    </row>
    <row r="1001" spans="1:10" x14ac:dyDescent="0.3">
      <c r="A1001" t="s">
        <v>6</v>
      </c>
      <c r="B1001" t="str">
        <f>"06/26/2004 00:00"</f>
        <v>06/26/2004 00:00</v>
      </c>
      <c r="C1001">
        <v>323</v>
      </c>
      <c r="D1001" t="s">
        <v>7</v>
      </c>
      <c r="E1001" s="2" t="s">
        <v>12</v>
      </c>
      <c r="F1001">
        <f t="shared" si="15"/>
        <v>640.50900000000001</v>
      </c>
      <c r="G1001" t="s">
        <v>16</v>
      </c>
      <c r="J1001" t="str">
        <f>"06/26/2004 23:45"</f>
        <v>06/26/2004 23:45</v>
      </c>
    </row>
    <row r="1002" spans="1:10" x14ac:dyDescent="0.3">
      <c r="A1002" t="s">
        <v>6</v>
      </c>
      <c r="B1002" t="str">
        <f>"06/27/2004 00:00"</f>
        <v>06/27/2004 00:00</v>
      </c>
      <c r="C1002">
        <v>226</v>
      </c>
      <c r="D1002" t="s">
        <v>7</v>
      </c>
      <c r="E1002" s="2" t="s">
        <v>12</v>
      </c>
      <c r="F1002">
        <f t="shared" si="15"/>
        <v>448.15800000000002</v>
      </c>
      <c r="G1002" t="s">
        <v>16</v>
      </c>
      <c r="J1002" t="str">
        <f>"06/27/2004 23:45"</f>
        <v>06/27/2004 23:45</v>
      </c>
    </row>
    <row r="1003" spans="1:10" x14ac:dyDescent="0.3">
      <c r="A1003" t="s">
        <v>6</v>
      </c>
      <c r="B1003" t="str">
        <f>"06/28/2004 00:00"</f>
        <v>06/28/2004 00:00</v>
      </c>
      <c r="C1003">
        <v>64.3</v>
      </c>
      <c r="D1003" t="s">
        <v>7</v>
      </c>
      <c r="E1003" s="2" t="s">
        <v>12</v>
      </c>
      <c r="F1003">
        <f t="shared" si="15"/>
        <v>127.5069</v>
      </c>
      <c r="G1003" t="s">
        <v>16</v>
      </c>
      <c r="J1003" t="str">
        <f>"06/28/2004 23:45"</f>
        <v>06/28/2004 23:45</v>
      </c>
    </row>
    <row r="1004" spans="1:10" x14ac:dyDescent="0.3">
      <c r="A1004" t="s">
        <v>6</v>
      </c>
      <c r="B1004" t="str">
        <f>"06/29/2004 00:00"</f>
        <v>06/29/2004 00:00</v>
      </c>
      <c r="C1004">
        <v>2</v>
      </c>
      <c r="D1004" t="s">
        <v>7</v>
      </c>
      <c r="E1004" s="2" t="s">
        <v>12</v>
      </c>
      <c r="F1004">
        <f t="shared" si="15"/>
        <v>3.9660000000000002</v>
      </c>
      <c r="G1004" t="s">
        <v>16</v>
      </c>
      <c r="J1004" t="str">
        <f>"06/29/2004 23:45"</f>
        <v>06/29/2004 23:45</v>
      </c>
    </row>
    <row r="1005" spans="1:10" x14ac:dyDescent="0.3">
      <c r="A1005" t="s">
        <v>6</v>
      </c>
      <c r="B1005" t="str">
        <f>"06/30/2004 00:00"</f>
        <v>06/30/2004 00:00</v>
      </c>
      <c r="C1005">
        <v>27.3</v>
      </c>
      <c r="D1005" t="s">
        <v>7</v>
      </c>
      <c r="E1005" s="2" t="s">
        <v>12</v>
      </c>
      <c r="F1005">
        <f t="shared" si="15"/>
        <v>54.135900000000007</v>
      </c>
      <c r="G1005" t="s">
        <v>16</v>
      </c>
      <c r="J1005" t="str">
        <f>"06/30/2004 23:45"</f>
        <v>06/30/2004 23:45</v>
      </c>
    </row>
    <row r="1006" spans="1:10" x14ac:dyDescent="0.3">
      <c r="A1006" t="s">
        <v>6</v>
      </c>
      <c r="B1006" t="str">
        <f>"07/01/2004 00:00"</f>
        <v>07/01/2004 00:00</v>
      </c>
      <c r="C1006">
        <v>55.4</v>
      </c>
      <c r="D1006" t="s">
        <v>7</v>
      </c>
      <c r="E1006" s="2" t="s">
        <v>12</v>
      </c>
      <c r="F1006">
        <f t="shared" si="15"/>
        <v>109.8582</v>
      </c>
      <c r="G1006" t="s">
        <v>16</v>
      </c>
      <c r="J1006" t="str">
        <f>"07/01/2004 23:45"</f>
        <v>07/01/2004 23:45</v>
      </c>
    </row>
    <row r="1007" spans="1:10" x14ac:dyDescent="0.3">
      <c r="A1007" t="s">
        <v>6</v>
      </c>
      <c r="B1007" t="str">
        <f>"07/02/2004 00:00"</f>
        <v>07/02/2004 00:00</v>
      </c>
      <c r="C1007">
        <v>51.2</v>
      </c>
      <c r="D1007" t="s">
        <v>7</v>
      </c>
      <c r="E1007" s="2" t="s">
        <v>12</v>
      </c>
      <c r="F1007">
        <f t="shared" si="15"/>
        <v>101.52960000000002</v>
      </c>
      <c r="G1007" t="s">
        <v>16</v>
      </c>
      <c r="J1007" t="str">
        <f>"07/02/2004 23:45"</f>
        <v>07/02/2004 23:45</v>
      </c>
    </row>
    <row r="1008" spans="1:10" x14ac:dyDescent="0.3">
      <c r="A1008" t="s">
        <v>6</v>
      </c>
      <c r="B1008" t="str">
        <f>"07/03/2004 00:00"</f>
        <v>07/03/2004 00:00</v>
      </c>
      <c r="C1008">
        <v>51.2</v>
      </c>
      <c r="D1008" t="s">
        <v>7</v>
      </c>
      <c r="E1008" s="2" t="s">
        <v>12</v>
      </c>
      <c r="F1008">
        <f t="shared" si="15"/>
        <v>101.52960000000002</v>
      </c>
      <c r="G1008" t="s">
        <v>16</v>
      </c>
      <c r="J1008" t="str">
        <f>"07/03/2004 23:45"</f>
        <v>07/03/2004 23:45</v>
      </c>
    </row>
    <row r="1009" spans="1:10" x14ac:dyDescent="0.3">
      <c r="A1009" t="s">
        <v>6</v>
      </c>
      <c r="B1009" t="str">
        <f>"07/04/2004 00:00"</f>
        <v>07/04/2004 00:00</v>
      </c>
      <c r="C1009">
        <v>51.2</v>
      </c>
      <c r="D1009" t="s">
        <v>7</v>
      </c>
      <c r="E1009" s="2" t="s">
        <v>12</v>
      </c>
      <c r="F1009">
        <f t="shared" si="15"/>
        <v>101.52960000000002</v>
      </c>
      <c r="G1009" t="s">
        <v>16</v>
      </c>
      <c r="J1009" t="str">
        <f>"07/04/2004 23:45"</f>
        <v>07/04/2004 23:45</v>
      </c>
    </row>
    <row r="1010" spans="1:10" x14ac:dyDescent="0.3">
      <c r="A1010" t="s">
        <v>6</v>
      </c>
      <c r="B1010" t="str">
        <f>"07/05/2004 00:00"</f>
        <v>07/05/2004 00:00</v>
      </c>
      <c r="C1010">
        <v>51.1</v>
      </c>
      <c r="D1010" t="s">
        <v>7</v>
      </c>
      <c r="E1010" s="2" t="s">
        <v>12</v>
      </c>
      <c r="F1010">
        <f t="shared" si="15"/>
        <v>101.33130000000001</v>
      </c>
      <c r="G1010" t="s">
        <v>16</v>
      </c>
      <c r="J1010" t="str">
        <f>"07/05/2004 23:45"</f>
        <v>07/05/2004 23:45</v>
      </c>
    </row>
    <row r="1011" spans="1:10" x14ac:dyDescent="0.3">
      <c r="A1011" t="s">
        <v>6</v>
      </c>
      <c r="B1011" t="str">
        <f>"07/06/2004 00:00"</f>
        <v>07/06/2004 00:00</v>
      </c>
      <c r="C1011">
        <v>100</v>
      </c>
      <c r="D1011" t="s">
        <v>7</v>
      </c>
      <c r="E1011" s="2" t="s">
        <v>12</v>
      </c>
      <c r="F1011">
        <f t="shared" si="15"/>
        <v>198.3</v>
      </c>
      <c r="G1011" t="s">
        <v>16</v>
      </c>
      <c r="J1011" t="str">
        <f>"07/06/2004 23:45"</f>
        <v>07/06/2004 23:45</v>
      </c>
    </row>
    <row r="1012" spans="1:10" x14ac:dyDescent="0.3">
      <c r="A1012" t="s">
        <v>6</v>
      </c>
      <c r="B1012" t="str">
        <f>"07/07/2004 00:00"</f>
        <v>07/07/2004 00:00</v>
      </c>
      <c r="C1012">
        <v>142</v>
      </c>
      <c r="D1012" t="s">
        <v>7</v>
      </c>
      <c r="E1012" s="2" t="s">
        <v>12</v>
      </c>
      <c r="F1012">
        <f t="shared" si="15"/>
        <v>281.58600000000001</v>
      </c>
      <c r="G1012" t="s">
        <v>16</v>
      </c>
      <c r="J1012" t="str">
        <f>"07/07/2004 23:45"</f>
        <v>07/07/2004 23:45</v>
      </c>
    </row>
    <row r="1013" spans="1:10" x14ac:dyDescent="0.3">
      <c r="A1013" t="s">
        <v>6</v>
      </c>
      <c r="B1013" t="str">
        <f>"07/08/2004 00:00"</f>
        <v>07/08/2004 00:00</v>
      </c>
      <c r="C1013">
        <v>178</v>
      </c>
      <c r="D1013" t="s">
        <v>7</v>
      </c>
      <c r="E1013" s="2" t="s">
        <v>12</v>
      </c>
      <c r="F1013">
        <f t="shared" si="15"/>
        <v>352.97399999999999</v>
      </c>
      <c r="G1013" t="s">
        <v>16</v>
      </c>
      <c r="J1013" t="str">
        <f>"07/08/2004 23:45"</f>
        <v>07/08/2004 23:45</v>
      </c>
    </row>
    <row r="1014" spans="1:10" x14ac:dyDescent="0.3">
      <c r="A1014" t="s">
        <v>6</v>
      </c>
      <c r="B1014" t="str">
        <f>"07/09/2004 00:00"</f>
        <v>07/09/2004 00:00</v>
      </c>
      <c r="C1014">
        <v>202</v>
      </c>
      <c r="D1014" t="s">
        <v>7</v>
      </c>
      <c r="E1014" s="2" t="s">
        <v>12</v>
      </c>
      <c r="F1014">
        <f t="shared" si="15"/>
        <v>400.56600000000003</v>
      </c>
      <c r="G1014" t="s">
        <v>16</v>
      </c>
      <c r="J1014" t="str">
        <f>"07/09/2004 23:45"</f>
        <v>07/09/2004 23:45</v>
      </c>
    </row>
    <row r="1015" spans="1:10" x14ac:dyDescent="0.3">
      <c r="A1015" t="s">
        <v>6</v>
      </c>
      <c r="B1015" t="str">
        <f>"07/10/2004 00:00"</f>
        <v>07/10/2004 00:00</v>
      </c>
      <c r="C1015">
        <v>203</v>
      </c>
      <c r="D1015" t="s">
        <v>7</v>
      </c>
      <c r="E1015" s="2" t="s">
        <v>12</v>
      </c>
      <c r="F1015">
        <f t="shared" si="15"/>
        <v>402.54900000000004</v>
      </c>
      <c r="G1015" t="s">
        <v>16</v>
      </c>
      <c r="J1015" t="str">
        <f>"07/10/2004 23:45"</f>
        <v>07/10/2004 23:45</v>
      </c>
    </row>
    <row r="1016" spans="1:10" x14ac:dyDescent="0.3">
      <c r="A1016" t="s">
        <v>6</v>
      </c>
      <c r="B1016" t="str">
        <f>"07/11/2004 00:00"</f>
        <v>07/11/2004 00:00</v>
      </c>
      <c r="C1016">
        <v>171</v>
      </c>
      <c r="D1016" t="s">
        <v>7</v>
      </c>
      <c r="E1016" s="2" t="s">
        <v>12</v>
      </c>
      <c r="F1016">
        <f t="shared" si="15"/>
        <v>339.09300000000002</v>
      </c>
      <c r="G1016" t="s">
        <v>16</v>
      </c>
      <c r="J1016" t="str">
        <f>"07/11/2004 23:45"</f>
        <v>07/11/2004 23:45</v>
      </c>
    </row>
    <row r="1017" spans="1:10" x14ac:dyDescent="0.3">
      <c r="A1017" t="s">
        <v>6</v>
      </c>
      <c r="B1017" t="str">
        <f>"07/12/2004 00:00"</f>
        <v>07/12/2004 00:00</v>
      </c>
      <c r="C1017">
        <v>150</v>
      </c>
      <c r="D1017" t="s">
        <v>7</v>
      </c>
      <c r="E1017" s="2" t="s">
        <v>12</v>
      </c>
      <c r="F1017">
        <f t="shared" si="15"/>
        <v>297.45</v>
      </c>
      <c r="G1017" t="s">
        <v>16</v>
      </c>
      <c r="J1017" t="str">
        <f>"07/12/2004 23:45"</f>
        <v>07/12/2004 23:45</v>
      </c>
    </row>
    <row r="1018" spans="1:10" x14ac:dyDescent="0.3">
      <c r="A1018" t="s">
        <v>6</v>
      </c>
      <c r="B1018" t="str">
        <f>"07/13/2004 00:00"</f>
        <v>07/13/2004 00:00</v>
      </c>
      <c r="C1018">
        <v>151</v>
      </c>
      <c r="D1018" t="s">
        <v>7</v>
      </c>
      <c r="E1018" s="2" t="s">
        <v>12</v>
      </c>
      <c r="F1018">
        <f t="shared" si="15"/>
        <v>299.43299999999999</v>
      </c>
      <c r="G1018" t="s">
        <v>16</v>
      </c>
      <c r="J1018" t="str">
        <f>"07/13/2004 23:45"</f>
        <v>07/13/2004 23:45</v>
      </c>
    </row>
    <row r="1019" spans="1:10" x14ac:dyDescent="0.3">
      <c r="A1019" t="s">
        <v>6</v>
      </c>
      <c r="B1019" t="str">
        <f>"07/14/2004 00:00"</f>
        <v>07/14/2004 00:00</v>
      </c>
      <c r="C1019">
        <v>182</v>
      </c>
      <c r="D1019" t="s">
        <v>7</v>
      </c>
      <c r="E1019" s="2" t="s">
        <v>12</v>
      </c>
      <c r="F1019">
        <f t="shared" si="15"/>
        <v>360.90600000000001</v>
      </c>
      <c r="G1019" t="s">
        <v>16</v>
      </c>
      <c r="J1019" t="str">
        <f>"07/14/2004 23:45"</f>
        <v>07/14/2004 23:45</v>
      </c>
    </row>
    <row r="1020" spans="1:10" x14ac:dyDescent="0.3">
      <c r="A1020" t="s">
        <v>6</v>
      </c>
      <c r="B1020" t="str">
        <f>"07/15/2004 00:00"</f>
        <v>07/15/2004 00:00</v>
      </c>
      <c r="C1020">
        <v>201</v>
      </c>
      <c r="D1020" t="s">
        <v>7</v>
      </c>
      <c r="E1020" s="2" t="s">
        <v>12</v>
      </c>
      <c r="F1020">
        <f t="shared" si="15"/>
        <v>398.58300000000003</v>
      </c>
      <c r="G1020" t="s">
        <v>16</v>
      </c>
      <c r="J1020" t="str">
        <f>"07/15/2004 23:45"</f>
        <v>07/15/2004 23:45</v>
      </c>
    </row>
    <row r="1021" spans="1:10" x14ac:dyDescent="0.3">
      <c r="A1021" t="s">
        <v>6</v>
      </c>
      <c r="B1021" t="str">
        <f>"07/16/2004 00:00"</f>
        <v>07/16/2004 00:00</v>
      </c>
      <c r="C1021">
        <v>199</v>
      </c>
      <c r="D1021" t="s">
        <v>7</v>
      </c>
      <c r="E1021" s="2" t="s">
        <v>12</v>
      </c>
      <c r="F1021">
        <f t="shared" si="15"/>
        <v>394.61700000000002</v>
      </c>
      <c r="G1021" t="s">
        <v>16</v>
      </c>
      <c r="J1021" t="str">
        <f>"07/16/2004 23:45"</f>
        <v>07/16/2004 23:45</v>
      </c>
    </row>
    <row r="1022" spans="1:10" x14ac:dyDescent="0.3">
      <c r="A1022" t="s">
        <v>6</v>
      </c>
      <c r="B1022" t="str">
        <f>"07/17/2004 00:00"</f>
        <v>07/17/2004 00:00</v>
      </c>
      <c r="C1022">
        <v>134</v>
      </c>
      <c r="D1022" t="s">
        <v>7</v>
      </c>
      <c r="E1022" s="2" t="s">
        <v>12</v>
      </c>
      <c r="F1022">
        <f t="shared" si="15"/>
        <v>265.72200000000004</v>
      </c>
      <c r="G1022" t="s">
        <v>16</v>
      </c>
      <c r="J1022" t="str">
        <f>"07/17/2004 23:45"</f>
        <v>07/17/2004 23:45</v>
      </c>
    </row>
    <row r="1023" spans="1:10" x14ac:dyDescent="0.3">
      <c r="A1023" t="s">
        <v>6</v>
      </c>
      <c r="B1023" t="str">
        <f>"07/18/2004 00:00"</f>
        <v>07/18/2004 00:00</v>
      </c>
      <c r="C1023">
        <v>24.1</v>
      </c>
      <c r="D1023" t="s">
        <v>7</v>
      </c>
      <c r="E1023" s="2" t="s">
        <v>12</v>
      </c>
      <c r="F1023">
        <f t="shared" si="15"/>
        <v>47.790300000000002</v>
      </c>
      <c r="G1023" t="s">
        <v>16</v>
      </c>
      <c r="J1023" t="str">
        <f>"07/18/2004 23:45"</f>
        <v>07/18/2004 23:45</v>
      </c>
    </row>
    <row r="1024" spans="1:10" x14ac:dyDescent="0.3">
      <c r="A1024" t="s">
        <v>6</v>
      </c>
      <c r="B1024" t="str">
        <f>"07/19/2004 00:00"</f>
        <v>07/19/2004 00:00</v>
      </c>
      <c r="C1024">
        <v>25.5</v>
      </c>
      <c r="D1024" t="s">
        <v>7</v>
      </c>
      <c r="E1024" s="2" t="s">
        <v>12</v>
      </c>
      <c r="F1024">
        <f t="shared" si="15"/>
        <v>50.566500000000005</v>
      </c>
      <c r="G1024" t="s">
        <v>16</v>
      </c>
      <c r="J1024" t="str">
        <f>"07/19/2004 23:45"</f>
        <v>07/19/2004 23:45</v>
      </c>
    </row>
    <row r="1025" spans="1:10" x14ac:dyDescent="0.3">
      <c r="A1025" t="s">
        <v>6</v>
      </c>
      <c r="B1025" t="str">
        <f>"07/20/2004 00:00"</f>
        <v>07/20/2004 00:00</v>
      </c>
      <c r="C1025">
        <v>49.2</v>
      </c>
      <c r="D1025" t="s">
        <v>7</v>
      </c>
      <c r="E1025" s="2" t="s">
        <v>12</v>
      </c>
      <c r="F1025">
        <f t="shared" si="15"/>
        <v>97.563600000000008</v>
      </c>
      <c r="G1025" t="s">
        <v>16</v>
      </c>
      <c r="J1025" t="str">
        <f>"07/20/2004 23:45"</f>
        <v>07/20/2004 23:45</v>
      </c>
    </row>
    <row r="1026" spans="1:10" x14ac:dyDescent="0.3">
      <c r="A1026" t="s">
        <v>6</v>
      </c>
      <c r="B1026" t="str">
        <f>"07/21/2004 00:00"</f>
        <v>07/21/2004 00:00</v>
      </c>
      <c r="C1026">
        <v>119</v>
      </c>
      <c r="D1026" t="s">
        <v>7</v>
      </c>
      <c r="E1026" s="2" t="s">
        <v>12</v>
      </c>
      <c r="F1026">
        <f t="shared" si="15"/>
        <v>235.977</v>
      </c>
      <c r="G1026" t="s">
        <v>16</v>
      </c>
      <c r="J1026" t="str">
        <f>"07/21/2004 23:45"</f>
        <v>07/21/2004 23:45</v>
      </c>
    </row>
    <row r="1027" spans="1:10" x14ac:dyDescent="0.3">
      <c r="A1027" t="s">
        <v>6</v>
      </c>
      <c r="B1027" t="str">
        <f>"07/22/2004 00:00"</f>
        <v>07/22/2004 00:00</v>
      </c>
      <c r="C1027">
        <v>216</v>
      </c>
      <c r="D1027" t="s">
        <v>7</v>
      </c>
      <c r="E1027" s="2" t="s">
        <v>12</v>
      </c>
      <c r="F1027">
        <f t="shared" si="15"/>
        <v>428.32800000000003</v>
      </c>
      <c r="G1027" t="s">
        <v>16</v>
      </c>
      <c r="J1027" t="str">
        <f>"07/22/2004 23:45"</f>
        <v>07/22/2004 23:45</v>
      </c>
    </row>
    <row r="1028" spans="1:10" x14ac:dyDescent="0.3">
      <c r="A1028" t="s">
        <v>6</v>
      </c>
      <c r="B1028" t="str">
        <f>"07/23/2004 00:00"</f>
        <v>07/23/2004 00:00</v>
      </c>
      <c r="C1028">
        <v>261</v>
      </c>
      <c r="D1028" t="s">
        <v>7</v>
      </c>
      <c r="E1028" s="2" t="s">
        <v>12</v>
      </c>
      <c r="F1028">
        <f t="shared" ref="F1028:F1091" si="16">C1028*1.983</f>
        <v>517.56299999999999</v>
      </c>
      <c r="G1028" t="s">
        <v>16</v>
      </c>
      <c r="J1028" t="str">
        <f>"07/23/2004 23:45"</f>
        <v>07/23/2004 23:45</v>
      </c>
    </row>
    <row r="1029" spans="1:10" x14ac:dyDescent="0.3">
      <c r="A1029" t="s">
        <v>6</v>
      </c>
      <c r="B1029" t="str">
        <f>"07/24/2004 00:00"</f>
        <v>07/24/2004 00:00</v>
      </c>
      <c r="C1029">
        <v>275</v>
      </c>
      <c r="D1029" t="s">
        <v>7</v>
      </c>
      <c r="E1029" s="2" t="s">
        <v>12</v>
      </c>
      <c r="F1029">
        <f t="shared" si="16"/>
        <v>545.32500000000005</v>
      </c>
      <c r="G1029" t="s">
        <v>16</v>
      </c>
      <c r="J1029" t="str">
        <f>"07/24/2004 23:45"</f>
        <v>07/24/2004 23:45</v>
      </c>
    </row>
    <row r="1030" spans="1:10" x14ac:dyDescent="0.3">
      <c r="A1030" t="s">
        <v>6</v>
      </c>
      <c r="B1030" t="str">
        <f>"07/25/2004 00:00"</f>
        <v>07/25/2004 00:00</v>
      </c>
      <c r="C1030">
        <v>246</v>
      </c>
      <c r="D1030" t="s">
        <v>7</v>
      </c>
      <c r="E1030" s="2" t="s">
        <v>12</v>
      </c>
      <c r="F1030">
        <f t="shared" si="16"/>
        <v>487.81800000000004</v>
      </c>
      <c r="G1030" t="s">
        <v>16</v>
      </c>
      <c r="J1030" t="str">
        <f>"07/25/2004 23:45"</f>
        <v>07/25/2004 23:45</v>
      </c>
    </row>
    <row r="1031" spans="1:10" x14ac:dyDescent="0.3">
      <c r="A1031" t="s">
        <v>6</v>
      </c>
      <c r="B1031" t="str">
        <f>"07/26/2004 00:00"</f>
        <v>07/26/2004 00:00</v>
      </c>
      <c r="C1031">
        <v>145</v>
      </c>
      <c r="D1031" t="s">
        <v>7</v>
      </c>
      <c r="E1031" s="2" t="s">
        <v>12</v>
      </c>
      <c r="F1031">
        <f t="shared" si="16"/>
        <v>287.53500000000003</v>
      </c>
      <c r="G1031" t="s">
        <v>16</v>
      </c>
      <c r="J1031" t="str">
        <f>"07/26/2004 23:45"</f>
        <v>07/26/2004 23:45</v>
      </c>
    </row>
    <row r="1032" spans="1:10" x14ac:dyDescent="0.3">
      <c r="A1032" t="s">
        <v>6</v>
      </c>
      <c r="B1032" t="str">
        <f>"07/27/2004 00:00"</f>
        <v>07/27/2004 00:00</v>
      </c>
      <c r="C1032">
        <v>22.9</v>
      </c>
      <c r="D1032" t="s">
        <v>7</v>
      </c>
      <c r="E1032" s="2" t="s">
        <v>12</v>
      </c>
      <c r="F1032">
        <f t="shared" si="16"/>
        <v>45.410699999999999</v>
      </c>
      <c r="G1032" t="s">
        <v>16</v>
      </c>
      <c r="J1032" t="str">
        <f>"07/27/2004 23:45"</f>
        <v>07/27/2004 23:45</v>
      </c>
    </row>
    <row r="1033" spans="1:10" x14ac:dyDescent="0.3">
      <c r="A1033" t="s">
        <v>6</v>
      </c>
      <c r="B1033" t="str">
        <f>"07/28/2004 00:00"</f>
        <v>07/28/2004 00:00</v>
      </c>
      <c r="C1033">
        <v>2.23</v>
      </c>
      <c r="D1033" t="s">
        <v>7</v>
      </c>
      <c r="E1033" s="2" t="s">
        <v>12</v>
      </c>
      <c r="F1033">
        <f t="shared" si="16"/>
        <v>4.4220899999999999</v>
      </c>
      <c r="G1033" t="s">
        <v>16</v>
      </c>
      <c r="J1033" t="str">
        <f>"07/28/2004 23:45"</f>
        <v>07/28/2004 23:45</v>
      </c>
    </row>
    <row r="1034" spans="1:10" x14ac:dyDescent="0.3">
      <c r="A1034" t="s">
        <v>6</v>
      </c>
      <c r="B1034" t="str">
        <f>"07/29/2004 00:00"</f>
        <v>07/29/2004 00:00</v>
      </c>
      <c r="C1034">
        <v>2.0499999999999998</v>
      </c>
      <c r="D1034" t="s">
        <v>7</v>
      </c>
      <c r="E1034" s="2" t="s">
        <v>12</v>
      </c>
      <c r="F1034">
        <f t="shared" si="16"/>
        <v>4.06515</v>
      </c>
      <c r="G1034" t="s">
        <v>16</v>
      </c>
      <c r="J1034" t="str">
        <f>"07/29/2004 23:45"</f>
        <v>07/29/2004 23:45</v>
      </c>
    </row>
    <row r="1035" spans="1:10" x14ac:dyDescent="0.3">
      <c r="A1035" t="s">
        <v>6</v>
      </c>
      <c r="B1035" t="str">
        <f>"07/30/2004 00:00"</f>
        <v>07/30/2004 00:00</v>
      </c>
      <c r="C1035">
        <v>1.08</v>
      </c>
      <c r="D1035" t="s">
        <v>7</v>
      </c>
      <c r="E1035" s="2" t="s">
        <v>12</v>
      </c>
      <c r="F1035">
        <f t="shared" si="16"/>
        <v>2.1416400000000002</v>
      </c>
      <c r="G1035" t="s">
        <v>16</v>
      </c>
      <c r="J1035" t="str">
        <f>"07/30/2004 23:45"</f>
        <v>07/30/2004 23:45</v>
      </c>
    </row>
    <row r="1036" spans="1:10" x14ac:dyDescent="0.3">
      <c r="A1036" t="s">
        <v>6</v>
      </c>
      <c r="B1036" t="str">
        <f>"07/31/2004 00:00"</f>
        <v>07/31/2004 00:00</v>
      </c>
      <c r="C1036">
        <v>0</v>
      </c>
      <c r="D1036" t="s">
        <v>7</v>
      </c>
      <c r="E1036" s="2" t="s">
        <v>12</v>
      </c>
      <c r="F1036">
        <f t="shared" si="16"/>
        <v>0</v>
      </c>
      <c r="G1036" t="s">
        <v>16</v>
      </c>
      <c r="J1036" t="str">
        <f>"07/31/2004 23:45"</f>
        <v>07/31/2004 23:45</v>
      </c>
    </row>
    <row r="1037" spans="1:10" x14ac:dyDescent="0.3">
      <c r="A1037" t="s">
        <v>6</v>
      </c>
      <c r="B1037" t="str">
        <f>"08/01/2004 00:00"</f>
        <v>08/01/2004 00:00</v>
      </c>
      <c r="C1037">
        <v>0</v>
      </c>
      <c r="D1037" t="s">
        <v>7</v>
      </c>
      <c r="E1037" s="2" t="s">
        <v>12</v>
      </c>
      <c r="F1037">
        <f t="shared" si="16"/>
        <v>0</v>
      </c>
      <c r="G1037" t="s">
        <v>16</v>
      </c>
      <c r="J1037" t="str">
        <f>"08/01/2004 23:45"</f>
        <v>08/01/2004 23:45</v>
      </c>
    </row>
    <row r="1038" spans="1:10" x14ac:dyDescent="0.3">
      <c r="A1038" t="s">
        <v>6</v>
      </c>
      <c r="B1038" t="str">
        <f>"08/02/2004 00:00"</f>
        <v>08/02/2004 00:00</v>
      </c>
      <c r="C1038">
        <v>9.3799999999999994E-3</v>
      </c>
      <c r="D1038" t="s">
        <v>7</v>
      </c>
      <c r="E1038" s="2" t="s">
        <v>12</v>
      </c>
      <c r="F1038">
        <f t="shared" si="16"/>
        <v>1.8600539999999999E-2</v>
      </c>
      <c r="G1038" t="s">
        <v>16</v>
      </c>
      <c r="J1038" t="str">
        <f>"08/02/2004 23:45"</f>
        <v>08/02/2004 23:45</v>
      </c>
    </row>
    <row r="1039" spans="1:10" x14ac:dyDescent="0.3">
      <c r="A1039" t="s">
        <v>6</v>
      </c>
      <c r="B1039" t="str">
        <f>"08/03/2004 00:00"</f>
        <v>08/03/2004 00:00</v>
      </c>
      <c r="C1039">
        <v>1.0399999999999999E-3</v>
      </c>
      <c r="D1039" t="s">
        <v>7</v>
      </c>
      <c r="E1039" s="2" t="s">
        <v>12</v>
      </c>
      <c r="F1039">
        <f t="shared" si="16"/>
        <v>2.0623199999999999E-3</v>
      </c>
      <c r="G1039" t="s">
        <v>16</v>
      </c>
      <c r="J1039" t="str">
        <f>"08/03/2004 23:45"</f>
        <v>08/03/2004 23:45</v>
      </c>
    </row>
    <row r="1040" spans="1:10" x14ac:dyDescent="0.3">
      <c r="A1040" t="s">
        <v>6</v>
      </c>
      <c r="B1040" t="str">
        <f>"08/04/2004 00:00"</f>
        <v>08/04/2004 00:00</v>
      </c>
      <c r="C1040">
        <v>2.0799999999999999E-2</v>
      </c>
      <c r="D1040" t="s">
        <v>7</v>
      </c>
      <c r="E1040" s="2" t="s">
        <v>12</v>
      </c>
      <c r="F1040">
        <f t="shared" si="16"/>
        <v>4.1246400000000003E-2</v>
      </c>
      <c r="G1040" t="s">
        <v>16</v>
      </c>
      <c r="J1040" t="str">
        <f>"08/04/2004 23:45"</f>
        <v>08/04/2004 23:45</v>
      </c>
    </row>
    <row r="1041" spans="1:10" x14ac:dyDescent="0.3">
      <c r="A1041" t="s">
        <v>6</v>
      </c>
      <c r="B1041" t="str">
        <f>"08/05/2004 00:00"</f>
        <v>08/05/2004 00:00</v>
      </c>
      <c r="C1041">
        <v>0.05</v>
      </c>
      <c r="D1041" t="s">
        <v>7</v>
      </c>
      <c r="E1041" s="2" t="s">
        <v>12</v>
      </c>
      <c r="F1041">
        <f t="shared" si="16"/>
        <v>9.9150000000000016E-2</v>
      </c>
      <c r="G1041" t="s">
        <v>16</v>
      </c>
      <c r="J1041" t="str">
        <f>"08/05/2004 23:45"</f>
        <v>08/05/2004 23:45</v>
      </c>
    </row>
    <row r="1042" spans="1:10" x14ac:dyDescent="0.3">
      <c r="A1042" t="s">
        <v>6</v>
      </c>
      <c r="B1042" t="str">
        <f>"08/06/2004 00:00"</f>
        <v>08/06/2004 00:00</v>
      </c>
      <c r="C1042">
        <v>50.8</v>
      </c>
      <c r="D1042" t="s">
        <v>7</v>
      </c>
      <c r="E1042" s="2" t="s">
        <v>12</v>
      </c>
      <c r="F1042">
        <f t="shared" si="16"/>
        <v>100.7364</v>
      </c>
      <c r="G1042" t="s">
        <v>16</v>
      </c>
      <c r="J1042" t="str">
        <f>"08/06/2004 23:45"</f>
        <v>08/06/2004 23:45</v>
      </c>
    </row>
    <row r="1043" spans="1:10" x14ac:dyDescent="0.3">
      <c r="A1043" t="s">
        <v>6</v>
      </c>
      <c r="B1043" t="str">
        <f>"08/07/2004 00:00"</f>
        <v>08/07/2004 00:00</v>
      </c>
      <c r="C1043">
        <v>100</v>
      </c>
      <c r="D1043" t="s">
        <v>7</v>
      </c>
      <c r="E1043" s="2" t="s">
        <v>12</v>
      </c>
      <c r="F1043">
        <f t="shared" si="16"/>
        <v>198.3</v>
      </c>
      <c r="G1043" t="s">
        <v>16</v>
      </c>
      <c r="J1043" t="str">
        <f>"08/07/2004 23:45"</f>
        <v>08/07/2004 23:45</v>
      </c>
    </row>
    <row r="1044" spans="1:10" x14ac:dyDescent="0.3">
      <c r="A1044" t="s">
        <v>6</v>
      </c>
      <c r="B1044" t="str">
        <f>"08/08/2004 00:00"</f>
        <v>08/08/2004 00:00</v>
      </c>
      <c r="C1044">
        <v>101</v>
      </c>
      <c r="D1044" t="s">
        <v>7</v>
      </c>
      <c r="E1044" s="2" t="s">
        <v>12</v>
      </c>
      <c r="F1044">
        <f t="shared" si="16"/>
        <v>200.28300000000002</v>
      </c>
      <c r="G1044" t="s">
        <v>16</v>
      </c>
      <c r="J1044" t="str">
        <f>"08/08/2004 23:45"</f>
        <v>08/08/2004 23:45</v>
      </c>
    </row>
    <row r="1045" spans="1:10" x14ac:dyDescent="0.3">
      <c r="A1045" t="s">
        <v>6</v>
      </c>
      <c r="B1045" t="str">
        <f>"08/09/2004 00:00"</f>
        <v>08/09/2004 00:00</v>
      </c>
      <c r="C1045">
        <v>99.9</v>
      </c>
      <c r="D1045" t="s">
        <v>7</v>
      </c>
      <c r="E1045" s="2" t="s">
        <v>12</v>
      </c>
      <c r="F1045">
        <f t="shared" si="16"/>
        <v>198.10170000000002</v>
      </c>
      <c r="G1045" t="s">
        <v>16</v>
      </c>
      <c r="J1045" t="str">
        <f>"08/09/2004 23:45"</f>
        <v>08/09/2004 23:45</v>
      </c>
    </row>
    <row r="1046" spans="1:10" x14ac:dyDescent="0.3">
      <c r="A1046" t="s">
        <v>6</v>
      </c>
      <c r="B1046" t="str">
        <f>"08/10/2004 00:00"</f>
        <v>08/10/2004 00:00</v>
      </c>
      <c r="C1046">
        <v>101</v>
      </c>
      <c r="D1046" t="s">
        <v>7</v>
      </c>
      <c r="E1046" s="2" t="s">
        <v>12</v>
      </c>
      <c r="F1046">
        <f t="shared" si="16"/>
        <v>200.28300000000002</v>
      </c>
      <c r="G1046" t="s">
        <v>16</v>
      </c>
      <c r="J1046" t="str">
        <f>"08/10/2004 23:45"</f>
        <v>08/10/2004 23:45</v>
      </c>
    </row>
    <row r="1047" spans="1:10" x14ac:dyDescent="0.3">
      <c r="A1047" t="s">
        <v>6</v>
      </c>
      <c r="B1047" t="str">
        <f>"08/11/2004 00:00"</f>
        <v>08/11/2004 00:00</v>
      </c>
      <c r="C1047">
        <v>124</v>
      </c>
      <c r="D1047" t="s">
        <v>7</v>
      </c>
      <c r="E1047" s="2" t="s">
        <v>12</v>
      </c>
      <c r="F1047">
        <f t="shared" si="16"/>
        <v>245.89200000000002</v>
      </c>
      <c r="G1047" t="s">
        <v>16</v>
      </c>
      <c r="J1047" t="str">
        <f>"08/11/2004 23:45"</f>
        <v>08/11/2004 23:45</v>
      </c>
    </row>
    <row r="1048" spans="1:10" x14ac:dyDescent="0.3">
      <c r="A1048" t="s">
        <v>6</v>
      </c>
      <c r="B1048" t="str">
        <f>"08/12/2004 00:00"</f>
        <v>08/12/2004 00:00</v>
      </c>
      <c r="C1048">
        <v>149</v>
      </c>
      <c r="D1048" t="s">
        <v>7</v>
      </c>
      <c r="E1048" s="2" t="s">
        <v>12</v>
      </c>
      <c r="F1048">
        <f t="shared" si="16"/>
        <v>295.46700000000004</v>
      </c>
      <c r="G1048" t="s">
        <v>16</v>
      </c>
      <c r="J1048" t="str">
        <f>"08/12/2004 23:45"</f>
        <v>08/12/2004 23:45</v>
      </c>
    </row>
    <row r="1049" spans="1:10" x14ac:dyDescent="0.3">
      <c r="A1049" t="s">
        <v>6</v>
      </c>
      <c r="B1049" t="str">
        <f>"08/13/2004 00:00"</f>
        <v>08/13/2004 00:00</v>
      </c>
      <c r="C1049">
        <v>150</v>
      </c>
      <c r="D1049" t="s">
        <v>7</v>
      </c>
      <c r="E1049" s="2" t="s">
        <v>12</v>
      </c>
      <c r="F1049">
        <f t="shared" si="16"/>
        <v>297.45</v>
      </c>
      <c r="G1049" t="s">
        <v>16</v>
      </c>
      <c r="J1049" t="str">
        <f>"08/13/2004 23:45"</f>
        <v>08/13/2004 23:45</v>
      </c>
    </row>
    <row r="1050" spans="1:10" x14ac:dyDescent="0.3">
      <c r="A1050" t="s">
        <v>6</v>
      </c>
      <c r="B1050" t="str">
        <f>"08/14/2004 00:00"</f>
        <v>08/14/2004 00:00</v>
      </c>
      <c r="C1050">
        <v>151</v>
      </c>
      <c r="D1050" t="s">
        <v>7</v>
      </c>
      <c r="E1050" s="2" t="s">
        <v>12</v>
      </c>
      <c r="F1050">
        <f t="shared" si="16"/>
        <v>299.43299999999999</v>
      </c>
      <c r="G1050" t="s">
        <v>16</v>
      </c>
      <c r="J1050" t="str">
        <f>"08/14/2004 23:45"</f>
        <v>08/14/2004 23:45</v>
      </c>
    </row>
    <row r="1051" spans="1:10" x14ac:dyDescent="0.3">
      <c r="A1051" t="s">
        <v>6</v>
      </c>
      <c r="B1051" t="str">
        <f>"08/15/2004 00:00"</f>
        <v>08/15/2004 00:00</v>
      </c>
      <c r="C1051">
        <v>151</v>
      </c>
      <c r="D1051" t="s">
        <v>7</v>
      </c>
      <c r="E1051" s="2" t="s">
        <v>12</v>
      </c>
      <c r="F1051">
        <f t="shared" si="16"/>
        <v>299.43299999999999</v>
      </c>
      <c r="G1051" t="s">
        <v>16</v>
      </c>
      <c r="J1051" t="str">
        <f>"08/15/2004 23:45"</f>
        <v>08/15/2004 23:45</v>
      </c>
    </row>
    <row r="1052" spans="1:10" x14ac:dyDescent="0.3">
      <c r="A1052" t="s">
        <v>6</v>
      </c>
      <c r="B1052" t="str">
        <f>"08/16/2004 00:00"</f>
        <v>08/16/2004 00:00</v>
      </c>
      <c r="C1052">
        <v>152</v>
      </c>
      <c r="D1052" t="s">
        <v>7</v>
      </c>
      <c r="E1052" s="2" t="s">
        <v>12</v>
      </c>
      <c r="F1052">
        <f t="shared" si="16"/>
        <v>301.416</v>
      </c>
      <c r="G1052" t="s">
        <v>16</v>
      </c>
      <c r="J1052" t="str">
        <f>"08/16/2004 23:45"</f>
        <v>08/16/2004 23:45</v>
      </c>
    </row>
    <row r="1053" spans="1:10" x14ac:dyDescent="0.3">
      <c r="A1053" t="s">
        <v>6</v>
      </c>
      <c r="B1053" t="str">
        <f>"08/17/2004 00:00"</f>
        <v>08/17/2004 00:00</v>
      </c>
      <c r="C1053">
        <v>152</v>
      </c>
      <c r="D1053" t="s">
        <v>7</v>
      </c>
      <c r="E1053" s="2" t="s">
        <v>12</v>
      </c>
      <c r="F1053">
        <f t="shared" si="16"/>
        <v>301.416</v>
      </c>
      <c r="G1053" t="s">
        <v>16</v>
      </c>
      <c r="J1053" t="str">
        <f>"08/17/2004 23:45"</f>
        <v>08/17/2004 23:45</v>
      </c>
    </row>
    <row r="1054" spans="1:10" x14ac:dyDescent="0.3">
      <c r="A1054" t="s">
        <v>6</v>
      </c>
      <c r="B1054" t="str">
        <f>"08/18/2004 00:00"</f>
        <v>08/18/2004 00:00</v>
      </c>
      <c r="C1054">
        <v>153</v>
      </c>
      <c r="D1054" t="s">
        <v>7</v>
      </c>
      <c r="E1054" s="2" t="s">
        <v>12</v>
      </c>
      <c r="F1054">
        <f t="shared" si="16"/>
        <v>303.399</v>
      </c>
      <c r="G1054" t="s">
        <v>16</v>
      </c>
      <c r="J1054" t="str">
        <f>"08/18/2004 23:45"</f>
        <v>08/18/2004 23:45</v>
      </c>
    </row>
    <row r="1055" spans="1:10" x14ac:dyDescent="0.3">
      <c r="A1055" t="s">
        <v>6</v>
      </c>
      <c r="B1055" t="str">
        <f>"08/19/2004 00:00"</f>
        <v>08/19/2004 00:00</v>
      </c>
      <c r="C1055">
        <v>153</v>
      </c>
      <c r="D1055" t="s">
        <v>7</v>
      </c>
      <c r="E1055" s="2" t="s">
        <v>12</v>
      </c>
      <c r="F1055">
        <f t="shared" si="16"/>
        <v>303.399</v>
      </c>
      <c r="G1055" t="s">
        <v>16</v>
      </c>
      <c r="J1055" t="str">
        <f>"08/19/2004 23:45"</f>
        <v>08/19/2004 23:45</v>
      </c>
    </row>
    <row r="1056" spans="1:10" x14ac:dyDescent="0.3">
      <c r="A1056" t="s">
        <v>6</v>
      </c>
      <c r="B1056" t="str">
        <f>"08/20/2004 00:00"</f>
        <v>08/20/2004 00:00</v>
      </c>
      <c r="C1056">
        <v>153</v>
      </c>
      <c r="D1056" t="s">
        <v>7</v>
      </c>
      <c r="E1056" s="2" t="s">
        <v>12</v>
      </c>
      <c r="F1056">
        <f t="shared" si="16"/>
        <v>303.399</v>
      </c>
      <c r="G1056" t="s">
        <v>16</v>
      </c>
      <c r="J1056" t="str">
        <f>"08/20/2004 23:45"</f>
        <v>08/20/2004 23:45</v>
      </c>
    </row>
    <row r="1057" spans="1:10" x14ac:dyDescent="0.3">
      <c r="A1057" t="s">
        <v>6</v>
      </c>
      <c r="B1057" t="str">
        <f>"08/21/2004 00:00"</f>
        <v>08/21/2004 00:00</v>
      </c>
      <c r="C1057">
        <v>153</v>
      </c>
      <c r="D1057" t="s">
        <v>7</v>
      </c>
      <c r="E1057" s="2" t="s">
        <v>12</v>
      </c>
      <c r="F1057">
        <f t="shared" si="16"/>
        <v>303.399</v>
      </c>
      <c r="G1057" t="s">
        <v>16</v>
      </c>
      <c r="J1057" t="str">
        <f>"08/21/2004 23:45"</f>
        <v>08/21/2004 23:45</v>
      </c>
    </row>
    <row r="1058" spans="1:10" x14ac:dyDescent="0.3">
      <c r="A1058" t="s">
        <v>6</v>
      </c>
      <c r="B1058" t="str">
        <f>"08/22/2004 00:00"</f>
        <v>08/22/2004 00:00</v>
      </c>
      <c r="C1058">
        <v>153</v>
      </c>
      <c r="D1058" t="s">
        <v>7</v>
      </c>
      <c r="E1058" s="2" t="s">
        <v>12</v>
      </c>
      <c r="F1058">
        <f t="shared" si="16"/>
        <v>303.399</v>
      </c>
      <c r="G1058" t="s">
        <v>16</v>
      </c>
      <c r="J1058" t="str">
        <f>"08/22/2004 23:45"</f>
        <v>08/22/2004 23:45</v>
      </c>
    </row>
    <row r="1059" spans="1:10" x14ac:dyDescent="0.3">
      <c r="A1059" t="s">
        <v>6</v>
      </c>
      <c r="B1059" t="str">
        <f>"08/23/2004 00:00"</f>
        <v>08/23/2004 00:00</v>
      </c>
      <c r="C1059">
        <v>185</v>
      </c>
      <c r="D1059" t="s">
        <v>7</v>
      </c>
      <c r="E1059" s="2" t="s">
        <v>12</v>
      </c>
      <c r="F1059">
        <f t="shared" si="16"/>
        <v>366.85500000000002</v>
      </c>
      <c r="G1059" t="s">
        <v>16</v>
      </c>
      <c r="J1059" t="str">
        <f>"08/23/2004 23:45"</f>
        <v>08/23/2004 23:45</v>
      </c>
    </row>
    <row r="1060" spans="1:10" x14ac:dyDescent="0.3">
      <c r="A1060" t="s">
        <v>6</v>
      </c>
      <c r="B1060" t="str">
        <f>"08/24/2004 00:00"</f>
        <v>08/24/2004 00:00</v>
      </c>
      <c r="C1060">
        <v>206</v>
      </c>
      <c r="D1060" t="s">
        <v>7</v>
      </c>
      <c r="E1060" s="2" t="s">
        <v>12</v>
      </c>
      <c r="F1060">
        <f t="shared" si="16"/>
        <v>408.49800000000005</v>
      </c>
      <c r="G1060" t="s">
        <v>16</v>
      </c>
      <c r="J1060" t="str">
        <f>"08/24/2004 23:45"</f>
        <v>08/24/2004 23:45</v>
      </c>
    </row>
    <row r="1061" spans="1:10" x14ac:dyDescent="0.3">
      <c r="A1061" t="s">
        <v>6</v>
      </c>
      <c r="B1061" t="str">
        <f>"08/25/2004 00:00"</f>
        <v>08/25/2004 00:00</v>
      </c>
      <c r="C1061">
        <v>208</v>
      </c>
      <c r="D1061" t="s">
        <v>7</v>
      </c>
      <c r="E1061" s="2" t="s">
        <v>12</v>
      </c>
      <c r="F1061">
        <f t="shared" si="16"/>
        <v>412.464</v>
      </c>
      <c r="G1061" t="s">
        <v>16</v>
      </c>
      <c r="J1061" t="str">
        <f>"08/25/2004 23:45"</f>
        <v>08/25/2004 23:45</v>
      </c>
    </row>
    <row r="1062" spans="1:10" x14ac:dyDescent="0.3">
      <c r="A1062" t="s">
        <v>6</v>
      </c>
      <c r="B1062" t="str">
        <f>"08/26/2004 00:00"</f>
        <v>08/26/2004 00:00</v>
      </c>
      <c r="C1062">
        <v>172</v>
      </c>
      <c r="D1062" t="s">
        <v>7</v>
      </c>
      <c r="E1062" s="2" t="s">
        <v>12</v>
      </c>
      <c r="F1062">
        <f t="shared" si="16"/>
        <v>341.07600000000002</v>
      </c>
      <c r="G1062" t="s">
        <v>16</v>
      </c>
      <c r="J1062" t="str">
        <f>"08/26/2004 23:45"</f>
        <v>08/26/2004 23:45</v>
      </c>
    </row>
    <row r="1063" spans="1:10" x14ac:dyDescent="0.3">
      <c r="A1063" t="s">
        <v>6</v>
      </c>
      <c r="B1063" t="str">
        <f>"08/27/2004 00:00"</f>
        <v>08/27/2004 00:00</v>
      </c>
      <c r="C1063">
        <v>152</v>
      </c>
      <c r="D1063" t="s">
        <v>7</v>
      </c>
      <c r="E1063" s="2" t="s">
        <v>12</v>
      </c>
      <c r="F1063">
        <f t="shared" si="16"/>
        <v>301.416</v>
      </c>
      <c r="G1063" t="s">
        <v>16</v>
      </c>
      <c r="J1063" t="str">
        <f>"08/27/2004 23:45"</f>
        <v>08/27/2004 23:45</v>
      </c>
    </row>
    <row r="1064" spans="1:10" x14ac:dyDescent="0.3">
      <c r="A1064" t="s">
        <v>6</v>
      </c>
      <c r="B1064" t="str">
        <f>"08/28/2004 00:00"</f>
        <v>08/28/2004 00:00</v>
      </c>
      <c r="C1064">
        <v>152</v>
      </c>
      <c r="D1064" t="s">
        <v>7</v>
      </c>
      <c r="E1064" s="2" t="s">
        <v>12</v>
      </c>
      <c r="F1064">
        <f t="shared" si="16"/>
        <v>301.416</v>
      </c>
      <c r="G1064" t="s">
        <v>16</v>
      </c>
      <c r="J1064" t="str">
        <f>"08/28/2004 23:45"</f>
        <v>08/28/2004 23:45</v>
      </c>
    </row>
    <row r="1065" spans="1:10" x14ac:dyDescent="0.3">
      <c r="A1065" t="s">
        <v>6</v>
      </c>
      <c r="B1065" t="str">
        <f>"08/29/2004 00:00"</f>
        <v>08/29/2004 00:00</v>
      </c>
      <c r="C1065">
        <v>154</v>
      </c>
      <c r="D1065" t="s">
        <v>7</v>
      </c>
      <c r="E1065" s="2" t="s">
        <v>12</v>
      </c>
      <c r="F1065">
        <f t="shared" si="16"/>
        <v>305.38200000000001</v>
      </c>
      <c r="G1065" t="s">
        <v>16</v>
      </c>
      <c r="J1065" t="str">
        <f>"08/29/2004 23:45"</f>
        <v>08/29/2004 23:45</v>
      </c>
    </row>
    <row r="1066" spans="1:10" x14ac:dyDescent="0.3">
      <c r="A1066" t="s">
        <v>6</v>
      </c>
      <c r="B1066" t="str">
        <f>"08/30/2004 00:00"</f>
        <v>08/30/2004 00:00</v>
      </c>
      <c r="C1066">
        <v>153</v>
      </c>
      <c r="D1066" t="s">
        <v>7</v>
      </c>
      <c r="E1066" s="2" t="s">
        <v>12</v>
      </c>
      <c r="F1066">
        <f t="shared" si="16"/>
        <v>303.399</v>
      </c>
      <c r="G1066" t="s">
        <v>16</v>
      </c>
      <c r="J1066" t="str">
        <f>"08/30/2004 23:45"</f>
        <v>08/30/2004 23:45</v>
      </c>
    </row>
    <row r="1067" spans="1:10" x14ac:dyDescent="0.3">
      <c r="A1067" t="s">
        <v>6</v>
      </c>
      <c r="B1067" t="str">
        <f>"08/31/2004 00:00"</f>
        <v>08/31/2004 00:00</v>
      </c>
      <c r="C1067">
        <v>143</v>
      </c>
      <c r="D1067" t="s">
        <v>7</v>
      </c>
      <c r="E1067" s="2" t="s">
        <v>12</v>
      </c>
      <c r="F1067">
        <f t="shared" si="16"/>
        <v>283.56900000000002</v>
      </c>
      <c r="G1067" t="s">
        <v>16</v>
      </c>
      <c r="J1067" t="str">
        <f>"08/31/2004 23:45"</f>
        <v>08/31/2004 23:45</v>
      </c>
    </row>
    <row r="1068" spans="1:10" x14ac:dyDescent="0.3">
      <c r="A1068" t="s">
        <v>6</v>
      </c>
      <c r="B1068" t="str">
        <f>"09/01/2004 00:00"</f>
        <v>09/01/2004 00:00</v>
      </c>
      <c r="C1068">
        <v>176</v>
      </c>
      <c r="D1068" t="s">
        <v>7</v>
      </c>
      <c r="E1068" s="2" t="s">
        <v>12</v>
      </c>
      <c r="F1068">
        <f t="shared" si="16"/>
        <v>349.00800000000004</v>
      </c>
      <c r="G1068" t="s">
        <v>16</v>
      </c>
      <c r="J1068" t="str">
        <f>"09/01/2004 23:45"</f>
        <v>09/01/2004 23:45</v>
      </c>
    </row>
    <row r="1069" spans="1:10" x14ac:dyDescent="0.3">
      <c r="A1069" t="s">
        <v>6</v>
      </c>
      <c r="B1069" t="str">
        <f>"09/02/2004 00:00"</f>
        <v>09/02/2004 00:00</v>
      </c>
      <c r="C1069">
        <v>230</v>
      </c>
      <c r="D1069" t="s">
        <v>7</v>
      </c>
      <c r="E1069" s="2" t="s">
        <v>12</v>
      </c>
      <c r="F1069">
        <f t="shared" si="16"/>
        <v>456.09000000000003</v>
      </c>
      <c r="G1069" t="s">
        <v>16</v>
      </c>
      <c r="J1069" t="str">
        <f>"09/02/2004 23:45"</f>
        <v>09/02/2004 23:45</v>
      </c>
    </row>
    <row r="1070" spans="1:10" x14ac:dyDescent="0.3">
      <c r="A1070" t="s">
        <v>6</v>
      </c>
      <c r="B1070" t="str">
        <f>"09/03/2004 00:00"</f>
        <v>09/03/2004 00:00</v>
      </c>
      <c r="C1070">
        <v>250</v>
      </c>
      <c r="D1070" t="s">
        <v>7</v>
      </c>
      <c r="E1070" s="2" t="s">
        <v>12</v>
      </c>
      <c r="F1070">
        <f t="shared" si="16"/>
        <v>495.75</v>
      </c>
      <c r="G1070" t="s">
        <v>16</v>
      </c>
      <c r="J1070" t="str">
        <f>"09/03/2004 23:45"</f>
        <v>09/03/2004 23:45</v>
      </c>
    </row>
    <row r="1071" spans="1:10" x14ac:dyDescent="0.3">
      <c r="A1071" t="s">
        <v>6</v>
      </c>
      <c r="B1071" t="str">
        <f>"09/04/2004 00:00"</f>
        <v>09/04/2004 00:00</v>
      </c>
      <c r="C1071">
        <v>250</v>
      </c>
      <c r="D1071" t="s">
        <v>7</v>
      </c>
      <c r="E1071" s="2" t="s">
        <v>12</v>
      </c>
      <c r="F1071">
        <f t="shared" si="16"/>
        <v>495.75</v>
      </c>
      <c r="G1071" t="s">
        <v>16</v>
      </c>
      <c r="J1071" t="str">
        <f>"09/04/2004 23:45"</f>
        <v>09/04/2004 23:45</v>
      </c>
    </row>
    <row r="1072" spans="1:10" x14ac:dyDescent="0.3">
      <c r="A1072" t="s">
        <v>6</v>
      </c>
      <c r="B1072" t="str">
        <f>"09/05/2004 00:00"</f>
        <v>09/05/2004 00:00</v>
      </c>
      <c r="C1072">
        <v>224</v>
      </c>
      <c r="D1072" t="s">
        <v>7</v>
      </c>
      <c r="E1072" s="2" t="s">
        <v>12</v>
      </c>
      <c r="F1072">
        <f t="shared" si="16"/>
        <v>444.19200000000001</v>
      </c>
      <c r="G1072" t="s">
        <v>16</v>
      </c>
      <c r="J1072" t="str">
        <f>"09/05/2004 23:45"</f>
        <v>09/05/2004 23:45</v>
      </c>
    </row>
    <row r="1073" spans="1:10" x14ac:dyDescent="0.3">
      <c r="A1073" t="s">
        <v>6</v>
      </c>
      <c r="B1073" t="str">
        <f>"09/06/2004 00:00"</f>
        <v>09/06/2004 00:00</v>
      </c>
      <c r="C1073">
        <v>203</v>
      </c>
      <c r="D1073" t="s">
        <v>7</v>
      </c>
      <c r="E1073" s="2" t="s">
        <v>12</v>
      </c>
      <c r="F1073">
        <f t="shared" si="16"/>
        <v>402.54900000000004</v>
      </c>
      <c r="G1073" t="s">
        <v>16</v>
      </c>
      <c r="J1073" t="str">
        <f>"09/06/2004 23:45"</f>
        <v>09/06/2004 23:45</v>
      </c>
    </row>
    <row r="1074" spans="1:10" x14ac:dyDescent="0.3">
      <c r="A1074" t="s">
        <v>6</v>
      </c>
      <c r="B1074" t="str">
        <f>"09/07/2004 00:00"</f>
        <v>09/07/2004 00:00</v>
      </c>
      <c r="C1074">
        <v>203</v>
      </c>
      <c r="D1074" t="s">
        <v>7</v>
      </c>
      <c r="E1074" s="2" t="s">
        <v>12</v>
      </c>
      <c r="F1074">
        <f t="shared" si="16"/>
        <v>402.54900000000004</v>
      </c>
      <c r="G1074" t="s">
        <v>16</v>
      </c>
      <c r="J1074" t="str">
        <f>"09/07/2004 23:45"</f>
        <v>09/07/2004 23:45</v>
      </c>
    </row>
    <row r="1075" spans="1:10" x14ac:dyDescent="0.3">
      <c r="A1075" t="s">
        <v>6</v>
      </c>
      <c r="B1075" t="str">
        <f>"09/08/2004 00:00"</f>
        <v>09/08/2004 00:00</v>
      </c>
      <c r="C1075">
        <v>222</v>
      </c>
      <c r="D1075" t="s">
        <v>7</v>
      </c>
      <c r="E1075" s="2" t="s">
        <v>12</v>
      </c>
      <c r="F1075">
        <f t="shared" si="16"/>
        <v>440.226</v>
      </c>
      <c r="G1075" t="s">
        <v>16</v>
      </c>
      <c r="J1075" t="str">
        <f>"09/08/2004 23:45"</f>
        <v>09/08/2004 23:45</v>
      </c>
    </row>
    <row r="1076" spans="1:10" x14ac:dyDescent="0.3">
      <c r="A1076" t="s">
        <v>6</v>
      </c>
      <c r="B1076" t="str">
        <f>"09/09/2004 00:00"</f>
        <v>09/09/2004 00:00</v>
      </c>
      <c r="C1076">
        <v>230</v>
      </c>
      <c r="D1076" t="s">
        <v>7</v>
      </c>
      <c r="E1076" s="2" t="s">
        <v>12</v>
      </c>
      <c r="F1076">
        <f t="shared" si="16"/>
        <v>456.09000000000003</v>
      </c>
      <c r="G1076" t="s">
        <v>16</v>
      </c>
      <c r="J1076" t="str">
        <f>"09/09/2004 23:45"</f>
        <v>09/09/2004 23:45</v>
      </c>
    </row>
    <row r="1077" spans="1:10" x14ac:dyDescent="0.3">
      <c r="A1077" t="s">
        <v>6</v>
      </c>
      <c r="B1077" t="str">
        <f>"09/10/2004 00:00"</f>
        <v>09/10/2004 00:00</v>
      </c>
      <c r="C1077">
        <v>226</v>
      </c>
      <c r="D1077" t="s">
        <v>7</v>
      </c>
      <c r="E1077" s="2" t="s">
        <v>12</v>
      </c>
      <c r="F1077">
        <f t="shared" si="16"/>
        <v>448.15800000000002</v>
      </c>
      <c r="G1077" t="s">
        <v>16</v>
      </c>
      <c r="J1077" t="str">
        <f>"09/10/2004 23:45"</f>
        <v>09/10/2004 23:45</v>
      </c>
    </row>
    <row r="1078" spans="1:10" x14ac:dyDescent="0.3">
      <c r="A1078" t="s">
        <v>6</v>
      </c>
      <c r="B1078" t="str">
        <f>"09/11/2004 00:00"</f>
        <v>09/11/2004 00:00</v>
      </c>
      <c r="C1078">
        <v>226</v>
      </c>
      <c r="D1078" t="s">
        <v>7</v>
      </c>
      <c r="E1078" s="2" t="s">
        <v>12</v>
      </c>
      <c r="F1078">
        <f t="shared" si="16"/>
        <v>448.15800000000002</v>
      </c>
      <c r="G1078" t="s">
        <v>16</v>
      </c>
      <c r="J1078" t="str">
        <f>"09/11/2004 23:45"</f>
        <v>09/11/2004 23:45</v>
      </c>
    </row>
    <row r="1079" spans="1:10" x14ac:dyDescent="0.3">
      <c r="A1079" t="s">
        <v>6</v>
      </c>
      <c r="B1079" t="str">
        <f>"09/12/2004 00:00"</f>
        <v>09/12/2004 00:00</v>
      </c>
      <c r="C1079">
        <v>226</v>
      </c>
      <c r="D1079" t="s">
        <v>7</v>
      </c>
      <c r="E1079" s="2" t="s">
        <v>12</v>
      </c>
      <c r="F1079">
        <f t="shared" si="16"/>
        <v>448.15800000000002</v>
      </c>
      <c r="G1079" t="s">
        <v>16</v>
      </c>
      <c r="J1079" t="str">
        <f>"09/12/2004 23:45"</f>
        <v>09/12/2004 23:45</v>
      </c>
    </row>
    <row r="1080" spans="1:10" x14ac:dyDescent="0.3">
      <c r="A1080" t="s">
        <v>6</v>
      </c>
      <c r="B1080" t="str">
        <f>"09/13/2004 00:00"</f>
        <v>09/13/2004 00:00</v>
      </c>
      <c r="C1080">
        <v>226</v>
      </c>
      <c r="D1080" t="s">
        <v>7</v>
      </c>
      <c r="E1080" s="2" t="s">
        <v>12</v>
      </c>
      <c r="F1080">
        <f t="shared" si="16"/>
        <v>448.15800000000002</v>
      </c>
      <c r="G1080" t="s">
        <v>16</v>
      </c>
      <c r="J1080" t="str">
        <f>"09/13/2004 23:45"</f>
        <v>09/13/2004 23:45</v>
      </c>
    </row>
    <row r="1081" spans="1:10" x14ac:dyDescent="0.3">
      <c r="A1081" t="s">
        <v>6</v>
      </c>
      <c r="B1081" t="str">
        <f>"09/14/2004 00:00"</f>
        <v>09/14/2004 00:00</v>
      </c>
      <c r="C1081">
        <v>226</v>
      </c>
      <c r="D1081" t="s">
        <v>7</v>
      </c>
      <c r="E1081" s="2" t="s">
        <v>12</v>
      </c>
      <c r="F1081">
        <f t="shared" si="16"/>
        <v>448.15800000000002</v>
      </c>
      <c r="G1081" t="s">
        <v>16</v>
      </c>
      <c r="J1081" t="str">
        <f>"09/14/2004 23:45"</f>
        <v>09/14/2004 23:45</v>
      </c>
    </row>
    <row r="1082" spans="1:10" x14ac:dyDescent="0.3">
      <c r="A1082" t="s">
        <v>6</v>
      </c>
      <c r="B1082" t="str">
        <f>"09/15/2004 00:00"</f>
        <v>09/15/2004 00:00</v>
      </c>
      <c r="C1082">
        <v>226</v>
      </c>
      <c r="D1082" t="s">
        <v>7</v>
      </c>
      <c r="E1082" s="2" t="s">
        <v>12</v>
      </c>
      <c r="F1082">
        <f t="shared" si="16"/>
        <v>448.15800000000002</v>
      </c>
      <c r="G1082" t="s">
        <v>16</v>
      </c>
      <c r="J1082" t="str">
        <f>"09/15/2004 23:45"</f>
        <v>09/15/2004 23:45</v>
      </c>
    </row>
    <row r="1083" spans="1:10" x14ac:dyDescent="0.3">
      <c r="A1083" t="s">
        <v>6</v>
      </c>
      <c r="B1083" t="str">
        <f>"09/16/2004 00:00"</f>
        <v>09/16/2004 00:00</v>
      </c>
      <c r="C1083">
        <v>217</v>
      </c>
      <c r="D1083" t="s">
        <v>7</v>
      </c>
      <c r="E1083" s="2" t="s">
        <v>12</v>
      </c>
      <c r="F1083">
        <f t="shared" si="16"/>
        <v>430.31100000000004</v>
      </c>
      <c r="G1083" t="s">
        <v>16</v>
      </c>
      <c r="J1083" t="str">
        <f>"09/16/2004 23:45"</f>
        <v>09/16/2004 23:45</v>
      </c>
    </row>
    <row r="1084" spans="1:10" x14ac:dyDescent="0.3">
      <c r="A1084" t="s">
        <v>6</v>
      </c>
      <c r="B1084" t="str">
        <f>"09/17/2004 00:00"</f>
        <v>09/17/2004 00:00</v>
      </c>
      <c r="C1084">
        <v>149</v>
      </c>
      <c r="D1084" t="s">
        <v>7</v>
      </c>
      <c r="E1084" s="2" t="s">
        <v>12</v>
      </c>
      <c r="F1084">
        <f t="shared" si="16"/>
        <v>295.46700000000004</v>
      </c>
      <c r="G1084" t="s">
        <v>16</v>
      </c>
      <c r="J1084" t="str">
        <f>"09/17/2004 23:45"</f>
        <v>09/17/2004 23:45</v>
      </c>
    </row>
    <row r="1085" spans="1:10" x14ac:dyDescent="0.3">
      <c r="A1085" t="s">
        <v>6</v>
      </c>
      <c r="B1085" t="str">
        <f>"09/18/2004 00:00"</f>
        <v>09/18/2004 00:00</v>
      </c>
      <c r="C1085">
        <v>103</v>
      </c>
      <c r="D1085" t="s">
        <v>7</v>
      </c>
      <c r="E1085" s="2" t="s">
        <v>12</v>
      </c>
      <c r="F1085">
        <f t="shared" si="16"/>
        <v>204.24900000000002</v>
      </c>
      <c r="G1085" t="s">
        <v>16</v>
      </c>
      <c r="J1085" t="str">
        <f>"09/18/2004 23:45"</f>
        <v>09/18/2004 23:45</v>
      </c>
    </row>
    <row r="1086" spans="1:10" x14ac:dyDescent="0.3">
      <c r="A1086" t="s">
        <v>6</v>
      </c>
      <c r="B1086" t="str">
        <f>"09/19/2004 00:00"</f>
        <v>09/19/2004 00:00</v>
      </c>
      <c r="C1086">
        <v>103</v>
      </c>
      <c r="D1086" t="s">
        <v>7</v>
      </c>
      <c r="E1086" s="2" t="s">
        <v>12</v>
      </c>
      <c r="F1086">
        <f t="shared" si="16"/>
        <v>204.24900000000002</v>
      </c>
      <c r="G1086" t="s">
        <v>16</v>
      </c>
      <c r="J1086" t="str">
        <f>"09/19/2004 23:45"</f>
        <v>09/19/2004 23:45</v>
      </c>
    </row>
    <row r="1087" spans="1:10" x14ac:dyDescent="0.3">
      <c r="A1087" t="s">
        <v>6</v>
      </c>
      <c r="B1087" t="str">
        <f>"09/20/2004 00:00"</f>
        <v>09/20/2004 00:00</v>
      </c>
      <c r="C1087">
        <v>102</v>
      </c>
      <c r="D1087" t="s">
        <v>7</v>
      </c>
      <c r="E1087" s="2" t="s">
        <v>12</v>
      </c>
      <c r="F1087">
        <f t="shared" si="16"/>
        <v>202.26600000000002</v>
      </c>
      <c r="G1087" t="s">
        <v>16</v>
      </c>
      <c r="J1087" t="str">
        <f>"09/20/2004 23:45"</f>
        <v>09/20/2004 23:45</v>
      </c>
    </row>
    <row r="1088" spans="1:10" x14ac:dyDescent="0.3">
      <c r="A1088" t="s">
        <v>6</v>
      </c>
      <c r="B1088" t="str">
        <f>"09/21/2004 00:00"</f>
        <v>09/21/2004 00:00</v>
      </c>
      <c r="C1088">
        <v>104</v>
      </c>
      <c r="D1088" t="s">
        <v>7</v>
      </c>
      <c r="E1088" s="2" t="s">
        <v>12</v>
      </c>
      <c r="F1088">
        <f t="shared" si="16"/>
        <v>206.232</v>
      </c>
      <c r="G1088" t="s">
        <v>16</v>
      </c>
      <c r="J1088" t="str">
        <f>"09/21/2004 23:45"</f>
        <v>09/21/2004 23:45</v>
      </c>
    </row>
    <row r="1089" spans="1:10" x14ac:dyDescent="0.3">
      <c r="A1089" t="s">
        <v>6</v>
      </c>
      <c r="B1089" t="str">
        <f>"09/22/2004 00:00"</f>
        <v>09/22/2004 00:00</v>
      </c>
      <c r="C1089">
        <v>91</v>
      </c>
      <c r="D1089" t="s">
        <v>7</v>
      </c>
      <c r="E1089" s="2" t="s">
        <v>12</v>
      </c>
      <c r="F1089">
        <f t="shared" si="16"/>
        <v>180.453</v>
      </c>
      <c r="G1089" t="s">
        <v>16</v>
      </c>
      <c r="J1089" t="str">
        <f>"09/22/2004 23:45"</f>
        <v>09/22/2004 23:45</v>
      </c>
    </row>
    <row r="1090" spans="1:10" x14ac:dyDescent="0.3">
      <c r="A1090" t="s">
        <v>6</v>
      </c>
      <c r="B1090" t="str">
        <f>"09/23/2004 00:00"</f>
        <v>09/23/2004 00:00</v>
      </c>
      <c r="C1090">
        <v>76.099999999999994</v>
      </c>
      <c r="D1090" t="s">
        <v>7</v>
      </c>
      <c r="E1090" s="2" t="s">
        <v>12</v>
      </c>
      <c r="F1090">
        <f t="shared" si="16"/>
        <v>150.90629999999999</v>
      </c>
      <c r="G1090" t="s">
        <v>16</v>
      </c>
      <c r="J1090" t="str">
        <f>"09/23/2004 23:45"</f>
        <v>09/23/2004 23:45</v>
      </c>
    </row>
    <row r="1091" spans="1:10" x14ac:dyDescent="0.3">
      <c r="A1091" t="s">
        <v>6</v>
      </c>
      <c r="B1091" t="str">
        <f>"09/24/2004 00:00"</f>
        <v>09/24/2004 00:00</v>
      </c>
      <c r="C1091">
        <v>66.7</v>
      </c>
      <c r="D1091" t="s">
        <v>7</v>
      </c>
      <c r="E1091" s="2" t="s">
        <v>12</v>
      </c>
      <c r="F1091">
        <f t="shared" si="16"/>
        <v>132.26610000000002</v>
      </c>
      <c r="G1091" t="s">
        <v>16</v>
      </c>
      <c r="J1091" t="str">
        <f>"09/24/2004 23:45"</f>
        <v>09/24/2004 23:45</v>
      </c>
    </row>
    <row r="1092" spans="1:10" x14ac:dyDescent="0.3">
      <c r="A1092" t="s">
        <v>6</v>
      </c>
      <c r="B1092" t="str">
        <f>"09/25/2004 00:00"</f>
        <v>09/25/2004 00:00</v>
      </c>
      <c r="C1092">
        <v>66.900000000000006</v>
      </c>
      <c r="D1092" t="s">
        <v>7</v>
      </c>
      <c r="E1092" s="2" t="s">
        <v>12</v>
      </c>
      <c r="F1092">
        <f t="shared" ref="F1092:F1155" si="17">C1092*1.983</f>
        <v>132.66270000000003</v>
      </c>
      <c r="G1092" t="s">
        <v>16</v>
      </c>
      <c r="J1092" t="str">
        <f>"09/25/2004 23:45"</f>
        <v>09/25/2004 23:45</v>
      </c>
    </row>
    <row r="1093" spans="1:10" x14ac:dyDescent="0.3">
      <c r="A1093" t="s">
        <v>6</v>
      </c>
      <c r="B1093" t="str">
        <f>"09/26/2004 00:00"</f>
        <v>09/26/2004 00:00</v>
      </c>
      <c r="C1093">
        <v>69.2</v>
      </c>
      <c r="D1093" t="s">
        <v>7</v>
      </c>
      <c r="E1093" s="2" t="s">
        <v>12</v>
      </c>
      <c r="F1093">
        <f t="shared" si="17"/>
        <v>137.2236</v>
      </c>
      <c r="G1093" t="s">
        <v>16</v>
      </c>
      <c r="J1093" t="str">
        <f>"09/26/2004 23:45"</f>
        <v>09/26/2004 23:45</v>
      </c>
    </row>
    <row r="1094" spans="1:10" x14ac:dyDescent="0.3">
      <c r="A1094" t="s">
        <v>6</v>
      </c>
      <c r="B1094" t="str">
        <f>"09/27/2004 00:00"</f>
        <v>09/27/2004 00:00</v>
      </c>
      <c r="C1094">
        <v>57.6</v>
      </c>
      <c r="D1094" t="s">
        <v>7</v>
      </c>
      <c r="E1094" s="2" t="s">
        <v>12</v>
      </c>
      <c r="F1094">
        <f t="shared" si="17"/>
        <v>114.22080000000001</v>
      </c>
      <c r="G1094" t="s">
        <v>16</v>
      </c>
      <c r="J1094" t="str">
        <f>"09/27/2004 23:45"</f>
        <v>09/27/2004 23:45</v>
      </c>
    </row>
    <row r="1095" spans="1:10" x14ac:dyDescent="0.3">
      <c r="A1095" t="s">
        <v>6</v>
      </c>
      <c r="B1095" t="str">
        <f>"09/28/2004 00:00"</f>
        <v>09/28/2004 00:00</v>
      </c>
      <c r="C1095">
        <v>51.2</v>
      </c>
      <c r="D1095" t="s">
        <v>7</v>
      </c>
      <c r="E1095" s="2" t="s">
        <v>12</v>
      </c>
      <c r="F1095">
        <f t="shared" si="17"/>
        <v>101.52960000000002</v>
      </c>
      <c r="G1095" t="s">
        <v>16</v>
      </c>
      <c r="J1095" t="str">
        <f>"09/28/2004 23:45"</f>
        <v>09/28/2004 23:45</v>
      </c>
    </row>
    <row r="1096" spans="1:10" x14ac:dyDescent="0.3">
      <c r="A1096" t="s">
        <v>6</v>
      </c>
      <c r="B1096" t="str">
        <f>"09/29/2004 00:00"</f>
        <v>09/29/2004 00:00</v>
      </c>
      <c r="C1096">
        <v>51.2</v>
      </c>
      <c r="D1096" t="s">
        <v>7</v>
      </c>
      <c r="E1096" s="2" t="s">
        <v>12</v>
      </c>
      <c r="F1096">
        <f t="shared" si="17"/>
        <v>101.52960000000002</v>
      </c>
      <c r="G1096" t="s">
        <v>16</v>
      </c>
      <c r="J1096" t="str">
        <f>"09/29/2004 23:45"</f>
        <v>09/29/2004 23:45</v>
      </c>
    </row>
    <row r="1097" spans="1:10" x14ac:dyDescent="0.3">
      <c r="A1097" t="s">
        <v>6</v>
      </c>
      <c r="B1097" t="str">
        <f>"09/30/2004 00:00"</f>
        <v>09/30/2004 00:00</v>
      </c>
      <c r="C1097">
        <v>51.2</v>
      </c>
      <c r="D1097" t="s">
        <v>7</v>
      </c>
      <c r="E1097" s="2" t="s">
        <v>12</v>
      </c>
      <c r="F1097">
        <f t="shared" si="17"/>
        <v>101.52960000000002</v>
      </c>
      <c r="G1097" t="s">
        <v>16</v>
      </c>
      <c r="J1097" t="str">
        <f>"09/30/2004 23:45"</f>
        <v>09/30/2004 23:45</v>
      </c>
    </row>
    <row r="1098" spans="1:10" x14ac:dyDescent="0.3">
      <c r="A1098" t="s">
        <v>6</v>
      </c>
      <c r="B1098" t="str">
        <f>"10/01/2004 00:00"</f>
        <v>10/01/2004 00:00</v>
      </c>
      <c r="C1098">
        <v>51.2</v>
      </c>
      <c r="D1098" t="s">
        <v>7</v>
      </c>
      <c r="E1098" s="2" t="s">
        <v>12</v>
      </c>
      <c r="F1098">
        <f t="shared" si="17"/>
        <v>101.52960000000002</v>
      </c>
      <c r="G1098" t="s">
        <v>16</v>
      </c>
      <c r="J1098" t="str">
        <f>"10/01/2004 23:45"</f>
        <v>10/01/2004 23:45</v>
      </c>
    </row>
    <row r="1099" spans="1:10" x14ac:dyDescent="0.3">
      <c r="A1099" t="s">
        <v>6</v>
      </c>
      <c r="B1099" t="str">
        <f>"10/02/2004 00:00"</f>
        <v>10/02/2004 00:00</v>
      </c>
      <c r="C1099">
        <v>51.2</v>
      </c>
      <c r="D1099" t="s">
        <v>7</v>
      </c>
      <c r="E1099" s="2" t="s">
        <v>12</v>
      </c>
      <c r="F1099">
        <f t="shared" si="17"/>
        <v>101.52960000000002</v>
      </c>
      <c r="G1099" t="s">
        <v>16</v>
      </c>
      <c r="J1099" t="str">
        <f>"10/02/2004 23:45"</f>
        <v>10/02/2004 23:45</v>
      </c>
    </row>
    <row r="1100" spans="1:10" x14ac:dyDescent="0.3">
      <c r="A1100" t="s">
        <v>6</v>
      </c>
      <c r="B1100" t="str">
        <f>"10/03/2004 00:00"</f>
        <v>10/03/2004 00:00</v>
      </c>
      <c r="C1100">
        <v>51</v>
      </c>
      <c r="D1100" t="s">
        <v>7</v>
      </c>
      <c r="E1100" s="2" t="s">
        <v>12</v>
      </c>
      <c r="F1100">
        <f t="shared" si="17"/>
        <v>101.13300000000001</v>
      </c>
      <c r="G1100" t="s">
        <v>16</v>
      </c>
      <c r="J1100" t="str">
        <f>"10/03/2004 23:45"</f>
        <v>10/03/2004 23:45</v>
      </c>
    </row>
    <row r="1101" spans="1:10" x14ac:dyDescent="0.3">
      <c r="A1101" t="s">
        <v>6</v>
      </c>
      <c r="B1101" t="str">
        <f>"10/04/2004 00:00"</f>
        <v>10/04/2004 00:00</v>
      </c>
      <c r="C1101">
        <v>55.3</v>
      </c>
      <c r="D1101" t="s">
        <v>7</v>
      </c>
      <c r="E1101" s="2" t="s">
        <v>12</v>
      </c>
      <c r="F1101">
        <f t="shared" si="17"/>
        <v>109.65989999999999</v>
      </c>
      <c r="G1101" t="s">
        <v>16</v>
      </c>
      <c r="J1101" t="str">
        <f>"10/04/2004 23:45"</f>
        <v>10/04/2004 23:45</v>
      </c>
    </row>
    <row r="1102" spans="1:10" x14ac:dyDescent="0.3">
      <c r="A1102" t="s">
        <v>6</v>
      </c>
      <c r="B1102" t="str">
        <f>"10/05/2004 00:00"</f>
        <v>10/05/2004 00:00</v>
      </c>
      <c r="C1102">
        <v>53.3</v>
      </c>
      <c r="D1102" t="s">
        <v>7</v>
      </c>
      <c r="E1102" s="2" t="s">
        <v>12</v>
      </c>
      <c r="F1102">
        <f t="shared" si="17"/>
        <v>105.6939</v>
      </c>
      <c r="G1102" t="s">
        <v>16</v>
      </c>
      <c r="J1102" t="str">
        <f>"10/05/2004 23:45"</f>
        <v>10/05/2004 23:45</v>
      </c>
    </row>
    <row r="1103" spans="1:10" x14ac:dyDescent="0.3">
      <c r="A1103" t="s">
        <v>6</v>
      </c>
      <c r="B1103" t="str">
        <f>"10/06/2004 00:00"</f>
        <v>10/06/2004 00:00</v>
      </c>
      <c r="C1103">
        <v>47.2</v>
      </c>
      <c r="D1103" t="s">
        <v>7</v>
      </c>
      <c r="E1103" s="2" t="s">
        <v>12</v>
      </c>
      <c r="F1103">
        <f t="shared" si="17"/>
        <v>93.597600000000014</v>
      </c>
      <c r="G1103" t="s">
        <v>16</v>
      </c>
      <c r="J1103" t="str">
        <f>"10/06/2004 23:45"</f>
        <v>10/06/2004 23:45</v>
      </c>
    </row>
    <row r="1104" spans="1:10" x14ac:dyDescent="0.3">
      <c r="A1104" t="s">
        <v>6</v>
      </c>
      <c r="B1104" t="str">
        <f>"10/07/2004 00:00"</f>
        <v>10/07/2004 00:00</v>
      </c>
      <c r="C1104">
        <v>47.4</v>
      </c>
      <c r="D1104" t="s">
        <v>7</v>
      </c>
      <c r="E1104" s="2" t="s">
        <v>12</v>
      </c>
      <c r="F1104">
        <f t="shared" si="17"/>
        <v>93.994200000000006</v>
      </c>
      <c r="G1104" t="s">
        <v>16</v>
      </c>
      <c r="J1104" t="str">
        <f>"10/07/2004 23:45"</f>
        <v>10/07/2004 23:45</v>
      </c>
    </row>
    <row r="1105" spans="1:10" x14ac:dyDescent="0.3">
      <c r="A1105" t="s">
        <v>6</v>
      </c>
      <c r="B1105" t="str">
        <f>"10/08/2004 00:00"</f>
        <v>10/08/2004 00:00</v>
      </c>
      <c r="C1105">
        <v>47.6</v>
      </c>
      <c r="D1105" t="s">
        <v>7</v>
      </c>
      <c r="E1105" s="2" t="s">
        <v>12</v>
      </c>
      <c r="F1105">
        <f t="shared" si="17"/>
        <v>94.390800000000013</v>
      </c>
      <c r="G1105" t="s">
        <v>16</v>
      </c>
      <c r="J1105" t="str">
        <f>"10/08/2004 23:45"</f>
        <v>10/08/2004 23:45</v>
      </c>
    </row>
    <row r="1106" spans="1:10" x14ac:dyDescent="0.3">
      <c r="A1106" t="s">
        <v>6</v>
      </c>
      <c r="B1106" t="str">
        <f>"10/09/2004 00:00"</f>
        <v>10/09/2004 00:00</v>
      </c>
      <c r="C1106">
        <v>47.2</v>
      </c>
      <c r="D1106" t="s">
        <v>7</v>
      </c>
      <c r="E1106" s="2" t="s">
        <v>12</v>
      </c>
      <c r="F1106">
        <f t="shared" si="17"/>
        <v>93.597600000000014</v>
      </c>
      <c r="G1106" t="s">
        <v>16</v>
      </c>
      <c r="J1106" t="str">
        <f>"10/09/2004 23:45"</f>
        <v>10/09/2004 23:45</v>
      </c>
    </row>
    <row r="1107" spans="1:10" x14ac:dyDescent="0.3">
      <c r="A1107" t="s">
        <v>6</v>
      </c>
      <c r="B1107" t="str">
        <f>"10/10/2004 00:00"</f>
        <v>10/10/2004 00:00</v>
      </c>
      <c r="C1107">
        <v>47.2</v>
      </c>
      <c r="D1107" t="s">
        <v>7</v>
      </c>
      <c r="E1107" s="2" t="s">
        <v>12</v>
      </c>
      <c r="F1107">
        <f t="shared" si="17"/>
        <v>93.597600000000014</v>
      </c>
      <c r="G1107" t="s">
        <v>16</v>
      </c>
      <c r="J1107" t="str">
        <f>"10/10/2004 23:45"</f>
        <v>10/10/2004 23:45</v>
      </c>
    </row>
    <row r="1108" spans="1:10" x14ac:dyDescent="0.3">
      <c r="A1108" t="s">
        <v>6</v>
      </c>
      <c r="B1108" t="str">
        <f>"10/11/2004 00:00"</f>
        <v>10/11/2004 00:00</v>
      </c>
      <c r="C1108">
        <v>68.7</v>
      </c>
      <c r="D1108" t="s">
        <v>7</v>
      </c>
      <c r="E1108" s="2" t="s">
        <v>12</v>
      </c>
      <c r="F1108">
        <f t="shared" si="17"/>
        <v>136.2321</v>
      </c>
      <c r="G1108" t="s">
        <v>16</v>
      </c>
      <c r="J1108" t="str">
        <f>"10/11/2004 23:45"</f>
        <v>10/11/2004 23:45</v>
      </c>
    </row>
    <row r="1109" spans="1:10" x14ac:dyDescent="0.3">
      <c r="A1109" t="s">
        <v>6</v>
      </c>
      <c r="B1109" t="str">
        <f>"10/12/2004 00:00"</f>
        <v>10/12/2004 00:00</v>
      </c>
      <c r="C1109">
        <v>83.3</v>
      </c>
      <c r="D1109" t="s">
        <v>7</v>
      </c>
      <c r="E1109" s="2" t="s">
        <v>12</v>
      </c>
      <c r="F1109">
        <f t="shared" si="17"/>
        <v>165.18389999999999</v>
      </c>
      <c r="G1109" t="s">
        <v>16</v>
      </c>
      <c r="J1109" t="str">
        <f>"10/12/2004 23:45"</f>
        <v>10/12/2004 23:45</v>
      </c>
    </row>
    <row r="1110" spans="1:10" x14ac:dyDescent="0.3">
      <c r="A1110" t="s">
        <v>6</v>
      </c>
      <c r="B1110" t="str">
        <f>"10/13/2004 00:00"</f>
        <v>10/13/2004 00:00</v>
      </c>
      <c r="C1110">
        <v>83.3</v>
      </c>
      <c r="D1110" t="s">
        <v>7</v>
      </c>
      <c r="E1110" s="2" t="s">
        <v>12</v>
      </c>
      <c r="F1110">
        <f t="shared" si="17"/>
        <v>165.18389999999999</v>
      </c>
      <c r="G1110" t="s">
        <v>16</v>
      </c>
      <c r="J1110" t="str">
        <f>"10/13/2004 23:45"</f>
        <v>10/13/2004 23:45</v>
      </c>
    </row>
    <row r="1111" spans="1:10" x14ac:dyDescent="0.3">
      <c r="A1111" t="s">
        <v>6</v>
      </c>
      <c r="B1111" t="str">
        <f>"10/14/2004 00:00"</f>
        <v>10/14/2004 00:00</v>
      </c>
      <c r="C1111">
        <v>83.3</v>
      </c>
      <c r="D1111" t="s">
        <v>7</v>
      </c>
      <c r="E1111" s="2" t="s">
        <v>12</v>
      </c>
      <c r="F1111">
        <f t="shared" si="17"/>
        <v>165.18389999999999</v>
      </c>
      <c r="G1111" t="s">
        <v>16</v>
      </c>
      <c r="J1111" t="str">
        <f>"10/14/2004 23:45"</f>
        <v>10/14/2004 23:45</v>
      </c>
    </row>
    <row r="1112" spans="1:10" x14ac:dyDescent="0.3">
      <c r="A1112" t="s">
        <v>6</v>
      </c>
      <c r="B1112" t="str">
        <f>"10/15/2004 00:00"</f>
        <v>10/15/2004 00:00</v>
      </c>
      <c r="C1112">
        <v>83.3</v>
      </c>
      <c r="D1112" t="s">
        <v>7</v>
      </c>
      <c r="E1112" s="2" t="s">
        <v>12</v>
      </c>
      <c r="F1112">
        <f t="shared" si="17"/>
        <v>165.18389999999999</v>
      </c>
      <c r="G1112" t="s">
        <v>16</v>
      </c>
      <c r="J1112" t="str">
        <f>"10/15/2004 23:45"</f>
        <v>10/15/2004 23:45</v>
      </c>
    </row>
    <row r="1113" spans="1:10" x14ac:dyDescent="0.3">
      <c r="A1113" t="s">
        <v>6</v>
      </c>
      <c r="B1113" t="str">
        <f>"10/16/2004 00:00"</f>
        <v>10/16/2004 00:00</v>
      </c>
      <c r="C1113">
        <v>83.3</v>
      </c>
      <c r="D1113" t="s">
        <v>7</v>
      </c>
      <c r="E1113" s="2" t="s">
        <v>12</v>
      </c>
      <c r="F1113">
        <f t="shared" si="17"/>
        <v>165.18389999999999</v>
      </c>
      <c r="G1113" t="s">
        <v>16</v>
      </c>
      <c r="J1113" t="str">
        <f>"10/16/2004 23:45"</f>
        <v>10/16/2004 23:45</v>
      </c>
    </row>
    <row r="1114" spans="1:10" x14ac:dyDescent="0.3">
      <c r="A1114" t="s">
        <v>6</v>
      </c>
      <c r="B1114" t="str">
        <f>"10/17/2004 00:00"</f>
        <v>10/17/2004 00:00</v>
      </c>
      <c r="C1114">
        <v>83.3</v>
      </c>
      <c r="D1114" t="s">
        <v>7</v>
      </c>
      <c r="E1114" s="2" t="s">
        <v>12</v>
      </c>
      <c r="F1114">
        <f t="shared" si="17"/>
        <v>165.18389999999999</v>
      </c>
      <c r="G1114" t="s">
        <v>16</v>
      </c>
      <c r="J1114" t="str">
        <f>"10/17/2004 23:45"</f>
        <v>10/17/2004 23:45</v>
      </c>
    </row>
    <row r="1115" spans="1:10" x14ac:dyDescent="0.3">
      <c r="A1115" t="s">
        <v>6</v>
      </c>
      <c r="B1115" t="str">
        <f>"10/18/2004 00:00"</f>
        <v>10/18/2004 00:00</v>
      </c>
      <c r="C1115">
        <v>83.6</v>
      </c>
      <c r="D1115" t="s">
        <v>7</v>
      </c>
      <c r="E1115" s="2" t="s">
        <v>12</v>
      </c>
      <c r="F1115">
        <f t="shared" si="17"/>
        <v>165.77879999999999</v>
      </c>
      <c r="G1115" t="s">
        <v>16</v>
      </c>
      <c r="J1115" t="str">
        <f>"10/18/2004 23:45"</f>
        <v>10/18/2004 23:45</v>
      </c>
    </row>
    <row r="1116" spans="1:10" x14ac:dyDescent="0.3">
      <c r="A1116" t="s">
        <v>6</v>
      </c>
      <c r="B1116" t="str">
        <f>"10/19/2004 00:00"</f>
        <v>10/19/2004 00:00</v>
      </c>
      <c r="C1116">
        <v>84.4</v>
      </c>
      <c r="D1116" t="s">
        <v>7</v>
      </c>
      <c r="E1116" s="2" t="s">
        <v>12</v>
      </c>
      <c r="F1116">
        <f t="shared" si="17"/>
        <v>167.36520000000002</v>
      </c>
      <c r="G1116" t="s">
        <v>16</v>
      </c>
      <c r="J1116" t="str">
        <f>"10/19/2004 23:45"</f>
        <v>10/19/2004 23:45</v>
      </c>
    </row>
    <row r="1117" spans="1:10" x14ac:dyDescent="0.3">
      <c r="A1117" t="s">
        <v>6</v>
      </c>
      <c r="B1117" t="str">
        <f>"10/20/2004 00:00"</f>
        <v>10/20/2004 00:00</v>
      </c>
      <c r="C1117">
        <v>84.9</v>
      </c>
      <c r="D1117" t="s">
        <v>7</v>
      </c>
      <c r="E1117" s="2" t="s">
        <v>12</v>
      </c>
      <c r="F1117">
        <f t="shared" si="17"/>
        <v>168.35670000000002</v>
      </c>
      <c r="G1117" t="s">
        <v>16</v>
      </c>
      <c r="J1117" t="str">
        <f>"10/20/2004 23:45"</f>
        <v>10/20/2004 23:45</v>
      </c>
    </row>
    <row r="1118" spans="1:10" x14ac:dyDescent="0.3">
      <c r="A1118" t="s">
        <v>6</v>
      </c>
      <c r="B1118" t="str">
        <f>"10/21/2004 00:00"</f>
        <v>10/21/2004 00:00</v>
      </c>
      <c r="C1118">
        <v>85.8</v>
      </c>
      <c r="D1118" t="s">
        <v>7</v>
      </c>
      <c r="E1118" s="2" t="s">
        <v>12</v>
      </c>
      <c r="F1118">
        <f t="shared" si="17"/>
        <v>170.1414</v>
      </c>
      <c r="G1118" t="s">
        <v>16</v>
      </c>
      <c r="J1118" t="str">
        <f>"10/21/2004 23:45"</f>
        <v>10/21/2004 23:45</v>
      </c>
    </row>
    <row r="1119" spans="1:10" x14ac:dyDescent="0.3">
      <c r="A1119" t="s">
        <v>6</v>
      </c>
      <c r="B1119" t="str">
        <f>"10/22/2004 00:00"</f>
        <v>10/22/2004 00:00</v>
      </c>
      <c r="C1119">
        <v>105</v>
      </c>
      <c r="D1119" t="s">
        <v>7</v>
      </c>
      <c r="E1119" s="2" t="s">
        <v>12</v>
      </c>
      <c r="F1119">
        <f t="shared" si="17"/>
        <v>208.215</v>
      </c>
      <c r="G1119" t="s">
        <v>16</v>
      </c>
      <c r="J1119" t="str">
        <f>"10/22/2004 23:45"</f>
        <v>10/22/2004 23:45</v>
      </c>
    </row>
    <row r="1120" spans="1:10" x14ac:dyDescent="0.3">
      <c r="A1120" t="s">
        <v>6</v>
      </c>
      <c r="B1120" t="str">
        <f>"10/23/2004 00:00"</f>
        <v>10/23/2004 00:00</v>
      </c>
      <c r="C1120">
        <v>118</v>
      </c>
      <c r="D1120" t="s">
        <v>7</v>
      </c>
      <c r="E1120" s="2" t="s">
        <v>12</v>
      </c>
      <c r="F1120">
        <f t="shared" si="17"/>
        <v>233.994</v>
      </c>
      <c r="G1120" t="s">
        <v>16</v>
      </c>
      <c r="J1120" t="str">
        <f>"10/23/2004 23:45"</f>
        <v>10/23/2004 23:45</v>
      </c>
    </row>
    <row r="1121" spans="1:10" x14ac:dyDescent="0.3">
      <c r="A1121" t="s">
        <v>6</v>
      </c>
      <c r="B1121" t="str">
        <f>"10/24/2004 00:00"</f>
        <v>10/24/2004 00:00</v>
      </c>
      <c r="C1121">
        <v>118</v>
      </c>
      <c r="D1121" t="s">
        <v>7</v>
      </c>
      <c r="E1121" s="2" t="s">
        <v>12</v>
      </c>
      <c r="F1121">
        <f t="shared" si="17"/>
        <v>233.994</v>
      </c>
      <c r="G1121" t="s">
        <v>16</v>
      </c>
      <c r="J1121" t="str">
        <f>"10/24/2004 23:45"</f>
        <v>10/24/2004 23:45</v>
      </c>
    </row>
    <row r="1122" spans="1:10" x14ac:dyDescent="0.3">
      <c r="A1122" t="s">
        <v>6</v>
      </c>
      <c r="B1122" t="str">
        <f>"10/25/2004 00:00"</f>
        <v>10/25/2004 00:00</v>
      </c>
      <c r="C1122">
        <v>40.799999999999997</v>
      </c>
      <c r="D1122" t="s">
        <v>7</v>
      </c>
      <c r="E1122" s="2" t="s">
        <v>12</v>
      </c>
      <c r="F1122">
        <f t="shared" si="17"/>
        <v>80.906400000000005</v>
      </c>
      <c r="G1122" t="s">
        <v>16</v>
      </c>
      <c r="J1122" t="str">
        <f>"10/25/2004 23:45"</f>
        <v>10/25/2004 23:45</v>
      </c>
    </row>
    <row r="1123" spans="1:10" x14ac:dyDescent="0.3">
      <c r="A1123" t="s">
        <v>6</v>
      </c>
      <c r="B1123" t="str">
        <f>"10/26/2004 00:00"</f>
        <v>10/26/2004 00:00</v>
      </c>
      <c r="C1123">
        <v>0.85</v>
      </c>
      <c r="D1123" t="s">
        <v>7</v>
      </c>
      <c r="E1123" s="2" t="s">
        <v>12</v>
      </c>
      <c r="F1123">
        <f t="shared" si="17"/>
        <v>1.6855500000000001</v>
      </c>
      <c r="G1123" t="s">
        <v>16</v>
      </c>
      <c r="J1123" t="str">
        <f>"10/26/2004 23:45"</f>
        <v>10/26/2004 23:45</v>
      </c>
    </row>
    <row r="1124" spans="1:10" x14ac:dyDescent="0.3">
      <c r="A1124" t="s">
        <v>6</v>
      </c>
      <c r="B1124" t="str">
        <f>"10/27/2004 00:00"</f>
        <v>10/27/2004 00:00</v>
      </c>
      <c r="C1124">
        <v>1.05</v>
      </c>
      <c r="D1124" t="s">
        <v>7</v>
      </c>
      <c r="E1124" s="2" t="s">
        <v>12</v>
      </c>
      <c r="F1124">
        <f t="shared" si="17"/>
        <v>2.0821500000000004</v>
      </c>
      <c r="G1124" t="s">
        <v>16</v>
      </c>
      <c r="J1124" t="str">
        <f>"10/27/2004 23:45"</f>
        <v>10/27/2004 23:45</v>
      </c>
    </row>
    <row r="1125" spans="1:10" x14ac:dyDescent="0.3">
      <c r="A1125" t="s">
        <v>6</v>
      </c>
      <c r="B1125" t="str">
        <f>"10/28/2004 00:00"</f>
        <v>10/28/2004 00:00</v>
      </c>
      <c r="C1125">
        <v>0.85</v>
      </c>
      <c r="D1125" t="s">
        <v>7</v>
      </c>
      <c r="E1125" s="2" t="s">
        <v>12</v>
      </c>
      <c r="F1125">
        <f t="shared" si="17"/>
        <v>1.6855500000000001</v>
      </c>
      <c r="G1125" t="s">
        <v>16</v>
      </c>
      <c r="J1125" t="str">
        <f>"10/28/2004 23:45"</f>
        <v>10/28/2004 23:45</v>
      </c>
    </row>
    <row r="1126" spans="1:10" x14ac:dyDescent="0.3">
      <c r="A1126" t="s">
        <v>6</v>
      </c>
      <c r="B1126" t="str">
        <f>"10/29/2004 00:00"</f>
        <v>10/29/2004 00:00</v>
      </c>
      <c r="C1126">
        <v>12.2</v>
      </c>
      <c r="D1126" t="s">
        <v>7</v>
      </c>
      <c r="E1126" s="2" t="s">
        <v>12</v>
      </c>
      <c r="F1126">
        <f t="shared" si="17"/>
        <v>24.192599999999999</v>
      </c>
      <c r="G1126" t="s">
        <v>16</v>
      </c>
      <c r="J1126" t="str">
        <f>"10/29/2004 23:45"</f>
        <v>10/29/2004 23:45</v>
      </c>
    </row>
    <row r="1127" spans="1:10" x14ac:dyDescent="0.3">
      <c r="A1127" t="s">
        <v>6</v>
      </c>
      <c r="B1127" t="str">
        <f>"10/30/2004 00:00"</f>
        <v>10/30/2004 00:00</v>
      </c>
      <c r="C1127">
        <v>128</v>
      </c>
      <c r="D1127" t="s">
        <v>7</v>
      </c>
      <c r="E1127" s="2" t="s">
        <v>12</v>
      </c>
      <c r="F1127">
        <f t="shared" si="17"/>
        <v>253.82400000000001</v>
      </c>
      <c r="G1127" t="s">
        <v>16</v>
      </c>
      <c r="J1127" t="str">
        <f>"10/30/2004 23:45"</f>
        <v>10/30/2004 23:45</v>
      </c>
    </row>
    <row r="1128" spans="1:10" x14ac:dyDescent="0.3">
      <c r="A1128" t="s">
        <v>6</v>
      </c>
      <c r="B1128" t="str">
        <f>"10/31/2004 00:00"</f>
        <v>10/31/2004 00:00</v>
      </c>
      <c r="C1128">
        <v>163</v>
      </c>
      <c r="D1128" t="s">
        <v>7</v>
      </c>
      <c r="E1128" s="2" t="s">
        <v>12</v>
      </c>
      <c r="F1128">
        <f t="shared" si="17"/>
        <v>323.22900000000004</v>
      </c>
      <c r="G1128" t="s">
        <v>16</v>
      </c>
      <c r="J1128" t="str">
        <f>"10/31/2004 23:45"</f>
        <v>10/31/2004 23:45</v>
      </c>
    </row>
    <row r="1129" spans="1:10" x14ac:dyDescent="0.3">
      <c r="A1129" t="s">
        <v>6</v>
      </c>
      <c r="B1129" t="str">
        <f>"11/01/2004 00:00"</f>
        <v>11/01/2004 00:00</v>
      </c>
      <c r="C1129">
        <v>161</v>
      </c>
      <c r="D1129" t="s">
        <v>7</v>
      </c>
      <c r="E1129" s="2" t="s">
        <v>12</v>
      </c>
      <c r="F1129">
        <f t="shared" si="17"/>
        <v>319.26300000000003</v>
      </c>
      <c r="G1129" t="s">
        <v>16</v>
      </c>
      <c r="J1129" t="str">
        <f>"11/01/2004 23:45"</f>
        <v>11/01/2004 23:45</v>
      </c>
    </row>
    <row r="1130" spans="1:10" x14ac:dyDescent="0.3">
      <c r="A1130" t="s">
        <v>6</v>
      </c>
      <c r="B1130" t="str">
        <f>"11/02/2004 00:00"</f>
        <v>11/02/2004 00:00</v>
      </c>
      <c r="C1130">
        <v>149</v>
      </c>
      <c r="D1130" t="s">
        <v>7</v>
      </c>
      <c r="E1130" s="2" t="s">
        <v>12</v>
      </c>
      <c r="F1130">
        <f t="shared" si="17"/>
        <v>295.46700000000004</v>
      </c>
      <c r="G1130" t="s">
        <v>16</v>
      </c>
      <c r="J1130" t="str">
        <f>"11/02/2004 23:45"</f>
        <v>11/02/2004 23:45</v>
      </c>
    </row>
    <row r="1131" spans="1:10" x14ac:dyDescent="0.3">
      <c r="A1131" t="s">
        <v>6</v>
      </c>
      <c r="B1131" t="str">
        <f>"11/03/2004 00:00"</f>
        <v>11/03/2004 00:00</v>
      </c>
      <c r="C1131">
        <v>142</v>
      </c>
      <c r="D1131" t="s">
        <v>7</v>
      </c>
      <c r="E1131" s="2" t="s">
        <v>12</v>
      </c>
      <c r="F1131">
        <f t="shared" si="17"/>
        <v>281.58600000000001</v>
      </c>
      <c r="G1131" t="s">
        <v>16</v>
      </c>
      <c r="J1131" t="str">
        <f>"11/03/2004 23:45"</f>
        <v>11/03/2004 23:45</v>
      </c>
    </row>
    <row r="1132" spans="1:10" x14ac:dyDescent="0.3">
      <c r="A1132" t="s">
        <v>6</v>
      </c>
      <c r="B1132" t="str">
        <f>"11/04/2004 00:00"</f>
        <v>11/04/2004 00:00</v>
      </c>
      <c r="C1132">
        <v>141</v>
      </c>
      <c r="D1132" t="s">
        <v>7</v>
      </c>
      <c r="E1132" s="2" t="s">
        <v>12</v>
      </c>
      <c r="F1132">
        <f t="shared" si="17"/>
        <v>279.60300000000001</v>
      </c>
      <c r="G1132" t="s">
        <v>16</v>
      </c>
      <c r="J1132" t="str">
        <f>"11/04/2004 23:45"</f>
        <v>11/04/2004 23:45</v>
      </c>
    </row>
    <row r="1133" spans="1:10" x14ac:dyDescent="0.3">
      <c r="A1133" t="s">
        <v>6</v>
      </c>
      <c r="B1133" t="str">
        <f>"11/05/2004 00:00"</f>
        <v>11/05/2004 00:00</v>
      </c>
      <c r="C1133">
        <v>111</v>
      </c>
      <c r="D1133" t="s">
        <v>7</v>
      </c>
      <c r="E1133" s="2" t="s">
        <v>12</v>
      </c>
      <c r="F1133">
        <f t="shared" si="17"/>
        <v>220.113</v>
      </c>
      <c r="G1133" t="s">
        <v>16</v>
      </c>
      <c r="J1133" t="str">
        <f>"11/05/2004 23:45"</f>
        <v>11/05/2004 23:45</v>
      </c>
    </row>
    <row r="1134" spans="1:10" x14ac:dyDescent="0.3">
      <c r="A1134" t="s">
        <v>6</v>
      </c>
      <c r="B1134" t="str">
        <f>"11/06/2004 00:00"</f>
        <v>11/06/2004 00:00</v>
      </c>
      <c r="C1134">
        <v>86.9</v>
      </c>
      <c r="D1134" t="s">
        <v>7</v>
      </c>
      <c r="E1134" s="2" t="s">
        <v>12</v>
      </c>
      <c r="F1134">
        <f t="shared" si="17"/>
        <v>172.32270000000003</v>
      </c>
      <c r="G1134" t="s">
        <v>16</v>
      </c>
      <c r="J1134" t="str">
        <f>"11/06/2004 23:45"</f>
        <v>11/06/2004 23:45</v>
      </c>
    </row>
    <row r="1135" spans="1:10" x14ac:dyDescent="0.3">
      <c r="A1135" t="s">
        <v>6</v>
      </c>
      <c r="B1135" t="str">
        <f>"11/07/2004 00:00"</f>
        <v>11/07/2004 00:00</v>
      </c>
      <c r="C1135">
        <v>86.9</v>
      </c>
      <c r="D1135" t="s">
        <v>7</v>
      </c>
      <c r="E1135" s="2" t="s">
        <v>12</v>
      </c>
      <c r="F1135">
        <f t="shared" si="17"/>
        <v>172.32270000000003</v>
      </c>
      <c r="G1135" t="s">
        <v>16</v>
      </c>
      <c r="J1135" t="str">
        <f>"11/07/2004 23:45"</f>
        <v>11/07/2004 23:45</v>
      </c>
    </row>
    <row r="1136" spans="1:10" x14ac:dyDescent="0.3">
      <c r="A1136" t="s">
        <v>6</v>
      </c>
      <c r="B1136" t="str">
        <f>"11/08/2004 00:00"</f>
        <v>11/08/2004 00:00</v>
      </c>
      <c r="C1136">
        <v>86.9</v>
      </c>
      <c r="D1136" t="s">
        <v>7</v>
      </c>
      <c r="E1136" s="2" t="s">
        <v>12</v>
      </c>
      <c r="F1136">
        <f t="shared" si="17"/>
        <v>172.32270000000003</v>
      </c>
      <c r="G1136" t="s">
        <v>16</v>
      </c>
      <c r="J1136" t="str">
        <f>"11/08/2004 23:45"</f>
        <v>11/08/2004 23:45</v>
      </c>
    </row>
    <row r="1137" spans="1:10" x14ac:dyDescent="0.3">
      <c r="A1137" t="s">
        <v>6</v>
      </c>
      <c r="B1137" t="str">
        <f>"11/09/2004 00:00"</f>
        <v>11/09/2004 00:00</v>
      </c>
      <c r="C1137">
        <v>86.9</v>
      </c>
      <c r="D1137" t="s">
        <v>7</v>
      </c>
      <c r="E1137" s="2" t="s">
        <v>12</v>
      </c>
      <c r="F1137">
        <f t="shared" si="17"/>
        <v>172.32270000000003</v>
      </c>
      <c r="G1137" t="s">
        <v>16</v>
      </c>
      <c r="J1137" t="str">
        <f>"11/09/2004 23:45"</f>
        <v>11/09/2004 23:45</v>
      </c>
    </row>
    <row r="1138" spans="1:10" x14ac:dyDescent="0.3">
      <c r="A1138" t="s">
        <v>6</v>
      </c>
      <c r="B1138" t="str">
        <f>"11/10/2004 00:00"</f>
        <v>11/10/2004 00:00</v>
      </c>
      <c r="C1138">
        <v>76.7</v>
      </c>
      <c r="D1138" t="s">
        <v>7</v>
      </c>
      <c r="E1138" s="2" t="s">
        <v>12</v>
      </c>
      <c r="F1138">
        <f t="shared" si="17"/>
        <v>152.09610000000001</v>
      </c>
      <c r="G1138" t="s">
        <v>16</v>
      </c>
      <c r="J1138" t="str">
        <f>"11/10/2004 23:45"</f>
        <v>11/10/2004 23:45</v>
      </c>
    </row>
    <row r="1139" spans="1:10" x14ac:dyDescent="0.3">
      <c r="A1139" t="s">
        <v>6</v>
      </c>
      <c r="B1139" t="str">
        <f>"11/11/2004 00:00"</f>
        <v>11/11/2004 00:00</v>
      </c>
      <c r="C1139">
        <v>69.099999999999994</v>
      </c>
      <c r="D1139" t="s">
        <v>7</v>
      </c>
      <c r="E1139" s="2" t="s">
        <v>12</v>
      </c>
      <c r="F1139">
        <f t="shared" si="17"/>
        <v>137.02529999999999</v>
      </c>
      <c r="G1139" t="s">
        <v>16</v>
      </c>
      <c r="J1139" t="str">
        <f>"11/11/2004 23:45"</f>
        <v>11/11/2004 23:45</v>
      </c>
    </row>
    <row r="1140" spans="1:10" x14ac:dyDescent="0.3">
      <c r="A1140" t="s">
        <v>6</v>
      </c>
      <c r="B1140" t="str">
        <f>"11/12/2004 00:00"</f>
        <v>11/12/2004 00:00</v>
      </c>
      <c r="C1140">
        <v>70.7</v>
      </c>
      <c r="D1140" t="s">
        <v>7</v>
      </c>
      <c r="E1140" s="2" t="s">
        <v>12</v>
      </c>
      <c r="F1140">
        <f t="shared" si="17"/>
        <v>140.19810000000001</v>
      </c>
      <c r="G1140" t="s">
        <v>16</v>
      </c>
      <c r="J1140" t="str">
        <f>"11/12/2004 23:45"</f>
        <v>11/12/2004 23:45</v>
      </c>
    </row>
    <row r="1141" spans="1:10" x14ac:dyDescent="0.3">
      <c r="A1141" t="s">
        <v>6</v>
      </c>
      <c r="B1141" t="str">
        <f>"11/13/2004 00:00"</f>
        <v>11/13/2004 00:00</v>
      </c>
      <c r="C1141">
        <v>72.400000000000006</v>
      </c>
      <c r="D1141" t="s">
        <v>7</v>
      </c>
      <c r="E1141" s="2" t="s">
        <v>12</v>
      </c>
      <c r="F1141">
        <f t="shared" si="17"/>
        <v>143.56920000000002</v>
      </c>
      <c r="G1141" t="s">
        <v>16</v>
      </c>
      <c r="J1141" t="str">
        <f>"11/13/2004 23:45"</f>
        <v>11/13/2004 23:45</v>
      </c>
    </row>
    <row r="1142" spans="1:10" x14ac:dyDescent="0.3">
      <c r="A1142" t="s">
        <v>6</v>
      </c>
      <c r="B1142" t="str">
        <f>"11/14/2004 00:00"</f>
        <v>11/14/2004 00:00</v>
      </c>
      <c r="C1142">
        <v>72.5</v>
      </c>
      <c r="D1142" t="s">
        <v>7</v>
      </c>
      <c r="E1142" s="2" t="s">
        <v>12</v>
      </c>
      <c r="F1142">
        <f t="shared" si="17"/>
        <v>143.76750000000001</v>
      </c>
      <c r="G1142" t="s">
        <v>16</v>
      </c>
      <c r="J1142" t="str">
        <f>"11/14/2004 23:45"</f>
        <v>11/14/2004 23:45</v>
      </c>
    </row>
    <row r="1143" spans="1:10" x14ac:dyDescent="0.3">
      <c r="A1143" t="s">
        <v>6</v>
      </c>
      <c r="B1143" t="str">
        <f>"11/15/2004 00:00"</f>
        <v>11/15/2004 00:00</v>
      </c>
      <c r="C1143">
        <v>72.599999999999994</v>
      </c>
      <c r="D1143" t="s">
        <v>7</v>
      </c>
      <c r="E1143" s="2" t="s">
        <v>12</v>
      </c>
      <c r="F1143">
        <f t="shared" si="17"/>
        <v>143.9658</v>
      </c>
      <c r="G1143" t="s">
        <v>16</v>
      </c>
      <c r="J1143" t="str">
        <f>"11/15/2004 23:45"</f>
        <v>11/15/2004 23:45</v>
      </c>
    </row>
    <row r="1144" spans="1:10" x14ac:dyDescent="0.3">
      <c r="A1144" t="s">
        <v>6</v>
      </c>
      <c r="B1144" t="str">
        <f>"11/16/2004 00:00"</f>
        <v>11/16/2004 00:00</v>
      </c>
      <c r="C1144">
        <v>72.599999999999994</v>
      </c>
      <c r="D1144" t="s">
        <v>7</v>
      </c>
      <c r="E1144" s="2" t="s">
        <v>12</v>
      </c>
      <c r="F1144">
        <f t="shared" si="17"/>
        <v>143.9658</v>
      </c>
      <c r="G1144" t="s">
        <v>16</v>
      </c>
      <c r="J1144" t="str">
        <f>"11/16/2004 23:45"</f>
        <v>11/16/2004 23:45</v>
      </c>
    </row>
    <row r="1145" spans="1:10" x14ac:dyDescent="0.3">
      <c r="A1145" t="s">
        <v>6</v>
      </c>
      <c r="B1145" t="str">
        <f>"11/17/2004 00:00"</f>
        <v>11/17/2004 00:00</v>
      </c>
      <c r="C1145">
        <v>72.599999999999994</v>
      </c>
      <c r="D1145" t="s">
        <v>7</v>
      </c>
      <c r="E1145" s="2" t="s">
        <v>12</v>
      </c>
      <c r="F1145">
        <f t="shared" si="17"/>
        <v>143.9658</v>
      </c>
      <c r="G1145" t="s">
        <v>16</v>
      </c>
      <c r="J1145" t="str">
        <f>"11/17/2004 23:45"</f>
        <v>11/17/2004 23:45</v>
      </c>
    </row>
    <row r="1146" spans="1:10" x14ac:dyDescent="0.3">
      <c r="A1146" t="s">
        <v>6</v>
      </c>
      <c r="B1146" t="str">
        <f>"11/18/2004 00:00"</f>
        <v>11/18/2004 00:00</v>
      </c>
      <c r="C1146">
        <v>72.599999999999994</v>
      </c>
      <c r="D1146" t="s">
        <v>7</v>
      </c>
      <c r="E1146" s="2" t="s">
        <v>12</v>
      </c>
      <c r="F1146">
        <f t="shared" si="17"/>
        <v>143.9658</v>
      </c>
      <c r="G1146" t="s">
        <v>16</v>
      </c>
      <c r="J1146" t="str">
        <f>"11/18/2004 23:45"</f>
        <v>11/18/2004 23:45</v>
      </c>
    </row>
    <row r="1147" spans="1:10" x14ac:dyDescent="0.3">
      <c r="A1147" t="s">
        <v>6</v>
      </c>
      <c r="B1147" t="str">
        <f>"11/19/2004 00:00"</f>
        <v>11/19/2004 00:00</v>
      </c>
      <c r="C1147">
        <v>72.599999999999994</v>
      </c>
      <c r="D1147" t="s">
        <v>7</v>
      </c>
      <c r="E1147" s="2" t="s">
        <v>12</v>
      </c>
      <c r="F1147">
        <f t="shared" si="17"/>
        <v>143.9658</v>
      </c>
      <c r="G1147" t="s">
        <v>16</v>
      </c>
      <c r="J1147" t="str">
        <f>"11/19/2004 23:45"</f>
        <v>11/19/2004 23:45</v>
      </c>
    </row>
    <row r="1148" spans="1:10" x14ac:dyDescent="0.3">
      <c r="A1148" t="s">
        <v>6</v>
      </c>
      <c r="B1148" t="str">
        <f>"11/20/2004 00:00"</f>
        <v>11/20/2004 00:00</v>
      </c>
      <c r="C1148">
        <v>72.599999999999994</v>
      </c>
      <c r="D1148" t="s">
        <v>7</v>
      </c>
      <c r="E1148" s="2" t="s">
        <v>12</v>
      </c>
      <c r="F1148">
        <f t="shared" si="17"/>
        <v>143.9658</v>
      </c>
      <c r="G1148" t="s">
        <v>16</v>
      </c>
      <c r="J1148" t="str">
        <f>"11/20/2004 23:45"</f>
        <v>11/20/2004 23:45</v>
      </c>
    </row>
    <row r="1149" spans="1:10" x14ac:dyDescent="0.3">
      <c r="A1149" t="s">
        <v>6</v>
      </c>
      <c r="B1149" t="str">
        <f>"11/21/2004 00:00"</f>
        <v>11/21/2004 00:00</v>
      </c>
      <c r="C1149">
        <v>72.599999999999994</v>
      </c>
      <c r="D1149" t="s">
        <v>7</v>
      </c>
      <c r="E1149" s="2" t="s">
        <v>12</v>
      </c>
      <c r="F1149">
        <f t="shared" si="17"/>
        <v>143.9658</v>
      </c>
      <c r="G1149" t="s">
        <v>16</v>
      </c>
      <c r="J1149" t="str">
        <f>"11/21/2004 23:45"</f>
        <v>11/21/2004 23:45</v>
      </c>
    </row>
    <row r="1150" spans="1:10" x14ac:dyDescent="0.3">
      <c r="A1150" t="s">
        <v>6</v>
      </c>
      <c r="B1150" t="str">
        <f>"11/22/2004 00:00"</f>
        <v>11/22/2004 00:00</v>
      </c>
      <c r="C1150">
        <v>73.2</v>
      </c>
      <c r="D1150" t="s">
        <v>7</v>
      </c>
      <c r="E1150" s="2" t="s">
        <v>12</v>
      </c>
      <c r="F1150">
        <f t="shared" si="17"/>
        <v>145.15560000000002</v>
      </c>
      <c r="G1150" t="s">
        <v>16</v>
      </c>
      <c r="J1150" t="str">
        <f>"11/22/2004 23:45"</f>
        <v>11/22/2004 23:45</v>
      </c>
    </row>
    <row r="1151" spans="1:10" x14ac:dyDescent="0.3">
      <c r="A1151" t="s">
        <v>6</v>
      </c>
      <c r="B1151" t="str">
        <f>"11/23/2004 00:00"</f>
        <v>11/23/2004 00:00</v>
      </c>
      <c r="C1151">
        <v>72.400000000000006</v>
      </c>
      <c r="D1151" t="s">
        <v>7</v>
      </c>
      <c r="E1151" s="2" t="s">
        <v>12</v>
      </c>
      <c r="F1151">
        <f t="shared" si="17"/>
        <v>143.56920000000002</v>
      </c>
      <c r="G1151" t="s">
        <v>16</v>
      </c>
      <c r="J1151" t="str">
        <f>"11/23/2004 23:45"</f>
        <v>11/23/2004 23:45</v>
      </c>
    </row>
    <row r="1152" spans="1:10" x14ac:dyDescent="0.3">
      <c r="A1152" t="s">
        <v>6</v>
      </c>
      <c r="B1152" t="str">
        <f>"11/24/2004 00:00"</f>
        <v>11/24/2004 00:00</v>
      </c>
      <c r="C1152">
        <v>71.099999999999994</v>
      </c>
      <c r="D1152" t="s">
        <v>7</v>
      </c>
      <c r="E1152" s="2" t="s">
        <v>12</v>
      </c>
      <c r="F1152">
        <f t="shared" si="17"/>
        <v>140.9913</v>
      </c>
      <c r="G1152" t="s">
        <v>16</v>
      </c>
      <c r="J1152" t="str">
        <f>"11/24/2004 23:45"</f>
        <v>11/24/2004 23:45</v>
      </c>
    </row>
    <row r="1153" spans="1:10" x14ac:dyDescent="0.3">
      <c r="A1153" t="s">
        <v>6</v>
      </c>
      <c r="B1153" t="str">
        <f>"11/25/2004 00:00"</f>
        <v>11/25/2004 00:00</v>
      </c>
      <c r="C1153">
        <v>71.099999999999994</v>
      </c>
      <c r="D1153" t="s">
        <v>7</v>
      </c>
      <c r="E1153" s="2" t="s">
        <v>12</v>
      </c>
      <c r="F1153">
        <f t="shared" si="17"/>
        <v>140.9913</v>
      </c>
      <c r="G1153" t="s">
        <v>16</v>
      </c>
      <c r="J1153" t="str">
        <f>"11/25/2004 23:45"</f>
        <v>11/25/2004 23:45</v>
      </c>
    </row>
    <row r="1154" spans="1:10" x14ac:dyDescent="0.3">
      <c r="A1154" t="s">
        <v>6</v>
      </c>
      <c r="B1154" t="str">
        <f>"11/26/2004 00:00"</f>
        <v>11/26/2004 00:00</v>
      </c>
      <c r="C1154">
        <v>71.400000000000006</v>
      </c>
      <c r="D1154" t="s">
        <v>7</v>
      </c>
      <c r="E1154" s="2" t="s">
        <v>12</v>
      </c>
      <c r="F1154">
        <f t="shared" si="17"/>
        <v>141.58620000000002</v>
      </c>
      <c r="G1154" t="s">
        <v>16</v>
      </c>
      <c r="J1154" t="str">
        <f>"11/26/2004 23:45"</f>
        <v>11/26/2004 23:45</v>
      </c>
    </row>
    <row r="1155" spans="1:10" x14ac:dyDescent="0.3">
      <c r="A1155" t="s">
        <v>6</v>
      </c>
      <c r="B1155" t="str">
        <f>"11/27/2004 00:00"</f>
        <v>11/27/2004 00:00</v>
      </c>
      <c r="C1155">
        <v>71.400000000000006</v>
      </c>
      <c r="D1155" t="s">
        <v>7</v>
      </c>
      <c r="E1155" s="2" t="s">
        <v>12</v>
      </c>
      <c r="F1155">
        <f t="shared" si="17"/>
        <v>141.58620000000002</v>
      </c>
      <c r="G1155" t="s">
        <v>16</v>
      </c>
      <c r="J1155" t="str">
        <f>"11/27/2004 23:45"</f>
        <v>11/27/2004 23:45</v>
      </c>
    </row>
    <row r="1156" spans="1:10" x14ac:dyDescent="0.3">
      <c r="A1156" t="s">
        <v>6</v>
      </c>
      <c r="B1156" t="str">
        <f>"11/28/2004 00:00"</f>
        <v>11/28/2004 00:00</v>
      </c>
      <c r="C1156">
        <v>71.400000000000006</v>
      </c>
      <c r="D1156" t="s">
        <v>7</v>
      </c>
      <c r="E1156" s="2" t="s">
        <v>12</v>
      </c>
      <c r="F1156">
        <f t="shared" ref="F1156:F1219" si="18">C1156*1.983</f>
        <v>141.58620000000002</v>
      </c>
      <c r="G1156" t="s">
        <v>16</v>
      </c>
      <c r="J1156" t="str">
        <f>"11/28/2004 23:45"</f>
        <v>11/28/2004 23:45</v>
      </c>
    </row>
    <row r="1157" spans="1:10" x14ac:dyDescent="0.3">
      <c r="A1157" t="s">
        <v>6</v>
      </c>
      <c r="B1157" t="str">
        <f>"11/29/2004 00:00"</f>
        <v>11/29/2004 00:00</v>
      </c>
      <c r="C1157">
        <v>71.400000000000006</v>
      </c>
      <c r="D1157" t="s">
        <v>7</v>
      </c>
      <c r="E1157" s="2" t="s">
        <v>12</v>
      </c>
      <c r="F1157">
        <f t="shared" si="18"/>
        <v>141.58620000000002</v>
      </c>
      <c r="G1157" t="s">
        <v>16</v>
      </c>
      <c r="J1157" t="str">
        <f>"11/29/2004 23:45"</f>
        <v>11/29/2004 23:45</v>
      </c>
    </row>
    <row r="1158" spans="1:10" x14ac:dyDescent="0.3">
      <c r="A1158" t="s">
        <v>6</v>
      </c>
      <c r="B1158" t="str">
        <f>"11/30/2004 00:00"</f>
        <v>11/30/2004 00:00</v>
      </c>
      <c r="C1158">
        <v>71.5</v>
      </c>
      <c r="D1158" t="s">
        <v>7</v>
      </c>
      <c r="E1158" s="2" t="s">
        <v>12</v>
      </c>
      <c r="F1158">
        <f t="shared" si="18"/>
        <v>141.78450000000001</v>
      </c>
      <c r="G1158" t="s">
        <v>16</v>
      </c>
      <c r="J1158" t="str">
        <f>"11/30/2004 23:45"</f>
        <v>11/30/2004 23:45</v>
      </c>
    </row>
    <row r="1159" spans="1:10" x14ac:dyDescent="0.3">
      <c r="A1159" t="s">
        <v>6</v>
      </c>
      <c r="B1159" t="str">
        <f>"12/01/2004 00:00"</f>
        <v>12/01/2004 00:00</v>
      </c>
      <c r="C1159">
        <v>71.599999999999994</v>
      </c>
      <c r="D1159" t="s">
        <v>7</v>
      </c>
      <c r="E1159" s="2" t="s">
        <v>12</v>
      </c>
      <c r="F1159">
        <f t="shared" si="18"/>
        <v>141.9828</v>
      </c>
      <c r="G1159" t="s">
        <v>16</v>
      </c>
      <c r="J1159" t="str">
        <f>"12/01/2004 23:45"</f>
        <v>12/01/2004 23:45</v>
      </c>
    </row>
    <row r="1160" spans="1:10" x14ac:dyDescent="0.3">
      <c r="A1160" t="s">
        <v>6</v>
      </c>
      <c r="B1160" t="str">
        <f>"12/02/2004 00:00"</f>
        <v>12/02/2004 00:00</v>
      </c>
      <c r="C1160">
        <v>72.2</v>
      </c>
      <c r="D1160" t="s">
        <v>7</v>
      </c>
      <c r="E1160" s="2" t="s">
        <v>12</v>
      </c>
      <c r="F1160">
        <f t="shared" si="18"/>
        <v>143.17260000000002</v>
      </c>
      <c r="G1160" t="s">
        <v>16</v>
      </c>
      <c r="J1160" t="str">
        <f>"12/02/2004 23:45"</f>
        <v>12/02/2004 23:45</v>
      </c>
    </row>
    <row r="1161" spans="1:10" x14ac:dyDescent="0.3">
      <c r="A1161" t="s">
        <v>6</v>
      </c>
      <c r="B1161" t="str">
        <f>"12/03/2004 00:00"</f>
        <v>12/03/2004 00:00</v>
      </c>
      <c r="C1161">
        <v>72</v>
      </c>
      <c r="D1161" t="s">
        <v>7</v>
      </c>
      <c r="E1161" s="2" t="s">
        <v>12</v>
      </c>
      <c r="F1161">
        <f t="shared" si="18"/>
        <v>142.77600000000001</v>
      </c>
      <c r="G1161" t="s">
        <v>16</v>
      </c>
      <c r="J1161" t="str">
        <f>"12/03/2004 23:45"</f>
        <v>12/03/2004 23:45</v>
      </c>
    </row>
    <row r="1162" spans="1:10" x14ac:dyDescent="0.3">
      <c r="A1162" t="s">
        <v>6</v>
      </c>
      <c r="B1162" t="str">
        <f>"12/04/2004 00:00"</f>
        <v>12/04/2004 00:00</v>
      </c>
      <c r="C1162">
        <v>72.599999999999994</v>
      </c>
      <c r="D1162" t="s">
        <v>7</v>
      </c>
      <c r="E1162" s="2" t="s">
        <v>12</v>
      </c>
      <c r="F1162">
        <f t="shared" si="18"/>
        <v>143.9658</v>
      </c>
      <c r="G1162" t="s">
        <v>16</v>
      </c>
      <c r="J1162" t="str">
        <f>"12/04/2004 23:45"</f>
        <v>12/04/2004 23:45</v>
      </c>
    </row>
    <row r="1163" spans="1:10" x14ac:dyDescent="0.3">
      <c r="A1163" t="s">
        <v>6</v>
      </c>
      <c r="B1163" t="str">
        <f>"12/05/2004 00:00"</f>
        <v>12/05/2004 00:00</v>
      </c>
      <c r="C1163">
        <v>72.599999999999994</v>
      </c>
      <c r="D1163" t="s">
        <v>7</v>
      </c>
      <c r="E1163" s="2" t="s">
        <v>12</v>
      </c>
      <c r="F1163">
        <f t="shared" si="18"/>
        <v>143.9658</v>
      </c>
      <c r="G1163" t="s">
        <v>16</v>
      </c>
      <c r="J1163" t="str">
        <f>"12/05/2004 23:45"</f>
        <v>12/05/2004 23:45</v>
      </c>
    </row>
    <row r="1164" spans="1:10" x14ac:dyDescent="0.3">
      <c r="A1164" t="s">
        <v>6</v>
      </c>
      <c r="B1164" t="str">
        <f>"12/06/2004 00:00"</f>
        <v>12/06/2004 00:00</v>
      </c>
      <c r="C1164">
        <v>72.599999999999994</v>
      </c>
      <c r="D1164" t="s">
        <v>7</v>
      </c>
      <c r="E1164" s="2" t="s">
        <v>12</v>
      </c>
      <c r="F1164">
        <f t="shared" si="18"/>
        <v>143.9658</v>
      </c>
      <c r="G1164" t="s">
        <v>16</v>
      </c>
      <c r="J1164" t="str">
        <f>"12/06/2004 23:45"</f>
        <v>12/06/2004 23:45</v>
      </c>
    </row>
    <row r="1165" spans="1:10" x14ac:dyDescent="0.3">
      <c r="A1165" t="s">
        <v>6</v>
      </c>
      <c r="B1165" t="str">
        <f>"12/07/2004 00:00"</f>
        <v>12/07/2004 00:00</v>
      </c>
      <c r="C1165">
        <v>72.599999999999994</v>
      </c>
      <c r="D1165" t="s">
        <v>7</v>
      </c>
      <c r="E1165" s="2" t="s">
        <v>12</v>
      </c>
      <c r="F1165">
        <f t="shared" si="18"/>
        <v>143.9658</v>
      </c>
      <c r="G1165" t="s">
        <v>16</v>
      </c>
      <c r="J1165" t="str">
        <f>"12/07/2004 23:45"</f>
        <v>12/07/2004 23:45</v>
      </c>
    </row>
    <row r="1166" spans="1:10" x14ac:dyDescent="0.3">
      <c r="A1166" t="s">
        <v>6</v>
      </c>
      <c r="B1166" t="str">
        <f>"12/08/2004 00:00"</f>
        <v>12/08/2004 00:00</v>
      </c>
      <c r="C1166">
        <v>72.599999999999994</v>
      </c>
      <c r="D1166" t="s">
        <v>7</v>
      </c>
      <c r="E1166" s="2" t="s">
        <v>12</v>
      </c>
      <c r="F1166">
        <f t="shared" si="18"/>
        <v>143.9658</v>
      </c>
      <c r="G1166" t="s">
        <v>16</v>
      </c>
      <c r="J1166" t="str">
        <f>"12/08/2004 23:45"</f>
        <v>12/08/2004 23:45</v>
      </c>
    </row>
    <row r="1167" spans="1:10" x14ac:dyDescent="0.3">
      <c r="A1167" t="s">
        <v>6</v>
      </c>
      <c r="B1167" t="str">
        <f>"12/09/2004 00:00"</f>
        <v>12/09/2004 00:00</v>
      </c>
      <c r="C1167">
        <v>72.8</v>
      </c>
      <c r="D1167" t="s">
        <v>7</v>
      </c>
      <c r="E1167" s="2" t="s">
        <v>12</v>
      </c>
      <c r="F1167">
        <f t="shared" si="18"/>
        <v>144.36240000000001</v>
      </c>
      <c r="G1167" t="s">
        <v>16</v>
      </c>
      <c r="J1167" t="str">
        <f>"12/09/2004 23:45"</f>
        <v>12/09/2004 23:45</v>
      </c>
    </row>
    <row r="1168" spans="1:10" x14ac:dyDescent="0.3">
      <c r="A1168" t="s">
        <v>6</v>
      </c>
      <c r="B1168" t="str">
        <f>"12/10/2004 00:00"</f>
        <v>12/10/2004 00:00</v>
      </c>
      <c r="C1168">
        <v>73.8</v>
      </c>
      <c r="D1168" t="s">
        <v>7</v>
      </c>
      <c r="E1168" s="2" t="s">
        <v>12</v>
      </c>
      <c r="F1168">
        <f t="shared" si="18"/>
        <v>146.34540000000001</v>
      </c>
      <c r="G1168" t="s">
        <v>16</v>
      </c>
      <c r="J1168" t="str">
        <f>"12/10/2004 23:45"</f>
        <v>12/10/2004 23:45</v>
      </c>
    </row>
    <row r="1169" spans="1:10" x14ac:dyDescent="0.3">
      <c r="A1169" t="s">
        <v>6</v>
      </c>
      <c r="B1169" t="str">
        <f>"12/11/2004 00:00"</f>
        <v>12/11/2004 00:00</v>
      </c>
      <c r="C1169">
        <v>73.8</v>
      </c>
      <c r="D1169" t="s">
        <v>7</v>
      </c>
      <c r="E1169" s="2" t="s">
        <v>12</v>
      </c>
      <c r="F1169">
        <f t="shared" si="18"/>
        <v>146.34540000000001</v>
      </c>
      <c r="G1169" t="s">
        <v>16</v>
      </c>
      <c r="J1169" t="str">
        <f>"12/11/2004 23:45"</f>
        <v>12/11/2004 23:45</v>
      </c>
    </row>
    <row r="1170" spans="1:10" x14ac:dyDescent="0.3">
      <c r="A1170" t="s">
        <v>6</v>
      </c>
      <c r="B1170" t="str">
        <f>"12/12/2004 00:00"</f>
        <v>12/12/2004 00:00</v>
      </c>
      <c r="C1170">
        <v>73.599999999999994</v>
      </c>
      <c r="D1170" t="s">
        <v>7</v>
      </c>
      <c r="E1170" s="2" t="s">
        <v>12</v>
      </c>
      <c r="F1170">
        <f t="shared" si="18"/>
        <v>145.94880000000001</v>
      </c>
      <c r="G1170" t="s">
        <v>16</v>
      </c>
      <c r="J1170" t="str">
        <f>"12/12/2004 23:45"</f>
        <v>12/12/2004 23:45</v>
      </c>
    </row>
    <row r="1171" spans="1:10" x14ac:dyDescent="0.3">
      <c r="A1171" t="s">
        <v>6</v>
      </c>
      <c r="B1171" t="str">
        <f>"12/13/2004 00:00"</f>
        <v>12/13/2004 00:00</v>
      </c>
      <c r="C1171">
        <v>73.8</v>
      </c>
      <c r="D1171" t="s">
        <v>7</v>
      </c>
      <c r="E1171" s="2" t="s">
        <v>12</v>
      </c>
      <c r="F1171">
        <f t="shared" si="18"/>
        <v>146.34540000000001</v>
      </c>
      <c r="G1171" t="s">
        <v>16</v>
      </c>
      <c r="J1171" t="str">
        <f>"12/13/2004 23:45"</f>
        <v>12/13/2004 23:45</v>
      </c>
    </row>
    <row r="1172" spans="1:10" x14ac:dyDescent="0.3">
      <c r="A1172" t="s">
        <v>6</v>
      </c>
      <c r="B1172" t="str">
        <f>"12/14/2004 00:00"</f>
        <v>12/14/2004 00:00</v>
      </c>
      <c r="C1172">
        <v>73.8</v>
      </c>
      <c r="D1172" t="s">
        <v>7</v>
      </c>
      <c r="E1172" s="2" t="s">
        <v>12</v>
      </c>
      <c r="F1172">
        <f t="shared" si="18"/>
        <v>146.34540000000001</v>
      </c>
      <c r="G1172" t="s">
        <v>16</v>
      </c>
      <c r="J1172" t="str">
        <f>"12/14/2004 23:45"</f>
        <v>12/14/2004 23:45</v>
      </c>
    </row>
    <row r="1173" spans="1:10" x14ac:dyDescent="0.3">
      <c r="A1173" t="s">
        <v>6</v>
      </c>
      <c r="B1173" t="str">
        <f>"12/15/2004 00:00"</f>
        <v>12/15/2004 00:00</v>
      </c>
      <c r="C1173">
        <v>73.8</v>
      </c>
      <c r="D1173" t="s">
        <v>7</v>
      </c>
      <c r="E1173" s="2" t="s">
        <v>12</v>
      </c>
      <c r="F1173">
        <f t="shared" si="18"/>
        <v>146.34540000000001</v>
      </c>
      <c r="G1173" t="s">
        <v>16</v>
      </c>
      <c r="J1173" t="str">
        <f>"12/15/2004 23:45"</f>
        <v>12/15/2004 23:45</v>
      </c>
    </row>
    <row r="1174" spans="1:10" x14ac:dyDescent="0.3">
      <c r="A1174" t="s">
        <v>6</v>
      </c>
      <c r="B1174" t="str">
        <f>"12/16/2004 00:00"</f>
        <v>12/16/2004 00:00</v>
      </c>
      <c r="C1174">
        <v>73.8</v>
      </c>
      <c r="D1174" t="s">
        <v>7</v>
      </c>
      <c r="E1174" s="2" t="s">
        <v>12</v>
      </c>
      <c r="F1174">
        <f t="shared" si="18"/>
        <v>146.34540000000001</v>
      </c>
      <c r="G1174" t="s">
        <v>16</v>
      </c>
      <c r="J1174" t="str">
        <f>"12/16/2004 23:45"</f>
        <v>12/16/2004 23:45</v>
      </c>
    </row>
    <row r="1175" spans="1:10" x14ac:dyDescent="0.3">
      <c r="A1175" t="s">
        <v>6</v>
      </c>
      <c r="B1175" t="str">
        <f>"12/17/2004 00:00"</f>
        <v>12/17/2004 00:00</v>
      </c>
      <c r="C1175">
        <v>71.400000000000006</v>
      </c>
      <c r="D1175" t="s">
        <v>7</v>
      </c>
      <c r="E1175" s="2" t="s">
        <v>12</v>
      </c>
      <c r="F1175">
        <f t="shared" si="18"/>
        <v>141.58620000000002</v>
      </c>
      <c r="G1175" t="s">
        <v>16</v>
      </c>
      <c r="J1175" t="str">
        <f>"12/17/2004 23:45"</f>
        <v>12/17/2004 23:45</v>
      </c>
    </row>
    <row r="1176" spans="1:10" x14ac:dyDescent="0.3">
      <c r="A1176" t="s">
        <v>6</v>
      </c>
      <c r="B1176" t="str">
        <f>"12/18/2004 00:00"</f>
        <v>12/18/2004 00:00</v>
      </c>
      <c r="C1176">
        <v>67.099999999999994</v>
      </c>
      <c r="D1176" t="s">
        <v>7</v>
      </c>
      <c r="E1176" s="2" t="s">
        <v>12</v>
      </c>
      <c r="F1176">
        <f t="shared" si="18"/>
        <v>133.05930000000001</v>
      </c>
      <c r="G1176" t="s">
        <v>16</v>
      </c>
      <c r="J1176" t="str">
        <f>"12/18/2004 23:45"</f>
        <v>12/18/2004 23:45</v>
      </c>
    </row>
    <row r="1177" spans="1:10" x14ac:dyDescent="0.3">
      <c r="A1177" t="s">
        <v>6</v>
      </c>
      <c r="B1177" t="str">
        <f>"12/19/2004 00:00"</f>
        <v>12/19/2004 00:00</v>
      </c>
      <c r="C1177">
        <v>65</v>
      </c>
      <c r="D1177" t="s">
        <v>7</v>
      </c>
      <c r="E1177" s="2" t="s">
        <v>12</v>
      </c>
      <c r="F1177">
        <f t="shared" si="18"/>
        <v>128.89500000000001</v>
      </c>
      <c r="G1177" t="s">
        <v>16</v>
      </c>
      <c r="J1177" t="str">
        <f>"12/19/2004 23:45"</f>
        <v>12/19/2004 23:45</v>
      </c>
    </row>
    <row r="1178" spans="1:10" x14ac:dyDescent="0.3">
      <c r="A1178" t="s">
        <v>6</v>
      </c>
      <c r="B1178" t="str">
        <f>"12/20/2004 00:00"</f>
        <v>12/20/2004 00:00</v>
      </c>
      <c r="C1178">
        <v>64.099999999999994</v>
      </c>
      <c r="D1178" t="s">
        <v>7</v>
      </c>
      <c r="E1178" s="2" t="s">
        <v>12</v>
      </c>
      <c r="F1178">
        <f t="shared" si="18"/>
        <v>127.1103</v>
      </c>
      <c r="G1178" t="s">
        <v>16</v>
      </c>
      <c r="J1178" t="str">
        <f>"12/20/2004 23:45"</f>
        <v>12/20/2004 23:45</v>
      </c>
    </row>
    <row r="1179" spans="1:10" x14ac:dyDescent="0.3">
      <c r="A1179" t="s">
        <v>6</v>
      </c>
      <c r="B1179" t="str">
        <f>"12/21/2004 00:00"</f>
        <v>12/21/2004 00:00</v>
      </c>
      <c r="C1179">
        <v>64.400000000000006</v>
      </c>
      <c r="D1179" t="s">
        <v>7</v>
      </c>
      <c r="E1179" s="2" t="s">
        <v>12</v>
      </c>
      <c r="F1179">
        <f t="shared" si="18"/>
        <v>127.70520000000002</v>
      </c>
      <c r="G1179" t="s">
        <v>16</v>
      </c>
      <c r="J1179" t="str">
        <f>"12/21/2004 23:45"</f>
        <v>12/21/2004 23:45</v>
      </c>
    </row>
    <row r="1180" spans="1:10" x14ac:dyDescent="0.3">
      <c r="A1180" t="s">
        <v>6</v>
      </c>
      <c r="B1180" t="str">
        <f>"12/22/2004 00:00"</f>
        <v>12/22/2004 00:00</v>
      </c>
      <c r="C1180">
        <v>63.2</v>
      </c>
      <c r="D1180" t="s">
        <v>7</v>
      </c>
      <c r="E1180" s="2" t="s">
        <v>12</v>
      </c>
      <c r="F1180">
        <f t="shared" si="18"/>
        <v>125.32560000000001</v>
      </c>
      <c r="G1180" t="s">
        <v>16</v>
      </c>
      <c r="J1180" t="str">
        <f>"12/22/2004 23:45"</f>
        <v>12/22/2004 23:45</v>
      </c>
    </row>
    <row r="1181" spans="1:10" x14ac:dyDescent="0.3">
      <c r="A1181" t="s">
        <v>6</v>
      </c>
      <c r="B1181" t="str">
        <f>"12/23/2004 00:00"</f>
        <v>12/23/2004 00:00</v>
      </c>
      <c r="C1181">
        <v>60.3</v>
      </c>
      <c r="D1181" t="s">
        <v>7</v>
      </c>
      <c r="E1181" s="2" t="s">
        <v>12</v>
      </c>
      <c r="F1181">
        <f t="shared" si="18"/>
        <v>119.5749</v>
      </c>
      <c r="G1181" t="s">
        <v>16</v>
      </c>
      <c r="J1181" t="str">
        <f>"12/23/2004 23:45"</f>
        <v>12/23/2004 23:45</v>
      </c>
    </row>
    <row r="1182" spans="1:10" x14ac:dyDescent="0.3">
      <c r="A1182" t="s">
        <v>6</v>
      </c>
      <c r="B1182" t="str">
        <f>"12/24/2004 00:00"</f>
        <v>12/24/2004 00:00</v>
      </c>
      <c r="C1182">
        <v>60.3</v>
      </c>
      <c r="D1182" t="s">
        <v>7</v>
      </c>
      <c r="E1182" s="2" t="s">
        <v>12</v>
      </c>
      <c r="F1182">
        <f t="shared" si="18"/>
        <v>119.5749</v>
      </c>
      <c r="G1182" t="s">
        <v>16</v>
      </c>
      <c r="J1182" t="str">
        <f>"12/24/2004 23:45"</f>
        <v>12/24/2004 23:45</v>
      </c>
    </row>
    <row r="1183" spans="1:10" x14ac:dyDescent="0.3">
      <c r="A1183" t="s">
        <v>6</v>
      </c>
      <c r="B1183" t="str">
        <f>"12/25/2004 00:00"</f>
        <v>12/25/2004 00:00</v>
      </c>
      <c r="C1183">
        <v>60.8</v>
      </c>
      <c r="D1183" t="s">
        <v>7</v>
      </c>
      <c r="E1183" s="2" t="s">
        <v>12</v>
      </c>
      <c r="F1183">
        <f t="shared" si="18"/>
        <v>120.5664</v>
      </c>
      <c r="G1183" t="s">
        <v>16</v>
      </c>
      <c r="J1183" t="str">
        <f>"12/25/2004 23:45"</f>
        <v>12/25/2004 23:45</v>
      </c>
    </row>
    <row r="1184" spans="1:10" x14ac:dyDescent="0.3">
      <c r="A1184" t="s">
        <v>6</v>
      </c>
      <c r="B1184" t="str">
        <f>"12/26/2004 00:00"</f>
        <v>12/26/2004 00:00</v>
      </c>
      <c r="C1184">
        <v>61</v>
      </c>
      <c r="D1184" t="s">
        <v>7</v>
      </c>
      <c r="E1184" s="2" t="s">
        <v>12</v>
      </c>
      <c r="F1184">
        <f t="shared" si="18"/>
        <v>120.96300000000001</v>
      </c>
      <c r="G1184" t="s">
        <v>16</v>
      </c>
      <c r="J1184" t="str">
        <f>"12/26/2004 23:45"</f>
        <v>12/26/2004 23:45</v>
      </c>
    </row>
    <row r="1185" spans="1:10" x14ac:dyDescent="0.3">
      <c r="A1185" t="s">
        <v>6</v>
      </c>
      <c r="B1185" t="str">
        <f>"12/27/2004 00:00"</f>
        <v>12/27/2004 00:00</v>
      </c>
      <c r="C1185">
        <v>61</v>
      </c>
      <c r="D1185" t="s">
        <v>7</v>
      </c>
      <c r="E1185" s="2" t="s">
        <v>12</v>
      </c>
      <c r="F1185">
        <f t="shared" si="18"/>
        <v>120.96300000000001</v>
      </c>
      <c r="G1185" t="s">
        <v>16</v>
      </c>
      <c r="J1185" t="str">
        <f>"12/27/2004 23:45"</f>
        <v>12/27/2004 23:45</v>
      </c>
    </row>
    <row r="1186" spans="1:10" x14ac:dyDescent="0.3">
      <c r="A1186" t="s">
        <v>6</v>
      </c>
      <c r="B1186" t="str">
        <f>"12/28/2004 00:00"</f>
        <v>12/28/2004 00:00</v>
      </c>
      <c r="C1186">
        <v>60.5</v>
      </c>
      <c r="D1186" t="s">
        <v>7</v>
      </c>
      <c r="E1186" s="2" t="s">
        <v>12</v>
      </c>
      <c r="F1186">
        <f t="shared" si="18"/>
        <v>119.97150000000001</v>
      </c>
      <c r="G1186" t="s">
        <v>16</v>
      </c>
      <c r="J1186" t="str">
        <f>"12/28/2004 23:45"</f>
        <v>12/28/2004 23:45</v>
      </c>
    </row>
    <row r="1187" spans="1:10" x14ac:dyDescent="0.3">
      <c r="A1187" t="s">
        <v>6</v>
      </c>
      <c r="B1187" t="str">
        <f>"12/29/2004 00:00"</f>
        <v>12/29/2004 00:00</v>
      </c>
      <c r="C1187">
        <v>59.9</v>
      </c>
      <c r="D1187" t="s">
        <v>7</v>
      </c>
      <c r="E1187" s="2" t="s">
        <v>12</v>
      </c>
      <c r="F1187">
        <f t="shared" si="18"/>
        <v>118.7817</v>
      </c>
      <c r="G1187" t="s">
        <v>16</v>
      </c>
      <c r="J1187" t="str">
        <f>"12/29/2004 23:45"</f>
        <v>12/29/2004 23:45</v>
      </c>
    </row>
    <row r="1188" spans="1:10" x14ac:dyDescent="0.3">
      <c r="A1188" t="s">
        <v>6</v>
      </c>
      <c r="B1188" t="str">
        <f>"12/30/2004 00:00"</f>
        <v>12/30/2004 00:00</v>
      </c>
      <c r="C1188">
        <v>59.9</v>
      </c>
      <c r="D1188" t="s">
        <v>7</v>
      </c>
      <c r="E1188" s="2" t="s">
        <v>12</v>
      </c>
      <c r="F1188">
        <f t="shared" si="18"/>
        <v>118.7817</v>
      </c>
      <c r="G1188" t="s">
        <v>16</v>
      </c>
      <c r="J1188" t="str">
        <f>"12/30/2004 23:45"</f>
        <v>12/30/2004 23:45</v>
      </c>
    </row>
    <row r="1189" spans="1:10" x14ac:dyDescent="0.3">
      <c r="A1189" t="s">
        <v>6</v>
      </c>
      <c r="B1189" t="str">
        <f>"12/31/2004 00:00"</f>
        <v>12/31/2004 00:00</v>
      </c>
      <c r="C1189">
        <v>60.7</v>
      </c>
      <c r="D1189" t="s">
        <v>7</v>
      </c>
      <c r="E1189" s="2" t="s">
        <v>12</v>
      </c>
      <c r="F1189">
        <f t="shared" si="18"/>
        <v>120.36810000000001</v>
      </c>
      <c r="G1189" t="s">
        <v>16</v>
      </c>
      <c r="J1189" t="str">
        <f>"12/31/2004 23:45"</f>
        <v>12/31/2004 23:45</v>
      </c>
    </row>
    <row r="1190" spans="1:10" x14ac:dyDescent="0.3">
      <c r="A1190" t="s">
        <v>6</v>
      </c>
      <c r="B1190" t="str">
        <f>"01/01/2005 00:00"</f>
        <v>01/01/2005 00:00</v>
      </c>
      <c r="C1190">
        <v>61</v>
      </c>
      <c r="D1190" t="s">
        <v>7</v>
      </c>
      <c r="E1190" s="2" t="s">
        <v>12</v>
      </c>
      <c r="F1190">
        <f t="shared" si="18"/>
        <v>120.96300000000001</v>
      </c>
      <c r="G1190" t="s">
        <v>16</v>
      </c>
      <c r="J1190" t="str">
        <f>"01/01/2005 23:45"</f>
        <v>01/01/2005 23:45</v>
      </c>
    </row>
    <row r="1191" spans="1:10" x14ac:dyDescent="0.3">
      <c r="A1191" t="s">
        <v>6</v>
      </c>
      <c r="B1191" t="str">
        <f>"01/02/2005 00:00"</f>
        <v>01/02/2005 00:00</v>
      </c>
      <c r="C1191">
        <v>61</v>
      </c>
      <c r="D1191" t="s">
        <v>7</v>
      </c>
      <c r="E1191" s="2" t="s">
        <v>12</v>
      </c>
      <c r="F1191">
        <f t="shared" si="18"/>
        <v>120.96300000000001</v>
      </c>
      <c r="G1191" t="s">
        <v>16</v>
      </c>
      <c r="J1191" t="str">
        <f>"01/02/2005 23:45"</f>
        <v>01/02/2005 23:45</v>
      </c>
    </row>
    <row r="1192" spans="1:10" x14ac:dyDescent="0.3">
      <c r="A1192" t="s">
        <v>6</v>
      </c>
      <c r="B1192" t="str">
        <f>"01/03/2005 00:00"</f>
        <v>01/03/2005 00:00</v>
      </c>
      <c r="C1192">
        <v>61</v>
      </c>
      <c r="D1192" t="s">
        <v>7</v>
      </c>
      <c r="E1192" s="2" t="s">
        <v>12</v>
      </c>
      <c r="F1192">
        <f t="shared" si="18"/>
        <v>120.96300000000001</v>
      </c>
      <c r="G1192" t="s">
        <v>16</v>
      </c>
      <c r="J1192" t="str">
        <f>"01/03/2005 23:45"</f>
        <v>01/03/2005 23:45</v>
      </c>
    </row>
    <row r="1193" spans="1:10" x14ac:dyDescent="0.3">
      <c r="A1193" t="s">
        <v>6</v>
      </c>
      <c r="B1193" t="str">
        <f>"01/04/2005 00:00"</f>
        <v>01/04/2005 00:00</v>
      </c>
      <c r="C1193">
        <v>61</v>
      </c>
      <c r="D1193" t="s">
        <v>7</v>
      </c>
      <c r="E1193" s="2" t="s">
        <v>12</v>
      </c>
      <c r="F1193">
        <f t="shared" si="18"/>
        <v>120.96300000000001</v>
      </c>
      <c r="G1193" t="s">
        <v>16</v>
      </c>
      <c r="J1193" t="str">
        <f>"01/04/2005 23:45"</f>
        <v>01/04/2005 23:45</v>
      </c>
    </row>
    <row r="1194" spans="1:10" x14ac:dyDescent="0.3">
      <c r="A1194" t="s">
        <v>6</v>
      </c>
      <c r="B1194" t="str">
        <f>"01/05/2005 00:00"</f>
        <v>01/05/2005 00:00</v>
      </c>
      <c r="C1194">
        <v>61.7</v>
      </c>
      <c r="D1194" t="s">
        <v>7</v>
      </c>
      <c r="E1194" s="2" t="s">
        <v>12</v>
      </c>
      <c r="F1194">
        <f t="shared" si="18"/>
        <v>122.35110000000002</v>
      </c>
      <c r="G1194" t="s">
        <v>16</v>
      </c>
      <c r="J1194" t="str">
        <f>"01/05/2005 23:45"</f>
        <v>01/05/2005 23:45</v>
      </c>
    </row>
    <row r="1195" spans="1:10" x14ac:dyDescent="0.3">
      <c r="A1195" t="s">
        <v>6</v>
      </c>
      <c r="B1195" t="str">
        <f>"01/06/2005 00:00"</f>
        <v>01/06/2005 00:00</v>
      </c>
      <c r="C1195">
        <v>60.2</v>
      </c>
      <c r="D1195" t="s">
        <v>7</v>
      </c>
      <c r="E1195" s="2" t="s">
        <v>12</v>
      </c>
      <c r="F1195">
        <f t="shared" si="18"/>
        <v>119.37660000000001</v>
      </c>
      <c r="G1195" t="s">
        <v>16</v>
      </c>
      <c r="J1195" t="str">
        <f>"01/06/2005 23:45"</f>
        <v>01/06/2005 23:45</v>
      </c>
    </row>
    <row r="1196" spans="1:10" x14ac:dyDescent="0.3">
      <c r="A1196" t="s">
        <v>6</v>
      </c>
      <c r="B1196" t="str">
        <f>"01/07/2005 00:00"</f>
        <v>01/07/2005 00:00</v>
      </c>
      <c r="C1196">
        <v>59.2</v>
      </c>
      <c r="D1196" t="s">
        <v>7</v>
      </c>
      <c r="E1196" s="2" t="s">
        <v>12</v>
      </c>
      <c r="F1196">
        <f t="shared" si="18"/>
        <v>117.39360000000001</v>
      </c>
      <c r="G1196" t="s">
        <v>16</v>
      </c>
      <c r="J1196" t="str">
        <f>"01/07/2005 23:45"</f>
        <v>01/07/2005 23:45</v>
      </c>
    </row>
    <row r="1197" spans="1:10" x14ac:dyDescent="0.3">
      <c r="A1197" t="s">
        <v>6</v>
      </c>
      <c r="B1197" t="str">
        <f>"01/08/2005 00:00"</f>
        <v>01/08/2005 00:00</v>
      </c>
      <c r="C1197">
        <v>59.9</v>
      </c>
      <c r="D1197" t="s">
        <v>7</v>
      </c>
      <c r="E1197" s="2" t="s">
        <v>12</v>
      </c>
      <c r="F1197">
        <f t="shared" si="18"/>
        <v>118.7817</v>
      </c>
      <c r="G1197" t="s">
        <v>16</v>
      </c>
      <c r="J1197" t="str">
        <f>"01/08/2005 23:45"</f>
        <v>01/08/2005 23:45</v>
      </c>
    </row>
    <row r="1198" spans="1:10" x14ac:dyDescent="0.3">
      <c r="A1198" t="s">
        <v>6</v>
      </c>
      <c r="B1198" t="str">
        <f>"01/09/2005 00:00"</f>
        <v>01/09/2005 00:00</v>
      </c>
      <c r="C1198">
        <v>61.1</v>
      </c>
      <c r="D1198" t="s">
        <v>7</v>
      </c>
      <c r="E1198" s="2" t="s">
        <v>12</v>
      </c>
      <c r="F1198">
        <f t="shared" si="18"/>
        <v>121.16130000000001</v>
      </c>
      <c r="G1198" t="s">
        <v>16</v>
      </c>
      <c r="J1198" t="str">
        <f>"01/09/2005 23:45"</f>
        <v>01/09/2005 23:45</v>
      </c>
    </row>
    <row r="1199" spans="1:10" x14ac:dyDescent="0.3">
      <c r="A1199" t="s">
        <v>6</v>
      </c>
      <c r="B1199" t="str">
        <f>"01/10/2005 00:00"</f>
        <v>01/10/2005 00:00</v>
      </c>
      <c r="C1199">
        <v>62.1</v>
      </c>
      <c r="D1199" t="s">
        <v>7</v>
      </c>
      <c r="E1199" s="2" t="s">
        <v>12</v>
      </c>
      <c r="F1199">
        <f t="shared" si="18"/>
        <v>123.14430000000002</v>
      </c>
      <c r="G1199" t="s">
        <v>16</v>
      </c>
      <c r="J1199" t="str">
        <f>"01/10/2005 23:45"</f>
        <v>01/10/2005 23:45</v>
      </c>
    </row>
    <row r="1200" spans="1:10" x14ac:dyDescent="0.3">
      <c r="A1200" t="s">
        <v>6</v>
      </c>
      <c r="B1200" t="str">
        <f>"01/11/2005 00:00"</f>
        <v>01/11/2005 00:00</v>
      </c>
      <c r="C1200">
        <v>61.7</v>
      </c>
      <c r="D1200" t="s">
        <v>7</v>
      </c>
      <c r="E1200" s="2" t="s">
        <v>12</v>
      </c>
      <c r="F1200">
        <f t="shared" si="18"/>
        <v>122.35110000000002</v>
      </c>
      <c r="G1200" t="s">
        <v>16</v>
      </c>
      <c r="J1200" t="str">
        <f>"01/11/2005 23:45"</f>
        <v>01/11/2005 23:45</v>
      </c>
    </row>
    <row r="1201" spans="1:10" x14ac:dyDescent="0.3">
      <c r="A1201" t="s">
        <v>6</v>
      </c>
      <c r="B1201" t="str">
        <f>"01/12/2005 00:00"</f>
        <v>01/12/2005 00:00</v>
      </c>
      <c r="C1201">
        <v>63.3</v>
      </c>
      <c r="D1201" t="s">
        <v>7</v>
      </c>
      <c r="E1201" s="2" t="s">
        <v>12</v>
      </c>
      <c r="F1201">
        <f t="shared" si="18"/>
        <v>125.5239</v>
      </c>
      <c r="G1201" t="s">
        <v>16</v>
      </c>
      <c r="J1201" t="str">
        <f>"01/12/2005 23:45"</f>
        <v>01/12/2005 23:45</v>
      </c>
    </row>
    <row r="1202" spans="1:10" x14ac:dyDescent="0.3">
      <c r="A1202" t="s">
        <v>6</v>
      </c>
      <c r="B1202" t="str">
        <f>"01/13/2005 00:00"</f>
        <v>01/13/2005 00:00</v>
      </c>
      <c r="C1202">
        <v>63.3</v>
      </c>
      <c r="D1202" t="s">
        <v>7</v>
      </c>
      <c r="E1202" s="2" t="s">
        <v>12</v>
      </c>
      <c r="F1202">
        <f t="shared" si="18"/>
        <v>125.5239</v>
      </c>
      <c r="G1202" t="s">
        <v>16</v>
      </c>
      <c r="J1202" t="str">
        <f>"01/13/2005 23:45"</f>
        <v>01/13/2005 23:45</v>
      </c>
    </row>
    <row r="1203" spans="1:10" x14ac:dyDescent="0.3">
      <c r="A1203" t="s">
        <v>6</v>
      </c>
      <c r="B1203" t="str">
        <f>"01/14/2005 00:00"</f>
        <v>01/14/2005 00:00</v>
      </c>
      <c r="C1203">
        <v>63.3</v>
      </c>
      <c r="D1203" t="s">
        <v>7</v>
      </c>
      <c r="E1203" s="2" t="s">
        <v>12</v>
      </c>
      <c r="F1203">
        <f t="shared" si="18"/>
        <v>125.5239</v>
      </c>
      <c r="G1203" t="s">
        <v>16</v>
      </c>
      <c r="J1203" t="str">
        <f>"01/14/2005 23:45"</f>
        <v>01/14/2005 23:45</v>
      </c>
    </row>
    <row r="1204" spans="1:10" x14ac:dyDescent="0.3">
      <c r="A1204" t="s">
        <v>6</v>
      </c>
      <c r="B1204" t="str">
        <f>"01/15/2005 00:00"</f>
        <v>01/15/2005 00:00</v>
      </c>
      <c r="C1204">
        <v>63.3</v>
      </c>
      <c r="D1204" t="s">
        <v>7</v>
      </c>
      <c r="E1204" s="2" t="s">
        <v>12</v>
      </c>
      <c r="F1204">
        <f t="shared" si="18"/>
        <v>125.5239</v>
      </c>
      <c r="G1204" t="s">
        <v>16</v>
      </c>
      <c r="J1204" t="str">
        <f>"01/15/2005 23:45"</f>
        <v>01/15/2005 23:45</v>
      </c>
    </row>
    <row r="1205" spans="1:10" x14ac:dyDescent="0.3">
      <c r="A1205" t="s">
        <v>6</v>
      </c>
      <c r="B1205" t="str">
        <f>"01/16/2005 00:00"</f>
        <v>01/16/2005 00:00</v>
      </c>
      <c r="C1205">
        <v>63.3</v>
      </c>
      <c r="D1205" t="s">
        <v>7</v>
      </c>
      <c r="E1205" s="2" t="s">
        <v>12</v>
      </c>
      <c r="F1205">
        <f t="shared" si="18"/>
        <v>125.5239</v>
      </c>
      <c r="G1205" t="s">
        <v>16</v>
      </c>
      <c r="J1205" t="str">
        <f>"01/16/2005 23:45"</f>
        <v>01/16/2005 23:45</v>
      </c>
    </row>
    <row r="1206" spans="1:10" x14ac:dyDescent="0.3">
      <c r="A1206" t="s">
        <v>6</v>
      </c>
      <c r="B1206" t="str">
        <f>"01/17/2005 00:00"</f>
        <v>01/17/2005 00:00</v>
      </c>
      <c r="C1206">
        <v>63.3</v>
      </c>
      <c r="D1206" t="s">
        <v>7</v>
      </c>
      <c r="E1206" s="2" t="s">
        <v>12</v>
      </c>
      <c r="F1206">
        <f t="shared" si="18"/>
        <v>125.5239</v>
      </c>
      <c r="G1206" t="s">
        <v>16</v>
      </c>
      <c r="J1206" t="str">
        <f>"01/17/2005 23:45"</f>
        <v>01/17/2005 23:45</v>
      </c>
    </row>
    <row r="1207" spans="1:10" x14ac:dyDescent="0.3">
      <c r="A1207" t="s">
        <v>6</v>
      </c>
      <c r="B1207" t="str">
        <f>"01/18/2005 00:00"</f>
        <v>01/18/2005 00:00</v>
      </c>
      <c r="C1207">
        <v>63.3</v>
      </c>
      <c r="D1207" t="s">
        <v>7</v>
      </c>
      <c r="E1207" s="2" t="s">
        <v>12</v>
      </c>
      <c r="F1207">
        <f t="shared" si="18"/>
        <v>125.5239</v>
      </c>
      <c r="G1207" t="s">
        <v>16</v>
      </c>
      <c r="J1207" t="str">
        <f>"01/18/2005 23:45"</f>
        <v>01/18/2005 23:45</v>
      </c>
    </row>
    <row r="1208" spans="1:10" x14ac:dyDescent="0.3">
      <c r="A1208" t="s">
        <v>6</v>
      </c>
      <c r="B1208" t="str">
        <f>"01/19/2005 00:00"</f>
        <v>01/19/2005 00:00</v>
      </c>
      <c r="C1208">
        <v>63.3</v>
      </c>
      <c r="D1208" t="s">
        <v>7</v>
      </c>
      <c r="E1208" s="2" t="s">
        <v>12</v>
      </c>
      <c r="F1208">
        <f t="shared" si="18"/>
        <v>125.5239</v>
      </c>
      <c r="G1208" t="s">
        <v>16</v>
      </c>
      <c r="J1208" t="str">
        <f>"01/19/2005 23:45"</f>
        <v>01/19/2005 23:45</v>
      </c>
    </row>
    <row r="1209" spans="1:10" x14ac:dyDescent="0.3">
      <c r="A1209" t="s">
        <v>6</v>
      </c>
      <c r="B1209" t="str">
        <f>"01/20/2005 00:00"</f>
        <v>01/20/2005 00:00</v>
      </c>
      <c r="C1209">
        <v>62.9</v>
      </c>
      <c r="D1209" t="s">
        <v>7</v>
      </c>
      <c r="E1209" s="2" t="s">
        <v>12</v>
      </c>
      <c r="F1209">
        <f t="shared" si="18"/>
        <v>124.7307</v>
      </c>
      <c r="G1209" t="s">
        <v>16</v>
      </c>
      <c r="J1209" t="str">
        <f>"01/20/2005 23:45"</f>
        <v>01/20/2005 23:45</v>
      </c>
    </row>
    <row r="1210" spans="1:10" x14ac:dyDescent="0.3">
      <c r="A1210" t="s">
        <v>6</v>
      </c>
      <c r="B1210" t="str">
        <f>"01/21/2005 00:00"</f>
        <v>01/21/2005 00:00</v>
      </c>
      <c r="C1210">
        <v>61</v>
      </c>
      <c r="D1210" t="s">
        <v>7</v>
      </c>
      <c r="E1210" s="2" t="s">
        <v>12</v>
      </c>
      <c r="F1210">
        <f t="shared" si="18"/>
        <v>120.96300000000001</v>
      </c>
      <c r="G1210" t="s">
        <v>16</v>
      </c>
      <c r="J1210" t="str">
        <f>"01/21/2005 23:45"</f>
        <v>01/21/2005 23:45</v>
      </c>
    </row>
    <row r="1211" spans="1:10" x14ac:dyDescent="0.3">
      <c r="A1211" t="s">
        <v>6</v>
      </c>
      <c r="B1211" t="str">
        <f>"01/22/2005 00:00"</f>
        <v>01/22/2005 00:00</v>
      </c>
      <c r="C1211">
        <v>61</v>
      </c>
      <c r="D1211" t="s">
        <v>7</v>
      </c>
      <c r="E1211" s="2" t="s">
        <v>12</v>
      </c>
      <c r="F1211">
        <f t="shared" si="18"/>
        <v>120.96300000000001</v>
      </c>
      <c r="G1211" t="s">
        <v>16</v>
      </c>
      <c r="J1211" t="str">
        <f>"01/22/2005 23:45"</f>
        <v>01/22/2005 23:45</v>
      </c>
    </row>
    <row r="1212" spans="1:10" x14ac:dyDescent="0.3">
      <c r="A1212" t="s">
        <v>6</v>
      </c>
      <c r="B1212" t="str">
        <f>"01/23/2005 00:00"</f>
        <v>01/23/2005 00:00</v>
      </c>
      <c r="C1212">
        <v>61</v>
      </c>
      <c r="D1212" t="s">
        <v>7</v>
      </c>
      <c r="E1212" s="2" t="s">
        <v>12</v>
      </c>
      <c r="F1212">
        <f t="shared" si="18"/>
        <v>120.96300000000001</v>
      </c>
      <c r="G1212" t="s">
        <v>16</v>
      </c>
      <c r="J1212" t="str">
        <f>"01/23/2005 23:45"</f>
        <v>01/23/2005 23:45</v>
      </c>
    </row>
    <row r="1213" spans="1:10" x14ac:dyDescent="0.3">
      <c r="A1213" t="s">
        <v>6</v>
      </c>
      <c r="B1213" t="str">
        <f>"01/24/2005 00:00"</f>
        <v>01/24/2005 00:00</v>
      </c>
      <c r="C1213">
        <v>61</v>
      </c>
      <c r="D1213" t="s">
        <v>7</v>
      </c>
      <c r="E1213" s="2" t="s">
        <v>12</v>
      </c>
      <c r="F1213">
        <f t="shared" si="18"/>
        <v>120.96300000000001</v>
      </c>
      <c r="G1213" t="s">
        <v>16</v>
      </c>
      <c r="J1213" t="str">
        <f>"01/24/2005 23:45"</f>
        <v>01/24/2005 23:45</v>
      </c>
    </row>
    <row r="1214" spans="1:10" x14ac:dyDescent="0.3">
      <c r="A1214" t="s">
        <v>6</v>
      </c>
      <c r="B1214" t="str">
        <f>"01/25/2005 00:00"</f>
        <v>01/25/2005 00:00</v>
      </c>
      <c r="C1214">
        <v>61</v>
      </c>
      <c r="D1214" t="s">
        <v>7</v>
      </c>
      <c r="E1214" s="2" t="s">
        <v>12</v>
      </c>
      <c r="F1214">
        <f t="shared" si="18"/>
        <v>120.96300000000001</v>
      </c>
      <c r="G1214" t="s">
        <v>16</v>
      </c>
      <c r="J1214" t="str">
        <f>"01/25/2005 23:45"</f>
        <v>01/25/2005 23:45</v>
      </c>
    </row>
    <row r="1215" spans="1:10" x14ac:dyDescent="0.3">
      <c r="A1215" t="s">
        <v>6</v>
      </c>
      <c r="B1215" t="str">
        <f>"01/26/2005 00:00"</f>
        <v>01/26/2005 00:00</v>
      </c>
      <c r="C1215">
        <v>61</v>
      </c>
      <c r="D1215" t="s">
        <v>7</v>
      </c>
      <c r="E1215" s="2" t="s">
        <v>12</v>
      </c>
      <c r="F1215">
        <f t="shared" si="18"/>
        <v>120.96300000000001</v>
      </c>
      <c r="G1215" t="s">
        <v>16</v>
      </c>
      <c r="J1215" t="str">
        <f>"01/26/2005 23:45"</f>
        <v>01/26/2005 23:45</v>
      </c>
    </row>
    <row r="1216" spans="1:10" x14ac:dyDescent="0.3">
      <c r="A1216" t="s">
        <v>6</v>
      </c>
      <c r="B1216" t="str">
        <f>"01/27/2005 00:00"</f>
        <v>01/27/2005 00:00</v>
      </c>
      <c r="C1216">
        <v>61</v>
      </c>
      <c r="D1216" t="s">
        <v>7</v>
      </c>
      <c r="E1216" s="2" t="s">
        <v>12</v>
      </c>
      <c r="F1216">
        <f t="shared" si="18"/>
        <v>120.96300000000001</v>
      </c>
      <c r="G1216" t="s">
        <v>16</v>
      </c>
      <c r="J1216" t="str">
        <f>"01/27/2005 23:45"</f>
        <v>01/27/2005 23:45</v>
      </c>
    </row>
    <row r="1217" spans="1:10" x14ac:dyDescent="0.3">
      <c r="A1217" t="s">
        <v>6</v>
      </c>
      <c r="B1217" t="str">
        <f>"01/28/2005 00:00"</f>
        <v>01/28/2005 00:00</v>
      </c>
      <c r="C1217">
        <v>61</v>
      </c>
      <c r="D1217" t="s">
        <v>7</v>
      </c>
      <c r="E1217" s="2" t="s">
        <v>12</v>
      </c>
      <c r="F1217">
        <f t="shared" si="18"/>
        <v>120.96300000000001</v>
      </c>
      <c r="G1217" t="s">
        <v>16</v>
      </c>
      <c r="J1217" t="str">
        <f>"01/28/2005 23:45"</f>
        <v>01/28/2005 23:45</v>
      </c>
    </row>
    <row r="1218" spans="1:10" x14ac:dyDescent="0.3">
      <c r="A1218" t="s">
        <v>6</v>
      </c>
      <c r="B1218" t="str">
        <f>"01/29/2005 00:00"</f>
        <v>01/29/2005 00:00</v>
      </c>
      <c r="C1218">
        <v>61.7</v>
      </c>
      <c r="D1218" t="s">
        <v>7</v>
      </c>
      <c r="E1218" s="2" t="s">
        <v>12</v>
      </c>
      <c r="F1218">
        <f t="shared" si="18"/>
        <v>122.35110000000002</v>
      </c>
      <c r="G1218" t="s">
        <v>16</v>
      </c>
      <c r="J1218" t="str">
        <f>"01/29/2005 23:45"</f>
        <v>01/29/2005 23:45</v>
      </c>
    </row>
    <row r="1219" spans="1:10" x14ac:dyDescent="0.3">
      <c r="A1219" t="s">
        <v>6</v>
      </c>
      <c r="B1219" t="str">
        <f>"01/30/2005 00:00"</f>
        <v>01/30/2005 00:00</v>
      </c>
      <c r="C1219">
        <v>62.1</v>
      </c>
      <c r="D1219" t="s">
        <v>7</v>
      </c>
      <c r="E1219" s="2" t="s">
        <v>12</v>
      </c>
      <c r="F1219">
        <f t="shared" si="18"/>
        <v>123.14430000000002</v>
      </c>
      <c r="G1219" t="s">
        <v>16</v>
      </c>
      <c r="J1219" t="str">
        <f>"01/30/2005 23:45"</f>
        <v>01/30/2005 23:45</v>
      </c>
    </row>
    <row r="1220" spans="1:10" x14ac:dyDescent="0.3">
      <c r="A1220" t="s">
        <v>6</v>
      </c>
      <c r="B1220" t="str">
        <f>"01/31/2005 00:00"</f>
        <v>01/31/2005 00:00</v>
      </c>
      <c r="C1220">
        <v>62.1</v>
      </c>
      <c r="D1220" t="s">
        <v>7</v>
      </c>
      <c r="E1220" s="2" t="s">
        <v>12</v>
      </c>
      <c r="F1220">
        <f t="shared" ref="F1220:F1283" si="19">C1220*1.983</f>
        <v>123.14430000000002</v>
      </c>
      <c r="G1220" t="s">
        <v>16</v>
      </c>
      <c r="J1220" t="str">
        <f>"01/31/2005 23:45"</f>
        <v>01/31/2005 23:45</v>
      </c>
    </row>
    <row r="1221" spans="1:10" x14ac:dyDescent="0.3">
      <c r="A1221" t="s">
        <v>6</v>
      </c>
      <c r="B1221" t="str">
        <f>"02/01/2005 00:00"</f>
        <v>02/01/2005 00:00</v>
      </c>
      <c r="C1221">
        <v>62.1</v>
      </c>
      <c r="D1221" t="s">
        <v>7</v>
      </c>
      <c r="E1221" s="2" t="s">
        <v>12</v>
      </c>
      <c r="F1221">
        <f t="shared" si="19"/>
        <v>123.14430000000002</v>
      </c>
      <c r="G1221" t="s">
        <v>16</v>
      </c>
      <c r="J1221" t="str">
        <f>"02/01/2005 23:45"</f>
        <v>02/01/2005 23:45</v>
      </c>
    </row>
    <row r="1222" spans="1:10" x14ac:dyDescent="0.3">
      <c r="A1222" t="s">
        <v>6</v>
      </c>
      <c r="B1222" t="str">
        <f>"02/02/2005 00:00"</f>
        <v>02/02/2005 00:00</v>
      </c>
      <c r="C1222">
        <v>62.1</v>
      </c>
      <c r="D1222" t="s">
        <v>7</v>
      </c>
      <c r="E1222" s="2" t="s">
        <v>12</v>
      </c>
      <c r="F1222">
        <f t="shared" si="19"/>
        <v>123.14430000000002</v>
      </c>
      <c r="G1222" t="s">
        <v>16</v>
      </c>
      <c r="J1222" t="str">
        <f>"02/02/2005 23:45"</f>
        <v>02/02/2005 23:45</v>
      </c>
    </row>
    <row r="1223" spans="1:10" x14ac:dyDescent="0.3">
      <c r="A1223" t="s">
        <v>6</v>
      </c>
      <c r="B1223" t="str">
        <f>"02/03/2005 00:00"</f>
        <v>02/03/2005 00:00</v>
      </c>
      <c r="C1223">
        <v>62.1</v>
      </c>
      <c r="D1223" t="s">
        <v>7</v>
      </c>
      <c r="E1223" s="2" t="s">
        <v>12</v>
      </c>
      <c r="F1223">
        <f t="shared" si="19"/>
        <v>123.14430000000002</v>
      </c>
      <c r="G1223" t="s">
        <v>16</v>
      </c>
      <c r="J1223" t="str">
        <f>"02/03/2005 23:45"</f>
        <v>02/03/2005 23:45</v>
      </c>
    </row>
    <row r="1224" spans="1:10" x14ac:dyDescent="0.3">
      <c r="A1224" t="s">
        <v>6</v>
      </c>
      <c r="B1224" t="str">
        <f>"02/04/2005 00:00"</f>
        <v>02/04/2005 00:00</v>
      </c>
      <c r="C1224">
        <v>62.8</v>
      </c>
      <c r="D1224" t="s">
        <v>7</v>
      </c>
      <c r="E1224" s="2" t="s">
        <v>12</v>
      </c>
      <c r="F1224">
        <f t="shared" si="19"/>
        <v>124.5324</v>
      </c>
      <c r="G1224" t="s">
        <v>16</v>
      </c>
      <c r="J1224" t="str">
        <f>"02/04/2005 23:45"</f>
        <v>02/04/2005 23:45</v>
      </c>
    </row>
    <row r="1225" spans="1:10" x14ac:dyDescent="0.3">
      <c r="A1225" t="s">
        <v>6</v>
      </c>
      <c r="B1225" t="str">
        <f>"02/05/2005 00:00"</f>
        <v>02/05/2005 00:00</v>
      </c>
      <c r="C1225">
        <v>62.8</v>
      </c>
      <c r="D1225" t="s">
        <v>7</v>
      </c>
      <c r="E1225" s="2" t="s">
        <v>12</v>
      </c>
      <c r="F1225">
        <f t="shared" si="19"/>
        <v>124.5324</v>
      </c>
      <c r="G1225" t="s">
        <v>16</v>
      </c>
      <c r="J1225" t="str">
        <f>"02/05/2005 23:45"</f>
        <v>02/05/2005 23:45</v>
      </c>
    </row>
    <row r="1226" spans="1:10" x14ac:dyDescent="0.3">
      <c r="A1226" t="s">
        <v>6</v>
      </c>
      <c r="B1226" t="str">
        <f>"02/06/2005 00:00"</f>
        <v>02/06/2005 00:00</v>
      </c>
      <c r="C1226">
        <v>63.3</v>
      </c>
      <c r="D1226" t="s">
        <v>7</v>
      </c>
      <c r="E1226" s="2" t="s">
        <v>12</v>
      </c>
      <c r="F1226">
        <f t="shared" si="19"/>
        <v>125.5239</v>
      </c>
      <c r="G1226" t="s">
        <v>16</v>
      </c>
      <c r="J1226" t="str">
        <f>"02/06/2005 23:45"</f>
        <v>02/06/2005 23:45</v>
      </c>
    </row>
    <row r="1227" spans="1:10" x14ac:dyDescent="0.3">
      <c r="A1227" t="s">
        <v>6</v>
      </c>
      <c r="B1227" t="str">
        <f>"02/07/2005 00:00"</f>
        <v>02/07/2005 00:00</v>
      </c>
      <c r="C1227">
        <v>63.3</v>
      </c>
      <c r="D1227" t="s">
        <v>7</v>
      </c>
      <c r="E1227" s="2" t="s">
        <v>12</v>
      </c>
      <c r="F1227">
        <f t="shared" si="19"/>
        <v>125.5239</v>
      </c>
      <c r="G1227" t="s">
        <v>16</v>
      </c>
      <c r="J1227" t="str">
        <f>"02/07/2005 23:45"</f>
        <v>02/07/2005 23:45</v>
      </c>
    </row>
    <row r="1228" spans="1:10" x14ac:dyDescent="0.3">
      <c r="A1228" t="s">
        <v>6</v>
      </c>
      <c r="B1228" t="str">
        <f>"02/08/2005 00:00"</f>
        <v>02/08/2005 00:00</v>
      </c>
      <c r="C1228">
        <v>63.3</v>
      </c>
      <c r="D1228" t="s">
        <v>7</v>
      </c>
      <c r="E1228" s="2" t="s">
        <v>12</v>
      </c>
      <c r="F1228">
        <f t="shared" si="19"/>
        <v>125.5239</v>
      </c>
      <c r="G1228" t="s">
        <v>16</v>
      </c>
      <c r="J1228" t="str">
        <f>"02/08/2005 23:45"</f>
        <v>02/08/2005 23:45</v>
      </c>
    </row>
    <row r="1229" spans="1:10" x14ac:dyDescent="0.3">
      <c r="A1229" t="s">
        <v>6</v>
      </c>
      <c r="B1229" t="str">
        <f>"02/09/2005 00:00"</f>
        <v>02/09/2005 00:00</v>
      </c>
      <c r="C1229">
        <v>63.3</v>
      </c>
      <c r="D1229" t="s">
        <v>7</v>
      </c>
      <c r="E1229" s="2" t="s">
        <v>12</v>
      </c>
      <c r="F1229">
        <f t="shared" si="19"/>
        <v>125.5239</v>
      </c>
      <c r="G1229" t="s">
        <v>16</v>
      </c>
      <c r="J1229" t="str">
        <f>"02/09/2005 23:45"</f>
        <v>02/09/2005 23:45</v>
      </c>
    </row>
    <row r="1230" spans="1:10" x14ac:dyDescent="0.3">
      <c r="A1230" t="s">
        <v>6</v>
      </c>
      <c r="B1230" t="str">
        <f>"02/10/2005 00:00"</f>
        <v>02/10/2005 00:00</v>
      </c>
      <c r="C1230">
        <v>63.7</v>
      </c>
      <c r="D1230" t="s">
        <v>7</v>
      </c>
      <c r="E1230" s="2" t="s">
        <v>12</v>
      </c>
      <c r="F1230">
        <f t="shared" si="19"/>
        <v>126.31710000000001</v>
      </c>
      <c r="G1230" t="s">
        <v>16</v>
      </c>
      <c r="J1230" t="str">
        <f>"02/10/2005 23:45"</f>
        <v>02/10/2005 23:45</v>
      </c>
    </row>
    <row r="1231" spans="1:10" x14ac:dyDescent="0.3">
      <c r="A1231" t="s">
        <v>6</v>
      </c>
      <c r="B1231" t="str">
        <f>"02/11/2005 00:00"</f>
        <v>02/11/2005 00:00</v>
      </c>
      <c r="C1231">
        <v>64.400000000000006</v>
      </c>
      <c r="D1231" t="s">
        <v>7</v>
      </c>
      <c r="E1231" s="2" t="s">
        <v>12</v>
      </c>
      <c r="F1231">
        <f t="shared" si="19"/>
        <v>127.70520000000002</v>
      </c>
      <c r="G1231" t="s">
        <v>16</v>
      </c>
      <c r="J1231" t="str">
        <f>"02/11/2005 23:45"</f>
        <v>02/11/2005 23:45</v>
      </c>
    </row>
    <row r="1232" spans="1:10" x14ac:dyDescent="0.3">
      <c r="A1232" t="s">
        <v>6</v>
      </c>
      <c r="B1232" t="str">
        <f>"02/12/2005 00:00"</f>
        <v>02/12/2005 00:00</v>
      </c>
      <c r="C1232">
        <v>64.400000000000006</v>
      </c>
      <c r="D1232" t="s">
        <v>7</v>
      </c>
      <c r="E1232" s="2" t="s">
        <v>12</v>
      </c>
      <c r="F1232">
        <f t="shared" si="19"/>
        <v>127.70520000000002</v>
      </c>
      <c r="G1232" t="s">
        <v>16</v>
      </c>
      <c r="J1232" t="str">
        <f>"02/12/2005 23:45"</f>
        <v>02/12/2005 23:45</v>
      </c>
    </row>
    <row r="1233" spans="1:10" x14ac:dyDescent="0.3">
      <c r="A1233" t="s">
        <v>6</v>
      </c>
      <c r="B1233" t="str">
        <f>"02/13/2005 00:00"</f>
        <v>02/13/2005 00:00</v>
      </c>
      <c r="C1233">
        <v>64.400000000000006</v>
      </c>
      <c r="D1233" t="s">
        <v>7</v>
      </c>
      <c r="E1233" s="2" t="s">
        <v>12</v>
      </c>
      <c r="F1233">
        <f t="shared" si="19"/>
        <v>127.70520000000002</v>
      </c>
      <c r="G1233" t="s">
        <v>16</v>
      </c>
      <c r="J1233" t="str">
        <f>"02/13/2005 23:45"</f>
        <v>02/13/2005 23:45</v>
      </c>
    </row>
    <row r="1234" spans="1:10" x14ac:dyDescent="0.3">
      <c r="A1234" t="s">
        <v>6</v>
      </c>
      <c r="B1234" t="str">
        <f>"02/14/2005 00:00"</f>
        <v>02/14/2005 00:00</v>
      </c>
      <c r="C1234">
        <v>64.400000000000006</v>
      </c>
      <c r="D1234" t="s">
        <v>7</v>
      </c>
      <c r="E1234" s="2" t="s">
        <v>12</v>
      </c>
      <c r="F1234">
        <f t="shared" si="19"/>
        <v>127.70520000000002</v>
      </c>
      <c r="G1234" t="s">
        <v>16</v>
      </c>
      <c r="J1234" t="str">
        <f>"02/14/2005 23:45"</f>
        <v>02/14/2005 23:45</v>
      </c>
    </row>
    <row r="1235" spans="1:10" x14ac:dyDescent="0.3">
      <c r="A1235" t="s">
        <v>6</v>
      </c>
      <c r="B1235" t="str">
        <f>"02/15/2005 00:00"</f>
        <v>02/15/2005 00:00</v>
      </c>
      <c r="C1235">
        <v>64.400000000000006</v>
      </c>
      <c r="D1235" t="s">
        <v>7</v>
      </c>
      <c r="E1235" s="2" t="s">
        <v>12</v>
      </c>
      <c r="F1235">
        <f t="shared" si="19"/>
        <v>127.70520000000002</v>
      </c>
      <c r="G1235" t="s">
        <v>16</v>
      </c>
      <c r="J1235" t="str">
        <f>"02/15/2005 23:45"</f>
        <v>02/15/2005 23:45</v>
      </c>
    </row>
    <row r="1236" spans="1:10" x14ac:dyDescent="0.3">
      <c r="A1236" t="s">
        <v>6</v>
      </c>
      <c r="B1236" t="str">
        <f>"02/16/2005 00:00"</f>
        <v>02/16/2005 00:00</v>
      </c>
      <c r="C1236">
        <v>64.8</v>
      </c>
      <c r="D1236" t="s">
        <v>7</v>
      </c>
      <c r="E1236" s="2" t="s">
        <v>12</v>
      </c>
      <c r="F1236">
        <f t="shared" si="19"/>
        <v>128.4984</v>
      </c>
      <c r="G1236" t="s">
        <v>16</v>
      </c>
      <c r="J1236" t="str">
        <f>"02/16/2005 23:45"</f>
        <v>02/16/2005 23:45</v>
      </c>
    </row>
    <row r="1237" spans="1:10" x14ac:dyDescent="0.3">
      <c r="A1237" t="s">
        <v>6</v>
      </c>
      <c r="B1237" t="str">
        <f>"02/17/2005 00:00"</f>
        <v>02/17/2005 00:00</v>
      </c>
      <c r="C1237">
        <v>65.599999999999994</v>
      </c>
      <c r="D1237" t="s">
        <v>7</v>
      </c>
      <c r="E1237" s="2" t="s">
        <v>12</v>
      </c>
      <c r="F1237">
        <f t="shared" si="19"/>
        <v>130.0848</v>
      </c>
      <c r="G1237" t="s">
        <v>16</v>
      </c>
      <c r="J1237" t="str">
        <f>"02/17/2005 23:45"</f>
        <v>02/17/2005 23:45</v>
      </c>
    </row>
    <row r="1238" spans="1:10" x14ac:dyDescent="0.3">
      <c r="A1238" t="s">
        <v>6</v>
      </c>
      <c r="B1238" t="str">
        <f>"02/18/2005 00:00"</f>
        <v>02/18/2005 00:00</v>
      </c>
      <c r="C1238">
        <v>63.2</v>
      </c>
      <c r="D1238" t="s">
        <v>7</v>
      </c>
      <c r="E1238" s="2" t="s">
        <v>12</v>
      </c>
      <c r="F1238">
        <f t="shared" si="19"/>
        <v>125.32560000000001</v>
      </c>
      <c r="G1238" t="s">
        <v>16</v>
      </c>
      <c r="J1238" t="str">
        <f>"02/18/2005 23:45"</f>
        <v>02/18/2005 23:45</v>
      </c>
    </row>
    <row r="1239" spans="1:10" x14ac:dyDescent="0.3">
      <c r="A1239" t="s">
        <v>6</v>
      </c>
      <c r="B1239" t="str">
        <f>"02/19/2005 00:00"</f>
        <v>02/19/2005 00:00</v>
      </c>
      <c r="C1239">
        <v>60.8</v>
      </c>
      <c r="D1239" t="s">
        <v>7</v>
      </c>
      <c r="E1239" s="2" t="s">
        <v>12</v>
      </c>
      <c r="F1239">
        <f t="shared" si="19"/>
        <v>120.5664</v>
      </c>
      <c r="G1239" t="s">
        <v>16</v>
      </c>
      <c r="J1239" t="str">
        <f>"02/19/2005 23:45"</f>
        <v>02/19/2005 23:45</v>
      </c>
    </row>
    <row r="1240" spans="1:10" x14ac:dyDescent="0.3">
      <c r="A1240" t="s">
        <v>6</v>
      </c>
      <c r="B1240" t="str">
        <f>"02/20/2005 00:00"</f>
        <v>02/20/2005 00:00</v>
      </c>
      <c r="C1240">
        <v>61</v>
      </c>
      <c r="D1240" t="s">
        <v>7</v>
      </c>
      <c r="E1240" s="2" t="s">
        <v>12</v>
      </c>
      <c r="F1240">
        <f t="shared" si="19"/>
        <v>120.96300000000001</v>
      </c>
      <c r="G1240" t="s">
        <v>16</v>
      </c>
      <c r="J1240" t="str">
        <f>"02/20/2005 23:45"</f>
        <v>02/20/2005 23:45</v>
      </c>
    </row>
    <row r="1241" spans="1:10" x14ac:dyDescent="0.3">
      <c r="A1241" t="s">
        <v>6</v>
      </c>
      <c r="B1241" t="str">
        <f>"02/21/2005 00:00"</f>
        <v>02/21/2005 00:00</v>
      </c>
      <c r="C1241">
        <v>61</v>
      </c>
      <c r="D1241" t="s">
        <v>7</v>
      </c>
      <c r="E1241" s="2" t="s">
        <v>12</v>
      </c>
      <c r="F1241">
        <f t="shared" si="19"/>
        <v>120.96300000000001</v>
      </c>
      <c r="G1241" t="s">
        <v>16</v>
      </c>
      <c r="J1241" t="str">
        <f>"02/21/2005 23:45"</f>
        <v>02/21/2005 23:45</v>
      </c>
    </row>
    <row r="1242" spans="1:10" x14ac:dyDescent="0.3">
      <c r="A1242" t="s">
        <v>6</v>
      </c>
      <c r="B1242" t="str">
        <f>"02/22/2005 00:00"</f>
        <v>02/22/2005 00:00</v>
      </c>
      <c r="C1242">
        <v>61</v>
      </c>
      <c r="D1242" t="s">
        <v>7</v>
      </c>
      <c r="E1242" s="2" t="s">
        <v>12</v>
      </c>
      <c r="F1242">
        <f t="shared" si="19"/>
        <v>120.96300000000001</v>
      </c>
      <c r="G1242" t="s">
        <v>16</v>
      </c>
      <c r="J1242" t="str">
        <f>"02/22/2005 23:45"</f>
        <v>02/22/2005 23:45</v>
      </c>
    </row>
    <row r="1243" spans="1:10" x14ac:dyDescent="0.3">
      <c r="A1243" t="s">
        <v>6</v>
      </c>
      <c r="B1243" t="str">
        <f>"02/23/2005 00:00"</f>
        <v>02/23/2005 00:00</v>
      </c>
      <c r="C1243">
        <v>61</v>
      </c>
      <c r="D1243" t="s">
        <v>7</v>
      </c>
      <c r="E1243" s="2" t="s">
        <v>12</v>
      </c>
      <c r="F1243">
        <f t="shared" si="19"/>
        <v>120.96300000000001</v>
      </c>
      <c r="G1243" t="s">
        <v>16</v>
      </c>
      <c r="J1243" t="str">
        <f>"02/23/2005 23:45"</f>
        <v>02/23/2005 23:45</v>
      </c>
    </row>
    <row r="1244" spans="1:10" x14ac:dyDescent="0.3">
      <c r="A1244" t="s">
        <v>6</v>
      </c>
      <c r="B1244" t="str">
        <f>"02/24/2005 00:00"</f>
        <v>02/24/2005 00:00</v>
      </c>
      <c r="C1244">
        <v>61</v>
      </c>
      <c r="D1244" t="s">
        <v>7</v>
      </c>
      <c r="E1244" s="2" t="s">
        <v>12</v>
      </c>
      <c r="F1244">
        <f t="shared" si="19"/>
        <v>120.96300000000001</v>
      </c>
      <c r="G1244" t="s">
        <v>16</v>
      </c>
      <c r="J1244" t="str">
        <f>"02/24/2005 23:45"</f>
        <v>02/24/2005 23:45</v>
      </c>
    </row>
    <row r="1245" spans="1:10" x14ac:dyDescent="0.3">
      <c r="A1245" t="s">
        <v>6</v>
      </c>
      <c r="B1245" t="str">
        <f>"02/25/2005 00:00"</f>
        <v>02/25/2005 00:00</v>
      </c>
      <c r="C1245">
        <v>61</v>
      </c>
      <c r="D1245" t="s">
        <v>7</v>
      </c>
      <c r="E1245" s="2" t="s">
        <v>12</v>
      </c>
      <c r="F1245">
        <f t="shared" si="19"/>
        <v>120.96300000000001</v>
      </c>
      <c r="G1245" t="s">
        <v>16</v>
      </c>
      <c r="J1245" t="str">
        <f>"02/25/2005 23:45"</f>
        <v>02/25/2005 23:45</v>
      </c>
    </row>
    <row r="1246" spans="1:10" x14ac:dyDescent="0.3">
      <c r="A1246" t="s">
        <v>6</v>
      </c>
      <c r="B1246" t="str">
        <f>"02/26/2005 00:00"</f>
        <v>02/26/2005 00:00</v>
      </c>
      <c r="C1246">
        <v>61</v>
      </c>
      <c r="D1246" t="s">
        <v>7</v>
      </c>
      <c r="E1246" s="2" t="s">
        <v>12</v>
      </c>
      <c r="F1246">
        <f t="shared" si="19"/>
        <v>120.96300000000001</v>
      </c>
      <c r="G1246" t="s">
        <v>16</v>
      </c>
      <c r="J1246" t="str">
        <f>"02/26/2005 23:45"</f>
        <v>02/26/2005 23:45</v>
      </c>
    </row>
    <row r="1247" spans="1:10" x14ac:dyDescent="0.3">
      <c r="A1247" t="s">
        <v>6</v>
      </c>
      <c r="B1247" t="str">
        <f>"02/27/2005 00:00"</f>
        <v>02/27/2005 00:00</v>
      </c>
      <c r="C1247">
        <v>61</v>
      </c>
      <c r="D1247" t="s">
        <v>7</v>
      </c>
      <c r="E1247" s="2" t="s">
        <v>12</v>
      </c>
      <c r="F1247">
        <f t="shared" si="19"/>
        <v>120.96300000000001</v>
      </c>
      <c r="G1247" t="s">
        <v>16</v>
      </c>
      <c r="J1247" t="str">
        <f>"02/27/2005 23:45"</f>
        <v>02/27/2005 23:45</v>
      </c>
    </row>
    <row r="1248" spans="1:10" x14ac:dyDescent="0.3">
      <c r="A1248" t="s">
        <v>6</v>
      </c>
      <c r="B1248" t="str">
        <f>"02/28/2005 00:00"</f>
        <v>02/28/2005 00:00</v>
      </c>
      <c r="C1248">
        <v>61</v>
      </c>
      <c r="D1248" t="s">
        <v>7</v>
      </c>
      <c r="E1248" s="2" t="s">
        <v>12</v>
      </c>
      <c r="F1248">
        <f t="shared" si="19"/>
        <v>120.96300000000001</v>
      </c>
      <c r="G1248" t="s">
        <v>16</v>
      </c>
      <c r="J1248" t="str">
        <f>"02/28/2005 23:45"</f>
        <v>02/28/2005 23:45</v>
      </c>
    </row>
    <row r="1249" spans="1:10" x14ac:dyDescent="0.3">
      <c r="A1249" t="s">
        <v>6</v>
      </c>
      <c r="B1249" t="str">
        <f>"03/01/2005 00:00"</f>
        <v>03/01/2005 00:00</v>
      </c>
      <c r="C1249">
        <v>61.5</v>
      </c>
      <c r="D1249" t="s">
        <v>7</v>
      </c>
      <c r="E1249" s="2" t="s">
        <v>12</v>
      </c>
      <c r="F1249">
        <f t="shared" si="19"/>
        <v>121.95450000000001</v>
      </c>
      <c r="G1249" t="s">
        <v>16</v>
      </c>
      <c r="J1249" t="str">
        <f>"03/01/2005 23:45"</f>
        <v>03/01/2005 23:45</v>
      </c>
    </row>
    <row r="1250" spans="1:10" x14ac:dyDescent="0.3">
      <c r="A1250" t="s">
        <v>6</v>
      </c>
      <c r="B1250" t="str">
        <f>"03/02/2005 00:00"</f>
        <v>03/02/2005 00:00</v>
      </c>
      <c r="C1250">
        <v>71</v>
      </c>
      <c r="D1250" t="s">
        <v>7</v>
      </c>
      <c r="E1250" s="2" t="s">
        <v>12</v>
      </c>
      <c r="F1250">
        <f t="shared" si="19"/>
        <v>140.79300000000001</v>
      </c>
      <c r="G1250" t="s">
        <v>16</v>
      </c>
      <c r="J1250" t="str">
        <f>"03/02/2005 23:45"</f>
        <v>03/02/2005 23:45</v>
      </c>
    </row>
    <row r="1251" spans="1:10" x14ac:dyDescent="0.3">
      <c r="A1251" t="s">
        <v>6</v>
      </c>
      <c r="B1251" t="str">
        <f>"03/03/2005 00:00"</f>
        <v>03/03/2005 00:00</v>
      </c>
      <c r="C1251">
        <v>81.2</v>
      </c>
      <c r="D1251" t="s">
        <v>7</v>
      </c>
      <c r="E1251" s="2" t="s">
        <v>12</v>
      </c>
      <c r="F1251">
        <f t="shared" si="19"/>
        <v>161.01960000000003</v>
      </c>
      <c r="G1251" t="s">
        <v>16</v>
      </c>
      <c r="J1251" t="str">
        <f>"03/03/2005 23:45"</f>
        <v>03/03/2005 23:45</v>
      </c>
    </row>
    <row r="1252" spans="1:10" x14ac:dyDescent="0.3">
      <c r="A1252" t="s">
        <v>6</v>
      </c>
      <c r="B1252" t="str">
        <f>"03/04/2005 00:00"</f>
        <v>03/04/2005 00:00</v>
      </c>
      <c r="C1252">
        <v>81.2</v>
      </c>
      <c r="D1252" t="s">
        <v>7</v>
      </c>
      <c r="E1252" s="2" t="s">
        <v>12</v>
      </c>
      <c r="F1252">
        <f t="shared" si="19"/>
        <v>161.01960000000003</v>
      </c>
      <c r="G1252" t="s">
        <v>16</v>
      </c>
      <c r="J1252" t="str">
        <f>"03/04/2005 23:45"</f>
        <v>03/04/2005 23:45</v>
      </c>
    </row>
    <row r="1253" spans="1:10" x14ac:dyDescent="0.3">
      <c r="A1253" t="s">
        <v>6</v>
      </c>
      <c r="B1253" t="str">
        <f>"03/05/2005 00:00"</f>
        <v>03/05/2005 00:00</v>
      </c>
      <c r="C1253">
        <v>82.4</v>
      </c>
      <c r="D1253" t="s">
        <v>7</v>
      </c>
      <c r="E1253" s="2" t="s">
        <v>12</v>
      </c>
      <c r="F1253">
        <f t="shared" si="19"/>
        <v>163.39920000000001</v>
      </c>
      <c r="G1253" t="s">
        <v>16</v>
      </c>
      <c r="J1253" t="str">
        <f>"03/05/2005 23:45"</f>
        <v>03/05/2005 23:45</v>
      </c>
    </row>
    <row r="1254" spans="1:10" x14ac:dyDescent="0.3">
      <c r="A1254" t="s">
        <v>6</v>
      </c>
      <c r="B1254" t="str">
        <f>"03/06/2005 00:00"</f>
        <v>03/06/2005 00:00</v>
      </c>
      <c r="C1254">
        <v>82.4</v>
      </c>
      <c r="D1254" t="s">
        <v>7</v>
      </c>
      <c r="E1254" s="2" t="s">
        <v>12</v>
      </c>
      <c r="F1254">
        <f t="shared" si="19"/>
        <v>163.39920000000001</v>
      </c>
      <c r="G1254" t="s">
        <v>16</v>
      </c>
      <c r="J1254" t="str">
        <f>"03/06/2005 23:45"</f>
        <v>03/06/2005 23:45</v>
      </c>
    </row>
    <row r="1255" spans="1:10" x14ac:dyDescent="0.3">
      <c r="A1255" t="s">
        <v>6</v>
      </c>
      <c r="B1255" t="str">
        <f>"03/07/2005 00:00"</f>
        <v>03/07/2005 00:00</v>
      </c>
      <c r="C1255">
        <v>82.4</v>
      </c>
      <c r="D1255" t="s">
        <v>7</v>
      </c>
      <c r="E1255" s="2" t="s">
        <v>12</v>
      </c>
      <c r="F1255">
        <f t="shared" si="19"/>
        <v>163.39920000000001</v>
      </c>
      <c r="G1255" t="s">
        <v>16</v>
      </c>
      <c r="J1255" t="str">
        <f>"03/07/2005 23:45"</f>
        <v>03/07/2005 23:45</v>
      </c>
    </row>
    <row r="1256" spans="1:10" x14ac:dyDescent="0.3">
      <c r="A1256" t="s">
        <v>6</v>
      </c>
      <c r="B1256" t="str">
        <f>"03/08/2005 00:00"</f>
        <v>03/08/2005 00:00</v>
      </c>
      <c r="C1256">
        <v>82.4</v>
      </c>
      <c r="D1256" t="s">
        <v>7</v>
      </c>
      <c r="E1256" s="2" t="s">
        <v>12</v>
      </c>
      <c r="F1256">
        <f t="shared" si="19"/>
        <v>163.39920000000001</v>
      </c>
      <c r="G1256" t="s">
        <v>16</v>
      </c>
      <c r="J1256" t="str">
        <f>"03/08/2005 23:45"</f>
        <v>03/08/2005 23:45</v>
      </c>
    </row>
    <row r="1257" spans="1:10" x14ac:dyDescent="0.3">
      <c r="A1257" t="s">
        <v>6</v>
      </c>
      <c r="B1257" t="str">
        <f>"03/09/2005 00:00"</f>
        <v>03/09/2005 00:00</v>
      </c>
      <c r="C1257">
        <v>83.2</v>
      </c>
      <c r="D1257" t="s">
        <v>7</v>
      </c>
      <c r="E1257" s="2" t="s">
        <v>12</v>
      </c>
      <c r="F1257">
        <f t="shared" si="19"/>
        <v>164.98560000000001</v>
      </c>
      <c r="G1257" t="s">
        <v>16</v>
      </c>
      <c r="J1257" t="str">
        <f>"03/09/2005 23:45"</f>
        <v>03/09/2005 23:45</v>
      </c>
    </row>
    <row r="1258" spans="1:10" x14ac:dyDescent="0.3">
      <c r="A1258" t="s">
        <v>6</v>
      </c>
      <c r="B1258" t="str">
        <f>"03/10/2005 00:00"</f>
        <v>03/10/2005 00:00</v>
      </c>
      <c r="C1258">
        <v>83.7</v>
      </c>
      <c r="D1258" t="s">
        <v>7</v>
      </c>
      <c r="E1258" s="2" t="s">
        <v>12</v>
      </c>
      <c r="F1258">
        <f t="shared" si="19"/>
        <v>165.97710000000001</v>
      </c>
      <c r="G1258" t="s">
        <v>16</v>
      </c>
      <c r="J1258" t="str">
        <f>"03/10/2005 23:45"</f>
        <v>03/10/2005 23:45</v>
      </c>
    </row>
    <row r="1259" spans="1:10" x14ac:dyDescent="0.3">
      <c r="A1259" t="s">
        <v>6</v>
      </c>
      <c r="B1259" t="str">
        <f>"03/11/2005 00:00"</f>
        <v>03/11/2005 00:00</v>
      </c>
      <c r="C1259">
        <v>83.7</v>
      </c>
      <c r="D1259" t="s">
        <v>7</v>
      </c>
      <c r="E1259" s="2" t="s">
        <v>12</v>
      </c>
      <c r="F1259">
        <f t="shared" si="19"/>
        <v>165.97710000000001</v>
      </c>
      <c r="G1259" t="s">
        <v>16</v>
      </c>
      <c r="J1259" t="str">
        <f>"03/11/2005 23:45"</f>
        <v>03/11/2005 23:45</v>
      </c>
    </row>
    <row r="1260" spans="1:10" x14ac:dyDescent="0.3">
      <c r="A1260" t="s">
        <v>6</v>
      </c>
      <c r="B1260" t="str">
        <f>"03/12/2005 00:00"</f>
        <v>03/12/2005 00:00</v>
      </c>
      <c r="C1260">
        <v>83.7</v>
      </c>
      <c r="D1260" t="s">
        <v>7</v>
      </c>
      <c r="E1260" s="2" t="s">
        <v>12</v>
      </c>
      <c r="F1260">
        <f t="shared" si="19"/>
        <v>165.97710000000001</v>
      </c>
      <c r="G1260" t="s">
        <v>16</v>
      </c>
      <c r="J1260" t="str">
        <f>"03/12/2005 23:45"</f>
        <v>03/12/2005 23:45</v>
      </c>
    </row>
    <row r="1261" spans="1:10" x14ac:dyDescent="0.3">
      <c r="A1261" t="s">
        <v>6</v>
      </c>
      <c r="B1261" t="str">
        <f>"03/13/2005 00:00"</f>
        <v>03/13/2005 00:00</v>
      </c>
      <c r="C1261">
        <v>83.7</v>
      </c>
      <c r="D1261" t="s">
        <v>7</v>
      </c>
      <c r="E1261" s="2" t="s">
        <v>12</v>
      </c>
      <c r="F1261">
        <f t="shared" si="19"/>
        <v>165.97710000000001</v>
      </c>
      <c r="G1261" t="s">
        <v>16</v>
      </c>
      <c r="J1261" t="str">
        <f>"03/13/2005 23:45"</f>
        <v>03/13/2005 23:45</v>
      </c>
    </row>
    <row r="1262" spans="1:10" x14ac:dyDescent="0.3">
      <c r="A1262" t="s">
        <v>6</v>
      </c>
      <c r="B1262" t="str">
        <f>"03/14/2005 00:00"</f>
        <v>03/14/2005 00:00</v>
      </c>
      <c r="C1262">
        <v>84.6</v>
      </c>
      <c r="D1262" t="s">
        <v>7</v>
      </c>
      <c r="E1262" s="2" t="s">
        <v>12</v>
      </c>
      <c r="F1262">
        <f t="shared" si="19"/>
        <v>167.76179999999999</v>
      </c>
      <c r="G1262" t="s">
        <v>16</v>
      </c>
      <c r="J1262" t="str">
        <f>"03/14/2005 23:45"</f>
        <v>03/14/2005 23:45</v>
      </c>
    </row>
    <row r="1263" spans="1:10" x14ac:dyDescent="0.3">
      <c r="A1263" t="s">
        <v>6</v>
      </c>
      <c r="B1263" t="str">
        <f>"03/15/2005 00:00"</f>
        <v>03/15/2005 00:00</v>
      </c>
      <c r="C1263">
        <v>85</v>
      </c>
      <c r="D1263" t="s">
        <v>7</v>
      </c>
      <c r="E1263" s="2" t="s">
        <v>12</v>
      </c>
      <c r="F1263">
        <f t="shared" si="19"/>
        <v>168.55500000000001</v>
      </c>
      <c r="G1263" t="s">
        <v>16</v>
      </c>
      <c r="J1263" t="str">
        <f>"03/15/2005 23:45"</f>
        <v>03/15/2005 23:45</v>
      </c>
    </row>
    <row r="1264" spans="1:10" x14ac:dyDescent="0.3">
      <c r="A1264" t="s">
        <v>6</v>
      </c>
      <c r="B1264" t="str">
        <f>"03/16/2005 00:00"</f>
        <v>03/16/2005 00:00</v>
      </c>
      <c r="C1264">
        <v>85</v>
      </c>
      <c r="D1264" t="s">
        <v>7</v>
      </c>
      <c r="E1264" s="2" t="s">
        <v>12</v>
      </c>
      <c r="F1264">
        <f t="shared" si="19"/>
        <v>168.55500000000001</v>
      </c>
      <c r="G1264" t="s">
        <v>16</v>
      </c>
      <c r="J1264" t="str">
        <f>"03/16/2005 23:45"</f>
        <v>03/16/2005 23:45</v>
      </c>
    </row>
    <row r="1265" spans="1:10" x14ac:dyDescent="0.3">
      <c r="A1265" t="s">
        <v>6</v>
      </c>
      <c r="B1265" t="str">
        <f>"03/17/2005 00:00"</f>
        <v>03/17/2005 00:00</v>
      </c>
      <c r="C1265">
        <v>85</v>
      </c>
      <c r="D1265" t="s">
        <v>7</v>
      </c>
      <c r="E1265" s="2" t="s">
        <v>12</v>
      </c>
      <c r="F1265">
        <f t="shared" si="19"/>
        <v>168.55500000000001</v>
      </c>
      <c r="G1265" t="s">
        <v>16</v>
      </c>
      <c r="J1265" t="str">
        <f>"03/17/2005 23:45"</f>
        <v>03/17/2005 23:45</v>
      </c>
    </row>
    <row r="1266" spans="1:10" x14ac:dyDescent="0.3">
      <c r="A1266" t="s">
        <v>6</v>
      </c>
      <c r="B1266" t="str">
        <f>"03/18/2005 00:00"</f>
        <v>03/18/2005 00:00</v>
      </c>
      <c r="C1266">
        <v>85</v>
      </c>
      <c r="D1266" t="s">
        <v>7</v>
      </c>
      <c r="E1266" s="2" t="s">
        <v>12</v>
      </c>
      <c r="F1266">
        <f t="shared" si="19"/>
        <v>168.55500000000001</v>
      </c>
      <c r="G1266" t="s">
        <v>16</v>
      </c>
      <c r="J1266" t="str">
        <f>"03/18/2005 23:45"</f>
        <v>03/18/2005 23:45</v>
      </c>
    </row>
    <row r="1267" spans="1:10" x14ac:dyDescent="0.3">
      <c r="A1267" t="s">
        <v>6</v>
      </c>
      <c r="B1267" t="str">
        <f>"03/19/2005 00:00"</f>
        <v>03/19/2005 00:00</v>
      </c>
      <c r="C1267">
        <v>85</v>
      </c>
      <c r="D1267" t="s">
        <v>7</v>
      </c>
      <c r="E1267" s="2" t="s">
        <v>12</v>
      </c>
      <c r="F1267">
        <f t="shared" si="19"/>
        <v>168.55500000000001</v>
      </c>
      <c r="G1267" t="s">
        <v>16</v>
      </c>
      <c r="J1267" t="str">
        <f>"03/19/2005 23:45"</f>
        <v>03/19/2005 23:45</v>
      </c>
    </row>
    <row r="1268" spans="1:10" x14ac:dyDescent="0.3">
      <c r="A1268" t="s">
        <v>6</v>
      </c>
      <c r="B1268" t="str">
        <f>"03/20/2005 00:00"</f>
        <v>03/20/2005 00:00</v>
      </c>
      <c r="C1268">
        <v>85</v>
      </c>
      <c r="D1268" t="s">
        <v>7</v>
      </c>
      <c r="E1268" s="2" t="s">
        <v>12</v>
      </c>
      <c r="F1268">
        <f t="shared" si="19"/>
        <v>168.55500000000001</v>
      </c>
      <c r="G1268" t="s">
        <v>16</v>
      </c>
      <c r="J1268" t="str">
        <f>"03/20/2005 23:45"</f>
        <v>03/20/2005 23:45</v>
      </c>
    </row>
    <row r="1269" spans="1:10" x14ac:dyDescent="0.3">
      <c r="A1269" t="s">
        <v>6</v>
      </c>
      <c r="B1269" t="str">
        <f>"03/21/2005 00:00"</f>
        <v>03/21/2005 00:00</v>
      </c>
      <c r="C1269">
        <v>85.9</v>
      </c>
      <c r="D1269" t="s">
        <v>7</v>
      </c>
      <c r="E1269" s="2" t="s">
        <v>12</v>
      </c>
      <c r="F1269">
        <f t="shared" si="19"/>
        <v>170.33970000000002</v>
      </c>
      <c r="G1269" t="s">
        <v>16</v>
      </c>
      <c r="J1269" t="str">
        <f>"03/21/2005 23:45"</f>
        <v>03/21/2005 23:45</v>
      </c>
    </row>
    <row r="1270" spans="1:10" x14ac:dyDescent="0.3">
      <c r="A1270" t="s">
        <v>6</v>
      </c>
      <c r="B1270" t="str">
        <f>"03/22/2005 00:00"</f>
        <v>03/22/2005 00:00</v>
      </c>
      <c r="C1270">
        <v>86.2</v>
      </c>
      <c r="D1270" t="s">
        <v>7</v>
      </c>
      <c r="E1270" s="2" t="s">
        <v>12</v>
      </c>
      <c r="F1270">
        <f t="shared" si="19"/>
        <v>170.93460000000002</v>
      </c>
      <c r="G1270" t="s">
        <v>16</v>
      </c>
      <c r="J1270" t="str">
        <f>"03/22/2005 23:45"</f>
        <v>03/22/2005 23:45</v>
      </c>
    </row>
    <row r="1271" spans="1:10" x14ac:dyDescent="0.3">
      <c r="A1271" t="s">
        <v>6</v>
      </c>
      <c r="B1271" t="str">
        <f>"03/23/2005 00:00"</f>
        <v>03/23/2005 00:00</v>
      </c>
      <c r="C1271">
        <v>86.3</v>
      </c>
      <c r="D1271" t="s">
        <v>7</v>
      </c>
      <c r="E1271" s="2" t="s">
        <v>12</v>
      </c>
      <c r="F1271">
        <f t="shared" si="19"/>
        <v>171.13290000000001</v>
      </c>
      <c r="G1271" t="s">
        <v>16</v>
      </c>
      <c r="J1271" t="str">
        <f>"03/23/2005 23:45"</f>
        <v>03/23/2005 23:45</v>
      </c>
    </row>
    <row r="1272" spans="1:10" x14ac:dyDescent="0.3">
      <c r="A1272" t="s">
        <v>6</v>
      </c>
      <c r="B1272" t="str">
        <f>"03/24/2005 00:00"</f>
        <v>03/24/2005 00:00</v>
      </c>
      <c r="C1272">
        <v>87.5</v>
      </c>
      <c r="D1272" t="s">
        <v>7</v>
      </c>
      <c r="E1272" s="2" t="s">
        <v>12</v>
      </c>
      <c r="F1272">
        <f t="shared" si="19"/>
        <v>173.51250000000002</v>
      </c>
      <c r="G1272" t="s">
        <v>16</v>
      </c>
      <c r="J1272" t="str">
        <f>"03/24/2005 23:45"</f>
        <v>03/24/2005 23:45</v>
      </c>
    </row>
    <row r="1273" spans="1:10" x14ac:dyDescent="0.3">
      <c r="A1273" t="s">
        <v>6</v>
      </c>
      <c r="B1273" t="str">
        <f>"03/25/2005 00:00"</f>
        <v>03/25/2005 00:00</v>
      </c>
      <c r="C1273">
        <v>85.1</v>
      </c>
      <c r="D1273" t="s">
        <v>7</v>
      </c>
      <c r="E1273" s="2" t="s">
        <v>12</v>
      </c>
      <c r="F1273">
        <f t="shared" si="19"/>
        <v>168.7533</v>
      </c>
      <c r="G1273" t="s">
        <v>16</v>
      </c>
      <c r="J1273" t="str">
        <f>"03/25/2005 23:45"</f>
        <v>03/25/2005 23:45</v>
      </c>
    </row>
    <row r="1274" spans="1:10" x14ac:dyDescent="0.3">
      <c r="A1274" t="s">
        <v>6</v>
      </c>
      <c r="B1274" t="str">
        <f>"03/26/2005 00:00"</f>
        <v>03/26/2005 00:00</v>
      </c>
      <c r="C1274">
        <v>83.6</v>
      </c>
      <c r="D1274" t="s">
        <v>7</v>
      </c>
      <c r="E1274" s="2" t="s">
        <v>12</v>
      </c>
      <c r="F1274">
        <f t="shared" si="19"/>
        <v>165.77879999999999</v>
      </c>
      <c r="G1274" t="s">
        <v>16</v>
      </c>
      <c r="J1274" t="str">
        <f>"03/26/2005 23:45"</f>
        <v>03/26/2005 23:45</v>
      </c>
    </row>
    <row r="1275" spans="1:10" x14ac:dyDescent="0.3">
      <c r="A1275" t="s">
        <v>6</v>
      </c>
      <c r="B1275" t="str">
        <f>"03/27/2005 00:00"</f>
        <v>03/27/2005 00:00</v>
      </c>
      <c r="C1275">
        <v>83.5</v>
      </c>
      <c r="D1275" t="s">
        <v>7</v>
      </c>
      <c r="E1275" s="2" t="s">
        <v>12</v>
      </c>
      <c r="F1275">
        <f t="shared" si="19"/>
        <v>165.5805</v>
      </c>
      <c r="G1275" t="s">
        <v>16</v>
      </c>
      <c r="J1275" t="str">
        <f>"03/27/2005 23:45"</f>
        <v>03/27/2005 23:45</v>
      </c>
    </row>
    <row r="1276" spans="1:10" x14ac:dyDescent="0.3">
      <c r="A1276" t="s">
        <v>6</v>
      </c>
      <c r="B1276" t="str">
        <f>"03/28/2005 00:00"</f>
        <v>03/28/2005 00:00</v>
      </c>
      <c r="C1276">
        <v>83.7</v>
      </c>
      <c r="D1276" t="s">
        <v>7</v>
      </c>
      <c r="E1276" s="2" t="s">
        <v>12</v>
      </c>
      <c r="F1276">
        <f t="shared" si="19"/>
        <v>165.97710000000001</v>
      </c>
      <c r="G1276" t="s">
        <v>16</v>
      </c>
      <c r="J1276" t="str">
        <f>"03/28/2005 23:45"</f>
        <v>03/28/2005 23:45</v>
      </c>
    </row>
    <row r="1277" spans="1:10" x14ac:dyDescent="0.3">
      <c r="A1277" t="s">
        <v>6</v>
      </c>
      <c r="B1277" t="str">
        <f>"03/29/2005 00:00"</f>
        <v>03/29/2005 00:00</v>
      </c>
      <c r="C1277">
        <v>83.7</v>
      </c>
      <c r="D1277" t="s">
        <v>7</v>
      </c>
      <c r="E1277" s="2" t="s">
        <v>12</v>
      </c>
      <c r="F1277">
        <f t="shared" si="19"/>
        <v>165.97710000000001</v>
      </c>
      <c r="G1277" t="s">
        <v>16</v>
      </c>
      <c r="J1277" t="str">
        <f>"03/29/2005 23:45"</f>
        <v>03/29/2005 23:45</v>
      </c>
    </row>
    <row r="1278" spans="1:10" x14ac:dyDescent="0.3">
      <c r="A1278" t="s">
        <v>6</v>
      </c>
      <c r="B1278" t="str">
        <f>"03/30/2005 00:00"</f>
        <v>03/30/2005 00:00</v>
      </c>
      <c r="C1278">
        <v>83.7</v>
      </c>
      <c r="D1278" t="s">
        <v>7</v>
      </c>
      <c r="E1278" s="2" t="s">
        <v>12</v>
      </c>
      <c r="F1278">
        <f t="shared" si="19"/>
        <v>165.97710000000001</v>
      </c>
      <c r="G1278" t="s">
        <v>16</v>
      </c>
      <c r="J1278" t="str">
        <f>"03/30/2005 23:45"</f>
        <v>03/30/2005 23:45</v>
      </c>
    </row>
    <row r="1279" spans="1:10" x14ac:dyDescent="0.3">
      <c r="A1279" t="s">
        <v>6</v>
      </c>
      <c r="B1279" t="str">
        <f>"03/31/2005 00:00"</f>
        <v>03/31/2005 00:00</v>
      </c>
      <c r="C1279">
        <v>83.8</v>
      </c>
      <c r="D1279" t="s">
        <v>7</v>
      </c>
      <c r="E1279" s="2" t="s">
        <v>12</v>
      </c>
      <c r="F1279">
        <f t="shared" si="19"/>
        <v>166.1754</v>
      </c>
      <c r="G1279" t="s">
        <v>16</v>
      </c>
      <c r="J1279" t="str">
        <f>"03/31/2005 23:45"</f>
        <v>03/31/2005 23:45</v>
      </c>
    </row>
    <row r="1280" spans="1:10" x14ac:dyDescent="0.3">
      <c r="A1280" t="s">
        <v>6</v>
      </c>
      <c r="B1280" t="str">
        <f>"04/01/2005 00:00"</f>
        <v>04/01/2005 00:00</v>
      </c>
      <c r="C1280">
        <v>72.8</v>
      </c>
      <c r="D1280" t="s">
        <v>7</v>
      </c>
      <c r="E1280" s="2" t="s">
        <v>12</v>
      </c>
      <c r="F1280">
        <f t="shared" si="19"/>
        <v>144.36240000000001</v>
      </c>
      <c r="G1280" t="s">
        <v>16</v>
      </c>
      <c r="J1280" t="str">
        <f>"04/01/2005 23:45"</f>
        <v>04/01/2005 23:45</v>
      </c>
    </row>
    <row r="1281" spans="1:10" x14ac:dyDescent="0.3">
      <c r="A1281" t="s">
        <v>6</v>
      </c>
      <c r="B1281" t="str">
        <f>"04/02/2005 00:00"</f>
        <v>04/02/2005 00:00</v>
      </c>
      <c r="C1281">
        <v>61</v>
      </c>
      <c r="D1281" t="s">
        <v>7</v>
      </c>
      <c r="E1281" s="2" t="s">
        <v>12</v>
      </c>
      <c r="F1281">
        <f t="shared" si="19"/>
        <v>120.96300000000001</v>
      </c>
      <c r="G1281" t="s">
        <v>16</v>
      </c>
      <c r="J1281" t="str">
        <f>"04/02/2005 23:45"</f>
        <v>04/02/2005 23:45</v>
      </c>
    </row>
    <row r="1282" spans="1:10" x14ac:dyDescent="0.3">
      <c r="A1282" t="s">
        <v>6</v>
      </c>
      <c r="B1282" t="str">
        <f>"04/03/2005 00:00"</f>
        <v>04/03/2005 00:00</v>
      </c>
      <c r="C1282">
        <v>61</v>
      </c>
      <c r="D1282" t="s">
        <v>7</v>
      </c>
      <c r="E1282" s="2" t="s">
        <v>12</v>
      </c>
      <c r="F1282">
        <f t="shared" si="19"/>
        <v>120.96300000000001</v>
      </c>
      <c r="G1282" t="s">
        <v>16</v>
      </c>
      <c r="J1282" t="str">
        <f>"04/03/2005 23:45"</f>
        <v>04/03/2005 23:45</v>
      </c>
    </row>
    <row r="1283" spans="1:10" x14ac:dyDescent="0.3">
      <c r="A1283" t="s">
        <v>6</v>
      </c>
      <c r="B1283" t="str">
        <f>"04/04/2005 00:00"</f>
        <v>04/04/2005 00:00</v>
      </c>
      <c r="C1283">
        <v>32.299999999999997</v>
      </c>
      <c r="D1283" t="s">
        <v>7</v>
      </c>
      <c r="E1283" s="2" t="s">
        <v>12</v>
      </c>
      <c r="F1283">
        <f t="shared" si="19"/>
        <v>64.050899999999999</v>
      </c>
      <c r="G1283" t="s">
        <v>16</v>
      </c>
      <c r="J1283" t="str">
        <f>"04/04/2005 23:45"</f>
        <v>04/04/2005 23:45</v>
      </c>
    </row>
    <row r="1284" spans="1:10" x14ac:dyDescent="0.3">
      <c r="A1284" t="s">
        <v>6</v>
      </c>
      <c r="B1284" t="str">
        <f>"04/05/2005 00:00"</f>
        <v>04/05/2005 00:00</v>
      </c>
      <c r="C1284">
        <v>0.63200000000000001</v>
      </c>
      <c r="D1284" t="s">
        <v>7</v>
      </c>
      <c r="E1284" s="2" t="s">
        <v>12</v>
      </c>
      <c r="F1284">
        <f t="shared" ref="F1284:F1347" si="20">C1284*1.983</f>
        <v>1.2532560000000001</v>
      </c>
      <c r="G1284" t="s">
        <v>16</v>
      </c>
      <c r="J1284" t="str">
        <f>"04/05/2005 23:45"</f>
        <v>04/05/2005 23:45</v>
      </c>
    </row>
    <row r="1285" spans="1:10" x14ac:dyDescent="0.3">
      <c r="A1285" t="s">
        <v>6</v>
      </c>
      <c r="B1285" t="str">
        <f>"04/06/2005 00:00"</f>
        <v>04/06/2005 00:00</v>
      </c>
      <c r="C1285">
        <v>0.63200000000000001</v>
      </c>
      <c r="D1285" t="s">
        <v>7</v>
      </c>
      <c r="E1285" s="2" t="s">
        <v>12</v>
      </c>
      <c r="F1285">
        <f t="shared" si="20"/>
        <v>1.2532560000000001</v>
      </c>
      <c r="G1285" t="s">
        <v>16</v>
      </c>
      <c r="J1285" t="str">
        <f>"04/06/2005 23:45"</f>
        <v>04/06/2005 23:45</v>
      </c>
    </row>
    <row r="1286" spans="1:10" x14ac:dyDescent="0.3">
      <c r="A1286" t="s">
        <v>6</v>
      </c>
      <c r="B1286" t="str">
        <f>"04/07/2005 00:00"</f>
        <v>04/07/2005 00:00</v>
      </c>
      <c r="C1286">
        <v>0.63200000000000001</v>
      </c>
      <c r="D1286" t="s">
        <v>7</v>
      </c>
      <c r="E1286" s="2" t="s">
        <v>12</v>
      </c>
      <c r="F1286">
        <f t="shared" si="20"/>
        <v>1.2532560000000001</v>
      </c>
      <c r="G1286" t="s">
        <v>16</v>
      </c>
      <c r="J1286" t="str">
        <f>"04/07/2005 23:45"</f>
        <v>04/07/2005 23:45</v>
      </c>
    </row>
    <row r="1287" spans="1:10" x14ac:dyDescent="0.3">
      <c r="A1287" t="s">
        <v>6</v>
      </c>
      <c r="B1287" t="str">
        <f>"04/08/2005 00:00"</f>
        <v>04/08/2005 00:00</v>
      </c>
      <c r="C1287">
        <v>0.63200000000000001</v>
      </c>
      <c r="D1287" t="s">
        <v>7</v>
      </c>
      <c r="E1287" s="2" t="s">
        <v>12</v>
      </c>
      <c r="F1287">
        <f t="shared" si="20"/>
        <v>1.2532560000000001</v>
      </c>
      <c r="G1287" t="s">
        <v>16</v>
      </c>
      <c r="J1287" t="str">
        <f>"04/08/2005 23:45"</f>
        <v>04/08/2005 23:45</v>
      </c>
    </row>
    <row r="1288" spans="1:10" x14ac:dyDescent="0.3">
      <c r="A1288" t="s">
        <v>6</v>
      </c>
      <c r="B1288" t="str">
        <f>"04/09/2005 00:00"</f>
        <v>04/09/2005 00:00</v>
      </c>
      <c r="C1288">
        <v>0.63200000000000001</v>
      </c>
      <c r="D1288" t="s">
        <v>7</v>
      </c>
      <c r="E1288" s="2" t="s">
        <v>12</v>
      </c>
      <c r="F1288">
        <f t="shared" si="20"/>
        <v>1.2532560000000001</v>
      </c>
      <c r="G1288" t="s">
        <v>16</v>
      </c>
      <c r="J1288" t="str">
        <f>"04/09/2005 23:45"</f>
        <v>04/09/2005 23:45</v>
      </c>
    </row>
    <row r="1289" spans="1:10" x14ac:dyDescent="0.3">
      <c r="A1289" t="s">
        <v>6</v>
      </c>
      <c r="B1289" t="str">
        <f>"04/10/2005 00:00"</f>
        <v>04/10/2005 00:00</v>
      </c>
      <c r="C1289">
        <v>0.67400000000000004</v>
      </c>
      <c r="D1289" t="s">
        <v>7</v>
      </c>
      <c r="E1289" s="2" t="s">
        <v>12</v>
      </c>
      <c r="F1289">
        <f t="shared" si="20"/>
        <v>1.3365420000000001</v>
      </c>
      <c r="G1289" t="s">
        <v>16</v>
      </c>
      <c r="J1289" t="str">
        <f>"04/10/2005 23:45"</f>
        <v>04/10/2005 23:45</v>
      </c>
    </row>
    <row r="1290" spans="1:10" x14ac:dyDescent="0.3">
      <c r="A1290" t="s">
        <v>6</v>
      </c>
      <c r="B1290" t="str">
        <f>"04/11/2005 00:00"</f>
        <v>04/11/2005 00:00</v>
      </c>
      <c r="C1290">
        <v>0.63200000000000001</v>
      </c>
      <c r="D1290" t="s">
        <v>7</v>
      </c>
      <c r="E1290" s="2" t="s">
        <v>12</v>
      </c>
      <c r="F1290">
        <f t="shared" si="20"/>
        <v>1.2532560000000001</v>
      </c>
      <c r="G1290" t="s">
        <v>16</v>
      </c>
      <c r="J1290" t="str">
        <f>"04/11/2005 23:45"</f>
        <v>04/11/2005 23:45</v>
      </c>
    </row>
    <row r="1291" spans="1:10" x14ac:dyDescent="0.3">
      <c r="A1291" t="s">
        <v>6</v>
      </c>
      <c r="B1291" t="str">
        <f>"04/12/2005 00:00"</f>
        <v>04/12/2005 00:00</v>
      </c>
      <c r="C1291">
        <v>0.63200000000000001</v>
      </c>
      <c r="D1291" t="s">
        <v>7</v>
      </c>
      <c r="E1291" s="2" t="s">
        <v>12</v>
      </c>
      <c r="F1291">
        <f t="shared" si="20"/>
        <v>1.2532560000000001</v>
      </c>
      <c r="G1291" t="s">
        <v>16</v>
      </c>
      <c r="J1291" t="str">
        <f>"04/12/2005 23:45"</f>
        <v>04/12/2005 23:45</v>
      </c>
    </row>
    <row r="1292" spans="1:10" x14ac:dyDescent="0.3">
      <c r="A1292" t="s">
        <v>6</v>
      </c>
      <c r="B1292" t="str">
        <f>"04/13/2005 00:00"</f>
        <v>04/13/2005 00:00</v>
      </c>
      <c r="C1292">
        <v>48.5</v>
      </c>
      <c r="D1292" t="s">
        <v>7</v>
      </c>
      <c r="E1292" s="2" t="s">
        <v>12</v>
      </c>
      <c r="F1292">
        <f t="shared" si="20"/>
        <v>96.1755</v>
      </c>
      <c r="G1292" t="s">
        <v>16</v>
      </c>
      <c r="J1292" t="str">
        <f>"04/13/2005 23:45"</f>
        <v>04/13/2005 23:45</v>
      </c>
    </row>
    <row r="1293" spans="1:10" x14ac:dyDescent="0.3">
      <c r="A1293" t="s">
        <v>6</v>
      </c>
      <c r="B1293" t="str">
        <f>"04/14/2005 00:00"</f>
        <v>04/14/2005 00:00</v>
      </c>
      <c r="C1293">
        <v>99.4</v>
      </c>
      <c r="D1293" t="s">
        <v>7</v>
      </c>
      <c r="E1293" s="2" t="s">
        <v>12</v>
      </c>
      <c r="F1293">
        <f t="shared" si="20"/>
        <v>197.11020000000002</v>
      </c>
      <c r="G1293" t="s">
        <v>16</v>
      </c>
      <c r="J1293" t="str">
        <f>"04/14/2005 23:45"</f>
        <v>04/14/2005 23:45</v>
      </c>
    </row>
    <row r="1294" spans="1:10" x14ac:dyDescent="0.3">
      <c r="A1294" t="s">
        <v>6</v>
      </c>
      <c r="B1294" t="str">
        <f>"04/15/2005 00:00"</f>
        <v>04/15/2005 00:00</v>
      </c>
      <c r="C1294">
        <v>46.3</v>
      </c>
      <c r="D1294" t="s">
        <v>7</v>
      </c>
      <c r="E1294" s="2" t="s">
        <v>12</v>
      </c>
      <c r="F1294">
        <f t="shared" si="20"/>
        <v>91.812899999999999</v>
      </c>
      <c r="G1294" t="s">
        <v>16</v>
      </c>
      <c r="J1294" t="str">
        <f>"04/15/2005 23:45"</f>
        <v>04/15/2005 23:45</v>
      </c>
    </row>
    <row r="1295" spans="1:10" x14ac:dyDescent="0.3">
      <c r="A1295" t="s">
        <v>6</v>
      </c>
      <c r="B1295" t="str">
        <f>"04/16/2005 00:00"</f>
        <v>04/16/2005 00:00</v>
      </c>
      <c r="C1295">
        <v>0.84599999999999997</v>
      </c>
      <c r="D1295" t="s">
        <v>7</v>
      </c>
      <c r="E1295" s="2" t="s">
        <v>12</v>
      </c>
      <c r="F1295">
        <f t="shared" si="20"/>
        <v>1.6776180000000001</v>
      </c>
      <c r="G1295" t="s">
        <v>16</v>
      </c>
      <c r="J1295" t="str">
        <f>"04/16/2005 23:45"</f>
        <v>04/16/2005 23:45</v>
      </c>
    </row>
    <row r="1296" spans="1:10" x14ac:dyDescent="0.3">
      <c r="A1296" t="s">
        <v>6</v>
      </c>
      <c r="B1296" t="str">
        <f>"04/17/2005 00:00"</f>
        <v>04/17/2005 00:00</v>
      </c>
      <c r="C1296">
        <v>0.84599999999999997</v>
      </c>
      <c r="D1296" t="s">
        <v>7</v>
      </c>
      <c r="E1296" s="2" t="s">
        <v>12</v>
      </c>
      <c r="F1296">
        <f t="shared" si="20"/>
        <v>1.6776180000000001</v>
      </c>
      <c r="G1296" t="s">
        <v>16</v>
      </c>
      <c r="J1296" t="str">
        <f>"04/17/2005 23:45"</f>
        <v>04/17/2005 23:45</v>
      </c>
    </row>
    <row r="1297" spans="1:10" x14ac:dyDescent="0.3">
      <c r="A1297" t="s">
        <v>6</v>
      </c>
      <c r="B1297" t="str">
        <f>"04/18/2005 00:00"</f>
        <v>04/18/2005 00:00</v>
      </c>
      <c r="C1297">
        <v>0.84599999999999997</v>
      </c>
      <c r="D1297" t="s">
        <v>7</v>
      </c>
      <c r="E1297" s="2" t="s">
        <v>12</v>
      </c>
      <c r="F1297">
        <f t="shared" si="20"/>
        <v>1.6776180000000001</v>
      </c>
      <c r="G1297" t="s">
        <v>16</v>
      </c>
      <c r="J1297" t="str">
        <f>"04/18/2005 23:45"</f>
        <v>04/18/2005 23:45</v>
      </c>
    </row>
    <row r="1298" spans="1:10" x14ac:dyDescent="0.3">
      <c r="A1298" t="s">
        <v>6</v>
      </c>
      <c r="B1298" t="str">
        <f>"04/19/2005 00:00"</f>
        <v>04/19/2005 00:00</v>
      </c>
      <c r="C1298">
        <v>0.84599999999999997</v>
      </c>
      <c r="D1298" t="s">
        <v>7</v>
      </c>
      <c r="E1298" s="2" t="s">
        <v>12</v>
      </c>
      <c r="F1298">
        <f t="shared" si="20"/>
        <v>1.6776180000000001</v>
      </c>
      <c r="G1298" t="s">
        <v>16</v>
      </c>
      <c r="J1298" t="str">
        <f>"04/19/2005 23:45"</f>
        <v>04/19/2005 23:45</v>
      </c>
    </row>
    <row r="1299" spans="1:10" x14ac:dyDescent="0.3">
      <c r="A1299" t="s">
        <v>6</v>
      </c>
      <c r="B1299" t="str">
        <f>"04/20/2005 00:00"</f>
        <v>04/20/2005 00:00</v>
      </c>
      <c r="C1299">
        <v>0.84599999999999997</v>
      </c>
      <c r="D1299" t="s">
        <v>7</v>
      </c>
      <c r="E1299" s="2" t="s">
        <v>12</v>
      </c>
      <c r="F1299">
        <f t="shared" si="20"/>
        <v>1.6776180000000001</v>
      </c>
      <c r="G1299" t="s">
        <v>16</v>
      </c>
      <c r="J1299" t="str">
        <f>"04/20/2005 23:45"</f>
        <v>04/20/2005 23:45</v>
      </c>
    </row>
    <row r="1300" spans="1:10" x14ac:dyDescent="0.3">
      <c r="A1300" t="s">
        <v>6</v>
      </c>
      <c r="B1300" t="str">
        <f>"04/21/2005 00:00"</f>
        <v>04/21/2005 00:00</v>
      </c>
      <c r="C1300">
        <v>0.68799999999999994</v>
      </c>
      <c r="D1300" t="s">
        <v>7</v>
      </c>
      <c r="E1300" s="2" t="s">
        <v>12</v>
      </c>
      <c r="F1300">
        <f t="shared" si="20"/>
        <v>1.364304</v>
      </c>
      <c r="G1300" t="s">
        <v>16</v>
      </c>
      <c r="J1300" t="str">
        <f>"04/21/2005 23:45"</f>
        <v>04/21/2005 23:45</v>
      </c>
    </row>
    <row r="1301" spans="1:10" x14ac:dyDescent="0.3">
      <c r="A1301" t="s">
        <v>6</v>
      </c>
      <c r="B1301" t="str">
        <f>"04/22/2005 00:00"</f>
        <v>04/22/2005 00:00</v>
      </c>
      <c r="C1301">
        <v>0.63200000000000001</v>
      </c>
      <c r="D1301" t="s">
        <v>7</v>
      </c>
      <c r="E1301" s="2" t="s">
        <v>12</v>
      </c>
      <c r="F1301">
        <f t="shared" si="20"/>
        <v>1.2532560000000001</v>
      </c>
      <c r="G1301" t="s">
        <v>16</v>
      </c>
      <c r="J1301" t="str">
        <f>"04/22/2005 23:45"</f>
        <v>04/22/2005 23:45</v>
      </c>
    </row>
    <row r="1302" spans="1:10" x14ac:dyDescent="0.3">
      <c r="A1302" t="s">
        <v>6</v>
      </c>
      <c r="B1302" t="str">
        <f>"04/23/2005 00:00"</f>
        <v>04/23/2005 00:00</v>
      </c>
      <c r="C1302">
        <v>0.63200000000000001</v>
      </c>
      <c r="D1302" t="s">
        <v>7</v>
      </c>
      <c r="E1302" s="2" t="s">
        <v>12</v>
      </c>
      <c r="F1302">
        <f t="shared" si="20"/>
        <v>1.2532560000000001</v>
      </c>
      <c r="G1302" t="s">
        <v>16</v>
      </c>
      <c r="J1302" t="str">
        <f>"04/23/2005 23:45"</f>
        <v>04/23/2005 23:45</v>
      </c>
    </row>
    <row r="1303" spans="1:10" x14ac:dyDescent="0.3">
      <c r="A1303" t="s">
        <v>6</v>
      </c>
      <c r="B1303" t="str">
        <f>"04/24/2005 00:00"</f>
        <v>04/24/2005 00:00</v>
      </c>
      <c r="C1303">
        <v>0.63200000000000001</v>
      </c>
      <c r="D1303" t="s">
        <v>7</v>
      </c>
      <c r="E1303" s="2" t="s">
        <v>12</v>
      </c>
      <c r="F1303">
        <f t="shared" si="20"/>
        <v>1.2532560000000001</v>
      </c>
      <c r="G1303" t="s">
        <v>16</v>
      </c>
      <c r="J1303" t="str">
        <f>"04/24/2005 23:15"</f>
        <v>04/24/2005 23:15</v>
      </c>
    </row>
    <row r="1304" spans="1:10" x14ac:dyDescent="0.3">
      <c r="A1304" t="s">
        <v>6</v>
      </c>
      <c r="B1304" t="str">
        <f>"04/25/2005 00:00"</f>
        <v>04/25/2005 00:00</v>
      </c>
      <c r="C1304">
        <v>0.63200000000000001</v>
      </c>
      <c r="D1304" t="s">
        <v>7</v>
      </c>
      <c r="E1304" s="2" t="s">
        <v>12</v>
      </c>
      <c r="F1304">
        <f t="shared" si="20"/>
        <v>1.2532560000000001</v>
      </c>
      <c r="G1304" t="s">
        <v>16</v>
      </c>
      <c r="J1304" t="str">
        <f>"04/25/2005 23:45"</f>
        <v>04/25/2005 23:45</v>
      </c>
    </row>
    <row r="1305" spans="1:10" x14ac:dyDescent="0.3">
      <c r="A1305" t="s">
        <v>6</v>
      </c>
      <c r="B1305" t="str">
        <f>"04/26/2005 00:00"</f>
        <v>04/26/2005 00:00</v>
      </c>
      <c r="C1305">
        <v>0.63200000000000001</v>
      </c>
      <c r="D1305" t="s">
        <v>7</v>
      </c>
      <c r="E1305" s="2" t="s">
        <v>12</v>
      </c>
      <c r="F1305">
        <f t="shared" si="20"/>
        <v>1.2532560000000001</v>
      </c>
      <c r="G1305" t="s">
        <v>16</v>
      </c>
      <c r="J1305" t="str">
        <f>"04/26/2005 23:45"</f>
        <v>04/26/2005 23:45</v>
      </c>
    </row>
    <row r="1306" spans="1:10" x14ac:dyDescent="0.3">
      <c r="A1306" t="s">
        <v>6</v>
      </c>
      <c r="B1306" t="str">
        <f>"04/27/2005 00:00"</f>
        <v>04/27/2005 00:00</v>
      </c>
      <c r="C1306">
        <v>0.63200000000000001</v>
      </c>
      <c r="D1306" t="s">
        <v>7</v>
      </c>
      <c r="E1306" s="2" t="s">
        <v>12</v>
      </c>
      <c r="F1306">
        <f t="shared" si="20"/>
        <v>1.2532560000000001</v>
      </c>
      <c r="G1306" t="s">
        <v>16</v>
      </c>
      <c r="J1306" t="str">
        <f>"04/27/2005 23:45"</f>
        <v>04/27/2005 23:45</v>
      </c>
    </row>
    <row r="1307" spans="1:10" x14ac:dyDescent="0.3">
      <c r="A1307" t="s">
        <v>6</v>
      </c>
      <c r="B1307" t="str">
        <f>"04/28/2005 00:00"</f>
        <v>04/28/2005 00:00</v>
      </c>
      <c r="C1307">
        <v>0.63200000000000001</v>
      </c>
      <c r="D1307" t="s">
        <v>7</v>
      </c>
      <c r="E1307" s="2" t="s">
        <v>12</v>
      </c>
      <c r="F1307">
        <f t="shared" si="20"/>
        <v>1.2532560000000001</v>
      </c>
      <c r="G1307" t="s">
        <v>16</v>
      </c>
      <c r="J1307" t="str">
        <f>"04/28/2005 23:45"</f>
        <v>04/28/2005 23:45</v>
      </c>
    </row>
    <row r="1308" spans="1:10" x14ac:dyDescent="0.3">
      <c r="A1308" t="s">
        <v>6</v>
      </c>
      <c r="B1308" t="str">
        <f>"04/29/2005 00:00"</f>
        <v>04/29/2005 00:00</v>
      </c>
      <c r="C1308">
        <v>0.63200000000000001</v>
      </c>
      <c r="D1308" t="s">
        <v>7</v>
      </c>
      <c r="E1308" s="2" t="s">
        <v>12</v>
      </c>
      <c r="F1308">
        <f t="shared" si="20"/>
        <v>1.2532560000000001</v>
      </c>
      <c r="G1308" t="s">
        <v>16</v>
      </c>
      <c r="J1308" t="str">
        <f>"04/29/2005 23:45"</f>
        <v>04/29/2005 23:45</v>
      </c>
    </row>
    <row r="1309" spans="1:10" x14ac:dyDescent="0.3">
      <c r="A1309" t="s">
        <v>6</v>
      </c>
      <c r="B1309" t="str">
        <f>"04/30/2005 00:00"</f>
        <v>04/30/2005 00:00</v>
      </c>
      <c r="C1309">
        <v>0.63200000000000001</v>
      </c>
      <c r="D1309" t="s">
        <v>7</v>
      </c>
      <c r="E1309" s="2" t="s">
        <v>12</v>
      </c>
      <c r="F1309">
        <f t="shared" si="20"/>
        <v>1.2532560000000001</v>
      </c>
      <c r="G1309" t="s">
        <v>16</v>
      </c>
      <c r="J1309" t="str">
        <f>"04/30/2005 23:45"</f>
        <v>04/30/2005 23:45</v>
      </c>
    </row>
    <row r="1310" spans="1:10" x14ac:dyDescent="0.3">
      <c r="A1310" t="s">
        <v>6</v>
      </c>
      <c r="B1310" t="str">
        <f>"05/01/2005 00:00"</f>
        <v>05/01/2005 00:00</v>
      </c>
      <c r="C1310">
        <v>0.63200000000000001</v>
      </c>
      <c r="D1310" t="s">
        <v>7</v>
      </c>
      <c r="E1310" s="2" t="s">
        <v>12</v>
      </c>
      <c r="F1310">
        <f t="shared" si="20"/>
        <v>1.2532560000000001</v>
      </c>
      <c r="G1310" t="s">
        <v>16</v>
      </c>
      <c r="J1310" t="str">
        <f>"05/01/2005 23:45"</f>
        <v>05/01/2005 23:45</v>
      </c>
    </row>
    <row r="1311" spans="1:10" x14ac:dyDescent="0.3">
      <c r="A1311" t="s">
        <v>6</v>
      </c>
      <c r="B1311" t="str">
        <f>"05/02/2005 00:00"</f>
        <v>05/02/2005 00:00</v>
      </c>
      <c r="C1311">
        <v>0.63200000000000001</v>
      </c>
      <c r="D1311" t="s">
        <v>7</v>
      </c>
      <c r="E1311" s="2" t="s">
        <v>12</v>
      </c>
      <c r="F1311">
        <f t="shared" si="20"/>
        <v>1.2532560000000001</v>
      </c>
      <c r="G1311" t="s">
        <v>16</v>
      </c>
      <c r="J1311" t="str">
        <f>"05/02/2005 23:45"</f>
        <v>05/02/2005 23:45</v>
      </c>
    </row>
    <row r="1312" spans="1:10" x14ac:dyDescent="0.3">
      <c r="A1312" t="s">
        <v>6</v>
      </c>
      <c r="B1312" t="str">
        <f>"05/03/2005 00:00"</f>
        <v>05/03/2005 00:00</v>
      </c>
      <c r="C1312">
        <v>0.63200000000000001</v>
      </c>
      <c r="D1312" t="s">
        <v>7</v>
      </c>
      <c r="E1312" s="2" t="s">
        <v>12</v>
      </c>
      <c r="F1312">
        <f t="shared" si="20"/>
        <v>1.2532560000000001</v>
      </c>
      <c r="G1312" t="s">
        <v>16</v>
      </c>
      <c r="J1312" t="str">
        <f>"05/03/2005 23:45"</f>
        <v>05/03/2005 23:45</v>
      </c>
    </row>
    <row r="1313" spans="1:10" x14ac:dyDescent="0.3">
      <c r="A1313" t="s">
        <v>6</v>
      </c>
      <c r="B1313" t="str">
        <f>"05/04/2005 00:00"</f>
        <v>05/04/2005 00:00</v>
      </c>
      <c r="C1313">
        <v>0.63200000000000001</v>
      </c>
      <c r="D1313" t="s">
        <v>7</v>
      </c>
      <c r="E1313" s="2" t="s">
        <v>12</v>
      </c>
      <c r="F1313">
        <f t="shared" si="20"/>
        <v>1.2532560000000001</v>
      </c>
      <c r="G1313" t="s">
        <v>16</v>
      </c>
      <c r="J1313" t="str">
        <f>"05/04/2005 23:45"</f>
        <v>05/04/2005 23:45</v>
      </c>
    </row>
    <row r="1314" spans="1:10" x14ac:dyDescent="0.3">
      <c r="A1314" t="s">
        <v>6</v>
      </c>
      <c r="B1314" t="str">
        <f>"05/05/2005 00:00"</f>
        <v>05/05/2005 00:00</v>
      </c>
      <c r="C1314">
        <v>0.63200000000000001</v>
      </c>
      <c r="D1314" t="s">
        <v>7</v>
      </c>
      <c r="E1314" s="2" t="s">
        <v>12</v>
      </c>
      <c r="F1314">
        <f t="shared" si="20"/>
        <v>1.2532560000000001</v>
      </c>
      <c r="G1314" t="s">
        <v>16</v>
      </c>
      <c r="J1314" t="str">
        <f>"05/05/2005 23:45"</f>
        <v>05/05/2005 23:45</v>
      </c>
    </row>
    <row r="1315" spans="1:10" x14ac:dyDescent="0.3">
      <c r="A1315" t="s">
        <v>6</v>
      </c>
      <c r="B1315" t="str">
        <f>"05/06/2005 00:00"</f>
        <v>05/06/2005 00:00</v>
      </c>
      <c r="C1315">
        <v>0.63200000000000001</v>
      </c>
      <c r="D1315" t="s">
        <v>7</v>
      </c>
      <c r="E1315" s="2" t="s">
        <v>12</v>
      </c>
      <c r="F1315">
        <f t="shared" si="20"/>
        <v>1.2532560000000001</v>
      </c>
      <c r="G1315" t="s">
        <v>16</v>
      </c>
      <c r="J1315" t="str">
        <f>"05/06/2005 23:45"</f>
        <v>05/06/2005 23:45</v>
      </c>
    </row>
    <row r="1316" spans="1:10" x14ac:dyDescent="0.3">
      <c r="A1316" t="s">
        <v>6</v>
      </c>
      <c r="B1316" t="str">
        <f>"05/07/2005 00:00"</f>
        <v>05/07/2005 00:00</v>
      </c>
      <c r="C1316">
        <v>0.63200000000000001</v>
      </c>
      <c r="D1316" t="s">
        <v>7</v>
      </c>
      <c r="E1316" s="2" t="s">
        <v>12</v>
      </c>
      <c r="F1316">
        <f t="shared" si="20"/>
        <v>1.2532560000000001</v>
      </c>
      <c r="G1316" t="s">
        <v>16</v>
      </c>
      <c r="J1316" t="str">
        <f>"05/07/2005 23:45"</f>
        <v>05/07/2005 23:45</v>
      </c>
    </row>
    <row r="1317" spans="1:10" x14ac:dyDescent="0.3">
      <c r="A1317" t="s">
        <v>6</v>
      </c>
      <c r="B1317" t="str">
        <f>"05/08/2005 00:00"</f>
        <v>05/08/2005 00:00</v>
      </c>
      <c r="C1317">
        <v>0.63200000000000001</v>
      </c>
      <c r="D1317" t="s">
        <v>7</v>
      </c>
      <c r="E1317" s="2" t="s">
        <v>12</v>
      </c>
      <c r="F1317">
        <f t="shared" si="20"/>
        <v>1.2532560000000001</v>
      </c>
      <c r="G1317" t="s">
        <v>16</v>
      </c>
      <c r="J1317" t="str">
        <f>"05/08/2005 23:45"</f>
        <v>05/08/2005 23:45</v>
      </c>
    </row>
    <row r="1318" spans="1:10" x14ac:dyDescent="0.3">
      <c r="A1318" t="s">
        <v>6</v>
      </c>
      <c r="B1318" t="str">
        <f>"05/09/2005 00:00"</f>
        <v>05/09/2005 00:00</v>
      </c>
      <c r="C1318">
        <v>0.63200000000000001</v>
      </c>
      <c r="D1318" t="s">
        <v>7</v>
      </c>
      <c r="E1318" s="2" t="s">
        <v>12</v>
      </c>
      <c r="F1318">
        <f t="shared" si="20"/>
        <v>1.2532560000000001</v>
      </c>
      <c r="G1318" t="s">
        <v>16</v>
      </c>
      <c r="J1318" t="str">
        <f>"05/09/2005 23:45"</f>
        <v>05/09/2005 23:45</v>
      </c>
    </row>
    <row r="1319" spans="1:10" x14ac:dyDescent="0.3">
      <c r="A1319" t="s">
        <v>6</v>
      </c>
      <c r="B1319" t="str">
        <f>"05/10/2005 00:00"</f>
        <v>05/10/2005 00:00</v>
      </c>
      <c r="C1319">
        <v>0.63200000000000001</v>
      </c>
      <c r="D1319" t="s">
        <v>7</v>
      </c>
      <c r="E1319" s="2" t="s">
        <v>12</v>
      </c>
      <c r="F1319">
        <f t="shared" si="20"/>
        <v>1.2532560000000001</v>
      </c>
      <c r="G1319" t="s">
        <v>16</v>
      </c>
      <c r="J1319" t="str">
        <f>"05/10/2005 23:45"</f>
        <v>05/10/2005 23:45</v>
      </c>
    </row>
    <row r="1320" spans="1:10" x14ac:dyDescent="0.3">
      <c r="A1320" t="s">
        <v>6</v>
      </c>
      <c r="B1320" t="str">
        <f>"05/11/2005 00:00"</f>
        <v>05/11/2005 00:00</v>
      </c>
      <c r="C1320">
        <v>0.63200000000000001</v>
      </c>
      <c r="D1320" t="s">
        <v>7</v>
      </c>
      <c r="E1320" s="2" t="s">
        <v>12</v>
      </c>
      <c r="F1320">
        <f t="shared" si="20"/>
        <v>1.2532560000000001</v>
      </c>
      <c r="G1320" t="s">
        <v>16</v>
      </c>
      <c r="J1320" t="str">
        <f>"05/11/2005 23:45"</f>
        <v>05/11/2005 23:45</v>
      </c>
    </row>
    <row r="1321" spans="1:10" x14ac:dyDescent="0.3">
      <c r="A1321" t="s">
        <v>6</v>
      </c>
      <c r="B1321" t="str">
        <f>"05/12/2005 00:00"</f>
        <v>05/12/2005 00:00</v>
      </c>
      <c r="C1321">
        <v>0.63200000000000001</v>
      </c>
      <c r="D1321" t="s">
        <v>7</v>
      </c>
      <c r="E1321" s="2" t="s">
        <v>12</v>
      </c>
      <c r="F1321">
        <f t="shared" si="20"/>
        <v>1.2532560000000001</v>
      </c>
      <c r="G1321" t="s">
        <v>16</v>
      </c>
      <c r="J1321" t="str">
        <f>"05/12/2005 23:45"</f>
        <v>05/12/2005 23:45</v>
      </c>
    </row>
    <row r="1322" spans="1:10" x14ac:dyDescent="0.3">
      <c r="A1322" t="s">
        <v>6</v>
      </c>
      <c r="B1322" t="str">
        <f>"05/13/2005 00:00"</f>
        <v>05/13/2005 00:00</v>
      </c>
      <c r="C1322">
        <v>0.63200000000000001</v>
      </c>
      <c r="D1322" t="s">
        <v>7</v>
      </c>
      <c r="E1322" s="2" t="s">
        <v>12</v>
      </c>
      <c r="F1322">
        <f t="shared" si="20"/>
        <v>1.2532560000000001</v>
      </c>
      <c r="G1322" t="s">
        <v>16</v>
      </c>
      <c r="J1322" t="str">
        <f>"05/13/2005 23:45"</f>
        <v>05/13/2005 23:45</v>
      </c>
    </row>
    <row r="1323" spans="1:10" x14ac:dyDescent="0.3">
      <c r="A1323" t="s">
        <v>6</v>
      </c>
      <c r="B1323" t="str">
        <f>"05/14/2005 00:00"</f>
        <v>05/14/2005 00:00</v>
      </c>
      <c r="C1323">
        <v>0.63200000000000001</v>
      </c>
      <c r="D1323" t="s">
        <v>7</v>
      </c>
      <c r="E1323" s="2" t="s">
        <v>12</v>
      </c>
      <c r="F1323">
        <f t="shared" si="20"/>
        <v>1.2532560000000001</v>
      </c>
      <c r="G1323" t="s">
        <v>16</v>
      </c>
      <c r="J1323" t="str">
        <f>"05/14/2005 23:45"</f>
        <v>05/14/2005 23:45</v>
      </c>
    </row>
    <row r="1324" spans="1:10" x14ac:dyDescent="0.3">
      <c r="A1324" t="s">
        <v>6</v>
      </c>
      <c r="B1324" t="str">
        <f>"05/15/2005 00:00"</f>
        <v>05/15/2005 00:00</v>
      </c>
      <c r="C1324">
        <v>0.63200000000000001</v>
      </c>
      <c r="D1324" t="s">
        <v>7</v>
      </c>
      <c r="E1324" s="2" t="s">
        <v>12</v>
      </c>
      <c r="F1324">
        <f t="shared" si="20"/>
        <v>1.2532560000000001</v>
      </c>
      <c r="G1324" t="s">
        <v>16</v>
      </c>
      <c r="J1324" t="str">
        <f>"05/15/2005 23:45"</f>
        <v>05/15/2005 23:45</v>
      </c>
    </row>
    <row r="1325" spans="1:10" x14ac:dyDescent="0.3">
      <c r="A1325" t="s">
        <v>6</v>
      </c>
      <c r="B1325" t="str">
        <f>"05/16/2005 00:00"</f>
        <v>05/16/2005 00:00</v>
      </c>
      <c r="C1325">
        <v>0.63200000000000001</v>
      </c>
      <c r="D1325" t="s">
        <v>7</v>
      </c>
      <c r="E1325" s="2" t="s">
        <v>12</v>
      </c>
      <c r="F1325">
        <f t="shared" si="20"/>
        <v>1.2532560000000001</v>
      </c>
      <c r="G1325" t="s">
        <v>16</v>
      </c>
      <c r="J1325" t="str">
        <f>"05/16/2005 23:45"</f>
        <v>05/16/2005 23:45</v>
      </c>
    </row>
    <row r="1326" spans="1:10" x14ac:dyDescent="0.3">
      <c r="A1326" t="s">
        <v>6</v>
      </c>
      <c r="B1326" t="str">
        <f>"05/17/2005 00:00"</f>
        <v>05/17/2005 00:00</v>
      </c>
      <c r="C1326">
        <v>0.63200000000000001</v>
      </c>
      <c r="D1326" t="s">
        <v>7</v>
      </c>
      <c r="E1326" s="2" t="s">
        <v>12</v>
      </c>
      <c r="F1326">
        <f t="shared" si="20"/>
        <v>1.2532560000000001</v>
      </c>
      <c r="G1326" t="s">
        <v>16</v>
      </c>
      <c r="J1326" t="str">
        <f>"05/17/2005 23:45"</f>
        <v>05/17/2005 23:45</v>
      </c>
    </row>
    <row r="1327" spans="1:10" x14ac:dyDescent="0.3">
      <c r="A1327" t="s">
        <v>6</v>
      </c>
      <c r="B1327" t="str">
        <f>"05/18/2005 00:00"</f>
        <v>05/18/2005 00:00</v>
      </c>
      <c r="C1327">
        <v>0.63200000000000001</v>
      </c>
      <c r="D1327" t="s">
        <v>7</v>
      </c>
      <c r="E1327" s="2" t="s">
        <v>12</v>
      </c>
      <c r="F1327">
        <f t="shared" si="20"/>
        <v>1.2532560000000001</v>
      </c>
      <c r="G1327" t="s">
        <v>16</v>
      </c>
      <c r="J1327" t="str">
        <f>"05/18/2005 23:45"</f>
        <v>05/18/2005 23:45</v>
      </c>
    </row>
    <row r="1328" spans="1:10" x14ac:dyDescent="0.3">
      <c r="A1328" t="s">
        <v>6</v>
      </c>
      <c r="B1328" t="str">
        <f>"05/19/2005 00:00"</f>
        <v>05/19/2005 00:00</v>
      </c>
      <c r="C1328">
        <v>0.67700000000000005</v>
      </c>
      <c r="D1328" t="s">
        <v>7</v>
      </c>
      <c r="E1328" s="2" t="s">
        <v>12</v>
      </c>
      <c r="F1328">
        <f t="shared" si="20"/>
        <v>1.3424910000000001</v>
      </c>
      <c r="G1328" t="s">
        <v>16</v>
      </c>
      <c r="J1328" t="str">
        <f>"05/19/2005 23:45"</f>
        <v>05/19/2005 23:45</v>
      </c>
    </row>
    <row r="1329" spans="1:10" x14ac:dyDescent="0.3">
      <c r="A1329" t="s">
        <v>6</v>
      </c>
      <c r="B1329" t="str">
        <f>"05/20/2005 00:00"</f>
        <v>05/20/2005 00:00</v>
      </c>
      <c r="C1329">
        <v>0.63200000000000001</v>
      </c>
      <c r="D1329" t="s">
        <v>7</v>
      </c>
      <c r="E1329" s="2" t="s">
        <v>12</v>
      </c>
      <c r="F1329">
        <f t="shared" si="20"/>
        <v>1.2532560000000001</v>
      </c>
      <c r="G1329" t="s">
        <v>16</v>
      </c>
      <c r="J1329" t="str">
        <f>"05/20/2005 23:45"</f>
        <v>05/20/2005 23:45</v>
      </c>
    </row>
    <row r="1330" spans="1:10" x14ac:dyDescent="0.3">
      <c r="A1330" t="s">
        <v>6</v>
      </c>
      <c r="B1330" t="str">
        <f>"05/21/2005 00:00"</f>
        <v>05/21/2005 00:00</v>
      </c>
      <c r="C1330">
        <v>0.63200000000000001</v>
      </c>
      <c r="D1330" t="s">
        <v>7</v>
      </c>
      <c r="E1330" s="2" t="s">
        <v>12</v>
      </c>
      <c r="F1330">
        <f t="shared" si="20"/>
        <v>1.2532560000000001</v>
      </c>
      <c r="G1330" t="s">
        <v>16</v>
      </c>
      <c r="J1330" t="str">
        <f>"05/21/2005 23:45"</f>
        <v>05/21/2005 23:45</v>
      </c>
    </row>
    <row r="1331" spans="1:10" x14ac:dyDescent="0.3">
      <c r="A1331" t="s">
        <v>6</v>
      </c>
      <c r="B1331" t="str">
        <f>"05/22/2005 00:00"</f>
        <v>05/22/2005 00:00</v>
      </c>
      <c r="C1331">
        <v>0.501</v>
      </c>
      <c r="D1331" t="s">
        <v>7</v>
      </c>
      <c r="E1331" s="2" t="s">
        <v>12</v>
      </c>
      <c r="F1331">
        <f t="shared" si="20"/>
        <v>0.993483</v>
      </c>
      <c r="G1331" t="s">
        <v>16</v>
      </c>
      <c r="J1331" t="str">
        <f>"05/22/2005 23:45"</f>
        <v>05/22/2005 23:45</v>
      </c>
    </row>
    <row r="1332" spans="1:10" x14ac:dyDescent="0.3">
      <c r="A1332" t="s">
        <v>6</v>
      </c>
      <c r="B1332" t="str">
        <f>"05/23/2005 00:00"</f>
        <v>05/23/2005 00:00</v>
      </c>
      <c r="C1332">
        <v>0.442</v>
      </c>
      <c r="D1332" t="s">
        <v>7</v>
      </c>
      <c r="E1332" s="2" t="s">
        <v>12</v>
      </c>
      <c r="F1332">
        <f t="shared" si="20"/>
        <v>0.8764860000000001</v>
      </c>
      <c r="G1332" t="s">
        <v>16</v>
      </c>
      <c r="J1332" t="str">
        <f>"05/23/2005 23:45"</f>
        <v>05/23/2005 23:45</v>
      </c>
    </row>
    <row r="1333" spans="1:10" x14ac:dyDescent="0.3">
      <c r="A1333" t="s">
        <v>6</v>
      </c>
      <c r="B1333" t="str">
        <f>"05/24/2005 00:00"</f>
        <v>05/24/2005 00:00</v>
      </c>
      <c r="C1333">
        <v>0.442</v>
      </c>
      <c r="D1333" t="s">
        <v>7</v>
      </c>
      <c r="E1333" s="2" t="s">
        <v>12</v>
      </c>
      <c r="F1333">
        <f t="shared" si="20"/>
        <v>0.8764860000000001</v>
      </c>
      <c r="G1333" t="s">
        <v>16</v>
      </c>
      <c r="J1333" t="str">
        <f>"05/24/2005 23:45"</f>
        <v>05/24/2005 23:45</v>
      </c>
    </row>
    <row r="1334" spans="1:10" x14ac:dyDescent="0.3">
      <c r="A1334" t="s">
        <v>6</v>
      </c>
      <c r="B1334" t="str">
        <f>"05/25/2005 00:00"</f>
        <v>05/25/2005 00:00</v>
      </c>
      <c r="C1334">
        <v>0.442</v>
      </c>
      <c r="D1334" t="s">
        <v>7</v>
      </c>
      <c r="E1334" s="2" t="s">
        <v>12</v>
      </c>
      <c r="F1334">
        <f t="shared" si="20"/>
        <v>0.8764860000000001</v>
      </c>
      <c r="G1334" t="s">
        <v>16</v>
      </c>
      <c r="J1334" t="str">
        <f>"05/25/2005 23:45"</f>
        <v>05/25/2005 23:45</v>
      </c>
    </row>
    <row r="1335" spans="1:10" x14ac:dyDescent="0.3">
      <c r="A1335" t="s">
        <v>6</v>
      </c>
      <c r="B1335" t="str">
        <f>"05/26/2005 00:00"</f>
        <v>05/26/2005 00:00</v>
      </c>
      <c r="C1335">
        <v>0.442</v>
      </c>
      <c r="D1335" t="s">
        <v>7</v>
      </c>
      <c r="E1335" s="2" t="s">
        <v>12</v>
      </c>
      <c r="F1335">
        <f t="shared" si="20"/>
        <v>0.8764860000000001</v>
      </c>
      <c r="G1335" t="s">
        <v>16</v>
      </c>
      <c r="J1335" t="str">
        <f>"05/26/2005 23:45"</f>
        <v>05/26/2005 23:45</v>
      </c>
    </row>
    <row r="1336" spans="1:10" x14ac:dyDescent="0.3">
      <c r="A1336" t="s">
        <v>6</v>
      </c>
      <c r="B1336" t="str">
        <f>"05/27/2005 00:00"</f>
        <v>05/27/2005 00:00</v>
      </c>
      <c r="C1336">
        <v>0.442</v>
      </c>
      <c r="D1336" t="s">
        <v>7</v>
      </c>
      <c r="E1336" s="2" t="s">
        <v>12</v>
      </c>
      <c r="F1336">
        <f t="shared" si="20"/>
        <v>0.8764860000000001</v>
      </c>
      <c r="G1336" t="s">
        <v>16</v>
      </c>
      <c r="J1336" t="str">
        <f>"05/27/2005 23:45"</f>
        <v>05/27/2005 23:45</v>
      </c>
    </row>
    <row r="1337" spans="1:10" x14ac:dyDescent="0.3">
      <c r="A1337" t="s">
        <v>6</v>
      </c>
      <c r="B1337" t="str">
        <f>"05/28/2005 00:00"</f>
        <v>05/28/2005 00:00</v>
      </c>
      <c r="C1337">
        <v>0.442</v>
      </c>
      <c r="D1337" t="s">
        <v>7</v>
      </c>
      <c r="E1337" s="2" t="s">
        <v>12</v>
      </c>
      <c r="F1337">
        <f t="shared" si="20"/>
        <v>0.8764860000000001</v>
      </c>
      <c r="G1337" t="s">
        <v>16</v>
      </c>
      <c r="J1337" t="str">
        <f>"05/28/2005 23:45"</f>
        <v>05/28/2005 23:45</v>
      </c>
    </row>
    <row r="1338" spans="1:10" x14ac:dyDescent="0.3">
      <c r="A1338" t="s">
        <v>6</v>
      </c>
      <c r="B1338" t="str">
        <f>"05/29/2005 00:00"</f>
        <v>05/29/2005 00:00</v>
      </c>
      <c r="C1338">
        <v>0.442</v>
      </c>
      <c r="D1338" t="s">
        <v>7</v>
      </c>
      <c r="E1338" s="2" t="s">
        <v>12</v>
      </c>
      <c r="F1338">
        <f t="shared" si="20"/>
        <v>0.8764860000000001</v>
      </c>
      <c r="G1338" t="s">
        <v>16</v>
      </c>
      <c r="J1338" t="str">
        <f>"05/29/2005 23:45"</f>
        <v>05/29/2005 23:45</v>
      </c>
    </row>
    <row r="1339" spans="1:10" x14ac:dyDescent="0.3">
      <c r="A1339" t="s">
        <v>6</v>
      </c>
      <c r="B1339" t="str">
        <f>"05/30/2005 00:00"</f>
        <v>05/30/2005 00:00</v>
      </c>
      <c r="C1339">
        <v>0.442</v>
      </c>
      <c r="D1339" t="s">
        <v>7</v>
      </c>
      <c r="E1339" s="2" t="s">
        <v>12</v>
      </c>
      <c r="F1339">
        <f t="shared" si="20"/>
        <v>0.8764860000000001</v>
      </c>
      <c r="G1339" t="s">
        <v>16</v>
      </c>
      <c r="J1339" t="str">
        <f>"05/30/2005 23:45"</f>
        <v>05/30/2005 23:45</v>
      </c>
    </row>
    <row r="1340" spans="1:10" x14ac:dyDescent="0.3">
      <c r="A1340" t="s">
        <v>6</v>
      </c>
      <c r="B1340" t="str">
        <f>"05/31/2005 00:00"</f>
        <v>05/31/2005 00:00</v>
      </c>
      <c r="C1340">
        <v>0.442</v>
      </c>
      <c r="D1340" t="s">
        <v>7</v>
      </c>
      <c r="E1340" s="2" t="s">
        <v>12</v>
      </c>
      <c r="F1340">
        <f t="shared" si="20"/>
        <v>0.8764860000000001</v>
      </c>
      <c r="G1340" t="s">
        <v>16</v>
      </c>
      <c r="J1340" t="str">
        <f>"05/31/2005 23:45"</f>
        <v>05/31/2005 23:45</v>
      </c>
    </row>
    <row r="1341" spans="1:10" x14ac:dyDescent="0.3">
      <c r="A1341" t="s">
        <v>6</v>
      </c>
      <c r="B1341" t="str">
        <f>"06/01/2005 00:00"</f>
        <v>06/01/2005 00:00</v>
      </c>
      <c r="C1341">
        <v>0.442</v>
      </c>
      <c r="D1341" t="s">
        <v>7</v>
      </c>
      <c r="E1341" s="2" t="s">
        <v>12</v>
      </c>
      <c r="F1341">
        <f t="shared" si="20"/>
        <v>0.8764860000000001</v>
      </c>
      <c r="G1341" t="s">
        <v>16</v>
      </c>
      <c r="J1341" t="str">
        <f>"06/01/2005 23:45"</f>
        <v>06/01/2005 23:45</v>
      </c>
    </row>
    <row r="1342" spans="1:10" x14ac:dyDescent="0.3">
      <c r="A1342" t="s">
        <v>6</v>
      </c>
      <c r="B1342" t="str">
        <f>"06/02/2005 00:00"</f>
        <v>06/02/2005 00:00</v>
      </c>
      <c r="C1342">
        <v>0.442</v>
      </c>
      <c r="D1342" t="s">
        <v>7</v>
      </c>
      <c r="E1342" s="2" t="s">
        <v>12</v>
      </c>
      <c r="F1342">
        <f t="shared" si="20"/>
        <v>0.8764860000000001</v>
      </c>
      <c r="G1342" t="s">
        <v>16</v>
      </c>
      <c r="J1342" t="str">
        <f>"06/02/2005 23:45"</f>
        <v>06/02/2005 23:45</v>
      </c>
    </row>
    <row r="1343" spans="1:10" x14ac:dyDescent="0.3">
      <c r="A1343" t="s">
        <v>6</v>
      </c>
      <c r="B1343" t="str">
        <f>"06/03/2005 00:00"</f>
        <v>06/03/2005 00:00</v>
      </c>
      <c r="C1343">
        <v>0.442</v>
      </c>
      <c r="D1343" t="s">
        <v>7</v>
      </c>
      <c r="E1343" s="2" t="s">
        <v>12</v>
      </c>
      <c r="F1343">
        <f t="shared" si="20"/>
        <v>0.8764860000000001</v>
      </c>
      <c r="G1343" t="s">
        <v>16</v>
      </c>
      <c r="J1343" t="str">
        <f>"06/03/2005 23:45"</f>
        <v>06/03/2005 23:45</v>
      </c>
    </row>
    <row r="1344" spans="1:10" x14ac:dyDescent="0.3">
      <c r="A1344" t="s">
        <v>6</v>
      </c>
      <c r="B1344" t="str">
        <f>"06/04/2005 00:00"</f>
        <v>06/04/2005 00:00</v>
      </c>
      <c r="C1344">
        <v>0.442</v>
      </c>
      <c r="D1344" t="s">
        <v>7</v>
      </c>
      <c r="E1344" s="2" t="s">
        <v>12</v>
      </c>
      <c r="F1344">
        <f t="shared" si="20"/>
        <v>0.8764860000000001</v>
      </c>
      <c r="G1344" t="s">
        <v>16</v>
      </c>
      <c r="J1344" t="str">
        <f>"06/04/2005 23:45"</f>
        <v>06/04/2005 23:45</v>
      </c>
    </row>
    <row r="1345" spans="1:10" x14ac:dyDescent="0.3">
      <c r="A1345" t="s">
        <v>6</v>
      </c>
      <c r="B1345" t="str">
        <f>"06/05/2005 00:00"</f>
        <v>06/05/2005 00:00</v>
      </c>
      <c r="C1345">
        <v>0.442</v>
      </c>
      <c r="D1345" t="s">
        <v>7</v>
      </c>
      <c r="E1345" s="2" t="s">
        <v>12</v>
      </c>
      <c r="F1345">
        <f t="shared" si="20"/>
        <v>0.8764860000000001</v>
      </c>
      <c r="G1345" t="s">
        <v>16</v>
      </c>
      <c r="J1345" t="str">
        <f>"06/05/2005 23:45"</f>
        <v>06/05/2005 23:45</v>
      </c>
    </row>
    <row r="1346" spans="1:10" x14ac:dyDescent="0.3">
      <c r="A1346" t="s">
        <v>6</v>
      </c>
      <c r="B1346" t="str">
        <f>"06/06/2005 00:00"</f>
        <v>06/06/2005 00:00</v>
      </c>
      <c r="C1346">
        <v>0.442</v>
      </c>
      <c r="D1346" t="s">
        <v>7</v>
      </c>
      <c r="E1346" s="2" t="s">
        <v>12</v>
      </c>
      <c r="F1346">
        <f t="shared" si="20"/>
        <v>0.8764860000000001</v>
      </c>
      <c r="G1346" t="s">
        <v>16</v>
      </c>
      <c r="J1346" t="str">
        <f>"06/06/2005 23:45"</f>
        <v>06/06/2005 23:45</v>
      </c>
    </row>
    <row r="1347" spans="1:10" x14ac:dyDescent="0.3">
      <c r="A1347" t="s">
        <v>6</v>
      </c>
      <c r="B1347" t="str">
        <f>"06/07/2005 00:00"</f>
        <v>06/07/2005 00:00</v>
      </c>
      <c r="C1347">
        <v>0.442</v>
      </c>
      <c r="D1347" t="s">
        <v>7</v>
      </c>
      <c r="E1347" s="2" t="s">
        <v>12</v>
      </c>
      <c r="F1347">
        <f t="shared" si="20"/>
        <v>0.8764860000000001</v>
      </c>
      <c r="G1347" t="s">
        <v>16</v>
      </c>
      <c r="J1347" t="str">
        <f>"06/07/2005 23:45"</f>
        <v>06/07/2005 23:45</v>
      </c>
    </row>
    <row r="1348" spans="1:10" x14ac:dyDescent="0.3">
      <c r="A1348" t="s">
        <v>6</v>
      </c>
      <c r="B1348" t="str">
        <f>"06/08/2005 00:00"</f>
        <v>06/08/2005 00:00</v>
      </c>
      <c r="C1348">
        <v>0.57899999999999996</v>
      </c>
      <c r="D1348" t="s">
        <v>7</v>
      </c>
      <c r="E1348" s="2" t="s">
        <v>12</v>
      </c>
      <c r="F1348">
        <f t="shared" ref="F1348:F1411" si="21">C1348*1.983</f>
        <v>1.1481569999999999</v>
      </c>
      <c r="G1348" t="s">
        <v>16</v>
      </c>
      <c r="J1348" t="str">
        <f>"06/08/2005 23:45"</f>
        <v>06/08/2005 23:45</v>
      </c>
    </row>
    <row r="1349" spans="1:10" x14ac:dyDescent="0.3">
      <c r="A1349" t="s">
        <v>6</v>
      </c>
      <c r="B1349" t="str">
        <f>"06/09/2005 00:00"</f>
        <v>06/09/2005 00:00</v>
      </c>
      <c r="C1349">
        <v>0.63200000000000001</v>
      </c>
      <c r="D1349" t="s">
        <v>7</v>
      </c>
      <c r="E1349" s="2" t="s">
        <v>12</v>
      </c>
      <c r="F1349">
        <f t="shared" si="21"/>
        <v>1.2532560000000001</v>
      </c>
      <c r="G1349" t="s">
        <v>16</v>
      </c>
      <c r="J1349" t="str">
        <f>"06/09/2005 23:45"</f>
        <v>06/09/2005 23:45</v>
      </c>
    </row>
    <row r="1350" spans="1:10" x14ac:dyDescent="0.3">
      <c r="A1350" t="s">
        <v>6</v>
      </c>
      <c r="B1350" t="str">
        <f>"06/10/2005 00:00"</f>
        <v>06/10/2005 00:00</v>
      </c>
      <c r="C1350">
        <v>0.63200000000000001</v>
      </c>
      <c r="D1350" t="s">
        <v>7</v>
      </c>
      <c r="E1350" s="2" t="s">
        <v>12</v>
      </c>
      <c r="F1350">
        <f t="shared" si="21"/>
        <v>1.2532560000000001</v>
      </c>
      <c r="G1350" t="s">
        <v>16</v>
      </c>
      <c r="J1350" t="str">
        <f>"06/10/2005 23:45"</f>
        <v>06/10/2005 23:45</v>
      </c>
    </row>
    <row r="1351" spans="1:10" x14ac:dyDescent="0.3">
      <c r="A1351" t="s">
        <v>6</v>
      </c>
      <c r="B1351" t="str">
        <f>"06/11/2005 00:00"</f>
        <v>06/11/2005 00:00</v>
      </c>
      <c r="C1351">
        <v>0.77900000000000003</v>
      </c>
      <c r="D1351" t="s">
        <v>7</v>
      </c>
      <c r="E1351" s="2" t="s">
        <v>12</v>
      </c>
      <c r="F1351">
        <f t="shared" si="21"/>
        <v>1.5447570000000002</v>
      </c>
      <c r="G1351" t="s">
        <v>16</v>
      </c>
      <c r="J1351" t="str">
        <f>"06/11/2005 23:45"</f>
        <v>06/11/2005 23:45</v>
      </c>
    </row>
    <row r="1352" spans="1:10" x14ac:dyDescent="0.3">
      <c r="A1352" t="s">
        <v>6</v>
      </c>
      <c r="B1352" t="str">
        <f>"06/12/2005 00:00"</f>
        <v>06/12/2005 00:00</v>
      </c>
      <c r="C1352">
        <v>0.66100000000000003</v>
      </c>
      <c r="D1352" t="s">
        <v>7</v>
      </c>
      <c r="E1352" s="2" t="s">
        <v>12</v>
      </c>
      <c r="F1352">
        <f t="shared" si="21"/>
        <v>1.3107630000000001</v>
      </c>
      <c r="G1352" t="s">
        <v>16</v>
      </c>
      <c r="J1352" t="str">
        <f>"06/12/2005 23:45"</f>
        <v>06/12/2005 23:45</v>
      </c>
    </row>
    <row r="1353" spans="1:10" x14ac:dyDescent="0.3">
      <c r="A1353" t="s">
        <v>6</v>
      </c>
      <c r="B1353" t="str">
        <f>"06/13/2005 00:00"</f>
        <v>06/13/2005 00:00</v>
      </c>
      <c r="C1353">
        <v>0.86199999999999999</v>
      </c>
      <c r="D1353" t="s">
        <v>7</v>
      </c>
      <c r="E1353" s="2" t="s">
        <v>12</v>
      </c>
      <c r="F1353">
        <f t="shared" si="21"/>
        <v>1.709346</v>
      </c>
      <c r="G1353" t="s">
        <v>16</v>
      </c>
      <c r="J1353" t="str">
        <f>"06/13/2005 23:45"</f>
        <v>06/13/2005 23:45</v>
      </c>
    </row>
    <row r="1354" spans="1:10" x14ac:dyDescent="0.3">
      <c r="A1354" t="s">
        <v>6</v>
      </c>
      <c r="B1354" t="str">
        <f>"06/14/2005 00:00"</f>
        <v>06/14/2005 00:00</v>
      </c>
      <c r="C1354">
        <v>0.46200000000000002</v>
      </c>
      <c r="D1354" t="s">
        <v>7</v>
      </c>
      <c r="E1354" s="2" t="s">
        <v>12</v>
      </c>
      <c r="F1354">
        <f t="shared" si="21"/>
        <v>0.91614600000000013</v>
      </c>
      <c r="G1354" t="s">
        <v>16</v>
      </c>
      <c r="J1354" t="str">
        <f>"06/14/2005 23:45"</f>
        <v>06/14/2005 23:45</v>
      </c>
    </row>
    <row r="1355" spans="1:10" x14ac:dyDescent="0.3">
      <c r="A1355" t="s">
        <v>6</v>
      </c>
      <c r="B1355" t="str">
        <f>"06/15/2005 00:00"</f>
        <v>06/15/2005 00:00</v>
      </c>
      <c r="C1355">
        <v>0.442</v>
      </c>
      <c r="D1355" t="s">
        <v>7</v>
      </c>
      <c r="E1355" s="2" t="s">
        <v>12</v>
      </c>
      <c r="F1355">
        <f t="shared" si="21"/>
        <v>0.8764860000000001</v>
      </c>
      <c r="G1355" t="s">
        <v>16</v>
      </c>
      <c r="J1355" t="str">
        <f>"06/15/2005 23:45"</f>
        <v>06/15/2005 23:45</v>
      </c>
    </row>
    <row r="1356" spans="1:10" x14ac:dyDescent="0.3">
      <c r="A1356" t="s">
        <v>6</v>
      </c>
      <c r="B1356" t="str">
        <f>"06/16/2005 00:00"</f>
        <v>06/16/2005 00:00</v>
      </c>
      <c r="C1356">
        <v>0.77600000000000002</v>
      </c>
      <c r="D1356" t="s">
        <v>7</v>
      </c>
      <c r="E1356" s="2" t="s">
        <v>12</v>
      </c>
      <c r="F1356">
        <f t="shared" si="21"/>
        <v>1.5388080000000002</v>
      </c>
      <c r="G1356" t="s">
        <v>16</v>
      </c>
      <c r="J1356" t="str">
        <f>"06/16/2005 23:45"</f>
        <v>06/16/2005 23:45</v>
      </c>
    </row>
    <row r="1357" spans="1:10" x14ac:dyDescent="0.3">
      <c r="A1357" t="s">
        <v>6</v>
      </c>
      <c r="B1357" t="str">
        <f>"06/17/2005 00:00"</f>
        <v>06/17/2005 00:00</v>
      </c>
      <c r="C1357">
        <v>0.875</v>
      </c>
      <c r="D1357" t="s">
        <v>7</v>
      </c>
      <c r="E1357" s="2" t="s">
        <v>12</v>
      </c>
      <c r="F1357">
        <f t="shared" si="21"/>
        <v>1.735125</v>
      </c>
      <c r="G1357" t="s">
        <v>16</v>
      </c>
      <c r="J1357" t="str">
        <f>"06/17/2005 23:45"</f>
        <v>06/17/2005 23:45</v>
      </c>
    </row>
    <row r="1358" spans="1:10" x14ac:dyDescent="0.3">
      <c r="A1358" t="s">
        <v>6</v>
      </c>
      <c r="B1358" t="str">
        <f>"06/18/2005 00:00"</f>
        <v>06/18/2005 00:00</v>
      </c>
      <c r="C1358">
        <v>0.65</v>
      </c>
      <c r="D1358" t="s">
        <v>7</v>
      </c>
      <c r="E1358" s="2" t="s">
        <v>12</v>
      </c>
      <c r="F1358">
        <f t="shared" si="21"/>
        <v>1.28895</v>
      </c>
      <c r="G1358" t="s">
        <v>16</v>
      </c>
      <c r="J1358" t="str">
        <f>"06/18/2005 23:45"</f>
        <v>06/18/2005 23:45</v>
      </c>
    </row>
    <row r="1359" spans="1:10" x14ac:dyDescent="0.3">
      <c r="A1359" t="s">
        <v>6</v>
      </c>
      <c r="B1359" t="str">
        <f>"06/19/2005 00:00"</f>
        <v>06/19/2005 00:00</v>
      </c>
      <c r="C1359">
        <v>0.63200000000000001</v>
      </c>
      <c r="D1359" t="s">
        <v>7</v>
      </c>
      <c r="E1359" s="2" t="s">
        <v>12</v>
      </c>
      <c r="F1359">
        <f t="shared" si="21"/>
        <v>1.2532560000000001</v>
      </c>
      <c r="G1359" t="s">
        <v>16</v>
      </c>
      <c r="J1359" t="str">
        <f>"06/19/2005 23:45"</f>
        <v>06/19/2005 23:45</v>
      </c>
    </row>
    <row r="1360" spans="1:10" x14ac:dyDescent="0.3">
      <c r="A1360" t="s">
        <v>6</v>
      </c>
      <c r="B1360" t="str">
        <f>"06/20/2005 00:00"</f>
        <v>06/20/2005 00:00</v>
      </c>
      <c r="C1360">
        <v>0.63200000000000001</v>
      </c>
      <c r="D1360" t="s">
        <v>7</v>
      </c>
      <c r="E1360" s="2" t="s">
        <v>12</v>
      </c>
      <c r="F1360">
        <f t="shared" si="21"/>
        <v>1.2532560000000001</v>
      </c>
      <c r="G1360" t="s">
        <v>16</v>
      </c>
      <c r="J1360" t="str">
        <f>"06/20/2005 23:45"</f>
        <v>06/20/2005 23:45</v>
      </c>
    </row>
    <row r="1361" spans="1:10" x14ac:dyDescent="0.3">
      <c r="A1361" t="s">
        <v>6</v>
      </c>
      <c r="B1361" t="str">
        <f>"06/21/2005 00:00"</f>
        <v>06/21/2005 00:00</v>
      </c>
      <c r="C1361">
        <v>0.63200000000000001</v>
      </c>
      <c r="D1361" t="s">
        <v>7</v>
      </c>
      <c r="E1361" s="2" t="s">
        <v>12</v>
      </c>
      <c r="F1361">
        <f t="shared" si="21"/>
        <v>1.2532560000000001</v>
      </c>
      <c r="G1361" t="s">
        <v>16</v>
      </c>
      <c r="J1361" t="str">
        <f>"06/21/2005 23:45"</f>
        <v>06/21/2005 23:45</v>
      </c>
    </row>
    <row r="1362" spans="1:10" x14ac:dyDescent="0.3">
      <c r="A1362" t="s">
        <v>6</v>
      </c>
      <c r="B1362" t="str">
        <f>"06/22/2005 00:00"</f>
        <v>06/22/2005 00:00</v>
      </c>
      <c r="C1362">
        <v>0.63200000000000001</v>
      </c>
      <c r="D1362" t="s">
        <v>7</v>
      </c>
      <c r="E1362" s="2" t="s">
        <v>12</v>
      </c>
      <c r="F1362">
        <f t="shared" si="21"/>
        <v>1.2532560000000001</v>
      </c>
      <c r="G1362" t="s">
        <v>16</v>
      </c>
      <c r="J1362" t="str">
        <f>"06/22/2005 23:45"</f>
        <v>06/22/2005 23:45</v>
      </c>
    </row>
    <row r="1363" spans="1:10" x14ac:dyDescent="0.3">
      <c r="A1363" t="s">
        <v>6</v>
      </c>
      <c r="B1363" t="str">
        <f>"06/23/2005 00:00"</f>
        <v>06/23/2005 00:00</v>
      </c>
      <c r="C1363">
        <v>0.63200000000000001</v>
      </c>
      <c r="D1363" t="s">
        <v>7</v>
      </c>
      <c r="E1363" s="2" t="s">
        <v>12</v>
      </c>
      <c r="F1363">
        <f t="shared" si="21"/>
        <v>1.2532560000000001</v>
      </c>
      <c r="G1363" t="s">
        <v>16</v>
      </c>
      <c r="J1363" t="str">
        <f>"06/23/2005 23:45"</f>
        <v>06/23/2005 23:45</v>
      </c>
    </row>
    <row r="1364" spans="1:10" x14ac:dyDescent="0.3">
      <c r="A1364" t="s">
        <v>6</v>
      </c>
      <c r="B1364" t="str">
        <f>"06/24/2005 00:00"</f>
        <v>06/24/2005 00:00</v>
      </c>
      <c r="C1364">
        <v>0.63200000000000001</v>
      </c>
      <c r="D1364" t="s">
        <v>7</v>
      </c>
      <c r="E1364" s="2" t="s">
        <v>12</v>
      </c>
      <c r="F1364">
        <f t="shared" si="21"/>
        <v>1.2532560000000001</v>
      </c>
      <c r="G1364" t="s">
        <v>16</v>
      </c>
      <c r="J1364" t="str">
        <f>"06/24/2005 23:45"</f>
        <v>06/24/2005 23:45</v>
      </c>
    </row>
    <row r="1365" spans="1:10" x14ac:dyDescent="0.3">
      <c r="A1365" t="s">
        <v>6</v>
      </c>
      <c r="B1365" t="str">
        <f>"06/25/2005 00:00"</f>
        <v>06/25/2005 00:00</v>
      </c>
      <c r="C1365">
        <v>0.63200000000000001</v>
      </c>
      <c r="D1365" t="s">
        <v>7</v>
      </c>
      <c r="E1365" s="2" t="s">
        <v>12</v>
      </c>
      <c r="F1365">
        <f t="shared" si="21"/>
        <v>1.2532560000000001</v>
      </c>
      <c r="G1365" t="s">
        <v>16</v>
      </c>
      <c r="J1365" t="str">
        <f>"06/25/2005 23:45"</f>
        <v>06/25/2005 23:45</v>
      </c>
    </row>
    <row r="1366" spans="1:10" x14ac:dyDescent="0.3">
      <c r="A1366" t="s">
        <v>6</v>
      </c>
      <c r="B1366" t="str">
        <f>"06/26/2005 00:00"</f>
        <v>06/26/2005 00:00</v>
      </c>
      <c r="C1366">
        <v>0.63200000000000001</v>
      </c>
      <c r="D1366" t="s">
        <v>7</v>
      </c>
      <c r="E1366" s="2" t="s">
        <v>12</v>
      </c>
      <c r="F1366">
        <f t="shared" si="21"/>
        <v>1.2532560000000001</v>
      </c>
      <c r="G1366" t="s">
        <v>16</v>
      </c>
      <c r="J1366" t="str">
        <f>"06/26/2005 23:45"</f>
        <v>06/26/2005 23:45</v>
      </c>
    </row>
    <row r="1367" spans="1:10" x14ac:dyDescent="0.3">
      <c r="A1367" t="s">
        <v>6</v>
      </c>
      <c r="B1367" t="str">
        <f>"06/27/2005 00:00"</f>
        <v>06/27/2005 00:00</v>
      </c>
      <c r="C1367">
        <v>0.63200000000000001</v>
      </c>
      <c r="D1367" t="s">
        <v>7</v>
      </c>
      <c r="E1367" s="2" t="s">
        <v>12</v>
      </c>
      <c r="F1367">
        <f t="shared" si="21"/>
        <v>1.2532560000000001</v>
      </c>
      <c r="G1367" t="s">
        <v>16</v>
      </c>
      <c r="J1367" t="str">
        <f>"06/27/2005 23:45"</f>
        <v>06/27/2005 23:45</v>
      </c>
    </row>
    <row r="1368" spans="1:10" x14ac:dyDescent="0.3">
      <c r="A1368" t="s">
        <v>6</v>
      </c>
      <c r="B1368" t="str">
        <f>"06/28/2005 00:00"</f>
        <v>06/28/2005 00:00</v>
      </c>
      <c r="C1368">
        <v>0.63200000000000001</v>
      </c>
      <c r="D1368" t="s">
        <v>7</v>
      </c>
      <c r="E1368" s="2" t="s">
        <v>12</v>
      </c>
      <c r="F1368">
        <f t="shared" si="21"/>
        <v>1.2532560000000001</v>
      </c>
      <c r="G1368" t="s">
        <v>16</v>
      </c>
      <c r="J1368" t="str">
        <f>"06/28/2005 23:45"</f>
        <v>06/28/2005 23:45</v>
      </c>
    </row>
    <row r="1369" spans="1:10" x14ac:dyDescent="0.3">
      <c r="A1369" t="s">
        <v>6</v>
      </c>
      <c r="B1369" t="str">
        <f>"06/29/2005 00:00"</f>
        <v>06/29/2005 00:00</v>
      </c>
      <c r="C1369">
        <v>0.83799999999999997</v>
      </c>
      <c r="D1369" t="s">
        <v>7</v>
      </c>
      <c r="E1369" s="2" t="s">
        <v>12</v>
      </c>
      <c r="F1369">
        <f t="shared" si="21"/>
        <v>1.661754</v>
      </c>
      <c r="G1369" t="s">
        <v>16</v>
      </c>
      <c r="J1369" t="str">
        <f>"06/29/2005 23:45"</f>
        <v>06/29/2005 23:45</v>
      </c>
    </row>
    <row r="1370" spans="1:10" x14ac:dyDescent="0.3">
      <c r="A1370" t="s">
        <v>6</v>
      </c>
      <c r="B1370" t="str">
        <f>"06/30/2005 00:00"</f>
        <v>06/30/2005 00:00</v>
      </c>
      <c r="C1370">
        <v>0.63200000000000001</v>
      </c>
      <c r="D1370" t="s">
        <v>7</v>
      </c>
      <c r="E1370" s="2" t="s">
        <v>12</v>
      </c>
      <c r="F1370">
        <f t="shared" si="21"/>
        <v>1.2532560000000001</v>
      </c>
      <c r="G1370" t="s">
        <v>16</v>
      </c>
      <c r="J1370" t="str">
        <f>"06/30/2005 23:45"</f>
        <v>06/30/2005 23:45</v>
      </c>
    </row>
    <row r="1371" spans="1:10" x14ac:dyDescent="0.3">
      <c r="A1371" t="s">
        <v>6</v>
      </c>
      <c r="B1371" t="str">
        <f>"07/01/2005 00:00"</f>
        <v>07/01/2005 00:00</v>
      </c>
      <c r="C1371">
        <v>112</v>
      </c>
      <c r="D1371" t="s">
        <v>7</v>
      </c>
      <c r="E1371" s="2" t="s">
        <v>12</v>
      </c>
      <c r="F1371">
        <f t="shared" si="21"/>
        <v>222.096</v>
      </c>
      <c r="G1371" t="s">
        <v>16</v>
      </c>
      <c r="J1371" t="str">
        <f>"07/01/2005 23:45"</f>
        <v>07/01/2005 23:45</v>
      </c>
    </row>
    <row r="1372" spans="1:10" x14ac:dyDescent="0.3">
      <c r="A1372" t="s">
        <v>6</v>
      </c>
      <c r="B1372" t="str">
        <f>"07/02/2005 00:00"</f>
        <v>07/02/2005 00:00</v>
      </c>
      <c r="C1372">
        <v>208</v>
      </c>
      <c r="D1372" t="s">
        <v>7</v>
      </c>
      <c r="E1372" s="2" t="s">
        <v>12</v>
      </c>
      <c r="F1372">
        <f t="shared" si="21"/>
        <v>412.464</v>
      </c>
      <c r="G1372" t="s">
        <v>16</v>
      </c>
      <c r="J1372" t="str">
        <f>"07/02/2005 23:45"</f>
        <v>07/02/2005 23:45</v>
      </c>
    </row>
    <row r="1373" spans="1:10" x14ac:dyDescent="0.3">
      <c r="A1373" t="s">
        <v>6</v>
      </c>
      <c r="B1373" t="str">
        <f>"07/03/2005 00:00"</f>
        <v>07/03/2005 00:00</v>
      </c>
      <c r="C1373">
        <v>201</v>
      </c>
      <c r="D1373" t="s">
        <v>7</v>
      </c>
      <c r="E1373" s="2" t="s">
        <v>12</v>
      </c>
      <c r="F1373">
        <f t="shared" si="21"/>
        <v>398.58300000000003</v>
      </c>
      <c r="G1373" t="s">
        <v>16</v>
      </c>
      <c r="J1373" t="str">
        <f>"07/03/2005 23:45"</f>
        <v>07/03/2005 23:45</v>
      </c>
    </row>
    <row r="1374" spans="1:10" x14ac:dyDescent="0.3">
      <c r="A1374" t="s">
        <v>6</v>
      </c>
      <c r="B1374" t="str">
        <f>"07/04/2005 00:00"</f>
        <v>07/04/2005 00:00</v>
      </c>
      <c r="C1374">
        <v>283</v>
      </c>
      <c r="D1374" t="s">
        <v>7</v>
      </c>
      <c r="E1374" s="2" t="s">
        <v>12</v>
      </c>
      <c r="F1374">
        <f t="shared" si="21"/>
        <v>561.18900000000008</v>
      </c>
      <c r="G1374" t="s">
        <v>16</v>
      </c>
      <c r="J1374" t="str">
        <f>"07/04/2005 23:45"</f>
        <v>07/04/2005 23:45</v>
      </c>
    </row>
    <row r="1375" spans="1:10" x14ac:dyDescent="0.3">
      <c r="A1375" t="s">
        <v>6</v>
      </c>
      <c r="B1375" t="str">
        <f>"07/05/2005 00:00"</f>
        <v>07/05/2005 00:00</v>
      </c>
      <c r="C1375">
        <v>354</v>
      </c>
      <c r="D1375" t="s">
        <v>7</v>
      </c>
      <c r="E1375" s="2" t="s">
        <v>12</v>
      </c>
      <c r="F1375">
        <f t="shared" si="21"/>
        <v>701.98200000000008</v>
      </c>
      <c r="G1375" t="s">
        <v>16</v>
      </c>
      <c r="J1375" t="str">
        <f>"07/05/2005 23:45"</f>
        <v>07/05/2005 23:45</v>
      </c>
    </row>
    <row r="1376" spans="1:10" x14ac:dyDescent="0.3">
      <c r="A1376" t="s">
        <v>6</v>
      </c>
      <c r="B1376" t="str">
        <f>"07/06/2005 00:00"</f>
        <v>07/06/2005 00:00</v>
      </c>
      <c r="C1376">
        <v>369</v>
      </c>
      <c r="D1376" t="s">
        <v>7</v>
      </c>
      <c r="E1376" s="2" t="s">
        <v>12</v>
      </c>
      <c r="F1376">
        <f t="shared" si="21"/>
        <v>731.72700000000009</v>
      </c>
      <c r="G1376" t="s">
        <v>16</v>
      </c>
      <c r="J1376" t="str">
        <f>"07/06/2005 23:45"</f>
        <v>07/06/2005 23:45</v>
      </c>
    </row>
    <row r="1377" spans="1:10" x14ac:dyDescent="0.3">
      <c r="A1377" t="s">
        <v>6</v>
      </c>
      <c r="B1377" t="str">
        <f>"07/07/2005 00:00"</f>
        <v>07/07/2005 00:00</v>
      </c>
      <c r="C1377">
        <v>395</v>
      </c>
      <c r="D1377" t="s">
        <v>7</v>
      </c>
      <c r="E1377" s="2" t="s">
        <v>12</v>
      </c>
      <c r="F1377">
        <f t="shared" si="21"/>
        <v>783.28500000000008</v>
      </c>
      <c r="G1377" t="s">
        <v>16</v>
      </c>
      <c r="J1377" t="str">
        <f>"07/07/2005 23:45"</f>
        <v>07/07/2005 23:45</v>
      </c>
    </row>
    <row r="1378" spans="1:10" x14ac:dyDescent="0.3">
      <c r="A1378" t="s">
        <v>6</v>
      </c>
      <c r="B1378" t="str">
        <f>"07/08/2005 00:00"</f>
        <v>07/08/2005 00:00</v>
      </c>
      <c r="C1378">
        <v>452</v>
      </c>
      <c r="D1378" t="s">
        <v>7</v>
      </c>
      <c r="E1378" s="2" t="s">
        <v>12</v>
      </c>
      <c r="F1378">
        <f t="shared" si="21"/>
        <v>896.31600000000003</v>
      </c>
      <c r="G1378" t="s">
        <v>16</v>
      </c>
      <c r="J1378" t="str">
        <f>"07/08/2005 23:45"</f>
        <v>07/08/2005 23:45</v>
      </c>
    </row>
    <row r="1379" spans="1:10" x14ac:dyDescent="0.3">
      <c r="A1379" t="s">
        <v>6</v>
      </c>
      <c r="B1379" t="str">
        <f>"07/09/2005 00:00"</f>
        <v>07/09/2005 00:00</v>
      </c>
      <c r="C1379">
        <v>526</v>
      </c>
      <c r="D1379" t="s">
        <v>7</v>
      </c>
      <c r="E1379" s="2" t="s">
        <v>12</v>
      </c>
      <c r="F1379">
        <f t="shared" si="21"/>
        <v>1043.058</v>
      </c>
      <c r="G1379" t="s">
        <v>16</v>
      </c>
      <c r="J1379" t="str">
        <f>"07/09/2005 23:45"</f>
        <v>07/09/2005 23:45</v>
      </c>
    </row>
    <row r="1380" spans="1:10" x14ac:dyDescent="0.3">
      <c r="A1380" t="s">
        <v>6</v>
      </c>
      <c r="B1380" t="str">
        <f>"07/10/2005 00:00"</f>
        <v>07/10/2005 00:00</v>
      </c>
      <c r="C1380">
        <v>465</v>
      </c>
      <c r="D1380" t="s">
        <v>7</v>
      </c>
      <c r="E1380" s="2" t="s">
        <v>12</v>
      </c>
      <c r="F1380">
        <f t="shared" si="21"/>
        <v>922.09500000000003</v>
      </c>
      <c r="G1380" t="s">
        <v>16</v>
      </c>
      <c r="J1380" t="str">
        <f>"07/10/2005 23:45"</f>
        <v>07/10/2005 23:45</v>
      </c>
    </row>
    <row r="1381" spans="1:10" x14ac:dyDescent="0.3">
      <c r="A1381" t="s">
        <v>6</v>
      </c>
      <c r="B1381" t="str">
        <f>"07/11/2005 00:00"</f>
        <v>07/11/2005 00:00</v>
      </c>
      <c r="C1381">
        <v>382</v>
      </c>
      <c r="D1381" t="s">
        <v>7</v>
      </c>
      <c r="E1381" s="2" t="s">
        <v>12</v>
      </c>
      <c r="F1381">
        <f t="shared" si="21"/>
        <v>757.50600000000009</v>
      </c>
      <c r="G1381" t="s">
        <v>16</v>
      </c>
      <c r="J1381" t="str">
        <f>"07/11/2005 23:45"</f>
        <v>07/11/2005 23:45</v>
      </c>
    </row>
    <row r="1382" spans="1:10" x14ac:dyDescent="0.3">
      <c r="A1382" t="s">
        <v>6</v>
      </c>
      <c r="B1382" t="str">
        <f>"07/12/2005 00:00"</f>
        <v>07/12/2005 00:00</v>
      </c>
      <c r="C1382">
        <v>285</v>
      </c>
      <c r="D1382" t="s">
        <v>7</v>
      </c>
      <c r="E1382" s="2" t="s">
        <v>12</v>
      </c>
      <c r="F1382">
        <f t="shared" si="21"/>
        <v>565.15499999999997</v>
      </c>
      <c r="G1382" t="s">
        <v>16</v>
      </c>
      <c r="J1382" t="str">
        <f>"07/12/2005 23:45"</f>
        <v>07/12/2005 23:45</v>
      </c>
    </row>
    <row r="1383" spans="1:10" x14ac:dyDescent="0.3">
      <c r="A1383" t="s">
        <v>6</v>
      </c>
      <c r="B1383" t="str">
        <f>"07/13/2005 00:00"</f>
        <v>07/13/2005 00:00</v>
      </c>
      <c r="C1383">
        <v>240</v>
      </c>
      <c r="D1383" t="s">
        <v>7</v>
      </c>
      <c r="E1383" s="2" t="s">
        <v>12</v>
      </c>
      <c r="F1383">
        <f t="shared" si="21"/>
        <v>475.92</v>
      </c>
      <c r="G1383" t="s">
        <v>16</v>
      </c>
      <c r="J1383" t="str">
        <f>"07/13/2005 23:45"</f>
        <v>07/13/2005 23:45</v>
      </c>
    </row>
    <row r="1384" spans="1:10" x14ac:dyDescent="0.3">
      <c r="A1384" t="s">
        <v>6</v>
      </c>
      <c r="B1384" t="str">
        <f>"07/14/2005 00:00"</f>
        <v>07/14/2005 00:00</v>
      </c>
      <c r="C1384">
        <v>240</v>
      </c>
      <c r="D1384" t="s">
        <v>7</v>
      </c>
      <c r="E1384" s="2" t="s">
        <v>12</v>
      </c>
      <c r="F1384">
        <f t="shared" si="21"/>
        <v>475.92</v>
      </c>
      <c r="G1384" t="s">
        <v>16</v>
      </c>
      <c r="J1384" t="str">
        <f>"07/14/2005 23:45"</f>
        <v>07/14/2005 23:45</v>
      </c>
    </row>
    <row r="1385" spans="1:10" x14ac:dyDescent="0.3">
      <c r="A1385" t="s">
        <v>6</v>
      </c>
      <c r="B1385" t="str">
        <f>"07/15/2005 00:00"</f>
        <v>07/15/2005 00:00</v>
      </c>
      <c r="C1385">
        <v>240</v>
      </c>
      <c r="D1385" t="s">
        <v>7</v>
      </c>
      <c r="E1385" s="2" t="s">
        <v>12</v>
      </c>
      <c r="F1385">
        <f t="shared" si="21"/>
        <v>475.92</v>
      </c>
      <c r="G1385" t="s">
        <v>16</v>
      </c>
      <c r="J1385" t="str">
        <f>"07/15/2005 23:45"</f>
        <v>07/15/2005 23:45</v>
      </c>
    </row>
    <row r="1386" spans="1:10" x14ac:dyDescent="0.3">
      <c r="A1386" t="s">
        <v>6</v>
      </c>
      <c r="B1386" t="str">
        <f>"07/16/2005 00:00"</f>
        <v>07/16/2005 00:00</v>
      </c>
      <c r="C1386">
        <v>240</v>
      </c>
      <c r="D1386" t="s">
        <v>7</v>
      </c>
      <c r="E1386" s="2" t="s">
        <v>12</v>
      </c>
      <c r="F1386">
        <f t="shared" si="21"/>
        <v>475.92</v>
      </c>
      <c r="G1386" t="s">
        <v>16</v>
      </c>
      <c r="J1386" t="str">
        <f>"07/16/2005 23:45"</f>
        <v>07/16/2005 23:45</v>
      </c>
    </row>
    <row r="1387" spans="1:10" x14ac:dyDescent="0.3">
      <c r="A1387" t="s">
        <v>6</v>
      </c>
      <c r="B1387" t="str">
        <f>"07/17/2005 00:00"</f>
        <v>07/17/2005 00:00</v>
      </c>
      <c r="C1387">
        <v>240</v>
      </c>
      <c r="D1387" t="s">
        <v>7</v>
      </c>
      <c r="E1387" s="2" t="s">
        <v>12</v>
      </c>
      <c r="F1387">
        <f t="shared" si="21"/>
        <v>475.92</v>
      </c>
      <c r="G1387" t="s">
        <v>16</v>
      </c>
      <c r="J1387" t="str">
        <f>"07/17/2005 23:45"</f>
        <v>07/17/2005 23:45</v>
      </c>
    </row>
    <row r="1388" spans="1:10" x14ac:dyDescent="0.3">
      <c r="A1388" t="s">
        <v>6</v>
      </c>
      <c r="B1388" t="str">
        <f>"07/18/2005 00:00"</f>
        <v>07/18/2005 00:00</v>
      </c>
      <c r="C1388">
        <v>204</v>
      </c>
      <c r="D1388" t="s">
        <v>7</v>
      </c>
      <c r="E1388" s="2" t="s">
        <v>12</v>
      </c>
      <c r="F1388">
        <f t="shared" si="21"/>
        <v>404.53200000000004</v>
      </c>
      <c r="G1388" t="s">
        <v>16</v>
      </c>
      <c r="J1388" t="str">
        <f>"07/18/2005 23:45"</f>
        <v>07/18/2005 23:45</v>
      </c>
    </row>
    <row r="1389" spans="1:10" x14ac:dyDescent="0.3">
      <c r="A1389" t="s">
        <v>6</v>
      </c>
      <c r="B1389" t="str">
        <f>"07/19/2005 00:00"</f>
        <v>07/19/2005 00:00</v>
      </c>
      <c r="C1389">
        <v>175</v>
      </c>
      <c r="D1389" t="s">
        <v>7</v>
      </c>
      <c r="E1389" s="2" t="s">
        <v>12</v>
      </c>
      <c r="F1389">
        <f t="shared" si="21"/>
        <v>347.02500000000003</v>
      </c>
      <c r="G1389" t="s">
        <v>16</v>
      </c>
      <c r="J1389" t="str">
        <f>"07/19/2005 23:45"</f>
        <v>07/19/2005 23:45</v>
      </c>
    </row>
    <row r="1390" spans="1:10" x14ac:dyDescent="0.3">
      <c r="A1390" t="s">
        <v>6</v>
      </c>
      <c r="B1390" t="str">
        <f>"07/20/2005 00:00"</f>
        <v>07/20/2005 00:00</v>
      </c>
      <c r="C1390">
        <v>234</v>
      </c>
      <c r="D1390" t="s">
        <v>7</v>
      </c>
      <c r="E1390" s="2" t="s">
        <v>12</v>
      </c>
      <c r="F1390">
        <f t="shared" si="21"/>
        <v>464.02200000000005</v>
      </c>
      <c r="G1390" t="s">
        <v>16</v>
      </c>
      <c r="J1390" t="str">
        <f>"07/20/2005 23:45"</f>
        <v>07/20/2005 23:45</v>
      </c>
    </row>
    <row r="1391" spans="1:10" x14ac:dyDescent="0.3">
      <c r="A1391" t="s">
        <v>6</v>
      </c>
      <c r="B1391" t="str">
        <f>"07/21/2005 00:00"</f>
        <v>07/21/2005 00:00</v>
      </c>
      <c r="C1391">
        <v>277</v>
      </c>
      <c r="D1391" t="s">
        <v>7</v>
      </c>
      <c r="E1391" s="2" t="s">
        <v>12</v>
      </c>
      <c r="F1391">
        <f t="shared" si="21"/>
        <v>549.29100000000005</v>
      </c>
      <c r="G1391" t="s">
        <v>16</v>
      </c>
      <c r="J1391" t="str">
        <f>"07/21/2005 23:45"</f>
        <v>07/21/2005 23:45</v>
      </c>
    </row>
    <row r="1392" spans="1:10" x14ac:dyDescent="0.3">
      <c r="A1392" t="s">
        <v>6</v>
      </c>
      <c r="B1392" t="str">
        <f>"07/22/2005 00:00"</f>
        <v>07/22/2005 00:00</v>
      </c>
      <c r="C1392">
        <v>281</v>
      </c>
      <c r="D1392" t="s">
        <v>7</v>
      </c>
      <c r="E1392" s="2" t="s">
        <v>12</v>
      </c>
      <c r="F1392">
        <f t="shared" si="21"/>
        <v>557.22300000000007</v>
      </c>
      <c r="G1392" t="s">
        <v>16</v>
      </c>
      <c r="J1392" t="str">
        <f>"07/22/2005 23:45"</f>
        <v>07/22/2005 23:45</v>
      </c>
    </row>
    <row r="1393" spans="1:10" x14ac:dyDescent="0.3">
      <c r="A1393" t="s">
        <v>6</v>
      </c>
      <c r="B1393" t="str">
        <f>"07/23/2005 00:00"</f>
        <v>07/23/2005 00:00</v>
      </c>
      <c r="C1393">
        <v>262</v>
      </c>
      <c r="D1393" t="s">
        <v>7</v>
      </c>
      <c r="E1393" s="2" t="s">
        <v>12</v>
      </c>
      <c r="F1393">
        <f t="shared" si="21"/>
        <v>519.54600000000005</v>
      </c>
      <c r="G1393" t="s">
        <v>16</v>
      </c>
      <c r="J1393" t="str">
        <f>"07/23/2005 23:45"</f>
        <v>07/23/2005 23:45</v>
      </c>
    </row>
    <row r="1394" spans="1:10" x14ac:dyDescent="0.3">
      <c r="A1394" t="s">
        <v>6</v>
      </c>
      <c r="B1394" t="str">
        <f>"07/24/2005 00:00"</f>
        <v>07/24/2005 00:00</v>
      </c>
      <c r="C1394">
        <v>246</v>
      </c>
      <c r="D1394" t="s">
        <v>7</v>
      </c>
      <c r="E1394" s="2" t="s">
        <v>12</v>
      </c>
      <c r="F1394">
        <f t="shared" si="21"/>
        <v>487.81800000000004</v>
      </c>
      <c r="G1394" t="s">
        <v>16</v>
      </c>
      <c r="J1394" t="str">
        <f>"07/24/2005 23:45"</f>
        <v>07/24/2005 23:45</v>
      </c>
    </row>
    <row r="1395" spans="1:10" x14ac:dyDescent="0.3">
      <c r="A1395" t="s">
        <v>6</v>
      </c>
      <c r="B1395" t="str">
        <f>"07/25/2005 00:00"</f>
        <v>07/25/2005 00:00</v>
      </c>
      <c r="C1395">
        <v>160</v>
      </c>
      <c r="D1395" t="s">
        <v>7</v>
      </c>
      <c r="E1395" s="2" t="s">
        <v>12</v>
      </c>
      <c r="F1395">
        <f t="shared" si="21"/>
        <v>317.28000000000003</v>
      </c>
      <c r="G1395" t="s">
        <v>16</v>
      </c>
      <c r="J1395" t="str">
        <f>"07/25/2005 23:45"</f>
        <v>07/25/2005 23:45</v>
      </c>
    </row>
    <row r="1396" spans="1:10" x14ac:dyDescent="0.3">
      <c r="A1396" t="s">
        <v>6</v>
      </c>
      <c r="B1396" t="str">
        <f>"07/26/2005 00:00"</f>
        <v>07/26/2005 00:00</v>
      </c>
      <c r="C1396">
        <v>92.7</v>
      </c>
      <c r="D1396" t="s">
        <v>7</v>
      </c>
      <c r="E1396" s="2" t="s">
        <v>12</v>
      </c>
      <c r="F1396">
        <f t="shared" si="21"/>
        <v>183.82410000000002</v>
      </c>
      <c r="G1396" t="s">
        <v>16</v>
      </c>
      <c r="J1396" t="str">
        <f>"07/26/2005 23:45"</f>
        <v>07/26/2005 23:45</v>
      </c>
    </row>
    <row r="1397" spans="1:10" x14ac:dyDescent="0.3">
      <c r="A1397" t="s">
        <v>6</v>
      </c>
      <c r="B1397" t="str">
        <f>"07/27/2005 00:00"</f>
        <v>07/27/2005 00:00</v>
      </c>
      <c r="C1397">
        <v>92.7</v>
      </c>
      <c r="D1397" t="s">
        <v>7</v>
      </c>
      <c r="E1397" s="2" t="s">
        <v>12</v>
      </c>
      <c r="F1397">
        <f t="shared" si="21"/>
        <v>183.82410000000002</v>
      </c>
      <c r="G1397" t="s">
        <v>16</v>
      </c>
      <c r="J1397" t="str">
        <f>"07/27/2005 23:45"</f>
        <v>07/27/2005 23:45</v>
      </c>
    </row>
    <row r="1398" spans="1:10" x14ac:dyDescent="0.3">
      <c r="A1398" t="s">
        <v>6</v>
      </c>
      <c r="B1398" t="str">
        <f>"07/28/2005 00:00"</f>
        <v>07/28/2005 00:00</v>
      </c>
      <c r="C1398">
        <v>131</v>
      </c>
      <c r="D1398" t="s">
        <v>7</v>
      </c>
      <c r="E1398" s="2" t="s">
        <v>12</v>
      </c>
      <c r="F1398">
        <f t="shared" si="21"/>
        <v>259.77300000000002</v>
      </c>
      <c r="G1398" t="s">
        <v>16</v>
      </c>
      <c r="J1398" t="str">
        <f>"07/28/2005 23:45"</f>
        <v>07/28/2005 23:45</v>
      </c>
    </row>
    <row r="1399" spans="1:10" x14ac:dyDescent="0.3">
      <c r="A1399" t="s">
        <v>6</v>
      </c>
      <c r="B1399" t="str">
        <f>"07/29/2005 00:00"</f>
        <v>07/29/2005 00:00</v>
      </c>
      <c r="C1399">
        <v>162</v>
      </c>
      <c r="D1399" t="s">
        <v>7</v>
      </c>
      <c r="E1399" s="2" t="s">
        <v>12</v>
      </c>
      <c r="F1399">
        <f t="shared" si="21"/>
        <v>321.24600000000004</v>
      </c>
      <c r="G1399" t="s">
        <v>16</v>
      </c>
      <c r="J1399" t="str">
        <f>"07/29/2005 23:45"</f>
        <v>07/29/2005 23:45</v>
      </c>
    </row>
    <row r="1400" spans="1:10" x14ac:dyDescent="0.3">
      <c r="A1400" t="s">
        <v>6</v>
      </c>
      <c r="B1400" t="str">
        <f>"07/30/2005 00:00"</f>
        <v>07/30/2005 00:00</v>
      </c>
      <c r="C1400">
        <v>162</v>
      </c>
      <c r="D1400" t="s">
        <v>7</v>
      </c>
      <c r="E1400" s="2" t="s">
        <v>12</v>
      </c>
      <c r="F1400">
        <f t="shared" si="21"/>
        <v>321.24600000000004</v>
      </c>
      <c r="G1400" t="s">
        <v>16</v>
      </c>
      <c r="J1400" t="str">
        <f>"07/30/2005 23:45"</f>
        <v>07/30/2005 23:45</v>
      </c>
    </row>
    <row r="1401" spans="1:10" x14ac:dyDescent="0.3">
      <c r="A1401" t="s">
        <v>6</v>
      </c>
      <c r="B1401" t="str">
        <f>"07/31/2005 00:00"</f>
        <v>07/31/2005 00:00</v>
      </c>
      <c r="C1401">
        <v>160</v>
      </c>
      <c r="D1401" t="s">
        <v>7</v>
      </c>
      <c r="E1401" s="2" t="s">
        <v>12</v>
      </c>
      <c r="F1401">
        <f t="shared" si="21"/>
        <v>317.28000000000003</v>
      </c>
      <c r="G1401" t="s">
        <v>16</v>
      </c>
      <c r="J1401" t="str">
        <f>"07/31/2005 23:45"</f>
        <v>07/31/2005 23:45</v>
      </c>
    </row>
    <row r="1402" spans="1:10" x14ac:dyDescent="0.3">
      <c r="A1402" t="s">
        <v>6</v>
      </c>
      <c r="B1402" t="str">
        <f>"08/01/2005 00:00"</f>
        <v>08/01/2005 00:00</v>
      </c>
      <c r="C1402">
        <v>160</v>
      </c>
      <c r="D1402" t="s">
        <v>7</v>
      </c>
      <c r="E1402" s="2" t="s">
        <v>12</v>
      </c>
      <c r="F1402">
        <f t="shared" si="21"/>
        <v>317.28000000000003</v>
      </c>
      <c r="G1402" t="s">
        <v>16</v>
      </c>
      <c r="J1402" t="str">
        <f>"08/01/2005 23:45"</f>
        <v>08/01/2005 23:45</v>
      </c>
    </row>
    <row r="1403" spans="1:10" x14ac:dyDescent="0.3">
      <c r="A1403" t="s">
        <v>6</v>
      </c>
      <c r="B1403" t="str">
        <f>"08/02/2005 00:00"</f>
        <v>08/02/2005 00:00</v>
      </c>
      <c r="C1403">
        <v>158</v>
      </c>
      <c r="D1403" t="s">
        <v>7</v>
      </c>
      <c r="E1403" s="2" t="s">
        <v>12</v>
      </c>
      <c r="F1403">
        <f t="shared" si="21"/>
        <v>313.31400000000002</v>
      </c>
      <c r="G1403" t="s">
        <v>16</v>
      </c>
      <c r="J1403" t="str">
        <f>"08/02/2005 23:45"</f>
        <v>08/02/2005 23:45</v>
      </c>
    </row>
    <row r="1404" spans="1:10" x14ac:dyDescent="0.3">
      <c r="A1404" t="s">
        <v>6</v>
      </c>
      <c r="B1404" t="str">
        <f>"08/03/2005 00:00"</f>
        <v>08/03/2005 00:00</v>
      </c>
      <c r="C1404">
        <v>154</v>
      </c>
      <c r="D1404" t="s">
        <v>7</v>
      </c>
      <c r="E1404" s="2" t="s">
        <v>12</v>
      </c>
      <c r="F1404">
        <f t="shared" si="21"/>
        <v>305.38200000000001</v>
      </c>
      <c r="G1404" t="s">
        <v>16</v>
      </c>
      <c r="J1404" t="str">
        <f>"08/03/2005 23:45"</f>
        <v>08/03/2005 23:45</v>
      </c>
    </row>
    <row r="1405" spans="1:10" x14ac:dyDescent="0.3">
      <c r="A1405" t="s">
        <v>6</v>
      </c>
      <c r="B1405" t="str">
        <f>"08/04/2005 00:00"</f>
        <v>08/04/2005 00:00</v>
      </c>
      <c r="C1405">
        <v>195</v>
      </c>
      <c r="D1405" t="s">
        <v>7</v>
      </c>
      <c r="E1405" s="2" t="s">
        <v>12</v>
      </c>
      <c r="F1405">
        <f t="shared" si="21"/>
        <v>386.685</v>
      </c>
      <c r="G1405" t="s">
        <v>16</v>
      </c>
      <c r="J1405" t="str">
        <f>"08/04/2005 23:45"</f>
        <v>08/04/2005 23:45</v>
      </c>
    </row>
    <row r="1406" spans="1:10" x14ac:dyDescent="0.3">
      <c r="A1406" t="s">
        <v>6</v>
      </c>
      <c r="B1406" t="str">
        <f>"08/05/2005 00:00"</f>
        <v>08/05/2005 00:00</v>
      </c>
      <c r="C1406">
        <v>193</v>
      </c>
      <c r="D1406" t="s">
        <v>7</v>
      </c>
      <c r="E1406" s="2" t="s">
        <v>12</v>
      </c>
      <c r="F1406">
        <f t="shared" si="21"/>
        <v>382.71899999999999</v>
      </c>
      <c r="G1406" t="s">
        <v>16</v>
      </c>
      <c r="J1406" t="str">
        <f>"08/05/2005 23:45"</f>
        <v>08/05/2005 23:45</v>
      </c>
    </row>
    <row r="1407" spans="1:10" x14ac:dyDescent="0.3">
      <c r="A1407" t="s">
        <v>6</v>
      </c>
      <c r="B1407" t="str">
        <f>"08/06/2005 00:00"</f>
        <v>08/06/2005 00:00</v>
      </c>
      <c r="C1407">
        <v>132</v>
      </c>
      <c r="D1407" t="s">
        <v>7</v>
      </c>
      <c r="E1407" s="2" t="s">
        <v>12</v>
      </c>
      <c r="F1407">
        <f t="shared" si="21"/>
        <v>261.75600000000003</v>
      </c>
      <c r="G1407" t="s">
        <v>16</v>
      </c>
      <c r="J1407" t="str">
        <f>"08/06/2005 23:45"</f>
        <v>08/06/2005 23:45</v>
      </c>
    </row>
    <row r="1408" spans="1:10" x14ac:dyDescent="0.3">
      <c r="A1408" t="s">
        <v>6</v>
      </c>
      <c r="B1408" t="str">
        <f>"08/07/2005 00:00"</f>
        <v>08/07/2005 00:00</v>
      </c>
      <c r="C1408">
        <v>140</v>
      </c>
      <c r="D1408" t="s">
        <v>7</v>
      </c>
      <c r="E1408" s="2" t="s">
        <v>12</v>
      </c>
      <c r="F1408">
        <f t="shared" si="21"/>
        <v>277.62</v>
      </c>
      <c r="G1408" t="s">
        <v>16</v>
      </c>
      <c r="J1408" t="str">
        <f>"08/07/2005 23:45"</f>
        <v>08/07/2005 23:45</v>
      </c>
    </row>
    <row r="1409" spans="1:10" x14ac:dyDescent="0.3">
      <c r="A1409" t="s">
        <v>6</v>
      </c>
      <c r="B1409" t="str">
        <f>"08/08/2005 00:00"</f>
        <v>08/08/2005 00:00</v>
      </c>
      <c r="C1409">
        <v>159</v>
      </c>
      <c r="D1409" t="s">
        <v>7</v>
      </c>
      <c r="E1409" s="2" t="s">
        <v>12</v>
      </c>
      <c r="F1409">
        <f t="shared" si="21"/>
        <v>315.29700000000003</v>
      </c>
      <c r="G1409" t="s">
        <v>16</v>
      </c>
      <c r="J1409" t="str">
        <f>"08/08/2005 23:45"</f>
        <v>08/08/2005 23:45</v>
      </c>
    </row>
    <row r="1410" spans="1:10" x14ac:dyDescent="0.3">
      <c r="A1410" t="s">
        <v>6</v>
      </c>
      <c r="B1410" t="str">
        <f>"08/09/2005 00:00"</f>
        <v>08/09/2005 00:00</v>
      </c>
      <c r="C1410">
        <v>159</v>
      </c>
      <c r="D1410" t="s">
        <v>7</v>
      </c>
      <c r="E1410" s="2" t="s">
        <v>12</v>
      </c>
      <c r="F1410">
        <f t="shared" si="21"/>
        <v>315.29700000000003</v>
      </c>
      <c r="G1410" t="s">
        <v>16</v>
      </c>
      <c r="J1410" t="str">
        <f>"08/09/2005 23:45"</f>
        <v>08/09/2005 23:45</v>
      </c>
    </row>
    <row r="1411" spans="1:10" x14ac:dyDescent="0.3">
      <c r="A1411" t="s">
        <v>6</v>
      </c>
      <c r="B1411" t="str">
        <f>"08/10/2005 00:00"</f>
        <v>08/10/2005 00:00</v>
      </c>
      <c r="C1411">
        <v>158</v>
      </c>
      <c r="D1411" t="s">
        <v>7</v>
      </c>
      <c r="E1411" s="2" t="s">
        <v>12</v>
      </c>
      <c r="F1411">
        <f t="shared" si="21"/>
        <v>313.31400000000002</v>
      </c>
      <c r="G1411" t="s">
        <v>16</v>
      </c>
      <c r="J1411" t="str">
        <f>"08/10/2005 23:45"</f>
        <v>08/10/2005 23:45</v>
      </c>
    </row>
    <row r="1412" spans="1:10" x14ac:dyDescent="0.3">
      <c r="A1412" t="s">
        <v>6</v>
      </c>
      <c r="B1412" t="str">
        <f>"08/11/2005 00:00"</f>
        <v>08/11/2005 00:00</v>
      </c>
      <c r="C1412">
        <v>161</v>
      </c>
      <c r="D1412" t="s">
        <v>7</v>
      </c>
      <c r="E1412" s="2" t="s">
        <v>12</v>
      </c>
      <c r="F1412">
        <f t="shared" ref="F1412:F1475" si="22">C1412*1.983</f>
        <v>319.26300000000003</v>
      </c>
      <c r="G1412" t="s">
        <v>16</v>
      </c>
      <c r="J1412" t="str">
        <f>"08/11/2005 23:45"</f>
        <v>08/11/2005 23:45</v>
      </c>
    </row>
    <row r="1413" spans="1:10" x14ac:dyDescent="0.3">
      <c r="A1413" t="s">
        <v>6</v>
      </c>
      <c r="B1413" t="str">
        <f>"08/12/2005 00:00"</f>
        <v>08/12/2005 00:00</v>
      </c>
      <c r="C1413">
        <v>127</v>
      </c>
      <c r="D1413" t="s">
        <v>7</v>
      </c>
      <c r="E1413" s="2" t="s">
        <v>12</v>
      </c>
      <c r="F1413">
        <f t="shared" si="22"/>
        <v>251.84100000000001</v>
      </c>
      <c r="G1413" t="s">
        <v>16</v>
      </c>
      <c r="J1413" t="str">
        <f>"08/12/2005 23:45"</f>
        <v>08/12/2005 23:45</v>
      </c>
    </row>
    <row r="1414" spans="1:10" x14ac:dyDescent="0.3">
      <c r="A1414" t="s">
        <v>6</v>
      </c>
      <c r="B1414" t="str">
        <f>"08/13/2005 00:00"</f>
        <v>08/13/2005 00:00</v>
      </c>
      <c r="C1414">
        <v>72</v>
      </c>
      <c r="D1414" t="s">
        <v>7</v>
      </c>
      <c r="E1414" s="2" t="s">
        <v>12</v>
      </c>
      <c r="F1414">
        <f t="shared" si="22"/>
        <v>142.77600000000001</v>
      </c>
      <c r="G1414" t="s">
        <v>16</v>
      </c>
      <c r="J1414" t="str">
        <f>"08/13/2005 23:45"</f>
        <v>08/13/2005 23:45</v>
      </c>
    </row>
    <row r="1415" spans="1:10" x14ac:dyDescent="0.3">
      <c r="A1415" t="s">
        <v>6</v>
      </c>
      <c r="B1415" t="str">
        <f>"08/14/2005 00:00"</f>
        <v>08/14/2005 00:00</v>
      </c>
      <c r="C1415">
        <v>53.2</v>
      </c>
      <c r="D1415" t="s">
        <v>7</v>
      </c>
      <c r="E1415" s="2" t="s">
        <v>12</v>
      </c>
      <c r="F1415">
        <f t="shared" si="22"/>
        <v>105.49560000000001</v>
      </c>
      <c r="G1415" t="s">
        <v>16</v>
      </c>
      <c r="J1415" t="str">
        <f>"08/14/2005 23:45"</f>
        <v>08/14/2005 23:45</v>
      </c>
    </row>
    <row r="1416" spans="1:10" x14ac:dyDescent="0.3">
      <c r="A1416" t="s">
        <v>6</v>
      </c>
      <c r="B1416" t="str">
        <f>"08/15/2005 00:00"</f>
        <v>08/15/2005 00:00</v>
      </c>
      <c r="C1416">
        <v>103</v>
      </c>
      <c r="D1416" t="s">
        <v>7</v>
      </c>
      <c r="E1416" s="2" t="s">
        <v>12</v>
      </c>
      <c r="F1416">
        <f t="shared" si="22"/>
        <v>204.24900000000002</v>
      </c>
      <c r="G1416" t="s">
        <v>16</v>
      </c>
      <c r="J1416" t="str">
        <f>"08/15/2005 23:45"</f>
        <v>08/15/2005 23:45</v>
      </c>
    </row>
    <row r="1417" spans="1:10" x14ac:dyDescent="0.3">
      <c r="A1417" t="s">
        <v>6</v>
      </c>
      <c r="B1417" t="str">
        <f>"08/16/2005 00:00"</f>
        <v>08/16/2005 00:00</v>
      </c>
      <c r="C1417">
        <v>178</v>
      </c>
      <c r="D1417" t="s">
        <v>7</v>
      </c>
      <c r="E1417" s="2" t="s">
        <v>12</v>
      </c>
      <c r="F1417">
        <f t="shared" si="22"/>
        <v>352.97399999999999</v>
      </c>
      <c r="G1417" t="s">
        <v>16</v>
      </c>
      <c r="J1417" t="str">
        <f>"08/16/2005 23:45"</f>
        <v>08/16/2005 23:45</v>
      </c>
    </row>
    <row r="1418" spans="1:10" x14ac:dyDescent="0.3">
      <c r="A1418" t="s">
        <v>6</v>
      </c>
      <c r="B1418" t="str">
        <f>"08/17/2005 00:00"</f>
        <v>08/17/2005 00:00</v>
      </c>
      <c r="C1418">
        <v>211</v>
      </c>
      <c r="D1418" t="s">
        <v>7</v>
      </c>
      <c r="E1418" s="2" t="s">
        <v>12</v>
      </c>
      <c r="F1418">
        <f t="shared" si="22"/>
        <v>418.41300000000001</v>
      </c>
      <c r="G1418" t="s">
        <v>16</v>
      </c>
      <c r="J1418" t="str">
        <f>"08/17/2005 23:45"</f>
        <v>08/17/2005 23:45</v>
      </c>
    </row>
    <row r="1419" spans="1:10" x14ac:dyDescent="0.3">
      <c r="A1419" t="s">
        <v>6</v>
      </c>
      <c r="B1419" t="str">
        <f>"08/18/2005 00:00"</f>
        <v>08/18/2005 00:00</v>
      </c>
      <c r="C1419">
        <v>175</v>
      </c>
      <c r="D1419" t="s">
        <v>7</v>
      </c>
      <c r="E1419" s="2" t="s">
        <v>12</v>
      </c>
      <c r="F1419">
        <f t="shared" si="22"/>
        <v>347.02500000000003</v>
      </c>
      <c r="G1419" t="s">
        <v>16</v>
      </c>
      <c r="J1419" t="str">
        <f>"08/18/2005 23:45"</f>
        <v>08/18/2005 23:45</v>
      </c>
    </row>
    <row r="1420" spans="1:10" x14ac:dyDescent="0.3">
      <c r="A1420" t="s">
        <v>6</v>
      </c>
      <c r="B1420" t="str">
        <f>"08/19/2005 00:00"</f>
        <v>08/19/2005 00:00</v>
      </c>
      <c r="C1420">
        <v>149</v>
      </c>
      <c r="D1420" t="s">
        <v>7</v>
      </c>
      <c r="E1420" s="2" t="s">
        <v>12</v>
      </c>
      <c r="F1420">
        <f t="shared" si="22"/>
        <v>295.46700000000004</v>
      </c>
      <c r="G1420" t="s">
        <v>16</v>
      </c>
      <c r="J1420" t="str">
        <f>"08/19/2005 23:45"</f>
        <v>08/19/2005 23:45</v>
      </c>
    </row>
    <row r="1421" spans="1:10" x14ac:dyDescent="0.3">
      <c r="A1421" t="s">
        <v>6</v>
      </c>
      <c r="B1421" t="str">
        <f>"08/20/2005 00:00"</f>
        <v>08/20/2005 00:00</v>
      </c>
      <c r="C1421">
        <v>149</v>
      </c>
      <c r="D1421" t="s">
        <v>7</v>
      </c>
      <c r="E1421" s="2" t="s">
        <v>12</v>
      </c>
      <c r="F1421">
        <f t="shared" si="22"/>
        <v>295.46700000000004</v>
      </c>
      <c r="G1421" t="s">
        <v>16</v>
      </c>
      <c r="J1421" t="str">
        <f>"08/20/2005 23:45"</f>
        <v>08/20/2005 23:45</v>
      </c>
    </row>
    <row r="1422" spans="1:10" x14ac:dyDescent="0.3">
      <c r="A1422" t="s">
        <v>6</v>
      </c>
      <c r="B1422" t="str">
        <f>"08/21/2005 00:00"</f>
        <v>08/21/2005 00:00</v>
      </c>
      <c r="C1422">
        <v>115</v>
      </c>
      <c r="D1422" t="s">
        <v>7</v>
      </c>
      <c r="E1422" s="2" t="s">
        <v>12</v>
      </c>
      <c r="F1422">
        <f t="shared" si="22"/>
        <v>228.04500000000002</v>
      </c>
      <c r="G1422" t="s">
        <v>16</v>
      </c>
      <c r="J1422" t="str">
        <f>"08/21/2005 23:45"</f>
        <v>08/21/2005 23:45</v>
      </c>
    </row>
    <row r="1423" spans="1:10" x14ac:dyDescent="0.3">
      <c r="A1423" t="s">
        <v>6</v>
      </c>
      <c r="B1423" t="str">
        <f>"08/22/2005 00:00"</f>
        <v>08/22/2005 00:00</v>
      </c>
      <c r="C1423">
        <v>88.7</v>
      </c>
      <c r="D1423" t="s">
        <v>7</v>
      </c>
      <c r="E1423" s="2" t="s">
        <v>12</v>
      </c>
      <c r="F1423">
        <f t="shared" si="22"/>
        <v>175.89210000000003</v>
      </c>
      <c r="G1423" t="s">
        <v>16</v>
      </c>
      <c r="J1423" t="str">
        <f>"08/22/2005 23:45"</f>
        <v>08/22/2005 23:45</v>
      </c>
    </row>
    <row r="1424" spans="1:10" x14ac:dyDescent="0.3">
      <c r="A1424" t="s">
        <v>6</v>
      </c>
      <c r="B1424" t="str">
        <f>"08/23/2005 00:00"</f>
        <v>08/23/2005 00:00</v>
      </c>
      <c r="C1424">
        <v>88.7</v>
      </c>
      <c r="D1424" t="s">
        <v>7</v>
      </c>
      <c r="E1424" s="2" t="s">
        <v>12</v>
      </c>
      <c r="F1424">
        <f t="shared" si="22"/>
        <v>175.89210000000003</v>
      </c>
      <c r="G1424" t="s">
        <v>16</v>
      </c>
      <c r="J1424" t="str">
        <f>"08/23/2005 23:45"</f>
        <v>08/23/2005 23:45</v>
      </c>
    </row>
    <row r="1425" spans="1:10" x14ac:dyDescent="0.3">
      <c r="A1425" t="s">
        <v>6</v>
      </c>
      <c r="B1425" t="str">
        <f>"08/24/2005 00:00"</f>
        <v>08/24/2005 00:00</v>
      </c>
      <c r="C1425">
        <v>88.7</v>
      </c>
      <c r="D1425" t="s">
        <v>7</v>
      </c>
      <c r="E1425" s="2" t="s">
        <v>12</v>
      </c>
      <c r="F1425">
        <f t="shared" si="22"/>
        <v>175.89210000000003</v>
      </c>
      <c r="G1425" t="s">
        <v>16</v>
      </c>
      <c r="J1425" t="str">
        <f>"08/24/2005 23:45"</f>
        <v>08/24/2005 23:45</v>
      </c>
    </row>
    <row r="1426" spans="1:10" x14ac:dyDescent="0.3">
      <c r="A1426" t="s">
        <v>6</v>
      </c>
      <c r="B1426" t="str">
        <f>"08/25/2005 00:00"</f>
        <v>08/25/2005 00:00</v>
      </c>
      <c r="C1426">
        <v>89</v>
      </c>
      <c r="D1426" t="s">
        <v>7</v>
      </c>
      <c r="E1426" s="2" t="s">
        <v>12</v>
      </c>
      <c r="F1426">
        <f t="shared" si="22"/>
        <v>176.48699999999999</v>
      </c>
      <c r="G1426" t="s">
        <v>16</v>
      </c>
      <c r="J1426" t="str">
        <f>"08/25/2005 23:45"</f>
        <v>08/25/2005 23:45</v>
      </c>
    </row>
    <row r="1427" spans="1:10" x14ac:dyDescent="0.3">
      <c r="A1427" t="s">
        <v>6</v>
      </c>
      <c r="B1427" t="str">
        <f>"08/26/2005 00:00"</f>
        <v>08/26/2005 00:00</v>
      </c>
      <c r="C1427">
        <v>112</v>
      </c>
      <c r="D1427" t="s">
        <v>7</v>
      </c>
      <c r="E1427" s="2" t="s">
        <v>12</v>
      </c>
      <c r="F1427">
        <f t="shared" si="22"/>
        <v>222.096</v>
      </c>
      <c r="G1427" t="s">
        <v>16</v>
      </c>
      <c r="J1427" t="str">
        <f>"08/26/2005 23:45"</f>
        <v>08/26/2005 23:45</v>
      </c>
    </row>
    <row r="1428" spans="1:10" x14ac:dyDescent="0.3">
      <c r="A1428" t="s">
        <v>6</v>
      </c>
      <c r="B1428" t="str">
        <f>"08/27/2005 00:00"</f>
        <v>08/27/2005 00:00</v>
      </c>
      <c r="C1428">
        <v>128</v>
      </c>
      <c r="D1428" t="s">
        <v>7</v>
      </c>
      <c r="E1428" s="2" t="s">
        <v>12</v>
      </c>
      <c r="F1428">
        <f t="shared" si="22"/>
        <v>253.82400000000001</v>
      </c>
      <c r="G1428" t="s">
        <v>16</v>
      </c>
      <c r="J1428" t="str">
        <f>"08/27/2005 23:45"</f>
        <v>08/27/2005 23:45</v>
      </c>
    </row>
    <row r="1429" spans="1:10" x14ac:dyDescent="0.3">
      <c r="A1429" t="s">
        <v>6</v>
      </c>
      <c r="B1429" t="str">
        <f>"08/28/2005 00:00"</f>
        <v>08/28/2005 00:00</v>
      </c>
      <c r="C1429">
        <v>128</v>
      </c>
      <c r="D1429" t="s">
        <v>7</v>
      </c>
      <c r="E1429" s="2" t="s">
        <v>12</v>
      </c>
      <c r="F1429">
        <f t="shared" si="22"/>
        <v>253.82400000000001</v>
      </c>
      <c r="G1429" t="s">
        <v>16</v>
      </c>
      <c r="J1429" t="str">
        <f>"08/28/2005 23:45"</f>
        <v>08/28/2005 23:45</v>
      </c>
    </row>
    <row r="1430" spans="1:10" x14ac:dyDescent="0.3">
      <c r="A1430" t="s">
        <v>6</v>
      </c>
      <c r="B1430" t="str">
        <f>"08/29/2005 00:00"</f>
        <v>08/29/2005 00:00</v>
      </c>
      <c r="C1430">
        <v>128</v>
      </c>
      <c r="D1430" t="s">
        <v>7</v>
      </c>
      <c r="E1430" s="2" t="s">
        <v>12</v>
      </c>
      <c r="F1430">
        <f t="shared" si="22"/>
        <v>253.82400000000001</v>
      </c>
      <c r="G1430" t="s">
        <v>16</v>
      </c>
      <c r="J1430" t="str">
        <f>"08/29/2005 23:45"</f>
        <v>08/29/2005 23:45</v>
      </c>
    </row>
    <row r="1431" spans="1:10" x14ac:dyDescent="0.3">
      <c r="A1431" t="s">
        <v>6</v>
      </c>
      <c r="B1431" t="str">
        <f>"08/30/2005 00:00"</f>
        <v>08/30/2005 00:00</v>
      </c>
      <c r="C1431">
        <v>128</v>
      </c>
      <c r="D1431" t="s">
        <v>7</v>
      </c>
      <c r="E1431" s="2" t="s">
        <v>12</v>
      </c>
      <c r="F1431">
        <f t="shared" si="22"/>
        <v>253.82400000000001</v>
      </c>
      <c r="G1431" t="s">
        <v>16</v>
      </c>
      <c r="J1431" t="str">
        <f>"08/30/2005 23:45"</f>
        <v>08/30/2005 23:45</v>
      </c>
    </row>
    <row r="1432" spans="1:10" x14ac:dyDescent="0.3">
      <c r="A1432" t="s">
        <v>6</v>
      </c>
      <c r="B1432" t="str">
        <f>"08/31/2005 00:00"</f>
        <v>08/31/2005 00:00</v>
      </c>
      <c r="C1432">
        <v>170</v>
      </c>
      <c r="D1432" t="s">
        <v>7</v>
      </c>
      <c r="E1432" s="2" t="s">
        <v>12</v>
      </c>
      <c r="F1432">
        <f t="shared" si="22"/>
        <v>337.11</v>
      </c>
      <c r="G1432" t="s">
        <v>16</v>
      </c>
      <c r="J1432" t="str">
        <f>"08/31/2005 23:45"</f>
        <v>08/31/2005 23:45</v>
      </c>
    </row>
    <row r="1433" spans="1:10" x14ac:dyDescent="0.3">
      <c r="A1433" t="s">
        <v>6</v>
      </c>
      <c r="B1433" t="str">
        <f>"09/01/2005 00:00"</f>
        <v>09/01/2005 00:00</v>
      </c>
      <c r="C1433">
        <v>237</v>
      </c>
      <c r="D1433" t="s">
        <v>7</v>
      </c>
      <c r="E1433" s="2" t="s">
        <v>12</v>
      </c>
      <c r="F1433">
        <f t="shared" si="22"/>
        <v>469.971</v>
      </c>
      <c r="G1433" t="s">
        <v>16</v>
      </c>
      <c r="J1433" t="str">
        <f>"09/01/2005 23:45"</f>
        <v>09/01/2005 23:45</v>
      </c>
    </row>
    <row r="1434" spans="1:10" x14ac:dyDescent="0.3">
      <c r="A1434" t="s">
        <v>6</v>
      </c>
      <c r="B1434" t="str">
        <f>"09/02/2005 00:00"</f>
        <v>09/02/2005 00:00</v>
      </c>
      <c r="C1434">
        <v>303</v>
      </c>
      <c r="D1434" t="s">
        <v>7</v>
      </c>
      <c r="E1434" s="2" t="s">
        <v>12</v>
      </c>
      <c r="F1434">
        <f t="shared" si="22"/>
        <v>600.84900000000005</v>
      </c>
      <c r="G1434" t="s">
        <v>16</v>
      </c>
      <c r="J1434" t="str">
        <f>"09/02/2005 23:45"</f>
        <v>09/02/2005 23:45</v>
      </c>
    </row>
    <row r="1435" spans="1:10" x14ac:dyDescent="0.3">
      <c r="A1435" t="s">
        <v>6</v>
      </c>
      <c r="B1435" t="str">
        <f>"09/03/2005 00:00"</f>
        <v>09/03/2005 00:00</v>
      </c>
      <c r="C1435">
        <v>320</v>
      </c>
      <c r="D1435" t="s">
        <v>7</v>
      </c>
      <c r="E1435" s="2" t="s">
        <v>12</v>
      </c>
      <c r="F1435">
        <f t="shared" si="22"/>
        <v>634.56000000000006</v>
      </c>
      <c r="G1435" t="s">
        <v>16</v>
      </c>
      <c r="J1435" t="str">
        <f>"09/03/2005 23:45"</f>
        <v>09/03/2005 23:45</v>
      </c>
    </row>
    <row r="1436" spans="1:10" x14ac:dyDescent="0.3">
      <c r="A1436" t="s">
        <v>6</v>
      </c>
      <c r="B1436" t="str">
        <f>"09/04/2005 00:00"</f>
        <v>09/04/2005 00:00</v>
      </c>
      <c r="C1436">
        <v>322</v>
      </c>
      <c r="D1436" t="s">
        <v>7</v>
      </c>
      <c r="E1436" s="2" t="s">
        <v>12</v>
      </c>
      <c r="F1436">
        <f t="shared" si="22"/>
        <v>638.52600000000007</v>
      </c>
      <c r="G1436" t="s">
        <v>16</v>
      </c>
      <c r="J1436" t="str">
        <f>"09/04/2005 23:45"</f>
        <v>09/04/2005 23:45</v>
      </c>
    </row>
    <row r="1437" spans="1:10" x14ac:dyDescent="0.3">
      <c r="A1437" t="s">
        <v>6</v>
      </c>
      <c r="B1437" t="str">
        <f>"09/05/2005 00:00"</f>
        <v>09/05/2005 00:00</v>
      </c>
      <c r="C1437">
        <v>322</v>
      </c>
      <c r="D1437" t="s">
        <v>7</v>
      </c>
      <c r="E1437" s="2" t="s">
        <v>12</v>
      </c>
      <c r="F1437">
        <f t="shared" si="22"/>
        <v>638.52600000000007</v>
      </c>
      <c r="G1437" t="s">
        <v>16</v>
      </c>
      <c r="J1437" t="str">
        <f>"09/05/2005 23:45"</f>
        <v>09/05/2005 23:45</v>
      </c>
    </row>
    <row r="1438" spans="1:10" x14ac:dyDescent="0.3">
      <c r="A1438" t="s">
        <v>6</v>
      </c>
      <c r="B1438" t="str">
        <f>"09/06/2005 00:00"</f>
        <v>09/06/2005 00:00</v>
      </c>
      <c r="C1438">
        <v>251</v>
      </c>
      <c r="D1438" t="s">
        <v>7</v>
      </c>
      <c r="E1438" s="2" t="s">
        <v>12</v>
      </c>
      <c r="F1438">
        <f t="shared" si="22"/>
        <v>497.733</v>
      </c>
      <c r="G1438" t="s">
        <v>16</v>
      </c>
      <c r="J1438" t="str">
        <f>"09/06/2005 23:45"</f>
        <v>09/06/2005 23:45</v>
      </c>
    </row>
    <row r="1439" spans="1:10" x14ac:dyDescent="0.3">
      <c r="A1439" t="s">
        <v>6</v>
      </c>
      <c r="B1439" t="str">
        <f>"09/07/2005 00:00"</f>
        <v>09/07/2005 00:00</v>
      </c>
      <c r="C1439">
        <v>141</v>
      </c>
      <c r="D1439" t="s">
        <v>7</v>
      </c>
      <c r="E1439" s="2" t="s">
        <v>12</v>
      </c>
      <c r="F1439">
        <f t="shared" si="22"/>
        <v>279.60300000000001</v>
      </c>
      <c r="G1439" t="s">
        <v>16</v>
      </c>
      <c r="J1439" t="str">
        <f>"09/07/2005 23:45"</f>
        <v>09/07/2005 23:45</v>
      </c>
    </row>
    <row r="1440" spans="1:10" x14ac:dyDescent="0.3">
      <c r="A1440" t="s">
        <v>6</v>
      </c>
      <c r="B1440" t="str">
        <f>"09/08/2005 00:00"</f>
        <v>09/08/2005 00:00</v>
      </c>
      <c r="C1440">
        <v>93.6</v>
      </c>
      <c r="D1440" t="s">
        <v>7</v>
      </c>
      <c r="E1440" s="2" t="s">
        <v>12</v>
      </c>
      <c r="F1440">
        <f t="shared" si="22"/>
        <v>185.6088</v>
      </c>
      <c r="G1440" t="s">
        <v>16</v>
      </c>
      <c r="J1440" t="str">
        <f>"09/08/2005 23:45"</f>
        <v>09/08/2005 23:45</v>
      </c>
    </row>
    <row r="1441" spans="1:10" x14ac:dyDescent="0.3">
      <c r="A1441" t="s">
        <v>6</v>
      </c>
      <c r="B1441" t="str">
        <f>"09/09/2005 00:00"</f>
        <v>09/09/2005 00:00</v>
      </c>
      <c r="C1441">
        <v>92.7</v>
      </c>
      <c r="D1441" t="s">
        <v>7</v>
      </c>
      <c r="E1441" s="2" t="s">
        <v>12</v>
      </c>
      <c r="F1441">
        <f t="shared" si="22"/>
        <v>183.82410000000002</v>
      </c>
      <c r="G1441" t="s">
        <v>16</v>
      </c>
      <c r="J1441" t="str">
        <f>"09/09/2005 23:45"</f>
        <v>09/09/2005 23:45</v>
      </c>
    </row>
    <row r="1442" spans="1:10" x14ac:dyDescent="0.3">
      <c r="A1442" t="s">
        <v>6</v>
      </c>
      <c r="B1442" t="str">
        <f>"09/10/2005 00:00"</f>
        <v>09/10/2005 00:00</v>
      </c>
      <c r="C1442">
        <v>92.6</v>
      </c>
      <c r="D1442" t="s">
        <v>7</v>
      </c>
      <c r="E1442" s="2" t="s">
        <v>12</v>
      </c>
      <c r="F1442">
        <f t="shared" si="22"/>
        <v>183.6258</v>
      </c>
      <c r="G1442" t="s">
        <v>16</v>
      </c>
      <c r="J1442" t="str">
        <f>"09/10/2005 23:45"</f>
        <v>09/10/2005 23:45</v>
      </c>
    </row>
    <row r="1443" spans="1:10" x14ac:dyDescent="0.3">
      <c r="A1443" t="s">
        <v>6</v>
      </c>
      <c r="B1443" t="str">
        <f>"09/11/2005 00:00"</f>
        <v>09/11/2005 00:00</v>
      </c>
      <c r="C1443">
        <v>92.3</v>
      </c>
      <c r="D1443" t="s">
        <v>7</v>
      </c>
      <c r="E1443" s="2" t="s">
        <v>12</v>
      </c>
      <c r="F1443">
        <f t="shared" si="22"/>
        <v>183.0309</v>
      </c>
      <c r="G1443" t="s">
        <v>16</v>
      </c>
      <c r="J1443" t="str">
        <f>"09/11/2005 23:45"</f>
        <v>09/11/2005 23:45</v>
      </c>
    </row>
    <row r="1444" spans="1:10" x14ac:dyDescent="0.3">
      <c r="A1444" t="s">
        <v>6</v>
      </c>
      <c r="B1444" t="str">
        <f>"09/12/2005 00:00"</f>
        <v>09/12/2005 00:00</v>
      </c>
      <c r="C1444">
        <v>79.8</v>
      </c>
      <c r="D1444" t="s">
        <v>7</v>
      </c>
      <c r="E1444" s="2" t="s">
        <v>12</v>
      </c>
      <c r="F1444">
        <f t="shared" si="22"/>
        <v>158.24340000000001</v>
      </c>
      <c r="G1444" t="s">
        <v>16</v>
      </c>
      <c r="J1444" t="str">
        <f>"09/12/2005 23:45"</f>
        <v>09/12/2005 23:45</v>
      </c>
    </row>
    <row r="1445" spans="1:10" x14ac:dyDescent="0.3">
      <c r="A1445" t="s">
        <v>6</v>
      </c>
      <c r="B1445" t="str">
        <f>"09/13/2005 00:00"</f>
        <v>09/13/2005 00:00</v>
      </c>
      <c r="C1445">
        <v>153</v>
      </c>
      <c r="D1445" t="s">
        <v>7</v>
      </c>
      <c r="E1445" s="2" t="s">
        <v>12</v>
      </c>
      <c r="F1445">
        <f t="shared" si="22"/>
        <v>303.399</v>
      </c>
      <c r="G1445" t="s">
        <v>16</v>
      </c>
      <c r="J1445" t="str">
        <f>"09/13/2005 23:45"</f>
        <v>09/13/2005 23:45</v>
      </c>
    </row>
    <row r="1446" spans="1:10" x14ac:dyDescent="0.3">
      <c r="A1446" t="s">
        <v>6</v>
      </c>
      <c r="B1446" t="str">
        <f>"09/14/2005 00:00"</f>
        <v>09/14/2005 00:00</v>
      </c>
      <c r="C1446">
        <v>171</v>
      </c>
      <c r="D1446" t="s">
        <v>7</v>
      </c>
      <c r="E1446" s="2" t="s">
        <v>12</v>
      </c>
      <c r="F1446">
        <f t="shared" si="22"/>
        <v>339.09300000000002</v>
      </c>
      <c r="G1446" t="s">
        <v>16</v>
      </c>
      <c r="J1446" t="str">
        <f>"09/14/2005 23:45"</f>
        <v>09/14/2005 23:45</v>
      </c>
    </row>
    <row r="1447" spans="1:10" x14ac:dyDescent="0.3">
      <c r="A1447" t="s">
        <v>6</v>
      </c>
      <c r="B1447" t="str">
        <f>"09/15/2005 00:00"</f>
        <v>09/15/2005 00:00</v>
      </c>
      <c r="C1447">
        <v>107</v>
      </c>
      <c r="D1447" t="s">
        <v>7</v>
      </c>
      <c r="E1447" s="2" t="s">
        <v>12</v>
      </c>
      <c r="F1447">
        <f t="shared" si="22"/>
        <v>212.18100000000001</v>
      </c>
      <c r="G1447" t="s">
        <v>16</v>
      </c>
      <c r="J1447" t="str">
        <f>"09/15/2005 23:45"</f>
        <v>09/15/2005 23:45</v>
      </c>
    </row>
    <row r="1448" spans="1:10" x14ac:dyDescent="0.3">
      <c r="A1448" t="s">
        <v>6</v>
      </c>
      <c r="B1448" t="str">
        <f>"09/16/2005 00:00"</f>
        <v>09/16/2005 00:00</v>
      </c>
      <c r="C1448">
        <v>69.2</v>
      </c>
      <c r="D1448" t="s">
        <v>7</v>
      </c>
      <c r="E1448" s="2" t="s">
        <v>12</v>
      </c>
      <c r="F1448">
        <f t="shared" si="22"/>
        <v>137.2236</v>
      </c>
      <c r="G1448" t="s">
        <v>16</v>
      </c>
      <c r="J1448" t="str">
        <f>"09/16/2005 23:45"</f>
        <v>09/16/2005 23:45</v>
      </c>
    </row>
    <row r="1449" spans="1:10" x14ac:dyDescent="0.3">
      <c r="A1449" t="s">
        <v>6</v>
      </c>
      <c r="B1449" t="str">
        <f>"09/17/2005 00:00"</f>
        <v>09/17/2005 00:00</v>
      </c>
      <c r="C1449">
        <v>76.8</v>
      </c>
      <c r="D1449" t="s">
        <v>7</v>
      </c>
      <c r="E1449" s="2" t="s">
        <v>12</v>
      </c>
      <c r="F1449">
        <f t="shared" si="22"/>
        <v>152.2944</v>
      </c>
      <c r="G1449" t="s">
        <v>16</v>
      </c>
      <c r="J1449" t="str">
        <f>"09/17/2005 23:45"</f>
        <v>09/17/2005 23:45</v>
      </c>
    </row>
    <row r="1450" spans="1:10" x14ac:dyDescent="0.3">
      <c r="A1450" t="s">
        <v>6</v>
      </c>
      <c r="B1450" t="str">
        <f>"09/18/2005 00:00"</f>
        <v>09/18/2005 00:00</v>
      </c>
      <c r="C1450">
        <v>77.7</v>
      </c>
      <c r="D1450" t="s">
        <v>7</v>
      </c>
      <c r="E1450" s="2" t="s">
        <v>12</v>
      </c>
      <c r="F1450">
        <f t="shared" si="22"/>
        <v>154.07910000000001</v>
      </c>
      <c r="G1450" t="s">
        <v>16</v>
      </c>
      <c r="J1450" t="str">
        <f>"09/18/2005 23:45"</f>
        <v>09/18/2005 23:45</v>
      </c>
    </row>
    <row r="1451" spans="1:10" x14ac:dyDescent="0.3">
      <c r="A1451" t="s">
        <v>6</v>
      </c>
      <c r="B1451" t="str">
        <f>"09/19/2005 00:00"</f>
        <v>09/19/2005 00:00</v>
      </c>
      <c r="C1451">
        <v>145</v>
      </c>
      <c r="D1451" t="s">
        <v>7</v>
      </c>
      <c r="E1451" s="2" t="s">
        <v>12</v>
      </c>
      <c r="F1451">
        <f t="shared" si="22"/>
        <v>287.53500000000003</v>
      </c>
      <c r="G1451" t="s">
        <v>16</v>
      </c>
      <c r="J1451" t="str">
        <f>"09/19/2005 23:45"</f>
        <v>09/19/2005 23:45</v>
      </c>
    </row>
    <row r="1452" spans="1:10" x14ac:dyDescent="0.3">
      <c r="A1452" t="s">
        <v>6</v>
      </c>
      <c r="B1452" t="str">
        <f>"09/20/2005 00:00"</f>
        <v>09/20/2005 00:00</v>
      </c>
      <c r="C1452">
        <v>205</v>
      </c>
      <c r="D1452" t="s">
        <v>7</v>
      </c>
      <c r="E1452" s="2" t="s">
        <v>12</v>
      </c>
      <c r="F1452">
        <f t="shared" si="22"/>
        <v>406.51500000000004</v>
      </c>
      <c r="G1452" t="s">
        <v>16</v>
      </c>
      <c r="J1452" t="str">
        <f>"09/20/2005 23:45"</f>
        <v>09/20/2005 23:45</v>
      </c>
    </row>
    <row r="1453" spans="1:10" x14ac:dyDescent="0.3">
      <c r="A1453" t="s">
        <v>6</v>
      </c>
      <c r="B1453" t="str">
        <f>"09/21/2005 00:00"</f>
        <v>09/21/2005 00:00</v>
      </c>
      <c r="C1453">
        <v>125</v>
      </c>
      <c r="D1453" t="s">
        <v>7</v>
      </c>
      <c r="E1453" s="2" t="s">
        <v>12</v>
      </c>
      <c r="F1453">
        <f t="shared" si="22"/>
        <v>247.875</v>
      </c>
      <c r="G1453" t="s">
        <v>16</v>
      </c>
      <c r="J1453" t="str">
        <f>"09/21/2005 23:45"</f>
        <v>09/21/2005 23:45</v>
      </c>
    </row>
    <row r="1454" spans="1:10" x14ac:dyDescent="0.3">
      <c r="A1454" t="s">
        <v>6</v>
      </c>
      <c r="B1454" t="str">
        <f>"09/22/2005 00:00"</f>
        <v>09/22/2005 00:00</v>
      </c>
      <c r="C1454">
        <v>75</v>
      </c>
      <c r="D1454" t="s">
        <v>7</v>
      </c>
      <c r="E1454" s="2" t="s">
        <v>12</v>
      </c>
      <c r="F1454">
        <f t="shared" si="22"/>
        <v>148.72499999999999</v>
      </c>
      <c r="G1454" t="s">
        <v>16</v>
      </c>
      <c r="J1454" t="str">
        <f>"09/22/2005 23:45"</f>
        <v>09/22/2005 23:45</v>
      </c>
    </row>
    <row r="1455" spans="1:10" x14ac:dyDescent="0.3">
      <c r="A1455" t="s">
        <v>6</v>
      </c>
      <c r="B1455" t="str">
        <f>"09/23/2005 00:00"</f>
        <v>09/23/2005 00:00</v>
      </c>
      <c r="C1455">
        <v>75</v>
      </c>
      <c r="D1455" t="s">
        <v>7</v>
      </c>
      <c r="E1455" s="2" t="s">
        <v>12</v>
      </c>
      <c r="F1455">
        <f t="shared" si="22"/>
        <v>148.72499999999999</v>
      </c>
      <c r="G1455" t="s">
        <v>16</v>
      </c>
      <c r="J1455" t="str">
        <f>"09/23/2005 23:45"</f>
        <v>09/23/2005 23:45</v>
      </c>
    </row>
    <row r="1456" spans="1:10" x14ac:dyDescent="0.3">
      <c r="A1456" t="s">
        <v>6</v>
      </c>
      <c r="B1456" t="str">
        <f>"09/24/2005 00:00"</f>
        <v>09/24/2005 00:00</v>
      </c>
      <c r="C1456">
        <v>75</v>
      </c>
      <c r="D1456" t="s">
        <v>7</v>
      </c>
      <c r="E1456" s="2" t="s">
        <v>12</v>
      </c>
      <c r="F1456">
        <f t="shared" si="22"/>
        <v>148.72499999999999</v>
      </c>
      <c r="G1456" t="s">
        <v>16</v>
      </c>
      <c r="J1456" t="str">
        <f>"09/24/2005 23:45"</f>
        <v>09/24/2005 23:45</v>
      </c>
    </row>
    <row r="1457" spans="1:10" x14ac:dyDescent="0.3">
      <c r="A1457" t="s">
        <v>6</v>
      </c>
      <c r="B1457" t="str">
        <f>"09/25/2005 00:00"</f>
        <v>09/25/2005 00:00</v>
      </c>
      <c r="C1457">
        <v>75</v>
      </c>
      <c r="D1457" t="s">
        <v>7</v>
      </c>
      <c r="E1457" s="2" t="s">
        <v>12</v>
      </c>
      <c r="F1457">
        <f t="shared" si="22"/>
        <v>148.72499999999999</v>
      </c>
      <c r="G1457" t="s">
        <v>16</v>
      </c>
      <c r="J1457" t="str">
        <f>"09/25/2005 23:45"</f>
        <v>09/25/2005 23:45</v>
      </c>
    </row>
    <row r="1458" spans="1:10" x14ac:dyDescent="0.3">
      <c r="A1458" t="s">
        <v>6</v>
      </c>
      <c r="B1458" t="str">
        <f>"09/26/2005 00:00"</f>
        <v>09/26/2005 00:00</v>
      </c>
      <c r="C1458">
        <v>151</v>
      </c>
      <c r="D1458" t="s">
        <v>7</v>
      </c>
      <c r="E1458" s="2" t="s">
        <v>12</v>
      </c>
      <c r="F1458">
        <f t="shared" si="22"/>
        <v>299.43299999999999</v>
      </c>
      <c r="G1458" t="s">
        <v>16</v>
      </c>
      <c r="J1458" t="str">
        <f>"09/26/2005 23:45"</f>
        <v>09/26/2005 23:45</v>
      </c>
    </row>
    <row r="1459" spans="1:10" x14ac:dyDescent="0.3">
      <c r="A1459" t="s">
        <v>6</v>
      </c>
      <c r="B1459" t="str">
        <f>"09/27/2005 00:00"</f>
        <v>09/27/2005 00:00</v>
      </c>
      <c r="C1459">
        <v>233</v>
      </c>
      <c r="D1459" t="s">
        <v>7</v>
      </c>
      <c r="E1459" s="2" t="s">
        <v>12</v>
      </c>
      <c r="F1459">
        <f t="shared" si="22"/>
        <v>462.03900000000004</v>
      </c>
      <c r="G1459" t="s">
        <v>16</v>
      </c>
      <c r="J1459" t="str">
        <f>"09/27/2005 23:45"</f>
        <v>09/27/2005 23:45</v>
      </c>
    </row>
    <row r="1460" spans="1:10" x14ac:dyDescent="0.3">
      <c r="A1460" t="s">
        <v>6</v>
      </c>
      <c r="B1460" t="str">
        <f>"09/28/2005 00:00"</f>
        <v>09/28/2005 00:00</v>
      </c>
      <c r="C1460">
        <v>188</v>
      </c>
      <c r="D1460" t="s">
        <v>7</v>
      </c>
      <c r="E1460" s="2" t="s">
        <v>12</v>
      </c>
      <c r="F1460">
        <f t="shared" si="22"/>
        <v>372.80400000000003</v>
      </c>
      <c r="G1460" t="s">
        <v>16</v>
      </c>
      <c r="J1460" t="str">
        <f>"09/28/2005 23:45"</f>
        <v>09/28/2005 23:45</v>
      </c>
    </row>
    <row r="1461" spans="1:10" x14ac:dyDescent="0.3">
      <c r="A1461" t="s">
        <v>6</v>
      </c>
      <c r="B1461" t="str">
        <f>"09/29/2005 00:00"</f>
        <v>09/29/2005 00:00</v>
      </c>
      <c r="C1461">
        <v>149</v>
      </c>
      <c r="D1461" t="s">
        <v>7</v>
      </c>
      <c r="E1461" s="2" t="s">
        <v>12</v>
      </c>
      <c r="F1461">
        <f t="shared" si="22"/>
        <v>295.46700000000004</v>
      </c>
      <c r="G1461" t="s">
        <v>16</v>
      </c>
      <c r="J1461" t="str">
        <f>"09/29/2005 23:45"</f>
        <v>09/29/2005 23:45</v>
      </c>
    </row>
    <row r="1462" spans="1:10" x14ac:dyDescent="0.3">
      <c r="A1462" t="s">
        <v>6</v>
      </c>
      <c r="B1462" t="str">
        <f>"09/30/2005 00:00"</f>
        <v>09/30/2005 00:00</v>
      </c>
      <c r="C1462">
        <v>148</v>
      </c>
      <c r="D1462" t="s">
        <v>7</v>
      </c>
      <c r="E1462" s="2" t="s">
        <v>12</v>
      </c>
      <c r="F1462">
        <f t="shared" si="22"/>
        <v>293.48400000000004</v>
      </c>
      <c r="G1462" t="s">
        <v>16</v>
      </c>
      <c r="J1462" t="str">
        <f>"09/30/2005 23:45"</f>
        <v>09/30/2005 23:45</v>
      </c>
    </row>
    <row r="1463" spans="1:10" x14ac:dyDescent="0.3">
      <c r="A1463" t="s">
        <v>6</v>
      </c>
      <c r="B1463" t="str">
        <f>"10/01/2005 00:00"</f>
        <v>10/01/2005 00:00</v>
      </c>
      <c r="C1463">
        <v>147</v>
      </c>
      <c r="D1463" t="s">
        <v>7</v>
      </c>
      <c r="E1463" s="2" t="s">
        <v>12</v>
      </c>
      <c r="F1463">
        <f t="shared" si="22"/>
        <v>291.50100000000003</v>
      </c>
      <c r="G1463" t="s">
        <v>16</v>
      </c>
      <c r="J1463" t="str">
        <f>"10/01/2005 23:45"</f>
        <v>10/01/2005 23:45</v>
      </c>
    </row>
    <row r="1464" spans="1:10" x14ac:dyDescent="0.3">
      <c r="A1464" t="s">
        <v>6</v>
      </c>
      <c r="B1464" t="str">
        <f>"10/02/2005 00:00"</f>
        <v>10/02/2005 00:00</v>
      </c>
      <c r="C1464">
        <v>147</v>
      </c>
      <c r="D1464" t="s">
        <v>7</v>
      </c>
      <c r="E1464" s="2" t="s">
        <v>12</v>
      </c>
      <c r="F1464">
        <f t="shared" si="22"/>
        <v>291.50100000000003</v>
      </c>
      <c r="G1464" t="s">
        <v>16</v>
      </c>
      <c r="J1464" t="str">
        <f>"10/02/2005 23:45"</f>
        <v>10/02/2005 23:45</v>
      </c>
    </row>
    <row r="1465" spans="1:10" x14ac:dyDescent="0.3">
      <c r="A1465" t="s">
        <v>6</v>
      </c>
      <c r="B1465" t="str">
        <f>"10/03/2005 00:00"</f>
        <v>10/03/2005 00:00</v>
      </c>
      <c r="C1465">
        <v>180</v>
      </c>
      <c r="D1465" t="s">
        <v>7</v>
      </c>
      <c r="E1465" s="2" t="s">
        <v>12</v>
      </c>
      <c r="F1465">
        <f t="shared" si="22"/>
        <v>356.94</v>
      </c>
      <c r="G1465" t="s">
        <v>16</v>
      </c>
      <c r="J1465" t="str">
        <f>"10/03/2005 23:45"</f>
        <v>10/03/2005 23:45</v>
      </c>
    </row>
    <row r="1466" spans="1:10" x14ac:dyDescent="0.3">
      <c r="A1466" t="s">
        <v>6</v>
      </c>
      <c r="B1466" t="str">
        <f>"10/04/2005 00:00"</f>
        <v>10/04/2005 00:00</v>
      </c>
      <c r="C1466">
        <v>200</v>
      </c>
      <c r="D1466" t="s">
        <v>7</v>
      </c>
      <c r="E1466" s="2" t="s">
        <v>12</v>
      </c>
      <c r="F1466">
        <f t="shared" si="22"/>
        <v>396.6</v>
      </c>
      <c r="G1466" t="s">
        <v>16</v>
      </c>
      <c r="J1466" t="str">
        <f>"10/04/2005 23:45"</f>
        <v>10/04/2005 23:45</v>
      </c>
    </row>
    <row r="1467" spans="1:10" x14ac:dyDescent="0.3">
      <c r="A1467" t="s">
        <v>6</v>
      </c>
      <c r="B1467" t="str">
        <f>"10/05/2005 00:00"</f>
        <v>10/05/2005 00:00</v>
      </c>
      <c r="C1467">
        <v>199</v>
      </c>
      <c r="D1467" t="s">
        <v>7</v>
      </c>
      <c r="E1467" s="2" t="s">
        <v>12</v>
      </c>
      <c r="F1467">
        <f t="shared" si="22"/>
        <v>394.61700000000002</v>
      </c>
      <c r="G1467" t="s">
        <v>16</v>
      </c>
      <c r="J1467" t="str">
        <f>"10/05/2005 23:45"</f>
        <v>10/05/2005 23:45</v>
      </c>
    </row>
    <row r="1468" spans="1:10" x14ac:dyDescent="0.3">
      <c r="A1468" t="s">
        <v>6</v>
      </c>
      <c r="B1468" t="str">
        <f>"10/06/2005 00:00"</f>
        <v>10/06/2005 00:00</v>
      </c>
      <c r="C1468">
        <v>197</v>
      </c>
      <c r="D1468" t="s">
        <v>7</v>
      </c>
      <c r="E1468" s="2" t="s">
        <v>12</v>
      </c>
      <c r="F1468">
        <f t="shared" si="22"/>
        <v>390.65100000000001</v>
      </c>
      <c r="G1468" t="s">
        <v>16</v>
      </c>
      <c r="J1468" t="str">
        <f>"10/06/2005 23:45"</f>
        <v>10/06/2005 23:45</v>
      </c>
    </row>
    <row r="1469" spans="1:10" x14ac:dyDescent="0.3">
      <c r="A1469" t="s">
        <v>6</v>
      </c>
      <c r="B1469" t="str">
        <f>"10/07/2005 00:00"</f>
        <v>10/07/2005 00:00</v>
      </c>
      <c r="C1469">
        <v>152</v>
      </c>
      <c r="D1469" t="s">
        <v>7</v>
      </c>
      <c r="E1469" s="2" t="s">
        <v>12</v>
      </c>
      <c r="F1469">
        <f t="shared" si="22"/>
        <v>301.416</v>
      </c>
      <c r="G1469" t="s">
        <v>16</v>
      </c>
      <c r="J1469" t="str">
        <f>"10/07/2005 23:45"</f>
        <v>10/07/2005 23:45</v>
      </c>
    </row>
    <row r="1470" spans="1:10" x14ac:dyDescent="0.3">
      <c r="A1470" t="s">
        <v>6</v>
      </c>
      <c r="B1470" t="str">
        <f>"10/08/2005 00:00"</f>
        <v>10/08/2005 00:00</v>
      </c>
      <c r="C1470">
        <v>126</v>
      </c>
      <c r="D1470" t="s">
        <v>7</v>
      </c>
      <c r="E1470" s="2" t="s">
        <v>12</v>
      </c>
      <c r="F1470">
        <f t="shared" si="22"/>
        <v>249.858</v>
      </c>
      <c r="G1470" t="s">
        <v>16</v>
      </c>
      <c r="J1470" t="str">
        <f>"10/08/2005 23:45"</f>
        <v>10/08/2005 23:45</v>
      </c>
    </row>
    <row r="1471" spans="1:10" x14ac:dyDescent="0.3">
      <c r="A1471" t="s">
        <v>6</v>
      </c>
      <c r="B1471" t="str">
        <f>"10/09/2005 00:00"</f>
        <v>10/09/2005 00:00</v>
      </c>
      <c r="C1471">
        <v>94.6</v>
      </c>
      <c r="D1471" t="s">
        <v>7</v>
      </c>
      <c r="E1471" s="2" t="s">
        <v>12</v>
      </c>
      <c r="F1471">
        <f t="shared" si="22"/>
        <v>187.59180000000001</v>
      </c>
      <c r="G1471" t="s">
        <v>16</v>
      </c>
      <c r="J1471" t="str">
        <f>"10/09/2005 23:45"</f>
        <v>10/09/2005 23:45</v>
      </c>
    </row>
    <row r="1472" spans="1:10" x14ac:dyDescent="0.3">
      <c r="A1472" t="s">
        <v>6</v>
      </c>
      <c r="B1472" t="str">
        <f>"10/10/2005 00:00"</f>
        <v>10/10/2005 00:00</v>
      </c>
      <c r="C1472">
        <v>77.099999999999994</v>
      </c>
      <c r="D1472" t="s">
        <v>7</v>
      </c>
      <c r="E1472" s="2" t="s">
        <v>12</v>
      </c>
      <c r="F1472">
        <f t="shared" si="22"/>
        <v>152.88929999999999</v>
      </c>
      <c r="G1472" t="s">
        <v>16</v>
      </c>
      <c r="J1472" t="str">
        <f>"10/10/2005 23:45"</f>
        <v>10/10/2005 23:45</v>
      </c>
    </row>
    <row r="1473" spans="1:10" x14ac:dyDescent="0.3">
      <c r="A1473" t="s">
        <v>6</v>
      </c>
      <c r="B1473" t="str">
        <f>"10/11/2005 00:00"</f>
        <v>10/11/2005 00:00</v>
      </c>
      <c r="C1473">
        <v>61.4</v>
      </c>
      <c r="D1473" t="s">
        <v>7</v>
      </c>
      <c r="E1473" s="2" t="s">
        <v>12</v>
      </c>
      <c r="F1473">
        <f t="shared" si="22"/>
        <v>121.75620000000001</v>
      </c>
      <c r="G1473" t="s">
        <v>16</v>
      </c>
      <c r="J1473" t="str">
        <f>"10/11/2005 23:45"</f>
        <v>10/11/2005 23:45</v>
      </c>
    </row>
    <row r="1474" spans="1:10" x14ac:dyDescent="0.3">
      <c r="A1474" t="s">
        <v>6</v>
      </c>
      <c r="B1474" t="str">
        <f>"10/12/2005 00:00"</f>
        <v>10/12/2005 00:00</v>
      </c>
      <c r="C1474">
        <v>50.1</v>
      </c>
      <c r="D1474" t="s">
        <v>7</v>
      </c>
      <c r="E1474" s="2" t="s">
        <v>12</v>
      </c>
      <c r="F1474">
        <f t="shared" si="22"/>
        <v>99.348300000000009</v>
      </c>
      <c r="G1474" t="s">
        <v>16</v>
      </c>
      <c r="J1474" t="str">
        <f>"10/12/2005 23:45"</f>
        <v>10/12/2005 23:45</v>
      </c>
    </row>
    <row r="1475" spans="1:10" x14ac:dyDescent="0.3">
      <c r="A1475" t="s">
        <v>6</v>
      </c>
      <c r="B1475" t="str">
        <f>"10/13/2005 00:00"</f>
        <v>10/13/2005 00:00</v>
      </c>
      <c r="C1475">
        <v>51.7</v>
      </c>
      <c r="D1475" t="s">
        <v>7</v>
      </c>
      <c r="E1475" s="2" t="s">
        <v>12</v>
      </c>
      <c r="F1475">
        <f t="shared" si="22"/>
        <v>102.5211</v>
      </c>
      <c r="G1475" t="s">
        <v>16</v>
      </c>
      <c r="J1475" t="str">
        <f>"10/13/2005 23:45"</f>
        <v>10/13/2005 23:45</v>
      </c>
    </row>
    <row r="1476" spans="1:10" x14ac:dyDescent="0.3">
      <c r="A1476" t="s">
        <v>6</v>
      </c>
      <c r="B1476" t="str">
        <f>"10/14/2005 00:00"</f>
        <v>10/14/2005 00:00</v>
      </c>
      <c r="C1476">
        <v>52.5</v>
      </c>
      <c r="D1476" t="s">
        <v>7</v>
      </c>
      <c r="E1476" s="2" t="s">
        <v>12</v>
      </c>
      <c r="F1476">
        <f t="shared" ref="F1476:F1539" si="23">C1476*1.983</f>
        <v>104.1075</v>
      </c>
      <c r="G1476" t="s">
        <v>16</v>
      </c>
      <c r="J1476" t="str">
        <f>"10/14/2005 23:45"</f>
        <v>10/14/2005 23:45</v>
      </c>
    </row>
    <row r="1477" spans="1:10" x14ac:dyDescent="0.3">
      <c r="A1477" t="s">
        <v>6</v>
      </c>
      <c r="B1477" t="str">
        <f>"10/15/2005 00:00"</f>
        <v>10/15/2005 00:00</v>
      </c>
      <c r="C1477">
        <v>51.1</v>
      </c>
      <c r="D1477" t="s">
        <v>7</v>
      </c>
      <c r="E1477" s="2" t="s">
        <v>12</v>
      </c>
      <c r="F1477">
        <f t="shared" si="23"/>
        <v>101.33130000000001</v>
      </c>
      <c r="G1477" t="s">
        <v>16</v>
      </c>
      <c r="J1477" t="str">
        <f>"10/15/2005 23:45"</f>
        <v>10/15/2005 23:45</v>
      </c>
    </row>
    <row r="1478" spans="1:10" x14ac:dyDescent="0.3">
      <c r="A1478" t="s">
        <v>6</v>
      </c>
      <c r="B1478" t="str">
        <f>"10/16/2005 00:00"</f>
        <v>10/16/2005 00:00</v>
      </c>
      <c r="C1478">
        <v>51.2</v>
      </c>
      <c r="D1478" t="s">
        <v>7</v>
      </c>
      <c r="E1478" s="2" t="s">
        <v>12</v>
      </c>
      <c r="F1478">
        <f t="shared" si="23"/>
        <v>101.52960000000002</v>
      </c>
      <c r="G1478" t="s">
        <v>16</v>
      </c>
      <c r="J1478" t="str">
        <f>"10/16/2005 23:45"</f>
        <v>10/16/2005 23:45</v>
      </c>
    </row>
    <row r="1479" spans="1:10" x14ac:dyDescent="0.3">
      <c r="A1479" t="s">
        <v>6</v>
      </c>
      <c r="B1479" t="str">
        <f>"10/17/2005 00:00"</f>
        <v>10/17/2005 00:00</v>
      </c>
      <c r="C1479">
        <v>76.2</v>
      </c>
      <c r="D1479" t="s">
        <v>7</v>
      </c>
      <c r="E1479" s="2" t="s">
        <v>12</v>
      </c>
      <c r="F1479">
        <f t="shared" si="23"/>
        <v>151.1046</v>
      </c>
      <c r="G1479" t="s">
        <v>16</v>
      </c>
      <c r="J1479" t="str">
        <f>"10/17/2005 23:45"</f>
        <v>10/17/2005 23:45</v>
      </c>
    </row>
    <row r="1480" spans="1:10" x14ac:dyDescent="0.3">
      <c r="A1480" t="s">
        <v>6</v>
      </c>
      <c r="B1480" t="str">
        <f>"10/18/2005 00:00"</f>
        <v>10/18/2005 00:00</v>
      </c>
      <c r="C1480">
        <v>98.7</v>
      </c>
      <c r="D1480" t="s">
        <v>7</v>
      </c>
      <c r="E1480" s="2" t="s">
        <v>12</v>
      </c>
      <c r="F1480">
        <f t="shared" si="23"/>
        <v>195.72210000000001</v>
      </c>
      <c r="G1480" t="s">
        <v>16</v>
      </c>
      <c r="J1480" t="str">
        <f>"10/18/2005 23:45"</f>
        <v>10/18/2005 23:45</v>
      </c>
    </row>
    <row r="1481" spans="1:10" x14ac:dyDescent="0.3">
      <c r="A1481" t="s">
        <v>6</v>
      </c>
      <c r="B1481" t="str">
        <f>"10/19/2005 00:00"</f>
        <v>10/19/2005 00:00</v>
      </c>
      <c r="C1481">
        <v>99</v>
      </c>
      <c r="D1481" t="s">
        <v>7</v>
      </c>
      <c r="E1481" s="2" t="s">
        <v>12</v>
      </c>
      <c r="F1481">
        <f t="shared" si="23"/>
        <v>196.31700000000001</v>
      </c>
      <c r="G1481" t="s">
        <v>16</v>
      </c>
      <c r="J1481" t="str">
        <f>"10/19/2005 23:45"</f>
        <v>10/19/2005 23:45</v>
      </c>
    </row>
    <row r="1482" spans="1:10" x14ac:dyDescent="0.3">
      <c r="A1482" t="s">
        <v>6</v>
      </c>
      <c r="B1482" t="str">
        <f>"10/20/2005 00:00"</f>
        <v>10/20/2005 00:00</v>
      </c>
      <c r="C1482">
        <v>99.3</v>
      </c>
      <c r="D1482" t="s">
        <v>7</v>
      </c>
      <c r="E1482" s="2" t="s">
        <v>12</v>
      </c>
      <c r="F1482">
        <f t="shared" si="23"/>
        <v>196.9119</v>
      </c>
      <c r="G1482" t="s">
        <v>16</v>
      </c>
      <c r="J1482" t="str">
        <f>"10/20/2005 23:45"</f>
        <v>10/20/2005 23:45</v>
      </c>
    </row>
    <row r="1483" spans="1:10" x14ac:dyDescent="0.3">
      <c r="A1483" t="s">
        <v>6</v>
      </c>
      <c r="B1483" t="str">
        <f>"10/21/2005 00:00"</f>
        <v>10/21/2005 00:00</v>
      </c>
      <c r="C1483">
        <v>99.2</v>
      </c>
      <c r="D1483" t="s">
        <v>7</v>
      </c>
      <c r="E1483" s="2" t="s">
        <v>12</v>
      </c>
      <c r="F1483">
        <f t="shared" si="23"/>
        <v>196.71360000000001</v>
      </c>
      <c r="G1483" t="s">
        <v>16</v>
      </c>
      <c r="J1483" t="str">
        <f>"10/21/2005 23:45"</f>
        <v>10/21/2005 23:45</v>
      </c>
    </row>
    <row r="1484" spans="1:10" x14ac:dyDescent="0.3">
      <c r="A1484" t="s">
        <v>6</v>
      </c>
      <c r="B1484" t="str">
        <f>"10/22/2005 00:00"</f>
        <v>10/22/2005 00:00</v>
      </c>
      <c r="C1484">
        <v>99.7</v>
      </c>
      <c r="D1484" t="s">
        <v>7</v>
      </c>
      <c r="E1484" s="2" t="s">
        <v>12</v>
      </c>
      <c r="F1484">
        <f t="shared" si="23"/>
        <v>197.70510000000002</v>
      </c>
      <c r="G1484" t="s">
        <v>16</v>
      </c>
      <c r="J1484" t="str">
        <f>"10/22/2005 23:45"</f>
        <v>10/22/2005 23:45</v>
      </c>
    </row>
    <row r="1485" spans="1:10" x14ac:dyDescent="0.3">
      <c r="A1485" t="s">
        <v>6</v>
      </c>
      <c r="B1485" t="str">
        <f>"10/23/2005 00:00"</f>
        <v>10/23/2005 00:00</v>
      </c>
      <c r="C1485">
        <v>101</v>
      </c>
      <c r="D1485" t="s">
        <v>7</v>
      </c>
      <c r="E1485" s="2" t="s">
        <v>12</v>
      </c>
      <c r="F1485">
        <f t="shared" si="23"/>
        <v>200.28300000000002</v>
      </c>
      <c r="G1485" t="s">
        <v>16</v>
      </c>
      <c r="J1485" t="str">
        <f>"10/23/2005 23:45"</f>
        <v>10/23/2005 23:45</v>
      </c>
    </row>
    <row r="1486" spans="1:10" x14ac:dyDescent="0.3">
      <c r="A1486" t="s">
        <v>6</v>
      </c>
      <c r="B1486" t="str">
        <f>"10/24/2005 00:00"</f>
        <v>10/24/2005 00:00</v>
      </c>
      <c r="C1486">
        <v>101</v>
      </c>
      <c r="D1486" t="s">
        <v>7</v>
      </c>
      <c r="E1486" s="2" t="s">
        <v>12</v>
      </c>
      <c r="F1486">
        <f t="shared" si="23"/>
        <v>200.28300000000002</v>
      </c>
      <c r="G1486" t="s">
        <v>16</v>
      </c>
      <c r="J1486" t="str">
        <f>"10/24/2005 23:45"</f>
        <v>10/24/2005 23:45</v>
      </c>
    </row>
    <row r="1487" spans="1:10" x14ac:dyDescent="0.3">
      <c r="A1487" t="s">
        <v>6</v>
      </c>
      <c r="B1487" t="str">
        <f>"10/25/2005 00:00"</f>
        <v>10/25/2005 00:00</v>
      </c>
      <c r="C1487">
        <v>101</v>
      </c>
      <c r="D1487" t="s">
        <v>7</v>
      </c>
      <c r="E1487" s="2" t="s">
        <v>12</v>
      </c>
      <c r="F1487">
        <f t="shared" si="23"/>
        <v>200.28300000000002</v>
      </c>
      <c r="G1487" t="s">
        <v>16</v>
      </c>
      <c r="J1487" t="str">
        <f>"10/25/2005 23:45"</f>
        <v>10/25/2005 23:45</v>
      </c>
    </row>
    <row r="1488" spans="1:10" x14ac:dyDescent="0.3">
      <c r="A1488" t="s">
        <v>6</v>
      </c>
      <c r="B1488" t="str">
        <f>"10/26/2005 00:00"</f>
        <v>10/26/2005 00:00</v>
      </c>
      <c r="C1488">
        <v>101</v>
      </c>
      <c r="D1488" t="s">
        <v>7</v>
      </c>
      <c r="E1488" s="2" t="s">
        <v>12</v>
      </c>
      <c r="F1488">
        <f t="shared" si="23"/>
        <v>200.28300000000002</v>
      </c>
      <c r="G1488" t="s">
        <v>16</v>
      </c>
      <c r="J1488" t="str">
        <f>"10/26/2005 23:45"</f>
        <v>10/26/2005 23:45</v>
      </c>
    </row>
    <row r="1489" spans="1:10" x14ac:dyDescent="0.3">
      <c r="A1489" t="s">
        <v>6</v>
      </c>
      <c r="B1489" t="str">
        <f>"10/27/2005 00:00"</f>
        <v>10/27/2005 00:00</v>
      </c>
      <c r="C1489">
        <v>101</v>
      </c>
      <c r="D1489" t="s">
        <v>7</v>
      </c>
      <c r="E1489" s="2" t="s">
        <v>12</v>
      </c>
      <c r="F1489">
        <f t="shared" si="23"/>
        <v>200.28300000000002</v>
      </c>
      <c r="G1489" t="s">
        <v>16</v>
      </c>
      <c r="J1489" t="str">
        <f>"10/27/2005 23:45"</f>
        <v>10/27/2005 23:45</v>
      </c>
    </row>
    <row r="1490" spans="1:10" x14ac:dyDescent="0.3">
      <c r="A1490" t="s">
        <v>6</v>
      </c>
      <c r="B1490" t="str">
        <f>"10/28/2005 00:00"</f>
        <v>10/28/2005 00:00</v>
      </c>
      <c r="C1490">
        <v>101</v>
      </c>
      <c r="D1490" t="s">
        <v>7</v>
      </c>
      <c r="E1490" s="2" t="s">
        <v>12</v>
      </c>
      <c r="F1490">
        <f t="shared" si="23"/>
        <v>200.28300000000002</v>
      </c>
      <c r="G1490" t="s">
        <v>16</v>
      </c>
      <c r="J1490" t="str">
        <f>"10/28/2005 23:45"</f>
        <v>10/28/2005 23:45</v>
      </c>
    </row>
    <row r="1491" spans="1:10" x14ac:dyDescent="0.3">
      <c r="A1491" t="s">
        <v>6</v>
      </c>
      <c r="B1491" t="str">
        <f>"10/29/2005 00:00"</f>
        <v>10/29/2005 00:00</v>
      </c>
      <c r="C1491">
        <v>101</v>
      </c>
      <c r="D1491" t="s">
        <v>7</v>
      </c>
      <c r="E1491" s="2" t="s">
        <v>12</v>
      </c>
      <c r="F1491">
        <f t="shared" si="23"/>
        <v>200.28300000000002</v>
      </c>
      <c r="G1491" t="s">
        <v>16</v>
      </c>
      <c r="J1491" t="str">
        <f>"10/29/2005 23:45"</f>
        <v>10/29/2005 23:45</v>
      </c>
    </row>
    <row r="1492" spans="1:10" x14ac:dyDescent="0.3">
      <c r="A1492" t="s">
        <v>6</v>
      </c>
      <c r="B1492" t="str">
        <f>"10/30/2005 00:00"</f>
        <v>10/30/2005 00:00</v>
      </c>
      <c r="C1492">
        <v>100</v>
      </c>
      <c r="D1492" t="s">
        <v>7</v>
      </c>
      <c r="E1492" s="2" t="s">
        <v>12</v>
      </c>
      <c r="F1492">
        <f t="shared" si="23"/>
        <v>198.3</v>
      </c>
      <c r="G1492" t="s">
        <v>16</v>
      </c>
      <c r="J1492" t="str">
        <f>"10/30/2005 23:45"</f>
        <v>10/30/2005 23:45</v>
      </c>
    </row>
    <row r="1493" spans="1:10" x14ac:dyDescent="0.3">
      <c r="A1493" t="s">
        <v>6</v>
      </c>
      <c r="B1493" t="str">
        <f>"10/31/2005 00:00"</f>
        <v>10/31/2005 00:00</v>
      </c>
      <c r="C1493">
        <v>98.5</v>
      </c>
      <c r="D1493" t="s">
        <v>7</v>
      </c>
      <c r="E1493" s="2" t="s">
        <v>12</v>
      </c>
      <c r="F1493">
        <f t="shared" si="23"/>
        <v>195.32550000000001</v>
      </c>
      <c r="G1493" t="s">
        <v>16</v>
      </c>
      <c r="J1493" t="str">
        <f>"10/31/2005 23:45"</f>
        <v>10/31/2005 23:45</v>
      </c>
    </row>
    <row r="1494" spans="1:10" x14ac:dyDescent="0.3">
      <c r="A1494" t="s">
        <v>6</v>
      </c>
      <c r="B1494" t="str">
        <f>"11/01/2005 00:00"</f>
        <v>11/01/2005 00:00</v>
      </c>
      <c r="C1494">
        <v>98</v>
      </c>
      <c r="D1494" t="s">
        <v>7</v>
      </c>
      <c r="E1494" s="2" t="s">
        <v>12</v>
      </c>
      <c r="F1494">
        <f t="shared" si="23"/>
        <v>194.334</v>
      </c>
      <c r="G1494" t="s">
        <v>16</v>
      </c>
      <c r="J1494" t="str">
        <f>"11/01/2005 23:45"</f>
        <v>11/01/2005 23:45</v>
      </c>
    </row>
    <row r="1495" spans="1:10" x14ac:dyDescent="0.3">
      <c r="A1495" t="s">
        <v>6</v>
      </c>
      <c r="B1495" t="str">
        <f>"11/02/2005 00:00"</f>
        <v>11/02/2005 00:00</v>
      </c>
      <c r="C1495">
        <v>98.4</v>
      </c>
      <c r="D1495" t="s">
        <v>7</v>
      </c>
      <c r="E1495" s="2" t="s">
        <v>12</v>
      </c>
      <c r="F1495">
        <f t="shared" si="23"/>
        <v>195.12720000000002</v>
      </c>
      <c r="G1495" t="s">
        <v>16</v>
      </c>
      <c r="J1495" t="str">
        <f>"11/02/2005 23:45"</f>
        <v>11/02/2005 23:45</v>
      </c>
    </row>
    <row r="1496" spans="1:10" x14ac:dyDescent="0.3">
      <c r="A1496" t="s">
        <v>6</v>
      </c>
      <c r="B1496" t="str">
        <f>"11/03/2005 00:00"</f>
        <v>11/03/2005 00:00</v>
      </c>
      <c r="C1496">
        <v>99.4</v>
      </c>
      <c r="D1496" t="s">
        <v>7</v>
      </c>
      <c r="E1496" s="2" t="s">
        <v>12</v>
      </c>
      <c r="F1496">
        <f t="shared" si="23"/>
        <v>197.11020000000002</v>
      </c>
      <c r="G1496" t="s">
        <v>16</v>
      </c>
      <c r="J1496" t="str">
        <f>"11/03/2005 23:45"</f>
        <v>11/03/2005 23:45</v>
      </c>
    </row>
    <row r="1497" spans="1:10" x14ac:dyDescent="0.3">
      <c r="A1497" t="s">
        <v>6</v>
      </c>
      <c r="B1497" t="str">
        <f>"11/04/2005 00:00"</f>
        <v>11/04/2005 00:00</v>
      </c>
      <c r="C1497">
        <v>76.400000000000006</v>
      </c>
      <c r="D1497" t="s">
        <v>7</v>
      </c>
      <c r="E1497" s="2" t="s">
        <v>12</v>
      </c>
      <c r="F1497">
        <f t="shared" si="23"/>
        <v>151.50120000000001</v>
      </c>
      <c r="G1497" t="s">
        <v>16</v>
      </c>
      <c r="J1497" t="str">
        <f>"11/04/2005 23:45"</f>
        <v>11/04/2005 23:45</v>
      </c>
    </row>
    <row r="1498" spans="1:10" x14ac:dyDescent="0.3">
      <c r="A1498" t="s">
        <v>6</v>
      </c>
      <c r="B1498" t="str">
        <f>"11/05/2005 00:00"</f>
        <v>11/05/2005 00:00</v>
      </c>
      <c r="C1498">
        <v>60.2</v>
      </c>
      <c r="D1498" t="s">
        <v>7</v>
      </c>
      <c r="E1498" s="2" t="s">
        <v>12</v>
      </c>
      <c r="F1498">
        <f t="shared" si="23"/>
        <v>119.37660000000001</v>
      </c>
      <c r="G1498" t="s">
        <v>16</v>
      </c>
      <c r="J1498" t="str">
        <f>"11/05/2005 23:45"</f>
        <v>11/05/2005 23:45</v>
      </c>
    </row>
    <row r="1499" spans="1:10" x14ac:dyDescent="0.3">
      <c r="A1499" t="s">
        <v>6</v>
      </c>
      <c r="B1499" t="str">
        <f>"11/06/2005 00:00"</f>
        <v>11/06/2005 00:00</v>
      </c>
      <c r="C1499">
        <v>60.7</v>
      </c>
      <c r="D1499" t="s">
        <v>7</v>
      </c>
      <c r="E1499" s="2" t="s">
        <v>12</v>
      </c>
      <c r="F1499">
        <f t="shared" si="23"/>
        <v>120.36810000000001</v>
      </c>
      <c r="G1499" t="s">
        <v>16</v>
      </c>
      <c r="J1499" t="str">
        <f>"11/06/2005 23:45"</f>
        <v>11/06/2005 23:45</v>
      </c>
    </row>
    <row r="1500" spans="1:10" x14ac:dyDescent="0.3">
      <c r="A1500" t="s">
        <v>6</v>
      </c>
      <c r="B1500" t="str">
        <f>"11/07/2005 00:00"</f>
        <v>11/07/2005 00:00</v>
      </c>
      <c r="C1500">
        <v>60.8</v>
      </c>
      <c r="D1500" t="s">
        <v>7</v>
      </c>
      <c r="E1500" s="2" t="s">
        <v>12</v>
      </c>
      <c r="F1500">
        <f t="shared" si="23"/>
        <v>120.5664</v>
      </c>
      <c r="G1500" t="s">
        <v>16</v>
      </c>
      <c r="J1500" t="str">
        <f>"11/07/2005 23:45"</f>
        <v>11/07/2005 23:45</v>
      </c>
    </row>
    <row r="1501" spans="1:10" x14ac:dyDescent="0.3">
      <c r="A1501" t="s">
        <v>6</v>
      </c>
      <c r="B1501" t="str">
        <f>"11/08/2005 00:00"</f>
        <v>11/08/2005 00:00</v>
      </c>
      <c r="C1501">
        <v>42.1</v>
      </c>
      <c r="D1501" t="s">
        <v>7</v>
      </c>
      <c r="E1501" s="2" t="s">
        <v>12</v>
      </c>
      <c r="F1501">
        <f t="shared" si="23"/>
        <v>83.484300000000005</v>
      </c>
      <c r="G1501" t="s">
        <v>16</v>
      </c>
      <c r="J1501" t="str">
        <f>"11/08/2005 23:45"</f>
        <v>11/08/2005 23:45</v>
      </c>
    </row>
    <row r="1502" spans="1:10" x14ac:dyDescent="0.3">
      <c r="A1502" t="s">
        <v>6</v>
      </c>
      <c r="B1502" t="str">
        <f>"11/09/2005 00:00"</f>
        <v>11/09/2005 00:00</v>
      </c>
      <c r="C1502">
        <v>29.7</v>
      </c>
      <c r="D1502" t="s">
        <v>7</v>
      </c>
      <c r="E1502" s="2" t="s">
        <v>12</v>
      </c>
      <c r="F1502">
        <f t="shared" si="23"/>
        <v>58.895099999999999</v>
      </c>
      <c r="G1502" t="s">
        <v>16</v>
      </c>
      <c r="J1502" t="str">
        <f>"11/09/2005 23:45"</f>
        <v>11/09/2005 23:45</v>
      </c>
    </row>
    <row r="1503" spans="1:10" x14ac:dyDescent="0.3">
      <c r="A1503" t="s">
        <v>6</v>
      </c>
      <c r="B1503" t="str">
        <f>"11/10/2005 00:00"</f>
        <v>11/10/2005 00:00</v>
      </c>
      <c r="C1503">
        <v>30.2</v>
      </c>
      <c r="D1503" t="s">
        <v>7</v>
      </c>
      <c r="E1503" s="2" t="s">
        <v>12</v>
      </c>
      <c r="F1503">
        <f t="shared" si="23"/>
        <v>59.886600000000001</v>
      </c>
      <c r="G1503" t="s">
        <v>16</v>
      </c>
      <c r="J1503" t="str">
        <f>"11/10/2005 23:45"</f>
        <v>11/10/2005 23:45</v>
      </c>
    </row>
    <row r="1504" spans="1:10" x14ac:dyDescent="0.3">
      <c r="A1504" t="s">
        <v>6</v>
      </c>
      <c r="B1504" t="str">
        <f>"11/11/2005 00:00"</f>
        <v>11/11/2005 00:00</v>
      </c>
      <c r="C1504">
        <v>30.2</v>
      </c>
      <c r="D1504" t="s">
        <v>7</v>
      </c>
      <c r="E1504" s="2" t="s">
        <v>12</v>
      </c>
      <c r="F1504">
        <f t="shared" si="23"/>
        <v>59.886600000000001</v>
      </c>
      <c r="G1504" t="s">
        <v>16</v>
      </c>
      <c r="J1504" t="str">
        <f>"11/11/2005 23:45"</f>
        <v>11/11/2005 23:45</v>
      </c>
    </row>
    <row r="1505" spans="1:10" x14ac:dyDescent="0.3">
      <c r="A1505" t="s">
        <v>6</v>
      </c>
      <c r="B1505" t="str">
        <f>"11/12/2005 00:00"</f>
        <v>11/12/2005 00:00</v>
      </c>
      <c r="C1505">
        <v>30.2</v>
      </c>
      <c r="D1505" t="s">
        <v>7</v>
      </c>
      <c r="E1505" s="2" t="s">
        <v>12</v>
      </c>
      <c r="F1505">
        <f t="shared" si="23"/>
        <v>59.886600000000001</v>
      </c>
      <c r="G1505" t="s">
        <v>16</v>
      </c>
      <c r="J1505" t="str">
        <f>"11/12/2005 23:45"</f>
        <v>11/12/2005 23:45</v>
      </c>
    </row>
    <row r="1506" spans="1:10" x14ac:dyDescent="0.3">
      <c r="A1506" t="s">
        <v>6</v>
      </c>
      <c r="B1506" t="str">
        <f>"11/13/2005 00:00"</f>
        <v>11/13/2005 00:00</v>
      </c>
      <c r="C1506">
        <v>30.2</v>
      </c>
      <c r="D1506" t="s">
        <v>7</v>
      </c>
      <c r="E1506" s="2" t="s">
        <v>12</v>
      </c>
      <c r="F1506">
        <f t="shared" si="23"/>
        <v>59.886600000000001</v>
      </c>
      <c r="G1506" t="s">
        <v>16</v>
      </c>
      <c r="J1506" t="str">
        <f>"11/13/2005 23:45"</f>
        <v>11/13/2005 23:45</v>
      </c>
    </row>
    <row r="1507" spans="1:10" x14ac:dyDescent="0.3">
      <c r="A1507" t="s">
        <v>6</v>
      </c>
      <c r="B1507" t="str">
        <f>"11/14/2005 00:00"</f>
        <v>11/14/2005 00:00</v>
      </c>
      <c r="C1507">
        <v>30.2</v>
      </c>
      <c r="D1507" t="s">
        <v>7</v>
      </c>
      <c r="E1507" s="2" t="s">
        <v>12</v>
      </c>
      <c r="F1507">
        <f t="shared" si="23"/>
        <v>59.886600000000001</v>
      </c>
      <c r="G1507" t="s">
        <v>16</v>
      </c>
      <c r="J1507" t="str">
        <f>"11/14/2005 23:45"</f>
        <v>11/14/2005 23:45</v>
      </c>
    </row>
    <row r="1508" spans="1:10" x14ac:dyDescent="0.3">
      <c r="A1508" t="s">
        <v>6</v>
      </c>
      <c r="B1508" t="str">
        <f>"11/15/2005 00:00"</f>
        <v>11/15/2005 00:00</v>
      </c>
      <c r="C1508">
        <v>30.2</v>
      </c>
      <c r="D1508" t="s">
        <v>7</v>
      </c>
      <c r="E1508" s="2" t="s">
        <v>12</v>
      </c>
      <c r="F1508">
        <f t="shared" si="23"/>
        <v>59.886600000000001</v>
      </c>
      <c r="G1508" t="s">
        <v>16</v>
      </c>
      <c r="J1508" t="str">
        <f>"11/15/2005 23:45"</f>
        <v>11/15/2005 23:45</v>
      </c>
    </row>
    <row r="1509" spans="1:10" x14ac:dyDescent="0.3">
      <c r="A1509" t="s">
        <v>6</v>
      </c>
      <c r="B1509" t="str">
        <f>"11/16/2005 00:00"</f>
        <v>11/16/2005 00:00</v>
      </c>
      <c r="C1509">
        <v>30.3</v>
      </c>
      <c r="D1509" t="s">
        <v>7</v>
      </c>
      <c r="E1509" s="2" t="s">
        <v>12</v>
      </c>
      <c r="F1509">
        <f t="shared" si="23"/>
        <v>60.084900000000005</v>
      </c>
      <c r="G1509" t="s">
        <v>16</v>
      </c>
      <c r="J1509" t="str">
        <f>"11/16/2005 23:45"</f>
        <v>11/16/2005 23:45</v>
      </c>
    </row>
    <row r="1510" spans="1:10" x14ac:dyDescent="0.3">
      <c r="A1510" t="s">
        <v>6</v>
      </c>
      <c r="B1510" t="str">
        <f>"11/17/2005 00:00"</f>
        <v>11/17/2005 00:00</v>
      </c>
      <c r="C1510">
        <v>29.8</v>
      </c>
      <c r="D1510" t="s">
        <v>7</v>
      </c>
      <c r="E1510" s="2" t="s">
        <v>12</v>
      </c>
      <c r="F1510">
        <f t="shared" si="23"/>
        <v>59.093400000000003</v>
      </c>
      <c r="G1510" t="s">
        <v>16</v>
      </c>
      <c r="J1510" t="str">
        <f>"11/17/2005 23:45"</f>
        <v>11/17/2005 23:45</v>
      </c>
    </row>
    <row r="1511" spans="1:10" x14ac:dyDescent="0.3">
      <c r="A1511" t="s">
        <v>6</v>
      </c>
      <c r="B1511" t="str">
        <f>"11/18/2005 00:00"</f>
        <v>11/18/2005 00:00</v>
      </c>
      <c r="C1511">
        <v>26.8</v>
      </c>
      <c r="D1511" t="s">
        <v>7</v>
      </c>
      <c r="E1511" s="2" t="s">
        <v>12</v>
      </c>
      <c r="F1511">
        <f t="shared" si="23"/>
        <v>53.144400000000005</v>
      </c>
      <c r="G1511" t="s">
        <v>16</v>
      </c>
      <c r="J1511" t="str">
        <f>"11/18/2005 23:45"</f>
        <v>11/18/2005 23:45</v>
      </c>
    </row>
    <row r="1512" spans="1:10" x14ac:dyDescent="0.3">
      <c r="A1512" t="s">
        <v>6</v>
      </c>
      <c r="B1512" t="str">
        <f>"11/19/2005 00:00"</f>
        <v>11/19/2005 00:00</v>
      </c>
      <c r="C1512">
        <v>26.9</v>
      </c>
      <c r="D1512" t="s">
        <v>7</v>
      </c>
      <c r="E1512" s="2" t="s">
        <v>12</v>
      </c>
      <c r="F1512">
        <f t="shared" si="23"/>
        <v>53.342700000000001</v>
      </c>
      <c r="G1512" t="s">
        <v>16</v>
      </c>
      <c r="J1512" t="str">
        <f>"11/19/2005 23:45"</f>
        <v>11/19/2005 23:45</v>
      </c>
    </row>
    <row r="1513" spans="1:10" x14ac:dyDescent="0.3">
      <c r="A1513" t="s">
        <v>6</v>
      </c>
      <c r="B1513" t="str">
        <f>"11/20/2005 00:00"</f>
        <v>11/20/2005 00:00</v>
      </c>
      <c r="C1513">
        <v>27.4</v>
      </c>
      <c r="D1513" t="s">
        <v>7</v>
      </c>
      <c r="E1513" s="2" t="s">
        <v>12</v>
      </c>
      <c r="F1513">
        <f t="shared" si="23"/>
        <v>54.334200000000003</v>
      </c>
      <c r="G1513" t="s">
        <v>16</v>
      </c>
      <c r="J1513" t="str">
        <f>"11/20/2005 23:45"</f>
        <v>11/20/2005 23:45</v>
      </c>
    </row>
    <row r="1514" spans="1:10" x14ac:dyDescent="0.3">
      <c r="A1514" t="s">
        <v>6</v>
      </c>
      <c r="B1514" t="str">
        <f>"11/21/2005 00:00"</f>
        <v>11/21/2005 00:00</v>
      </c>
      <c r="C1514">
        <v>27.5</v>
      </c>
      <c r="D1514" t="s">
        <v>7</v>
      </c>
      <c r="E1514" s="2" t="s">
        <v>12</v>
      </c>
      <c r="F1514">
        <f t="shared" si="23"/>
        <v>54.532500000000006</v>
      </c>
      <c r="G1514" t="s">
        <v>16</v>
      </c>
      <c r="J1514" t="str">
        <f>"11/21/2005 23:45"</f>
        <v>11/21/2005 23:45</v>
      </c>
    </row>
    <row r="1515" spans="1:10" x14ac:dyDescent="0.3">
      <c r="A1515" t="s">
        <v>6</v>
      </c>
      <c r="B1515" t="str">
        <f>"11/22/2005 00:00"</f>
        <v>11/22/2005 00:00</v>
      </c>
      <c r="C1515">
        <v>27.6</v>
      </c>
      <c r="D1515" t="s">
        <v>7</v>
      </c>
      <c r="E1515" s="2" t="s">
        <v>12</v>
      </c>
      <c r="F1515">
        <f t="shared" si="23"/>
        <v>54.730800000000002</v>
      </c>
      <c r="G1515" t="s">
        <v>16</v>
      </c>
      <c r="J1515" t="str">
        <f>"11/22/2005 23:45"</f>
        <v>11/22/2005 23:45</v>
      </c>
    </row>
    <row r="1516" spans="1:10" x14ac:dyDescent="0.3">
      <c r="A1516" t="s">
        <v>6</v>
      </c>
      <c r="B1516" t="str">
        <f>"11/23/2005 00:00"</f>
        <v>11/23/2005 00:00</v>
      </c>
      <c r="C1516">
        <v>27.6</v>
      </c>
      <c r="D1516" t="s">
        <v>7</v>
      </c>
      <c r="E1516" s="2" t="s">
        <v>12</v>
      </c>
      <c r="F1516">
        <f t="shared" si="23"/>
        <v>54.730800000000002</v>
      </c>
      <c r="G1516" t="s">
        <v>16</v>
      </c>
      <c r="J1516" t="str">
        <f>"11/23/2005 23:45"</f>
        <v>11/23/2005 23:45</v>
      </c>
    </row>
    <row r="1517" spans="1:10" x14ac:dyDescent="0.3">
      <c r="A1517" t="s">
        <v>6</v>
      </c>
      <c r="B1517" t="str">
        <f>"11/24/2005 00:00"</f>
        <v>11/24/2005 00:00</v>
      </c>
      <c r="C1517">
        <v>27.6</v>
      </c>
      <c r="D1517" t="s">
        <v>7</v>
      </c>
      <c r="E1517" s="2" t="s">
        <v>12</v>
      </c>
      <c r="F1517">
        <f t="shared" si="23"/>
        <v>54.730800000000002</v>
      </c>
      <c r="G1517" t="s">
        <v>16</v>
      </c>
      <c r="J1517" t="str">
        <f>"11/24/2005 23:45"</f>
        <v>11/24/2005 23:45</v>
      </c>
    </row>
    <row r="1518" spans="1:10" x14ac:dyDescent="0.3">
      <c r="A1518" t="s">
        <v>6</v>
      </c>
      <c r="B1518" t="str">
        <f>"11/25/2005 00:00"</f>
        <v>11/25/2005 00:00</v>
      </c>
      <c r="C1518">
        <v>27.6</v>
      </c>
      <c r="D1518" t="s">
        <v>7</v>
      </c>
      <c r="E1518" s="2" t="s">
        <v>12</v>
      </c>
      <c r="F1518">
        <f t="shared" si="23"/>
        <v>54.730800000000002</v>
      </c>
      <c r="G1518" t="s">
        <v>16</v>
      </c>
      <c r="J1518" t="str">
        <f>"11/25/2005 23:45"</f>
        <v>11/25/2005 23:45</v>
      </c>
    </row>
    <row r="1519" spans="1:10" x14ac:dyDescent="0.3">
      <c r="A1519" t="s">
        <v>6</v>
      </c>
      <c r="B1519" t="str">
        <f>"11/26/2005 00:00"</f>
        <v>11/26/2005 00:00</v>
      </c>
      <c r="C1519">
        <v>28.9</v>
      </c>
      <c r="D1519" t="s">
        <v>7</v>
      </c>
      <c r="E1519" s="2" t="s">
        <v>12</v>
      </c>
      <c r="F1519">
        <f t="shared" si="23"/>
        <v>57.308700000000002</v>
      </c>
      <c r="G1519" t="s">
        <v>16</v>
      </c>
      <c r="J1519" t="str">
        <f>"11/26/2005 23:45"</f>
        <v>11/26/2005 23:45</v>
      </c>
    </row>
    <row r="1520" spans="1:10" x14ac:dyDescent="0.3">
      <c r="A1520" t="s">
        <v>6</v>
      </c>
      <c r="B1520" t="str">
        <f>"11/27/2005 00:00"</f>
        <v>11/27/2005 00:00</v>
      </c>
      <c r="C1520">
        <v>31.4</v>
      </c>
      <c r="D1520" t="s">
        <v>7</v>
      </c>
      <c r="E1520" s="2" t="s">
        <v>12</v>
      </c>
      <c r="F1520">
        <f t="shared" si="23"/>
        <v>62.266199999999998</v>
      </c>
      <c r="G1520" t="s">
        <v>16</v>
      </c>
      <c r="J1520" t="str">
        <f>"11/27/2005 23:45"</f>
        <v>11/27/2005 23:45</v>
      </c>
    </row>
    <row r="1521" spans="1:10" x14ac:dyDescent="0.3">
      <c r="A1521" t="s">
        <v>6</v>
      </c>
      <c r="B1521" t="str">
        <f>"11/28/2005 00:00"</f>
        <v>11/28/2005 00:00</v>
      </c>
      <c r="C1521">
        <v>31.9</v>
      </c>
      <c r="D1521" t="s">
        <v>7</v>
      </c>
      <c r="E1521" s="2" t="s">
        <v>12</v>
      </c>
      <c r="F1521">
        <f t="shared" si="23"/>
        <v>63.2577</v>
      </c>
      <c r="G1521" t="s">
        <v>16</v>
      </c>
      <c r="J1521" t="str">
        <f>"11/28/2005 23:45"</f>
        <v>11/28/2005 23:45</v>
      </c>
    </row>
    <row r="1522" spans="1:10" x14ac:dyDescent="0.3">
      <c r="A1522" t="s">
        <v>6</v>
      </c>
      <c r="B1522" t="str">
        <f>"11/29/2005 00:00"</f>
        <v>11/29/2005 00:00</v>
      </c>
      <c r="C1522">
        <v>31.9</v>
      </c>
      <c r="D1522" t="s">
        <v>7</v>
      </c>
      <c r="E1522" s="2" t="s">
        <v>12</v>
      </c>
      <c r="F1522">
        <f t="shared" si="23"/>
        <v>63.2577</v>
      </c>
      <c r="G1522" t="s">
        <v>16</v>
      </c>
      <c r="J1522" t="str">
        <f>"11/29/2005 23:45"</f>
        <v>11/29/2005 23:45</v>
      </c>
    </row>
    <row r="1523" spans="1:10" x14ac:dyDescent="0.3">
      <c r="A1523" t="s">
        <v>6</v>
      </c>
      <c r="B1523" t="str">
        <f>"11/30/2005 00:00"</f>
        <v>11/30/2005 00:00</v>
      </c>
      <c r="C1523">
        <v>31.9</v>
      </c>
      <c r="D1523" t="s">
        <v>7</v>
      </c>
      <c r="E1523" s="2" t="s">
        <v>12</v>
      </c>
      <c r="F1523">
        <f t="shared" si="23"/>
        <v>63.2577</v>
      </c>
      <c r="G1523" t="s">
        <v>16</v>
      </c>
      <c r="J1523" t="str">
        <f>"11/30/2005 23:45"</f>
        <v>11/30/2005 23:45</v>
      </c>
    </row>
    <row r="1524" spans="1:10" x14ac:dyDescent="0.3">
      <c r="A1524" t="s">
        <v>6</v>
      </c>
      <c r="B1524" t="str">
        <f>"12/01/2005 00:00"</f>
        <v>12/01/2005 00:00</v>
      </c>
      <c r="C1524">
        <v>31.9</v>
      </c>
      <c r="D1524" t="s">
        <v>7</v>
      </c>
      <c r="E1524" s="2" t="s">
        <v>12</v>
      </c>
      <c r="F1524">
        <f t="shared" si="23"/>
        <v>63.2577</v>
      </c>
      <c r="G1524" t="s">
        <v>16</v>
      </c>
      <c r="J1524" t="str">
        <f>"12/01/2005 23:45"</f>
        <v>12/01/2005 23:45</v>
      </c>
    </row>
    <row r="1525" spans="1:10" x14ac:dyDescent="0.3">
      <c r="A1525" t="s">
        <v>6</v>
      </c>
      <c r="B1525" t="str">
        <f>"12/02/2005 00:00"</f>
        <v>12/02/2005 00:00</v>
      </c>
      <c r="C1525">
        <v>31.9</v>
      </c>
      <c r="D1525" t="s">
        <v>7</v>
      </c>
      <c r="E1525" s="2" t="s">
        <v>12</v>
      </c>
      <c r="F1525">
        <f t="shared" si="23"/>
        <v>63.2577</v>
      </c>
      <c r="G1525" t="s">
        <v>16</v>
      </c>
      <c r="J1525" t="str">
        <f>"12/02/2005 23:45"</f>
        <v>12/02/2005 23:45</v>
      </c>
    </row>
    <row r="1526" spans="1:10" x14ac:dyDescent="0.3">
      <c r="A1526" t="s">
        <v>6</v>
      </c>
      <c r="B1526" t="str">
        <f>"12/03/2005 00:00"</f>
        <v>12/03/2005 00:00</v>
      </c>
      <c r="C1526">
        <v>32.799999999999997</v>
      </c>
      <c r="D1526" t="s">
        <v>7</v>
      </c>
      <c r="E1526" s="2" t="s">
        <v>12</v>
      </c>
      <c r="F1526">
        <f t="shared" si="23"/>
        <v>65.042400000000001</v>
      </c>
      <c r="G1526" t="s">
        <v>16</v>
      </c>
      <c r="J1526" t="str">
        <f>"12/03/2005 23:45"</f>
        <v>12/03/2005 23:45</v>
      </c>
    </row>
    <row r="1527" spans="1:10" x14ac:dyDescent="0.3">
      <c r="A1527" t="s">
        <v>6</v>
      </c>
      <c r="B1527" t="str">
        <f>"12/04/2005 00:00"</f>
        <v>12/04/2005 00:00</v>
      </c>
      <c r="C1527">
        <v>32.200000000000003</v>
      </c>
      <c r="D1527" t="s">
        <v>7</v>
      </c>
      <c r="E1527" s="2" t="s">
        <v>12</v>
      </c>
      <c r="F1527">
        <f t="shared" si="23"/>
        <v>63.85260000000001</v>
      </c>
      <c r="G1527" t="s">
        <v>16</v>
      </c>
      <c r="J1527" t="str">
        <f>"12/04/2005 23:45"</f>
        <v>12/04/2005 23:45</v>
      </c>
    </row>
    <row r="1528" spans="1:10" x14ac:dyDescent="0.3">
      <c r="A1528" t="s">
        <v>6</v>
      </c>
      <c r="B1528" t="str">
        <f>"12/05/2005 00:00"</f>
        <v>12/05/2005 00:00</v>
      </c>
      <c r="C1528">
        <v>31.9</v>
      </c>
      <c r="D1528" t="s">
        <v>7</v>
      </c>
      <c r="E1528" s="2" t="s">
        <v>12</v>
      </c>
      <c r="F1528">
        <f t="shared" si="23"/>
        <v>63.2577</v>
      </c>
      <c r="G1528" t="s">
        <v>16</v>
      </c>
      <c r="J1528" t="str">
        <f>"12/05/2005 23:45"</f>
        <v>12/05/2005 23:45</v>
      </c>
    </row>
    <row r="1529" spans="1:10" x14ac:dyDescent="0.3">
      <c r="A1529" t="s">
        <v>6</v>
      </c>
      <c r="B1529" t="str">
        <f>"12/06/2005 00:00"</f>
        <v>12/06/2005 00:00</v>
      </c>
      <c r="C1529">
        <v>31.9</v>
      </c>
      <c r="D1529" t="s">
        <v>7</v>
      </c>
      <c r="E1529" s="2" t="s">
        <v>12</v>
      </c>
      <c r="F1529">
        <f t="shared" si="23"/>
        <v>63.2577</v>
      </c>
      <c r="G1529" t="s">
        <v>16</v>
      </c>
      <c r="J1529" t="str">
        <f>"12/06/2005 23:45"</f>
        <v>12/06/2005 23:45</v>
      </c>
    </row>
    <row r="1530" spans="1:10" x14ac:dyDescent="0.3">
      <c r="A1530" t="s">
        <v>6</v>
      </c>
      <c r="B1530" t="str">
        <f>"12/07/2005 00:00"</f>
        <v>12/07/2005 00:00</v>
      </c>
      <c r="C1530">
        <v>31.9</v>
      </c>
      <c r="D1530" t="s">
        <v>7</v>
      </c>
      <c r="E1530" s="2" t="s">
        <v>12</v>
      </c>
      <c r="F1530">
        <f t="shared" si="23"/>
        <v>63.2577</v>
      </c>
      <c r="G1530" t="s">
        <v>16</v>
      </c>
      <c r="J1530" t="str">
        <f>"12/07/2005 23:45"</f>
        <v>12/07/2005 23:45</v>
      </c>
    </row>
    <row r="1531" spans="1:10" x14ac:dyDescent="0.3">
      <c r="A1531" t="s">
        <v>6</v>
      </c>
      <c r="B1531" t="str">
        <f>"12/08/2005 00:00"</f>
        <v>12/08/2005 00:00</v>
      </c>
      <c r="C1531">
        <v>31.9</v>
      </c>
      <c r="D1531" t="s">
        <v>7</v>
      </c>
      <c r="E1531" s="2" t="s">
        <v>12</v>
      </c>
      <c r="F1531">
        <f t="shared" si="23"/>
        <v>63.2577</v>
      </c>
      <c r="G1531" t="s">
        <v>16</v>
      </c>
      <c r="J1531" t="str">
        <f>"12/08/2005 23:45"</f>
        <v>12/08/2005 23:45</v>
      </c>
    </row>
    <row r="1532" spans="1:10" x14ac:dyDescent="0.3">
      <c r="A1532" t="s">
        <v>6</v>
      </c>
      <c r="B1532" t="str">
        <f>"12/09/2005 00:00"</f>
        <v>12/09/2005 00:00</v>
      </c>
      <c r="C1532">
        <v>31.9</v>
      </c>
      <c r="D1532" t="s">
        <v>7</v>
      </c>
      <c r="E1532" s="2" t="s">
        <v>12</v>
      </c>
      <c r="F1532">
        <f t="shared" si="23"/>
        <v>63.2577</v>
      </c>
      <c r="G1532" t="s">
        <v>16</v>
      </c>
      <c r="J1532" t="str">
        <f>"12/09/2005 23:45"</f>
        <v>12/09/2005 23:45</v>
      </c>
    </row>
    <row r="1533" spans="1:10" x14ac:dyDescent="0.3">
      <c r="A1533" t="s">
        <v>6</v>
      </c>
      <c r="B1533" t="str">
        <f>"12/10/2005 00:00"</f>
        <v>12/10/2005 00:00</v>
      </c>
      <c r="C1533">
        <v>32</v>
      </c>
      <c r="D1533" t="s">
        <v>7</v>
      </c>
      <c r="E1533" s="2" t="s">
        <v>12</v>
      </c>
      <c r="F1533">
        <f t="shared" si="23"/>
        <v>63.456000000000003</v>
      </c>
      <c r="G1533" t="s">
        <v>16</v>
      </c>
      <c r="J1533" t="str">
        <f>"12/10/2005 23:45"</f>
        <v>12/10/2005 23:45</v>
      </c>
    </row>
    <row r="1534" spans="1:10" x14ac:dyDescent="0.3">
      <c r="A1534" t="s">
        <v>6</v>
      </c>
      <c r="B1534" t="str">
        <f>"12/11/2005 00:00"</f>
        <v>12/11/2005 00:00</v>
      </c>
      <c r="C1534">
        <v>32.200000000000003</v>
      </c>
      <c r="D1534" t="s">
        <v>7</v>
      </c>
      <c r="E1534" s="2" t="s">
        <v>12</v>
      </c>
      <c r="F1534">
        <f t="shared" si="23"/>
        <v>63.85260000000001</v>
      </c>
      <c r="G1534" t="s">
        <v>16</v>
      </c>
      <c r="J1534" t="str">
        <f>"12/11/2005 23:45"</f>
        <v>12/11/2005 23:45</v>
      </c>
    </row>
    <row r="1535" spans="1:10" x14ac:dyDescent="0.3">
      <c r="A1535" t="s">
        <v>6</v>
      </c>
      <c r="B1535" t="str">
        <f>"12/12/2005 00:00"</f>
        <v>12/12/2005 00:00</v>
      </c>
      <c r="C1535">
        <v>32.200000000000003</v>
      </c>
      <c r="D1535" t="s">
        <v>7</v>
      </c>
      <c r="E1535" s="2" t="s">
        <v>12</v>
      </c>
      <c r="F1535">
        <f t="shared" si="23"/>
        <v>63.85260000000001</v>
      </c>
      <c r="G1535" t="s">
        <v>16</v>
      </c>
      <c r="J1535" t="str">
        <f>"12/12/2005 23:45"</f>
        <v>12/12/2005 23:45</v>
      </c>
    </row>
    <row r="1536" spans="1:10" x14ac:dyDescent="0.3">
      <c r="A1536" t="s">
        <v>6</v>
      </c>
      <c r="B1536" t="str">
        <f>"12/13/2005 00:00"</f>
        <v>12/13/2005 00:00</v>
      </c>
      <c r="C1536">
        <v>32.299999999999997</v>
      </c>
      <c r="D1536" t="s">
        <v>7</v>
      </c>
      <c r="E1536" s="2" t="s">
        <v>12</v>
      </c>
      <c r="F1536">
        <f t="shared" si="23"/>
        <v>64.050899999999999</v>
      </c>
      <c r="G1536" t="s">
        <v>16</v>
      </c>
      <c r="J1536" t="str">
        <f>"12/13/2005 23:45"</f>
        <v>12/13/2005 23:45</v>
      </c>
    </row>
    <row r="1537" spans="1:10" x14ac:dyDescent="0.3">
      <c r="A1537" t="s">
        <v>6</v>
      </c>
      <c r="B1537" t="str">
        <f>"12/14/2005 00:00"</f>
        <v>12/14/2005 00:00</v>
      </c>
      <c r="C1537">
        <v>32.200000000000003</v>
      </c>
      <c r="D1537" t="s">
        <v>7</v>
      </c>
      <c r="E1537" s="2" t="s">
        <v>12</v>
      </c>
      <c r="F1537">
        <f t="shared" si="23"/>
        <v>63.85260000000001</v>
      </c>
      <c r="G1537" t="s">
        <v>16</v>
      </c>
      <c r="J1537" t="str">
        <f>"12/14/2005 23:45"</f>
        <v>12/14/2005 23:45</v>
      </c>
    </row>
    <row r="1538" spans="1:10" x14ac:dyDescent="0.3">
      <c r="A1538" t="s">
        <v>6</v>
      </c>
      <c r="B1538" t="str">
        <f>"12/15/2005 00:00"</f>
        <v>12/15/2005 00:00</v>
      </c>
      <c r="C1538">
        <v>31.9</v>
      </c>
      <c r="D1538" t="s">
        <v>7</v>
      </c>
      <c r="E1538" s="2" t="s">
        <v>12</v>
      </c>
      <c r="F1538">
        <f t="shared" si="23"/>
        <v>63.2577</v>
      </c>
      <c r="G1538" t="s">
        <v>16</v>
      </c>
      <c r="J1538" t="str">
        <f>"12/15/2005 23:45"</f>
        <v>12/15/2005 23:45</v>
      </c>
    </row>
    <row r="1539" spans="1:10" x14ac:dyDescent="0.3">
      <c r="A1539" t="s">
        <v>6</v>
      </c>
      <c r="B1539" t="str">
        <f>"12/16/2005 00:00"</f>
        <v>12/16/2005 00:00</v>
      </c>
      <c r="C1539">
        <v>31.9</v>
      </c>
      <c r="D1539" t="s">
        <v>7</v>
      </c>
      <c r="E1539" s="2" t="s">
        <v>12</v>
      </c>
      <c r="F1539">
        <f t="shared" si="23"/>
        <v>63.2577</v>
      </c>
      <c r="G1539" t="s">
        <v>16</v>
      </c>
      <c r="J1539" t="str">
        <f>"12/16/2005 23:45"</f>
        <v>12/16/2005 23:45</v>
      </c>
    </row>
    <row r="1540" spans="1:10" x14ac:dyDescent="0.3">
      <c r="A1540" t="s">
        <v>6</v>
      </c>
      <c r="B1540" t="str">
        <f>"12/17/2005 00:00"</f>
        <v>12/17/2005 00:00</v>
      </c>
      <c r="C1540">
        <v>31.9</v>
      </c>
      <c r="D1540" t="s">
        <v>7</v>
      </c>
      <c r="E1540" s="2" t="s">
        <v>12</v>
      </c>
      <c r="F1540">
        <f t="shared" ref="F1540:F1603" si="24">C1540*1.983</f>
        <v>63.2577</v>
      </c>
      <c r="G1540" t="s">
        <v>16</v>
      </c>
      <c r="J1540" t="str">
        <f>"12/17/2005 23:45"</f>
        <v>12/17/2005 23:45</v>
      </c>
    </row>
    <row r="1541" spans="1:10" x14ac:dyDescent="0.3">
      <c r="A1541" t="s">
        <v>6</v>
      </c>
      <c r="B1541" t="str">
        <f>"12/18/2005 00:00"</f>
        <v>12/18/2005 00:00</v>
      </c>
      <c r="C1541">
        <v>31.9</v>
      </c>
      <c r="D1541" t="s">
        <v>7</v>
      </c>
      <c r="E1541" s="2" t="s">
        <v>12</v>
      </c>
      <c r="F1541">
        <f t="shared" si="24"/>
        <v>63.2577</v>
      </c>
      <c r="G1541" t="s">
        <v>16</v>
      </c>
      <c r="J1541" t="str">
        <f>"12/18/2005 23:45"</f>
        <v>12/18/2005 23:45</v>
      </c>
    </row>
    <row r="1542" spans="1:10" x14ac:dyDescent="0.3">
      <c r="A1542" t="s">
        <v>6</v>
      </c>
      <c r="B1542" t="str">
        <f>"12/19/2005 00:00"</f>
        <v>12/19/2005 00:00</v>
      </c>
      <c r="C1542">
        <v>32.200000000000003</v>
      </c>
      <c r="D1542" t="s">
        <v>7</v>
      </c>
      <c r="E1542" s="2" t="s">
        <v>12</v>
      </c>
      <c r="F1542">
        <f t="shared" si="24"/>
        <v>63.85260000000001</v>
      </c>
      <c r="G1542" t="s">
        <v>16</v>
      </c>
      <c r="J1542" t="str">
        <f>"12/19/2005 23:45"</f>
        <v>12/19/2005 23:45</v>
      </c>
    </row>
    <row r="1543" spans="1:10" x14ac:dyDescent="0.3">
      <c r="A1543" t="s">
        <v>6</v>
      </c>
      <c r="B1543" t="str">
        <f>"12/20/2005 00:00"</f>
        <v>12/20/2005 00:00</v>
      </c>
      <c r="C1543">
        <v>32.5</v>
      </c>
      <c r="D1543" t="s">
        <v>7</v>
      </c>
      <c r="E1543" s="2" t="s">
        <v>12</v>
      </c>
      <c r="F1543">
        <f t="shared" si="24"/>
        <v>64.447500000000005</v>
      </c>
      <c r="G1543" t="s">
        <v>16</v>
      </c>
      <c r="J1543" t="str">
        <f>"12/20/2005 23:45"</f>
        <v>12/20/2005 23:45</v>
      </c>
    </row>
    <row r="1544" spans="1:10" x14ac:dyDescent="0.3">
      <c r="A1544" t="s">
        <v>6</v>
      </c>
      <c r="B1544" t="str">
        <f>"12/21/2005 00:00"</f>
        <v>12/21/2005 00:00</v>
      </c>
      <c r="C1544">
        <v>32.799999999999997</v>
      </c>
      <c r="D1544" t="s">
        <v>7</v>
      </c>
      <c r="E1544" s="2" t="s">
        <v>12</v>
      </c>
      <c r="F1544">
        <f t="shared" si="24"/>
        <v>65.042400000000001</v>
      </c>
      <c r="G1544" t="s">
        <v>16</v>
      </c>
      <c r="J1544" t="str">
        <f>"12/21/2005 23:45"</f>
        <v>12/21/2005 23:45</v>
      </c>
    </row>
    <row r="1545" spans="1:10" x14ac:dyDescent="0.3">
      <c r="A1545" t="s">
        <v>6</v>
      </c>
      <c r="B1545" t="str">
        <f>"12/22/2005 00:00"</f>
        <v>12/22/2005 00:00</v>
      </c>
      <c r="C1545">
        <v>32.6</v>
      </c>
      <c r="D1545" t="s">
        <v>7</v>
      </c>
      <c r="E1545" s="2" t="s">
        <v>12</v>
      </c>
      <c r="F1545">
        <f t="shared" si="24"/>
        <v>64.645800000000008</v>
      </c>
      <c r="G1545" t="s">
        <v>16</v>
      </c>
      <c r="J1545" t="str">
        <f>"12/22/2005 23:45"</f>
        <v>12/22/2005 23:45</v>
      </c>
    </row>
    <row r="1546" spans="1:10" x14ac:dyDescent="0.3">
      <c r="A1546" t="s">
        <v>6</v>
      </c>
      <c r="B1546" t="str">
        <f>"12/23/2005 00:00"</f>
        <v>12/23/2005 00:00</v>
      </c>
      <c r="C1546">
        <v>32.799999999999997</v>
      </c>
      <c r="D1546" t="s">
        <v>7</v>
      </c>
      <c r="E1546" s="2" t="s">
        <v>12</v>
      </c>
      <c r="F1546">
        <f t="shared" si="24"/>
        <v>65.042400000000001</v>
      </c>
      <c r="G1546" t="s">
        <v>16</v>
      </c>
      <c r="J1546" t="str">
        <f>"12/23/2005 23:45"</f>
        <v>12/23/2005 23:45</v>
      </c>
    </row>
    <row r="1547" spans="1:10" x14ac:dyDescent="0.3">
      <c r="A1547" t="s">
        <v>6</v>
      </c>
      <c r="B1547" t="str">
        <f>"12/24/2005 00:00"</f>
        <v>12/24/2005 00:00</v>
      </c>
      <c r="C1547">
        <v>32.799999999999997</v>
      </c>
      <c r="D1547" t="s">
        <v>7</v>
      </c>
      <c r="E1547" s="2" t="s">
        <v>12</v>
      </c>
      <c r="F1547">
        <f t="shared" si="24"/>
        <v>65.042400000000001</v>
      </c>
      <c r="G1547" t="s">
        <v>16</v>
      </c>
      <c r="J1547" t="str">
        <f>"12/24/2005 23:45"</f>
        <v>12/24/2005 23:45</v>
      </c>
    </row>
    <row r="1548" spans="1:10" x14ac:dyDescent="0.3">
      <c r="A1548" t="s">
        <v>6</v>
      </c>
      <c r="B1548" t="str">
        <f>"12/25/2005 00:00"</f>
        <v>12/25/2005 00:00</v>
      </c>
      <c r="C1548">
        <v>32.799999999999997</v>
      </c>
      <c r="D1548" t="s">
        <v>7</v>
      </c>
      <c r="E1548" s="2" t="s">
        <v>12</v>
      </c>
      <c r="F1548">
        <f t="shared" si="24"/>
        <v>65.042400000000001</v>
      </c>
      <c r="G1548" t="s">
        <v>16</v>
      </c>
      <c r="J1548" t="str">
        <f>"12/25/2005 23:45"</f>
        <v>12/25/2005 23:45</v>
      </c>
    </row>
    <row r="1549" spans="1:10" x14ac:dyDescent="0.3">
      <c r="A1549" t="s">
        <v>6</v>
      </c>
      <c r="B1549" t="str">
        <f>"12/26/2005 00:00"</f>
        <v>12/26/2005 00:00</v>
      </c>
      <c r="C1549">
        <v>32.799999999999997</v>
      </c>
      <c r="D1549" t="s">
        <v>7</v>
      </c>
      <c r="E1549" s="2" t="s">
        <v>12</v>
      </c>
      <c r="F1549">
        <f t="shared" si="24"/>
        <v>65.042400000000001</v>
      </c>
      <c r="G1549" t="s">
        <v>16</v>
      </c>
      <c r="J1549" t="str">
        <f>"12/26/2005 23:45"</f>
        <v>12/26/2005 23:45</v>
      </c>
    </row>
    <row r="1550" spans="1:10" x14ac:dyDescent="0.3">
      <c r="A1550" t="s">
        <v>6</v>
      </c>
      <c r="B1550" t="str">
        <f>"12/27/2005 00:00"</f>
        <v>12/27/2005 00:00</v>
      </c>
      <c r="C1550">
        <v>32.799999999999997</v>
      </c>
      <c r="D1550" t="s">
        <v>7</v>
      </c>
      <c r="E1550" s="2" t="s">
        <v>12</v>
      </c>
      <c r="F1550">
        <f t="shared" si="24"/>
        <v>65.042400000000001</v>
      </c>
      <c r="G1550" t="s">
        <v>16</v>
      </c>
      <c r="J1550" t="str">
        <f>"12/27/2005 23:45"</f>
        <v>12/27/2005 23:45</v>
      </c>
    </row>
    <row r="1551" spans="1:10" x14ac:dyDescent="0.3">
      <c r="A1551" t="s">
        <v>6</v>
      </c>
      <c r="B1551" t="str">
        <f>"12/28/2005 00:00"</f>
        <v>12/28/2005 00:00</v>
      </c>
      <c r="C1551">
        <v>32.799999999999997</v>
      </c>
      <c r="D1551" t="s">
        <v>7</v>
      </c>
      <c r="E1551" s="2" t="s">
        <v>12</v>
      </c>
      <c r="F1551">
        <f t="shared" si="24"/>
        <v>65.042400000000001</v>
      </c>
      <c r="G1551" t="s">
        <v>16</v>
      </c>
      <c r="J1551" t="str">
        <f>"12/28/2005 23:45"</f>
        <v>12/28/2005 23:45</v>
      </c>
    </row>
    <row r="1552" spans="1:10" x14ac:dyDescent="0.3">
      <c r="A1552" t="s">
        <v>6</v>
      </c>
      <c r="B1552" t="str">
        <f>"12/29/2005 00:00"</f>
        <v>12/29/2005 00:00</v>
      </c>
      <c r="C1552">
        <v>32.799999999999997</v>
      </c>
      <c r="D1552" t="s">
        <v>7</v>
      </c>
      <c r="E1552" s="2" t="s">
        <v>12</v>
      </c>
      <c r="F1552">
        <f t="shared" si="24"/>
        <v>65.042400000000001</v>
      </c>
      <c r="G1552" t="s">
        <v>16</v>
      </c>
      <c r="J1552" t="str">
        <f>"12/29/2005 23:45"</f>
        <v>12/29/2005 23:45</v>
      </c>
    </row>
    <row r="1553" spans="1:10" x14ac:dyDescent="0.3">
      <c r="A1553" t="s">
        <v>6</v>
      </c>
      <c r="B1553" t="str">
        <f>"12/30/2005 00:00"</f>
        <v>12/30/2005 00:00</v>
      </c>
      <c r="C1553">
        <v>32.799999999999997</v>
      </c>
      <c r="D1553" t="s">
        <v>7</v>
      </c>
      <c r="E1553" s="2" t="s">
        <v>12</v>
      </c>
      <c r="F1553">
        <f t="shared" si="24"/>
        <v>65.042400000000001</v>
      </c>
      <c r="G1553" t="s">
        <v>16</v>
      </c>
      <c r="J1553" t="str">
        <f>"12/30/2005 23:45"</f>
        <v>12/30/2005 23:45</v>
      </c>
    </row>
    <row r="1554" spans="1:10" x14ac:dyDescent="0.3">
      <c r="A1554" t="s">
        <v>6</v>
      </c>
      <c r="B1554" t="str">
        <f>"12/31/2005 00:00"</f>
        <v>12/31/2005 00:00</v>
      </c>
      <c r="C1554">
        <v>32.799999999999997</v>
      </c>
      <c r="D1554" t="s">
        <v>7</v>
      </c>
      <c r="E1554" s="2" t="s">
        <v>12</v>
      </c>
      <c r="F1554">
        <f t="shared" si="24"/>
        <v>65.042400000000001</v>
      </c>
      <c r="G1554" t="s">
        <v>16</v>
      </c>
      <c r="J1554" t="str">
        <f>"12/31/2005 23:45"</f>
        <v>12/31/2005 23:45</v>
      </c>
    </row>
    <row r="1555" spans="1:10" x14ac:dyDescent="0.3">
      <c r="A1555" t="s">
        <v>6</v>
      </c>
      <c r="B1555" t="str">
        <f>"01/01/2006 00:00"</f>
        <v>01/01/2006 00:00</v>
      </c>
      <c r="C1555">
        <v>32.799999999999997</v>
      </c>
      <c r="D1555" t="s">
        <v>7</v>
      </c>
      <c r="E1555" s="2" t="s">
        <v>12</v>
      </c>
      <c r="F1555">
        <f t="shared" si="24"/>
        <v>65.042400000000001</v>
      </c>
      <c r="G1555" t="s">
        <v>16</v>
      </c>
      <c r="J1555" t="str">
        <f>"01/01/2006 23:45"</f>
        <v>01/01/2006 23:45</v>
      </c>
    </row>
    <row r="1556" spans="1:10" x14ac:dyDescent="0.3">
      <c r="A1556" t="s">
        <v>6</v>
      </c>
      <c r="B1556" t="str">
        <f>"01/02/2006 00:00"</f>
        <v>01/02/2006 00:00</v>
      </c>
      <c r="C1556">
        <v>32.799999999999997</v>
      </c>
      <c r="D1556" t="s">
        <v>7</v>
      </c>
      <c r="E1556" s="2" t="s">
        <v>12</v>
      </c>
      <c r="F1556">
        <f t="shared" si="24"/>
        <v>65.042400000000001</v>
      </c>
      <c r="G1556" t="s">
        <v>16</v>
      </c>
      <c r="J1556" t="str">
        <f>"01/02/2006 23:45"</f>
        <v>01/02/2006 23:45</v>
      </c>
    </row>
    <row r="1557" spans="1:10" x14ac:dyDescent="0.3">
      <c r="A1557" t="s">
        <v>6</v>
      </c>
      <c r="B1557" t="str">
        <f>"01/03/2006 00:00"</f>
        <v>01/03/2006 00:00</v>
      </c>
      <c r="C1557">
        <v>32.799999999999997</v>
      </c>
      <c r="D1557" t="s">
        <v>7</v>
      </c>
      <c r="E1557" s="2" t="s">
        <v>12</v>
      </c>
      <c r="F1557">
        <f t="shared" si="24"/>
        <v>65.042400000000001</v>
      </c>
      <c r="G1557" t="s">
        <v>16</v>
      </c>
      <c r="J1557" t="str">
        <f>"01/03/2006 23:45"</f>
        <v>01/03/2006 23:45</v>
      </c>
    </row>
    <row r="1558" spans="1:10" x14ac:dyDescent="0.3">
      <c r="A1558" t="s">
        <v>6</v>
      </c>
      <c r="B1558" t="str">
        <f>"01/04/2006 00:00"</f>
        <v>01/04/2006 00:00</v>
      </c>
      <c r="C1558">
        <v>32.799999999999997</v>
      </c>
      <c r="D1558" t="s">
        <v>7</v>
      </c>
      <c r="E1558" s="2" t="s">
        <v>12</v>
      </c>
      <c r="F1558">
        <f t="shared" si="24"/>
        <v>65.042400000000001</v>
      </c>
      <c r="G1558" t="s">
        <v>16</v>
      </c>
      <c r="J1558" t="str">
        <f>"01/04/2006 23:45"</f>
        <v>01/04/2006 23:45</v>
      </c>
    </row>
    <row r="1559" spans="1:10" x14ac:dyDescent="0.3">
      <c r="A1559" t="s">
        <v>6</v>
      </c>
      <c r="B1559" t="str">
        <f>"01/05/2006 00:00"</f>
        <v>01/05/2006 00:00</v>
      </c>
      <c r="C1559">
        <v>32.799999999999997</v>
      </c>
      <c r="D1559" t="s">
        <v>7</v>
      </c>
      <c r="E1559" s="2" t="s">
        <v>12</v>
      </c>
      <c r="F1559">
        <f t="shared" si="24"/>
        <v>65.042400000000001</v>
      </c>
      <c r="G1559" t="s">
        <v>16</v>
      </c>
      <c r="J1559" t="str">
        <f>"01/05/2006 23:45"</f>
        <v>01/05/2006 23:45</v>
      </c>
    </row>
    <row r="1560" spans="1:10" x14ac:dyDescent="0.3">
      <c r="A1560" t="s">
        <v>6</v>
      </c>
      <c r="B1560" t="str">
        <f>"01/06/2006 00:00"</f>
        <v>01/06/2006 00:00</v>
      </c>
      <c r="C1560">
        <v>32.799999999999997</v>
      </c>
      <c r="D1560" t="s">
        <v>7</v>
      </c>
      <c r="E1560" s="2" t="s">
        <v>12</v>
      </c>
      <c r="F1560">
        <f t="shared" si="24"/>
        <v>65.042400000000001</v>
      </c>
      <c r="G1560" t="s">
        <v>16</v>
      </c>
      <c r="J1560" t="str">
        <f>"01/06/2006 23:45"</f>
        <v>01/06/2006 23:45</v>
      </c>
    </row>
    <row r="1561" spans="1:10" x14ac:dyDescent="0.3">
      <c r="A1561" t="s">
        <v>6</v>
      </c>
      <c r="B1561" t="str">
        <f>"01/07/2006 00:00"</f>
        <v>01/07/2006 00:00</v>
      </c>
      <c r="C1561">
        <v>32.799999999999997</v>
      </c>
      <c r="D1561" t="s">
        <v>7</v>
      </c>
      <c r="E1561" s="2" t="s">
        <v>12</v>
      </c>
      <c r="F1561">
        <f t="shared" si="24"/>
        <v>65.042400000000001</v>
      </c>
      <c r="G1561" t="s">
        <v>16</v>
      </c>
      <c r="J1561" t="str">
        <f>"01/07/2006 23:45"</f>
        <v>01/07/2006 23:45</v>
      </c>
    </row>
    <row r="1562" spans="1:10" x14ac:dyDescent="0.3">
      <c r="A1562" t="s">
        <v>6</v>
      </c>
      <c r="B1562" t="str">
        <f>"01/08/2006 00:00"</f>
        <v>01/08/2006 00:00</v>
      </c>
      <c r="C1562">
        <v>32.799999999999997</v>
      </c>
      <c r="D1562" t="s">
        <v>7</v>
      </c>
      <c r="E1562" s="2" t="s">
        <v>12</v>
      </c>
      <c r="F1562">
        <f t="shared" si="24"/>
        <v>65.042400000000001</v>
      </c>
      <c r="G1562" t="s">
        <v>16</v>
      </c>
      <c r="J1562" t="str">
        <f>"01/08/2006 23:45"</f>
        <v>01/08/2006 23:45</v>
      </c>
    </row>
    <row r="1563" spans="1:10" x14ac:dyDescent="0.3">
      <c r="A1563" t="s">
        <v>6</v>
      </c>
      <c r="B1563" t="str">
        <f>"01/09/2006 00:00"</f>
        <v>01/09/2006 00:00</v>
      </c>
      <c r="C1563">
        <v>32.799999999999997</v>
      </c>
      <c r="D1563" t="s">
        <v>7</v>
      </c>
      <c r="E1563" s="2" t="s">
        <v>12</v>
      </c>
      <c r="F1563">
        <f t="shared" si="24"/>
        <v>65.042400000000001</v>
      </c>
      <c r="G1563" t="s">
        <v>16</v>
      </c>
      <c r="J1563" t="str">
        <f>"01/09/2006 23:45"</f>
        <v>01/09/2006 23:45</v>
      </c>
    </row>
    <row r="1564" spans="1:10" x14ac:dyDescent="0.3">
      <c r="A1564" t="s">
        <v>6</v>
      </c>
      <c r="B1564" t="str">
        <f>"01/10/2006 00:00"</f>
        <v>01/10/2006 00:00</v>
      </c>
      <c r="C1564">
        <v>32.799999999999997</v>
      </c>
      <c r="D1564" t="s">
        <v>7</v>
      </c>
      <c r="E1564" s="2" t="s">
        <v>12</v>
      </c>
      <c r="F1564">
        <f t="shared" si="24"/>
        <v>65.042400000000001</v>
      </c>
      <c r="G1564" t="s">
        <v>16</v>
      </c>
      <c r="J1564" t="str">
        <f>"01/10/2006 23:45"</f>
        <v>01/10/2006 23:45</v>
      </c>
    </row>
    <row r="1565" spans="1:10" x14ac:dyDescent="0.3">
      <c r="A1565" t="s">
        <v>6</v>
      </c>
      <c r="B1565" t="str">
        <f>"01/11/2006 00:00"</f>
        <v>01/11/2006 00:00</v>
      </c>
      <c r="C1565">
        <v>32.799999999999997</v>
      </c>
      <c r="D1565" t="s">
        <v>7</v>
      </c>
      <c r="E1565" s="2" t="s">
        <v>12</v>
      </c>
      <c r="F1565">
        <f t="shared" si="24"/>
        <v>65.042400000000001</v>
      </c>
      <c r="G1565" t="s">
        <v>16</v>
      </c>
      <c r="J1565" t="str">
        <f>"01/11/2006 23:45"</f>
        <v>01/11/2006 23:45</v>
      </c>
    </row>
    <row r="1566" spans="1:10" x14ac:dyDescent="0.3">
      <c r="A1566" t="s">
        <v>6</v>
      </c>
      <c r="B1566" t="str">
        <f>"01/12/2006 00:00"</f>
        <v>01/12/2006 00:00</v>
      </c>
      <c r="C1566">
        <v>33</v>
      </c>
      <c r="D1566" t="s">
        <v>7</v>
      </c>
      <c r="E1566" s="2" t="s">
        <v>12</v>
      </c>
      <c r="F1566">
        <f t="shared" si="24"/>
        <v>65.439000000000007</v>
      </c>
      <c r="G1566" t="s">
        <v>16</v>
      </c>
      <c r="J1566" t="str">
        <f>"01/12/2006 23:45"</f>
        <v>01/12/2006 23:45</v>
      </c>
    </row>
    <row r="1567" spans="1:10" x14ac:dyDescent="0.3">
      <c r="A1567" t="s">
        <v>6</v>
      </c>
      <c r="B1567" t="str">
        <f>"01/13/2006 00:00"</f>
        <v>01/13/2006 00:00</v>
      </c>
      <c r="C1567">
        <v>33.4</v>
      </c>
      <c r="D1567" t="s">
        <v>7</v>
      </c>
      <c r="E1567" s="2" t="s">
        <v>12</v>
      </c>
      <c r="F1567">
        <f t="shared" si="24"/>
        <v>66.232200000000006</v>
      </c>
      <c r="G1567" t="s">
        <v>16</v>
      </c>
      <c r="J1567" t="str">
        <f>"01/13/2006 23:45"</f>
        <v>01/13/2006 23:45</v>
      </c>
    </row>
    <row r="1568" spans="1:10" x14ac:dyDescent="0.3">
      <c r="A1568" t="s">
        <v>6</v>
      </c>
      <c r="B1568" t="str">
        <f>"01/14/2006 00:00"</f>
        <v>01/14/2006 00:00</v>
      </c>
      <c r="C1568">
        <v>33.700000000000003</v>
      </c>
      <c r="D1568" t="s">
        <v>7</v>
      </c>
      <c r="E1568" s="2" t="s">
        <v>12</v>
      </c>
      <c r="F1568">
        <f t="shared" si="24"/>
        <v>66.827100000000016</v>
      </c>
      <c r="G1568" t="s">
        <v>16</v>
      </c>
      <c r="J1568" t="str">
        <f>"01/14/2006 23:45"</f>
        <v>01/14/2006 23:45</v>
      </c>
    </row>
    <row r="1569" spans="1:10" x14ac:dyDescent="0.3">
      <c r="A1569" t="s">
        <v>6</v>
      </c>
      <c r="B1569" t="str">
        <f>"01/15/2006 00:00"</f>
        <v>01/15/2006 00:00</v>
      </c>
      <c r="C1569">
        <v>33.700000000000003</v>
      </c>
      <c r="D1569" t="s">
        <v>7</v>
      </c>
      <c r="E1569" s="2" t="s">
        <v>12</v>
      </c>
      <c r="F1569">
        <f t="shared" si="24"/>
        <v>66.827100000000016</v>
      </c>
      <c r="G1569" t="s">
        <v>16</v>
      </c>
      <c r="J1569" t="str">
        <f>"01/15/2006 23:45"</f>
        <v>01/15/2006 23:45</v>
      </c>
    </row>
    <row r="1570" spans="1:10" x14ac:dyDescent="0.3">
      <c r="A1570" t="s">
        <v>6</v>
      </c>
      <c r="B1570" t="str">
        <f>"01/16/2006 00:00"</f>
        <v>01/16/2006 00:00</v>
      </c>
      <c r="C1570">
        <v>33.700000000000003</v>
      </c>
      <c r="D1570" t="s">
        <v>7</v>
      </c>
      <c r="E1570" s="2" t="s">
        <v>12</v>
      </c>
      <c r="F1570">
        <f t="shared" si="24"/>
        <v>66.827100000000016</v>
      </c>
      <c r="G1570" t="s">
        <v>16</v>
      </c>
      <c r="J1570" t="str">
        <f>"01/16/2006 23:45"</f>
        <v>01/16/2006 23:45</v>
      </c>
    </row>
    <row r="1571" spans="1:10" x14ac:dyDescent="0.3">
      <c r="A1571" t="s">
        <v>6</v>
      </c>
      <c r="B1571" t="str">
        <f>"01/17/2006 00:00"</f>
        <v>01/17/2006 00:00</v>
      </c>
      <c r="C1571">
        <v>33.700000000000003</v>
      </c>
      <c r="D1571" t="s">
        <v>7</v>
      </c>
      <c r="E1571" s="2" t="s">
        <v>12</v>
      </c>
      <c r="F1571">
        <f t="shared" si="24"/>
        <v>66.827100000000016</v>
      </c>
      <c r="G1571" t="s">
        <v>16</v>
      </c>
      <c r="J1571" t="str">
        <f>"01/17/2006 19:15"</f>
        <v>01/17/2006 19:15</v>
      </c>
    </row>
    <row r="1572" spans="1:10" x14ac:dyDescent="0.3">
      <c r="A1572" t="s">
        <v>6</v>
      </c>
      <c r="B1572" t="str">
        <f>"01/18/2006 00:00"</f>
        <v>01/18/2006 00:00</v>
      </c>
      <c r="C1572">
        <v>33.700000000000003</v>
      </c>
      <c r="D1572" t="s">
        <v>7</v>
      </c>
      <c r="E1572" s="2" t="s">
        <v>12</v>
      </c>
      <c r="F1572">
        <f t="shared" si="24"/>
        <v>66.827100000000016</v>
      </c>
      <c r="G1572" t="s">
        <v>16</v>
      </c>
      <c r="J1572" t="str">
        <f>"01/18/2006 23:45"</f>
        <v>01/18/2006 23:45</v>
      </c>
    </row>
    <row r="1573" spans="1:10" x14ac:dyDescent="0.3">
      <c r="A1573" t="s">
        <v>6</v>
      </c>
      <c r="B1573" t="str">
        <f>"01/19/2006 00:00"</f>
        <v>01/19/2006 00:00</v>
      </c>
      <c r="C1573">
        <v>33.700000000000003</v>
      </c>
      <c r="D1573" t="s">
        <v>7</v>
      </c>
      <c r="E1573" s="2" t="s">
        <v>12</v>
      </c>
      <c r="F1573">
        <f t="shared" si="24"/>
        <v>66.827100000000016</v>
      </c>
      <c r="G1573" t="s">
        <v>16</v>
      </c>
      <c r="J1573" t="str">
        <f>"01/19/2006 23:45"</f>
        <v>01/19/2006 23:45</v>
      </c>
    </row>
    <row r="1574" spans="1:10" x14ac:dyDescent="0.3">
      <c r="A1574" t="s">
        <v>6</v>
      </c>
      <c r="B1574" t="str">
        <f>"01/20/2006 00:00"</f>
        <v>01/20/2006 00:00</v>
      </c>
      <c r="C1574">
        <v>33.700000000000003</v>
      </c>
      <c r="D1574" t="s">
        <v>7</v>
      </c>
      <c r="E1574" s="2" t="s">
        <v>12</v>
      </c>
      <c r="F1574">
        <f t="shared" si="24"/>
        <v>66.827100000000016</v>
      </c>
      <c r="G1574" t="s">
        <v>16</v>
      </c>
      <c r="J1574" t="str">
        <f>"01/20/2006 23:45"</f>
        <v>01/20/2006 23:45</v>
      </c>
    </row>
    <row r="1575" spans="1:10" x14ac:dyDescent="0.3">
      <c r="A1575" t="s">
        <v>6</v>
      </c>
      <c r="B1575" t="str">
        <f>"01/21/2006 00:00"</f>
        <v>01/21/2006 00:00</v>
      </c>
      <c r="C1575">
        <v>33.700000000000003</v>
      </c>
      <c r="D1575" t="s">
        <v>7</v>
      </c>
      <c r="E1575" s="2" t="s">
        <v>12</v>
      </c>
      <c r="F1575">
        <f t="shared" si="24"/>
        <v>66.827100000000016</v>
      </c>
      <c r="G1575" t="s">
        <v>16</v>
      </c>
      <c r="J1575" t="str">
        <f>"01/21/2006 23:45"</f>
        <v>01/21/2006 23:45</v>
      </c>
    </row>
    <row r="1576" spans="1:10" x14ac:dyDescent="0.3">
      <c r="A1576" t="s">
        <v>6</v>
      </c>
      <c r="B1576" t="str">
        <f>"01/22/2006 00:00"</f>
        <v>01/22/2006 00:00</v>
      </c>
      <c r="C1576">
        <v>33.700000000000003</v>
      </c>
      <c r="D1576" t="s">
        <v>7</v>
      </c>
      <c r="E1576" s="2" t="s">
        <v>12</v>
      </c>
      <c r="F1576">
        <f t="shared" si="24"/>
        <v>66.827100000000016</v>
      </c>
      <c r="G1576" t="s">
        <v>16</v>
      </c>
      <c r="J1576" t="str">
        <f>"01/22/2006 23:45"</f>
        <v>01/22/2006 23:45</v>
      </c>
    </row>
    <row r="1577" spans="1:10" x14ac:dyDescent="0.3">
      <c r="A1577" t="s">
        <v>6</v>
      </c>
      <c r="B1577" t="str">
        <f>"01/23/2006 00:00"</f>
        <v>01/23/2006 00:00</v>
      </c>
      <c r="C1577">
        <v>33.1</v>
      </c>
      <c r="D1577" t="s">
        <v>7</v>
      </c>
      <c r="E1577" s="2" t="s">
        <v>12</v>
      </c>
      <c r="F1577">
        <f t="shared" si="24"/>
        <v>65.63730000000001</v>
      </c>
      <c r="G1577" t="s">
        <v>16</v>
      </c>
      <c r="J1577" t="str">
        <f>"01/23/2006 23:45"</f>
        <v>01/23/2006 23:45</v>
      </c>
    </row>
    <row r="1578" spans="1:10" x14ac:dyDescent="0.3">
      <c r="A1578" t="s">
        <v>6</v>
      </c>
      <c r="B1578" t="str">
        <f>"01/24/2006 00:00"</f>
        <v>01/24/2006 00:00</v>
      </c>
      <c r="C1578">
        <v>33.700000000000003</v>
      </c>
      <c r="D1578" t="s">
        <v>7</v>
      </c>
      <c r="E1578" s="2" t="s">
        <v>12</v>
      </c>
      <c r="F1578">
        <f t="shared" si="24"/>
        <v>66.827100000000016</v>
      </c>
      <c r="G1578" t="s">
        <v>16</v>
      </c>
      <c r="J1578" t="str">
        <f>"01/24/2006 23:45"</f>
        <v>01/24/2006 23:45</v>
      </c>
    </row>
    <row r="1579" spans="1:10" x14ac:dyDescent="0.3">
      <c r="A1579" t="s">
        <v>6</v>
      </c>
      <c r="B1579" t="str">
        <f>"01/25/2006 00:00"</f>
        <v>01/25/2006 00:00</v>
      </c>
      <c r="C1579">
        <v>33.700000000000003</v>
      </c>
      <c r="D1579" t="s">
        <v>7</v>
      </c>
      <c r="E1579" s="2" t="s">
        <v>12</v>
      </c>
      <c r="F1579">
        <f t="shared" si="24"/>
        <v>66.827100000000016</v>
      </c>
      <c r="G1579" t="s">
        <v>16</v>
      </c>
      <c r="J1579" t="str">
        <f>"01/25/2006 23:45"</f>
        <v>01/25/2006 23:45</v>
      </c>
    </row>
    <row r="1580" spans="1:10" x14ac:dyDescent="0.3">
      <c r="A1580" t="s">
        <v>6</v>
      </c>
      <c r="B1580" t="str">
        <f>"01/26/2006 00:00"</f>
        <v>01/26/2006 00:00</v>
      </c>
      <c r="C1580">
        <v>33.700000000000003</v>
      </c>
      <c r="D1580" t="s">
        <v>7</v>
      </c>
      <c r="E1580" s="2" t="s">
        <v>12</v>
      </c>
      <c r="F1580">
        <f t="shared" si="24"/>
        <v>66.827100000000016</v>
      </c>
      <c r="G1580" t="s">
        <v>16</v>
      </c>
      <c r="J1580" t="str">
        <f>"01/26/2006 23:45"</f>
        <v>01/26/2006 23:45</v>
      </c>
    </row>
    <row r="1581" spans="1:10" x14ac:dyDescent="0.3">
      <c r="A1581" t="s">
        <v>6</v>
      </c>
      <c r="B1581" t="str">
        <f>"01/27/2006 00:00"</f>
        <v>01/27/2006 00:00</v>
      </c>
      <c r="C1581">
        <v>33.6</v>
      </c>
      <c r="D1581" t="s">
        <v>7</v>
      </c>
      <c r="E1581" s="2" t="s">
        <v>12</v>
      </c>
      <c r="F1581">
        <f t="shared" si="24"/>
        <v>66.628800000000012</v>
      </c>
      <c r="G1581" t="s">
        <v>16</v>
      </c>
      <c r="J1581" t="str">
        <f>"01/27/2006 23:45"</f>
        <v>01/27/2006 23:45</v>
      </c>
    </row>
    <row r="1582" spans="1:10" x14ac:dyDescent="0.3">
      <c r="A1582" t="s">
        <v>6</v>
      </c>
      <c r="B1582" t="str">
        <f>"01/28/2006 00:00"</f>
        <v>01/28/2006 00:00</v>
      </c>
      <c r="C1582">
        <v>33.700000000000003</v>
      </c>
      <c r="D1582" t="s">
        <v>7</v>
      </c>
      <c r="E1582" s="2" t="s">
        <v>12</v>
      </c>
      <c r="F1582">
        <f t="shared" si="24"/>
        <v>66.827100000000016</v>
      </c>
      <c r="G1582" t="s">
        <v>16</v>
      </c>
      <c r="J1582" t="str">
        <f>"01/28/2006 23:45"</f>
        <v>01/28/2006 23:45</v>
      </c>
    </row>
    <row r="1583" spans="1:10" x14ac:dyDescent="0.3">
      <c r="A1583" t="s">
        <v>6</v>
      </c>
      <c r="B1583" t="str">
        <f>"01/29/2006 00:00"</f>
        <v>01/29/2006 00:00</v>
      </c>
      <c r="C1583">
        <v>33.700000000000003</v>
      </c>
      <c r="D1583" t="s">
        <v>7</v>
      </c>
      <c r="E1583" s="2" t="s">
        <v>12</v>
      </c>
      <c r="F1583">
        <f t="shared" si="24"/>
        <v>66.827100000000016</v>
      </c>
      <c r="G1583" t="s">
        <v>16</v>
      </c>
      <c r="J1583" t="str">
        <f>"01/29/2006 23:45"</f>
        <v>01/29/2006 23:45</v>
      </c>
    </row>
    <row r="1584" spans="1:10" x14ac:dyDescent="0.3">
      <c r="A1584" t="s">
        <v>6</v>
      </c>
      <c r="B1584" t="str">
        <f>"01/30/2006 00:00"</f>
        <v>01/30/2006 00:00</v>
      </c>
      <c r="C1584">
        <v>33.700000000000003</v>
      </c>
      <c r="D1584" t="s">
        <v>7</v>
      </c>
      <c r="E1584" s="2" t="s">
        <v>12</v>
      </c>
      <c r="F1584">
        <f t="shared" si="24"/>
        <v>66.827100000000016</v>
      </c>
      <c r="G1584" t="s">
        <v>16</v>
      </c>
      <c r="J1584" t="str">
        <f>"01/30/2006 23:45"</f>
        <v>01/30/2006 23:45</v>
      </c>
    </row>
    <row r="1585" spans="1:10" x14ac:dyDescent="0.3">
      <c r="A1585" t="s">
        <v>6</v>
      </c>
      <c r="B1585" t="str">
        <f>"01/31/2006 00:00"</f>
        <v>01/31/2006 00:00</v>
      </c>
      <c r="C1585">
        <v>33.700000000000003</v>
      </c>
      <c r="D1585" t="s">
        <v>7</v>
      </c>
      <c r="E1585" s="2" t="s">
        <v>12</v>
      </c>
      <c r="F1585">
        <f t="shared" si="24"/>
        <v>66.827100000000016</v>
      </c>
      <c r="G1585" t="s">
        <v>16</v>
      </c>
      <c r="J1585" t="str">
        <f>"01/31/2006 23:45"</f>
        <v>01/31/2006 23:45</v>
      </c>
    </row>
    <row r="1586" spans="1:10" x14ac:dyDescent="0.3">
      <c r="A1586" t="s">
        <v>6</v>
      </c>
      <c r="B1586" t="str">
        <f>"02/01/2006 00:00"</f>
        <v>02/01/2006 00:00</v>
      </c>
      <c r="C1586">
        <v>33.700000000000003</v>
      </c>
      <c r="D1586" t="s">
        <v>7</v>
      </c>
      <c r="E1586" s="2" t="s">
        <v>12</v>
      </c>
      <c r="F1586">
        <f t="shared" si="24"/>
        <v>66.827100000000016</v>
      </c>
      <c r="G1586" t="s">
        <v>16</v>
      </c>
      <c r="J1586" t="str">
        <f>"02/01/2006 23:45"</f>
        <v>02/01/2006 23:45</v>
      </c>
    </row>
    <row r="1587" spans="1:10" x14ac:dyDescent="0.3">
      <c r="A1587" t="s">
        <v>6</v>
      </c>
      <c r="B1587" t="str">
        <f>"02/02/2006 00:00"</f>
        <v>02/02/2006 00:00</v>
      </c>
      <c r="C1587">
        <v>33.700000000000003</v>
      </c>
      <c r="D1587" t="s">
        <v>7</v>
      </c>
      <c r="E1587" s="2" t="s">
        <v>12</v>
      </c>
      <c r="F1587">
        <f t="shared" si="24"/>
        <v>66.827100000000016</v>
      </c>
      <c r="G1587" t="s">
        <v>16</v>
      </c>
      <c r="J1587" t="str">
        <f>"02/02/2006 23:45"</f>
        <v>02/02/2006 23:45</v>
      </c>
    </row>
    <row r="1588" spans="1:10" x14ac:dyDescent="0.3">
      <c r="A1588" t="s">
        <v>6</v>
      </c>
      <c r="B1588" t="str">
        <f>"02/03/2006 00:00"</f>
        <v>02/03/2006 00:00</v>
      </c>
      <c r="C1588">
        <v>33.700000000000003</v>
      </c>
      <c r="D1588" t="s">
        <v>7</v>
      </c>
      <c r="E1588" s="2" t="s">
        <v>12</v>
      </c>
      <c r="F1588">
        <f t="shared" si="24"/>
        <v>66.827100000000016</v>
      </c>
      <c r="G1588" t="s">
        <v>16</v>
      </c>
      <c r="J1588" t="str">
        <f>"02/03/2006 23:45"</f>
        <v>02/03/2006 23:45</v>
      </c>
    </row>
    <row r="1589" spans="1:10" x14ac:dyDescent="0.3">
      <c r="A1589" t="s">
        <v>6</v>
      </c>
      <c r="B1589" t="str">
        <f>"02/04/2006 00:00"</f>
        <v>02/04/2006 00:00</v>
      </c>
      <c r="C1589">
        <v>33.700000000000003</v>
      </c>
      <c r="D1589" t="s">
        <v>7</v>
      </c>
      <c r="E1589" s="2" t="s">
        <v>12</v>
      </c>
      <c r="F1589">
        <f t="shared" si="24"/>
        <v>66.827100000000016</v>
      </c>
      <c r="G1589" t="s">
        <v>16</v>
      </c>
      <c r="J1589" t="str">
        <f>"02/04/2006 23:45"</f>
        <v>02/04/2006 23:45</v>
      </c>
    </row>
    <row r="1590" spans="1:10" x14ac:dyDescent="0.3">
      <c r="A1590" t="s">
        <v>6</v>
      </c>
      <c r="B1590" t="str">
        <f>"02/05/2006 00:00"</f>
        <v>02/05/2006 00:00</v>
      </c>
      <c r="C1590">
        <v>33.799999999999997</v>
      </c>
      <c r="D1590" t="s">
        <v>7</v>
      </c>
      <c r="E1590" s="2" t="s">
        <v>12</v>
      </c>
      <c r="F1590">
        <f t="shared" si="24"/>
        <v>67.025399999999991</v>
      </c>
      <c r="G1590" t="s">
        <v>16</v>
      </c>
      <c r="J1590" t="str">
        <f>"02/05/2006 23:45"</f>
        <v>02/05/2006 23:45</v>
      </c>
    </row>
    <row r="1591" spans="1:10" x14ac:dyDescent="0.3">
      <c r="A1591" t="s">
        <v>6</v>
      </c>
      <c r="B1591" t="str">
        <f>"02/06/2006 00:00"</f>
        <v>02/06/2006 00:00</v>
      </c>
      <c r="C1591">
        <v>33.799999999999997</v>
      </c>
      <c r="D1591" t="s">
        <v>7</v>
      </c>
      <c r="E1591" s="2" t="s">
        <v>12</v>
      </c>
      <c r="F1591">
        <f t="shared" si="24"/>
        <v>67.025399999999991</v>
      </c>
      <c r="G1591" t="s">
        <v>16</v>
      </c>
      <c r="J1591" t="str">
        <f>"02/06/2006 23:45"</f>
        <v>02/06/2006 23:45</v>
      </c>
    </row>
    <row r="1592" spans="1:10" x14ac:dyDescent="0.3">
      <c r="A1592" t="s">
        <v>6</v>
      </c>
      <c r="B1592" t="str">
        <f>"02/07/2006 00:00"</f>
        <v>02/07/2006 00:00</v>
      </c>
      <c r="C1592">
        <v>33.799999999999997</v>
      </c>
      <c r="D1592" t="s">
        <v>7</v>
      </c>
      <c r="E1592" s="2" t="s">
        <v>12</v>
      </c>
      <c r="F1592">
        <f t="shared" si="24"/>
        <v>67.025399999999991</v>
      </c>
      <c r="G1592" t="s">
        <v>16</v>
      </c>
      <c r="J1592" t="str">
        <f>"02/07/2006 23:45"</f>
        <v>02/07/2006 23:45</v>
      </c>
    </row>
    <row r="1593" spans="1:10" x14ac:dyDescent="0.3">
      <c r="A1593" t="s">
        <v>6</v>
      </c>
      <c r="B1593" t="str">
        <f>"02/08/2006 00:00"</f>
        <v>02/08/2006 00:00</v>
      </c>
      <c r="C1593">
        <v>33.700000000000003</v>
      </c>
      <c r="D1593" t="s">
        <v>7</v>
      </c>
      <c r="E1593" s="2" t="s">
        <v>12</v>
      </c>
      <c r="F1593">
        <f t="shared" si="24"/>
        <v>66.827100000000016</v>
      </c>
      <c r="G1593" t="s">
        <v>16</v>
      </c>
      <c r="J1593" t="str">
        <f>"02/08/2006 23:45"</f>
        <v>02/08/2006 23:45</v>
      </c>
    </row>
    <row r="1594" spans="1:10" x14ac:dyDescent="0.3">
      <c r="A1594" t="s">
        <v>6</v>
      </c>
      <c r="B1594" t="str">
        <f>"02/09/2006 00:00"</f>
        <v>02/09/2006 00:00</v>
      </c>
      <c r="C1594">
        <v>33.700000000000003</v>
      </c>
      <c r="D1594" t="s">
        <v>7</v>
      </c>
      <c r="E1594" s="2" t="s">
        <v>12</v>
      </c>
      <c r="F1594">
        <f t="shared" si="24"/>
        <v>66.827100000000016</v>
      </c>
      <c r="G1594" t="s">
        <v>16</v>
      </c>
      <c r="J1594" t="str">
        <f>"02/09/2006 23:45"</f>
        <v>02/09/2006 23:45</v>
      </c>
    </row>
    <row r="1595" spans="1:10" x14ac:dyDescent="0.3">
      <c r="A1595" t="s">
        <v>6</v>
      </c>
      <c r="B1595" t="str">
        <f>"02/10/2006 00:00"</f>
        <v>02/10/2006 00:00</v>
      </c>
      <c r="C1595">
        <v>33.700000000000003</v>
      </c>
      <c r="D1595" t="s">
        <v>7</v>
      </c>
      <c r="E1595" s="2" t="s">
        <v>12</v>
      </c>
      <c r="F1595">
        <f t="shared" si="24"/>
        <v>66.827100000000016</v>
      </c>
      <c r="G1595" t="s">
        <v>16</v>
      </c>
      <c r="J1595" t="str">
        <f>"02/10/2006 23:45"</f>
        <v>02/10/2006 23:45</v>
      </c>
    </row>
    <row r="1596" spans="1:10" x14ac:dyDescent="0.3">
      <c r="A1596" t="s">
        <v>6</v>
      </c>
      <c r="B1596" t="str">
        <f>"02/11/2006 00:00"</f>
        <v>02/11/2006 00:00</v>
      </c>
      <c r="C1596">
        <v>33.700000000000003</v>
      </c>
      <c r="D1596" t="s">
        <v>7</v>
      </c>
      <c r="E1596" s="2" t="s">
        <v>12</v>
      </c>
      <c r="F1596">
        <f t="shared" si="24"/>
        <v>66.827100000000016</v>
      </c>
      <c r="G1596" t="s">
        <v>16</v>
      </c>
      <c r="J1596" t="str">
        <f>"02/11/2006 23:45"</f>
        <v>02/11/2006 23:45</v>
      </c>
    </row>
    <row r="1597" spans="1:10" x14ac:dyDescent="0.3">
      <c r="A1597" t="s">
        <v>6</v>
      </c>
      <c r="B1597" t="str">
        <f>"02/12/2006 00:00"</f>
        <v>02/12/2006 00:00</v>
      </c>
      <c r="C1597">
        <v>33.700000000000003</v>
      </c>
      <c r="D1597" t="s">
        <v>7</v>
      </c>
      <c r="E1597" s="2" t="s">
        <v>12</v>
      </c>
      <c r="F1597">
        <f t="shared" si="24"/>
        <v>66.827100000000016</v>
      </c>
      <c r="G1597" t="s">
        <v>16</v>
      </c>
      <c r="J1597" t="str">
        <f>"02/12/2006 23:45"</f>
        <v>02/12/2006 23:45</v>
      </c>
    </row>
    <row r="1598" spans="1:10" x14ac:dyDescent="0.3">
      <c r="A1598" t="s">
        <v>6</v>
      </c>
      <c r="B1598" t="str">
        <f>"02/13/2006 00:00"</f>
        <v>02/13/2006 00:00</v>
      </c>
      <c r="C1598">
        <v>33.700000000000003</v>
      </c>
      <c r="D1598" t="s">
        <v>7</v>
      </c>
      <c r="E1598" s="2" t="s">
        <v>12</v>
      </c>
      <c r="F1598">
        <f t="shared" si="24"/>
        <v>66.827100000000016</v>
      </c>
      <c r="G1598" t="s">
        <v>16</v>
      </c>
      <c r="J1598" t="str">
        <f>"02/13/2006 23:45"</f>
        <v>02/13/2006 23:45</v>
      </c>
    </row>
    <row r="1599" spans="1:10" x14ac:dyDescent="0.3">
      <c r="A1599" t="s">
        <v>6</v>
      </c>
      <c r="B1599" t="str">
        <f>"02/14/2006 00:00"</f>
        <v>02/14/2006 00:00</v>
      </c>
      <c r="C1599">
        <v>33.700000000000003</v>
      </c>
      <c r="D1599" t="s">
        <v>7</v>
      </c>
      <c r="E1599" s="2" t="s">
        <v>12</v>
      </c>
      <c r="F1599">
        <f t="shared" si="24"/>
        <v>66.827100000000016</v>
      </c>
      <c r="G1599" t="s">
        <v>16</v>
      </c>
      <c r="J1599" t="str">
        <f>"02/14/2006 23:45"</f>
        <v>02/14/2006 23:45</v>
      </c>
    </row>
    <row r="1600" spans="1:10" x14ac:dyDescent="0.3">
      <c r="A1600" t="s">
        <v>6</v>
      </c>
      <c r="B1600" t="str">
        <f>"02/15/2006 00:00"</f>
        <v>02/15/2006 00:00</v>
      </c>
      <c r="C1600">
        <v>33.700000000000003</v>
      </c>
      <c r="D1600" t="s">
        <v>7</v>
      </c>
      <c r="E1600" s="2" t="s">
        <v>12</v>
      </c>
      <c r="F1600">
        <f t="shared" si="24"/>
        <v>66.827100000000016</v>
      </c>
      <c r="G1600" t="s">
        <v>16</v>
      </c>
      <c r="J1600" t="str">
        <f>"02/15/2006 23:45"</f>
        <v>02/15/2006 23:45</v>
      </c>
    </row>
    <row r="1601" spans="1:10" x14ac:dyDescent="0.3">
      <c r="A1601" t="s">
        <v>6</v>
      </c>
      <c r="B1601" t="str">
        <f>"02/16/2006 00:00"</f>
        <v>02/16/2006 00:00</v>
      </c>
      <c r="C1601">
        <v>33.700000000000003</v>
      </c>
      <c r="D1601" t="s">
        <v>7</v>
      </c>
      <c r="E1601" s="2" t="s">
        <v>12</v>
      </c>
      <c r="F1601">
        <f t="shared" si="24"/>
        <v>66.827100000000016</v>
      </c>
      <c r="G1601" t="s">
        <v>16</v>
      </c>
      <c r="J1601" t="str">
        <f>"02/16/2006 23:45"</f>
        <v>02/16/2006 23:45</v>
      </c>
    </row>
    <row r="1602" spans="1:10" x14ac:dyDescent="0.3">
      <c r="A1602" t="s">
        <v>6</v>
      </c>
      <c r="B1602" t="str">
        <f>"02/17/2006 00:00"</f>
        <v>02/17/2006 00:00</v>
      </c>
      <c r="C1602">
        <v>33.700000000000003</v>
      </c>
      <c r="D1602" t="s">
        <v>7</v>
      </c>
      <c r="E1602" s="2" t="s">
        <v>12</v>
      </c>
      <c r="F1602">
        <f t="shared" si="24"/>
        <v>66.827100000000016</v>
      </c>
      <c r="G1602" t="s">
        <v>16</v>
      </c>
      <c r="J1602" t="str">
        <f>"02/17/2006 23:45"</f>
        <v>02/17/2006 23:45</v>
      </c>
    </row>
    <row r="1603" spans="1:10" x14ac:dyDescent="0.3">
      <c r="A1603" t="s">
        <v>6</v>
      </c>
      <c r="B1603" t="str">
        <f>"02/18/2006 00:00"</f>
        <v>02/18/2006 00:00</v>
      </c>
      <c r="C1603">
        <v>33.700000000000003</v>
      </c>
      <c r="D1603" t="s">
        <v>7</v>
      </c>
      <c r="E1603" s="2" t="s">
        <v>12</v>
      </c>
      <c r="F1603">
        <f t="shared" si="24"/>
        <v>66.827100000000016</v>
      </c>
      <c r="G1603" t="s">
        <v>16</v>
      </c>
      <c r="J1603" t="str">
        <f>"02/18/2006 23:45"</f>
        <v>02/18/2006 23:45</v>
      </c>
    </row>
    <row r="1604" spans="1:10" x14ac:dyDescent="0.3">
      <c r="A1604" t="s">
        <v>6</v>
      </c>
      <c r="B1604" t="str">
        <f>"02/19/2006 00:00"</f>
        <v>02/19/2006 00:00</v>
      </c>
      <c r="C1604">
        <v>33.700000000000003</v>
      </c>
      <c r="D1604" t="s">
        <v>7</v>
      </c>
      <c r="E1604" s="2" t="s">
        <v>12</v>
      </c>
      <c r="F1604">
        <f t="shared" ref="F1604:F1667" si="25">C1604*1.983</f>
        <v>66.827100000000016</v>
      </c>
      <c r="G1604" t="s">
        <v>16</v>
      </c>
      <c r="J1604" t="str">
        <f>"02/19/2006 23:45"</f>
        <v>02/19/2006 23:45</v>
      </c>
    </row>
    <row r="1605" spans="1:10" x14ac:dyDescent="0.3">
      <c r="A1605" t="s">
        <v>6</v>
      </c>
      <c r="B1605" t="str">
        <f>"02/20/2006 00:00"</f>
        <v>02/20/2006 00:00</v>
      </c>
      <c r="C1605">
        <v>33.700000000000003</v>
      </c>
      <c r="D1605" t="s">
        <v>7</v>
      </c>
      <c r="E1605" s="2" t="s">
        <v>12</v>
      </c>
      <c r="F1605">
        <f t="shared" si="25"/>
        <v>66.827100000000016</v>
      </c>
      <c r="G1605" t="s">
        <v>16</v>
      </c>
      <c r="J1605" t="str">
        <f>"02/20/2006 23:45"</f>
        <v>02/20/2006 23:45</v>
      </c>
    </row>
    <row r="1606" spans="1:10" x14ac:dyDescent="0.3">
      <c r="A1606" t="s">
        <v>6</v>
      </c>
      <c r="B1606" t="str">
        <f>"02/21/2006 00:00"</f>
        <v>02/21/2006 00:00</v>
      </c>
      <c r="C1606">
        <v>33.6</v>
      </c>
      <c r="D1606" t="s">
        <v>7</v>
      </c>
      <c r="E1606" s="2" t="s">
        <v>12</v>
      </c>
      <c r="F1606">
        <f t="shared" si="25"/>
        <v>66.628800000000012</v>
      </c>
      <c r="G1606" t="s">
        <v>16</v>
      </c>
      <c r="J1606" t="str">
        <f>"02/21/2006 23:45"</f>
        <v>02/21/2006 23:45</v>
      </c>
    </row>
    <row r="1607" spans="1:10" x14ac:dyDescent="0.3">
      <c r="A1607" t="s">
        <v>6</v>
      </c>
      <c r="B1607" t="str">
        <f>"02/22/2006 00:00"</f>
        <v>02/22/2006 00:00</v>
      </c>
      <c r="C1607">
        <v>33.700000000000003</v>
      </c>
      <c r="D1607" t="s">
        <v>7</v>
      </c>
      <c r="E1607" s="2" t="s">
        <v>12</v>
      </c>
      <c r="F1607">
        <f t="shared" si="25"/>
        <v>66.827100000000016</v>
      </c>
      <c r="G1607" t="s">
        <v>16</v>
      </c>
      <c r="J1607" t="str">
        <f>"02/22/2006 23:45"</f>
        <v>02/22/2006 23:45</v>
      </c>
    </row>
    <row r="1608" spans="1:10" x14ac:dyDescent="0.3">
      <c r="A1608" t="s">
        <v>6</v>
      </c>
      <c r="B1608" t="str">
        <f>"02/23/2006 00:00"</f>
        <v>02/23/2006 00:00</v>
      </c>
      <c r="C1608">
        <v>33.700000000000003</v>
      </c>
      <c r="D1608" t="s">
        <v>7</v>
      </c>
      <c r="E1608" s="2" t="s">
        <v>12</v>
      </c>
      <c r="F1608">
        <f t="shared" si="25"/>
        <v>66.827100000000016</v>
      </c>
      <c r="G1608" t="s">
        <v>16</v>
      </c>
      <c r="J1608" t="str">
        <f>"02/23/2006 23:45"</f>
        <v>02/23/2006 23:45</v>
      </c>
    </row>
    <row r="1609" spans="1:10" x14ac:dyDescent="0.3">
      <c r="A1609" t="s">
        <v>6</v>
      </c>
      <c r="B1609" t="str">
        <f>"02/24/2006 00:00"</f>
        <v>02/24/2006 00:00</v>
      </c>
      <c r="C1609">
        <v>33.700000000000003</v>
      </c>
      <c r="D1609" t="s">
        <v>7</v>
      </c>
      <c r="E1609" s="2" t="s">
        <v>12</v>
      </c>
      <c r="F1609">
        <f t="shared" si="25"/>
        <v>66.827100000000016</v>
      </c>
      <c r="G1609" t="s">
        <v>16</v>
      </c>
      <c r="J1609" t="str">
        <f>"02/24/2006 23:45"</f>
        <v>02/24/2006 23:45</v>
      </c>
    </row>
    <row r="1610" spans="1:10" x14ac:dyDescent="0.3">
      <c r="A1610" t="s">
        <v>6</v>
      </c>
      <c r="B1610" t="str">
        <f>"02/25/2006 00:00"</f>
        <v>02/25/2006 00:00</v>
      </c>
      <c r="C1610">
        <v>33.799999999999997</v>
      </c>
      <c r="D1610" t="s">
        <v>7</v>
      </c>
      <c r="E1610" s="2" t="s">
        <v>12</v>
      </c>
      <c r="F1610">
        <f t="shared" si="25"/>
        <v>67.025399999999991</v>
      </c>
      <c r="G1610" t="s">
        <v>16</v>
      </c>
      <c r="J1610" t="str">
        <f>"02/25/2006 23:45"</f>
        <v>02/25/2006 23:45</v>
      </c>
    </row>
    <row r="1611" spans="1:10" x14ac:dyDescent="0.3">
      <c r="A1611" t="s">
        <v>6</v>
      </c>
      <c r="B1611" t="str">
        <f>"02/26/2006 00:00"</f>
        <v>02/26/2006 00:00</v>
      </c>
      <c r="C1611">
        <v>33.9</v>
      </c>
      <c r="D1611" t="s">
        <v>7</v>
      </c>
      <c r="E1611" s="2" t="s">
        <v>12</v>
      </c>
      <c r="F1611">
        <f t="shared" si="25"/>
        <v>67.223699999999994</v>
      </c>
      <c r="G1611" t="s">
        <v>16</v>
      </c>
      <c r="J1611" t="str">
        <f>"02/26/2006 23:45"</f>
        <v>02/26/2006 23:45</v>
      </c>
    </row>
    <row r="1612" spans="1:10" x14ac:dyDescent="0.3">
      <c r="A1612" t="s">
        <v>6</v>
      </c>
      <c r="B1612" t="str">
        <f>"02/27/2006 00:00"</f>
        <v>02/27/2006 00:00</v>
      </c>
      <c r="C1612">
        <v>33.799999999999997</v>
      </c>
      <c r="D1612" t="s">
        <v>7</v>
      </c>
      <c r="E1612" s="2" t="s">
        <v>12</v>
      </c>
      <c r="F1612">
        <f t="shared" si="25"/>
        <v>67.025399999999991</v>
      </c>
      <c r="G1612" t="s">
        <v>16</v>
      </c>
      <c r="J1612" t="str">
        <f>"02/27/2006 23:45"</f>
        <v>02/27/2006 23:45</v>
      </c>
    </row>
    <row r="1613" spans="1:10" x14ac:dyDescent="0.3">
      <c r="A1613" t="s">
        <v>6</v>
      </c>
      <c r="B1613" t="str">
        <f>"02/28/2006 00:00"</f>
        <v>02/28/2006 00:00</v>
      </c>
      <c r="C1613">
        <v>33.700000000000003</v>
      </c>
      <c r="D1613" t="s">
        <v>7</v>
      </c>
      <c r="E1613" s="2" t="s">
        <v>12</v>
      </c>
      <c r="F1613">
        <f t="shared" si="25"/>
        <v>66.827100000000016</v>
      </c>
      <c r="G1613" t="s">
        <v>16</v>
      </c>
      <c r="J1613" t="str">
        <f>"02/28/2006 23:45"</f>
        <v>02/28/2006 23:45</v>
      </c>
    </row>
    <row r="1614" spans="1:10" x14ac:dyDescent="0.3">
      <c r="A1614" t="s">
        <v>6</v>
      </c>
      <c r="B1614" t="str">
        <f>"03/01/2006 00:00"</f>
        <v>03/01/2006 00:00</v>
      </c>
      <c r="C1614">
        <v>34.200000000000003</v>
      </c>
      <c r="D1614" t="s">
        <v>7</v>
      </c>
      <c r="E1614" s="2" t="s">
        <v>12</v>
      </c>
      <c r="F1614">
        <f t="shared" si="25"/>
        <v>67.818600000000004</v>
      </c>
      <c r="G1614" t="s">
        <v>16</v>
      </c>
      <c r="J1614" t="str">
        <f>"03/01/2006 23:45"</f>
        <v>03/01/2006 23:45</v>
      </c>
    </row>
    <row r="1615" spans="1:10" x14ac:dyDescent="0.3">
      <c r="A1615" t="s">
        <v>6</v>
      </c>
      <c r="B1615" t="str">
        <f>"03/02/2006 00:00"</f>
        <v>03/02/2006 00:00</v>
      </c>
      <c r="C1615">
        <v>34.1</v>
      </c>
      <c r="D1615" t="s">
        <v>7</v>
      </c>
      <c r="E1615" s="2" t="s">
        <v>12</v>
      </c>
      <c r="F1615">
        <f t="shared" si="25"/>
        <v>67.6203</v>
      </c>
      <c r="G1615" t="s">
        <v>16</v>
      </c>
      <c r="J1615" t="str">
        <f>"03/02/2006 23:45"</f>
        <v>03/02/2006 23:45</v>
      </c>
    </row>
    <row r="1616" spans="1:10" x14ac:dyDescent="0.3">
      <c r="A1616" t="s">
        <v>6</v>
      </c>
      <c r="B1616" t="str">
        <f>"03/03/2006 00:00"</f>
        <v>03/03/2006 00:00</v>
      </c>
      <c r="C1616">
        <v>34.1</v>
      </c>
      <c r="D1616" t="s">
        <v>7</v>
      </c>
      <c r="E1616" s="2" t="s">
        <v>12</v>
      </c>
      <c r="F1616">
        <f t="shared" si="25"/>
        <v>67.6203</v>
      </c>
      <c r="G1616" t="s">
        <v>16</v>
      </c>
      <c r="J1616" t="str">
        <f>"03/03/2006 23:45"</f>
        <v>03/03/2006 23:45</v>
      </c>
    </row>
    <row r="1617" spans="1:10" x14ac:dyDescent="0.3">
      <c r="A1617" t="s">
        <v>6</v>
      </c>
      <c r="B1617" t="str">
        <f>"03/04/2006 00:00"</f>
        <v>03/04/2006 00:00</v>
      </c>
      <c r="C1617">
        <v>34.4</v>
      </c>
      <c r="D1617" t="s">
        <v>7</v>
      </c>
      <c r="E1617" s="2" t="s">
        <v>12</v>
      </c>
      <c r="F1617">
        <f t="shared" si="25"/>
        <v>68.215199999999996</v>
      </c>
      <c r="G1617" t="s">
        <v>16</v>
      </c>
      <c r="J1617" t="str">
        <f>"03/04/2006 23:45"</f>
        <v>03/04/2006 23:45</v>
      </c>
    </row>
    <row r="1618" spans="1:10" x14ac:dyDescent="0.3">
      <c r="A1618" t="s">
        <v>6</v>
      </c>
      <c r="B1618" t="str">
        <f>"03/05/2006 00:00"</f>
        <v>03/05/2006 00:00</v>
      </c>
      <c r="C1618">
        <v>34.6</v>
      </c>
      <c r="D1618" t="s">
        <v>7</v>
      </c>
      <c r="E1618" s="2" t="s">
        <v>12</v>
      </c>
      <c r="F1618">
        <f t="shared" si="25"/>
        <v>68.611800000000002</v>
      </c>
      <c r="G1618" t="s">
        <v>16</v>
      </c>
      <c r="J1618" t="str">
        <f>"03/05/2006 23:45"</f>
        <v>03/05/2006 23:45</v>
      </c>
    </row>
    <row r="1619" spans="1:10" x14ac:dyDescent="0.3">
      <c r="A1619" t="s">
        <v>6</v>
      </c>
      <c r="B1619" t="str">
        <f>"03/06/2006 00:00"</f>
        <v>03/06/2006 00:00</v>
      </c>
      <c r="C1619">
        <v>34.6</v>
      </c>
      <c r="D1619" t="s">
        <v>7</v>
      </c>
      <c r="E1619" s="2" t="s">
        <v>12</v>
      </c>
      <c r="F1619">
        <f t="shared" si="25"/>
        <v>68.611800000000002</v>
      </c>
      <c r="G1619" t="s">
        <v>16</v>
      </c>
      <c r="J1619" t="str">
        <f>"03/06/2006 23:45"</f>
        <v>03/06/2006 23:45</v>
      </c>
    </row>
    <row r="1620" spans="1:10" x14ac:dyDescent="0.3">
      <c r="A1620" t="s">
        <v>6</v>
      </c>
      <c r="B1620" t="str">
        <f>"03/07/2006 00:00"</f>
        <v>03/07/2006 00:00</v>
      </c>
      <c r="C1620">
        <v>34.299999999999997</v>
      </c>
      <c r="D1620" t="s">
        <v>7</v>
      </c>
      <c r="E1620" s="2" t="s">
        <v>12</v>
      </c>
      <c r="F1620">
        <f t="shared" si="25"/>
        <v>68.016899999999993</v>
      </c>
      <c r="G1620" t="s">
        <v>16</v>
      </c>
      <c r="J1620" t="str">
        <f>"03/07/2006 23:45"</f>
        <v>03/07/2006 23:45</v>
      </c>
    </row>
    <row r="1621" spans="1:10" x14ac:dyDescent="0.3">
      <c r="A1621" t="s">
        <v>6</v>
      </c>
      <c r="B1621" t="str">
        <f>"03/08/2006 00:00"</f>
        <v>03/08/2006 00:00</v>
      </c>
      <c r="C1621">
        <v>34.6</v>
      </c>
      <c r="D1621" t="s">
        <v>7</v>
      </c>
      <c r="E1621" s="2" t="s">
        <v>12</v>
      </c>
      <c r="F1621">
        <f t="shared" si="25"/>
        <v>68.611800000000002</v>
      </c>
      <c r="G1621" t="s">
        <v>16</v>
      </c>
      <c r="J1621" t="str">
        <f>"03/08/2006 23:45"</f>
        <v>03/08/2006 23:45</v>
      </c>
    </row>
    <row r="1622" spans="1:10" x14ac:dyDescent="0.3">
      <c r="A1622" t="s">
        <v>6</v>
      </c>
      <c r="B1622" t="str">
        <f>"03/09/2006 00:00"</f>
        <v>03/09/2006 00:00</v>
      </c>
      <c r="C1622">
        <v>34.5</v>
      </c>
      <c r="D1622" t="s">
        <v>7</v>
      </c>
      <c r="E1622" s="2" t="s">
        <v>12</v>
      </c>
      <c r="F1622">
        <f t="shared" si="25"/>
        <v>68.413499999999999</v>
      </c>
      <c r="G1622" t="s">
        <v>16</v>
      </c>
      <c r="J1622" t="str">
        <f>"03/09/2006 23:45"</f>
        <v>03/09/2006 23:45</v>
      </c>
    </row>
    <row r="1623" spans="1:10" x14ac:dyDescent="0.3">
      <c r="A1623" t="s">
        <v>6</v>
      </c>
      <c r="B1623" t="str">
        <f>"03/10/2006 00:00"</f>
        <v>03/10/2006 00:00</v>
      </c>
      <c r="C1623">
        <v>34.6</v>
      </c>
      <c r="D1623" t="s">
        <v>7</v>
      </c>
      <c r="E1623" s="2" t="s">
        <v>12</v>
      </c>
      <c r="F1623">
        <f t="shared" si="25"/>
        <v>68.611800000000002</v>
      </c>
      <c r="G1623" t="s">
        <v>16</v>
      </c>
      <c r="J1623" t="str">
        <f>"03/10/2006 23:45"</f>
        <v>03/10/2006 23:45</v>
      </c>
    </row>
    <row r="1624" spans="1:10" x14ac:dyDescent="0.3">
      <c r="A1624" t="s">
        <v>6</v>
      </c>
      <c r="B1624" t="str">
        <f>"03/11/2006 00:00"</f>
        <v>03/11/2006 00:00</v>
      </c>
      <c r="C1624">
        <v>34.6</v>
      </c>
      <c r="D1624" t="s">
        <v>7</v>
      </c>
      <c r="E1624" s="2" t="s">
        <v>12</v>
      </c>
      <c r="F1624">
        <f t="shared" si="25"/>
        <v>68.611800000000002</v>
      </c>
      <c r="G1624" t="s">
        <v>16</v>
      </c>
      <c r="J1624" t="str">
        <f>"03/11/2006 23:45"</f>
        <v>03/11/2006 23:45</v>
      </c>
    </row>
    <row r="1625" spans="1:10" x14ac:dyDescent="0.3">
      <c r="A1625" t="s">
        <v>6</v>
      </c>
      <c r="B1625" t="str">
        <f>"03/12/2006 00:00"</f>
        <v>03/12/2006 00:00</v>
      </c>
      <c r="C1625">
        <v>34.6</v>
      </c>
      <c r="D1625" t="s">
        <v>7</v>
      </c>
      <c r="E1625" s="2" t="s">
        <v>12</v>
      </c>
      <c r="F1625">
        <f t="shared" si="25"/>
        <v>68.611800000000002</v>
      </c>
      <c r="G1625" t="s">
        <v>16</v>
      </c>
      <c r="J1625" t="str">
        <f>"03/12/2006 23:45"</f>
        <v>03/12/2006 23:45</v>
      </c>
    </row>
    <row r="1626" spans="1:10" x14ac:dyDescent="0.3">
      <c r="A1626" t="s">
        <v>6</v>
      </c>
      <c r="B1626" t="str">
        <f>"03/13/2006 00:00"</f>
        <v>03/13/2006 00:00</v>
      </c>
      <c r="C1626">
        <v>34.6</v>
      </c>
      <c r="D1626" t="s">
        <v>7</v>
      </c>
      <c r="E1626" s="2" t="s">
        <v>12</v>
      </c>
      <c r="F1626">
        <f t="shared" si="25"/>
        <v>68.611800000000002</v>
      </c>
      <c r="G1626" t="s">
        <v>16</v>
      </c>
      <c r="J1626" t="str">
        <f>"03/13/2006 23:45"</f>
        <v>03/13/2006 23:45</v>
      </c>
    </row>
    <row r="1627" spans="1:10" x14ac:dyDescent="0.3">
      <c r="A1627" t="s">
        <v>6</v>
      </c>
      <c r="B1627" t="str">
        <f>"03/14/2006 00:00"</f>
        <v>03/14/2006 00:00</v>
      </c>
      <c r="C1627">
        <v>34.6</v>
      </c>
      <c r="D1627" t="s">
        <v>7</v>
      </c>
      <c r="E1627" s="2" t="s">
        <v>12</v>
      </c>
      <c r="F1627">
        <f t="shared" si="25"/>
        <v>68.611800000000002</v>
      </c>
      <c r="G1627" t="s">
        <v>16</v>
      </c>
      <c r="J1627" t="str">
        <f>"03/14/2006 23:45"</f>
        <v>03/14/2006 23:45</v>
      </c>
    </row>
    <row r="1628" spans="1:10" x14ac:dyDescent="0.3">
      <c r="A1628" t="s">
        <v>6</v>
      </c>
      <c r="B1628" t="str">
        <f>"03/15/2006 00:00"</f>
        <v>03/15/2006 00:00</v>
      </c>
      <c r="C1628">
        <v>34.6</v>
      </c>
      <c r="D1628" t="s">
        <v>7</v>
      </c>
      <c r="E1628" s="2" t="s">
        <v>12</v>
      </c>
      <c r="F1628">
        <f t="shared" si="25"/>
        <v>68.611800000000002</v>
      </c>
      <c r="G1628" t="s">
        <v>16</v>
      </c>
      <c r="J1628" t="str">
        <f>"03/15/2006 23:45"</f>
        <v>03/15/2006 23:45</v>
      </c>
    </row>
    <row r="1629" spans="1:10" x14ac:dyDescent="0.3">
      <c r="A1629" t="s">
        <v>6</v>
      </c>
      <c r="B1629" t="str">
        <f>"03/16/2006 00:00"</f>
        <v>03/16/2006 00:00</v>
      </c>
      <c r="C1629">
        <v>34.6</v>
      </c>
      <c r="D1629" t="s">
        <v>7</v>
      </c>
      <c r="E1629" s="2" t="s">
        <v>12</v>
      </c>
      <c r="F1629">
        <f t="shared" si="25"/>
        <v>68.611800000000002</v>
      </c>
      <c r="G1629" t="s">
        <v>16</v>
      </c>
      <c r="J1629" t="str">
        <f>"03/16/2006 23:45"</f>
        <v>03/16/2006 23:45</v>
      </c>
    </row>
    <row r="1630" spans="1:10" x14ac:dyDescent="0.3">
      <c r="A1630" t="s">
        <v>6</v>
      </c>
      <c r="B1630" t="str">
        <f>"03/17/2006 00:00"</f>
        <v>03/17/2006 00:00</v>
      </c>
      <c r="C1630">
        <v>34.6</v>
      </c>
      <c r="D1630" t="s">
        <v>7</v>
      </c>
      <c r="E1630" s="2" t="s">
        <v>12</v>
      </c>
      <c r="F1630">
        <f t="shared" si="25"/>
        <v>68.611800000000002</v>
      </c>
      <c r="G1630" t="s">
        <v>16</v>
      </c>
      <c r="J1630" t="str">
        <f>"03/17/2006 23:45"</f>
        <v>03/17/2006 23:45</v>
      </c>
    </row>
    <row r="1631" spans="1:10" x14ac:dyDescent="0.3">
      <c r="A1631" t="s">
        <v>6</v>
      </c>
      <c r="B1631" t="str">
        <f>"03/18/2006 00:00"</f>
        <v>03/18/2006 00:00</v>
      </c>
      <c r="C1631">
        <v>34.6</v>
      </c>
      <c r="D1631" t="s">
        <v>7</v>
      </c>
      <c r="E1631" s="2" t="s">
        <v>12</v>
      </c>
      <c r="F1631">
        <f t="shared" si="25"/>
        <v>68.611800000000002</v>
      </c>
      <c r="G1631" t="s">
        <v>16</v>
      </c>
      <c r="J1631" t="str">
        <f>"03/18/2006 23:45"</f>
        <v>03/18/2006 23:45</v>
      </c>
    </row>
    <row r="1632" spans="1:10" x14ac:dyDescent="0.3">
      <c r="A1632" t="s">
        <v>6</v>
      </c>
      <c r="B1632" t="str">
        <f>"03/19/2006 00:00"</f>
        <v>03/19/2006 00:00</v>
      </c>
      <c r="C1632">
        <v>34.6</v>
      </c>
      <c r="D1632" t="s">
        <v>7</v>
      </c>
      <c r="E1632" s="2" t="s">
        <v>12</v>
      </c>
      <c r="F1632">
        <f t="shared" si="25"/>
        <v>68.611800000000002</v>
      </c>
      <c r="G1632" t="s">
        <v>16</v>
      </c>
      <c r="J1632" t="str">
        <f>"03/19/2006 23:45"</f>
        <v>03/19/2006 23:45</v>
      </c>
    </row>
    <row r="1633" spans="1:10" x14ac:dyDescent="0.3">
      <c r="A1633" t="s">
        <v>6</v>
      </c>
      <c r="B1633" t="str">
        <f>"03/20/2006 00:00"</f>
        <v>03/20/2006 00:00</v>
      </c>
      <c r="C1633">
        <v>34.6</v>
      </c>
      <c r="D1633" t="s">
        <v>7</v>
      </c>
      <c r="E1633" s="2" t="s">
        <v>12</v>
      </c>
      <c r="F1633">
        <f t="shared" si="25"/>
        <v>68.611800000000002</v>
      </c>
      <c r="G1633" t="s">
        <v>16</v>
      </c>
      <c r="J1633" t="str">
        <f>"03/20/2006 23:45"</f>
        <v>03/20/2006 23:45</v>
      </c>
    </row>
    <row r="1634" spans="1:10" x14ac:dyDescent="0.3">
      <c r="A1634" t="s">
        <v>6</v>
      </c>
      <c r="B1634" t="str">
        <f>"03/21/2006 00:00"</f>
        <v>03/21/2006 00:00</v>
      </c>
      <c r="C1634">
        <v>34.5</v>
      </c>
      <c r="D1634" t="s">
        <v>7</v>
      </c>
      <c r="E1634" s="2" t="s">
        <v>12</v>
      </c>
      <c r="F1634">
        <f t="shared" si="25"/>
        <v>68.413499999999999</v>
      </c>
      <c r="G1634" t="s">
        <v>16</v>
      </c>
      <c r="J1634" t="str">
        <f>"03/21/2006 23:45"</f>
        <v>03/21/2006 23:45</v>
      </c>
    </row>
    <row r="1635" spans="1:10" x14ac:dyDescent="0.3">
      <c r="A1635" t="s">
        <v>6</v>
      </c>
      <c r="B1635" t="str">
        <f>"03/22/2006 00:00"</f>
        <v>03/22/2006 00:00</v>
      </c>
      <c r="C1635">
        <v>34.5</v>
      </c>
      <c r="D1635" t="s">
        <v>7</v>
      </c>
      <c r="E1635" s="2" t="s">
        <v>12</v>
      </c>
      <c r="F1635">
        <f t="shared" si="25"/>
        <v>68.413499999999999</v>
      </c>
      <c r="G1635" t="s">
        <v>16</v>
      </c>
      <c r="J1635" t="str">
        <f>"03/22/2006 23:45"</f>
        <v>03/22/2006 23:45</v>
      </c>
    </row>
    <row r="1636" spans="1:10" x14ac:dyDescent="0.3">
      <c r="A1636" t="s">
        <v>6</v>
      </c>
      <c r="B1636" t="str">
        <f>"03/23/2006 00:00"</f>
        <v>03/23/2006 00:00</v>
      </c>
      <c r="C1636">
        <v>34.6</v>
      </c>
      <c r="D1636" t="s">
        <v>7</v>
      </c>
      <c r="E1636" s="2" t="s">
        <v>12</v>
      </c>
      <c r="F1636">
        <f t="shared" si="25"/>
        <v>68.611800000000002</v>
      </c>
      <c r="G1636" t="s">
        <v>16</v>
      </c>
      <c r="J1636" t="str">
        <f>"03/23/2006 23:45"</f>
        <v>03/23/2006 23:45</v>
      </c>
    </row>
    <row r="1637" spans="1:10" x14ac:dyDescent="0.3">
      <c r="A1637" t="s">
        <v>6</v>
      </c>
      <c r="B1637" t="str">
        <f>"03/24/2006 00:00"</f>
        <v>03/24/2006 00:00</v>
      </c>
      <c r="C1637">
        <v>34.6</v>
      </c>
      <c r="D1637" t="s">
        <v>7</v>
      </c>
      <c r="E1637" s="2" t="s">
        <v>12</v>
      </c>
      <c r="F1637">
        <f t="shared" si="25"/>
        <v>68.611800000000002</v>
      </c>
      <c r="G1637" t="s">
        <v>16</v>
      </c>
      <c r="J1637" t="str">
        <f>"03/24/2006 23:45"</f>
        <v>03/24/2006 23:45</v>
      </c>
    </row>
    <row r="1638" spans="1:10" x14ac:dyDescent="0.3">
      <c r="A1638" t="s">
        <v>6</v>
      </c>
      <c r="B1638" t="str">
        <f>"03/25/2006 00:00"</f>
        <v>03/25/2006 00:00</v>
      </c>
      <c r="C1638">
        <v>34.6</v>
      </c>
      <c r="D1638" t="s">
        <v>7</v>
      </c>
      <c r="E1638" s="2" t="s">
        <v>12</v>
      </c>
      <c r="F1638">
        <f t="shared" si="25"/>
        <v>68.611800000000002</v>
      </c>
      <c r="G1638" t="s">
        <v>16</v>
      </c>
      <c r="J1638" t="str">
        <f>"03/25/2006 23:45"</f>
        <v>03/25/2006 23:45</v>
      </c>
    </row>
    <row r="1639" spans="1:10" x14ac:dyDescent="0.3">
      <c r="A1639" t="s">
        <v>6</v>
      </c>
      <c r="B1639" t="str">
        <f>"03/26/2006 00:00"</f>
        <v>03/26/2006 00:00</v>
      </c>
      <c r="C1639">
        <v>34.6</v>
      </c>
      <c r="D1639" t="s">
        <v>7</v>
      </c>
      <c r="E1639" s="2" t="s">
        <v>12</v>
      </c>
      <c r="F1639">
        <f t="shared" si="25"/>
        <v>68.611800000000002</v>
      </c>
      <c r="G1639" t="s">
        <v>16</v>
      </c>
      <c r="J1639" t="str">
        <f>"03/26/2006 23:45"</f>
        <v>03/26/2006 23:45</v>
      </c>
    </row>
    <row r="1640" spans="1:10" x14ac:dyDescent="0.3">
      <c r="A1640" t="s">
        <v>6</v>
      </c>
      <c r="B1640" t="str">
        <f>"03/27/2006 00:00"</f>
        <v>03/27/2006 00:00</v>
      </c>
      <c r="C1640">
        <v>34.6</v>
      </c>
      <c r="D1640" t="s">
        <v>7</v>
      </c>
      <c r="E1640" s="2" t="s">
        <v>12</v>
      </c>
      <c r="F1640">
        <f t="shared" si="25"/>
        <v>68.611800000000002</v>
      </c>
      <c r="G1640" t="s">
        <v>16</v>
      </c>
      <c r="J1640" t="str">
        <f>"03/27/2006 23:45"</f>
        <v>03/27/2006 23:45</v>
      </c>
    </row>
    <row r="1641" spans="1:10" x14ac:dyDescent="0.3">
      <c r="A1641" t="s">
        <v>6</v>
      </c>
      <c r="B1641" t="str">
        <f>"03/28/2006 00:00"</f>
        <v>03/28/2006 00:00</v>
      </c>
      <c r="C1641">
        <v>34.6</v>
      </c>
      <c r="D1641" t="s">
        <v>7</v>
      </c>
      <c r="E1641" s="2" t="s">
        <v>12</v>
      </c>
      <c r="F1641">
        <f t="shared" si="25"/>
        <v>68.611800000000002</v>
      </c>
      <c r="G1641" t="s">
        <v>16</v>
      </c>
      <c r="J1641" t="str">
        <f>"03/28/2006 23:45"</f>
        <v>03/28/2006 23:45</v>
      </c>
    </row>
    <row r="1642" spans="1:10" x14ac:dyDescent="0.3">
      <c r="A1642" t="s">
        <v>6</v>
      </c>
      <c r="B1642" t="str">
        <f>"03/29/2006 00:00"</f>
        <v>03/29/2006 00:00</v>
      </c>
      <c r="C1642">
        <v>34.1</v>
      </c>
      <c r="D1642" t="s">
        <v>7</v>
      </c>
      <c r="E1642" s="2" t="s">
        <v>12</v>
      </c>
      <c r="F1642">
        <f t="shared" si="25"/>
        <v>67.6203</v>
      </c>
      <c r="G1642" t="s">
        <v>16</v>
      </c>
      <c r="J1642" t="str">
        <f>"03/29/2006 23:45"</f>
        <v>03/29/2006 23:45</v>
      </c>
    </row>
    <row r="1643" spans="1:10" x14ac:dyDescent="0.3">
      <c r="A1643" t="s">
        <v>6</v>
      </c>
      <c r="B1643" t="str">
        <f>"03/30/2006 00:00"</f>
        <v>03/30/2006 00:00</v>
      </c>
      <c r="C1643">
        <v>33.799999999999997</v>
      </c>
      <c r="D1643" t="s">
        <v>7</v>
      </c>
      <c r="E1643" s="2" t="s">
        <v>12</v>
      </c>
      <c r="F1643">
        <f t="shared" si="25"/>
        <v>67.025399999999991</v>
      </c>
      <c r="G1643" t="s">
        <v>16</v>
      </c>
      <c r="J1643" t="str">
        <f>"03/30/2006 23:45"</f>
        <v>03/30/2006 23:45</v>
      </c>
    </row>
    <row r="1644" spans="1:10" x14ac:dyDescent="0.3">
      <c r="A1644" t="s">
        <v>6</v>
      </c>
      <c r="B1644" t="str">
        <f>"03/31/2006 00:00"</f>
        <v>03/31/2006 00:00</v>
      </c>
      <c r="C1644">
        <v>44.3</v>
      </c>
      <c r="D1644" t="s">
        <v>7</v>
      </c>
      <c r="E1644" s="2" t="s">
        <v>12</v>
      </c>
      <c r="F1644">
        <f t="shared" si="25"/>
        <v>87.846900000000005</v>
      </c>
      <c r="G1644" t="s">
        <v>16</v>
      </c>
      <c r="J1644" t="str">
        <f>"03/31/2006 23:45"</f>
        <v>03/31/2006 23:45</v>
      </c>
    </row>
    <row r="1645" spans="1:10" x14ac:dyDescent="0.3">
      <c r="A1645" t="s">
        <v>6</v>
      </c>
      <c r="B1645" t="str">
        <f>"04/01/2006 00:00"</f>
        <v>04/01/2006 00:00</v>
      </c>
      <c r="C1645">
        <v>50.2</v>
      </c>
      <c r="D1645" t="s">
        <v>7</v>
      </c>
      <c r="E1645" s="2" t="s">
        <v>12</v>
      </c>
      <c r="F1645">
        <f t="shared" si="25"/>
        <v>99.546600000000012</v>
      </c>
      <c r="G1645" t="s">
        <v>16</v>
      </c>
      <c r="J1645" t="str">
        <f>"04/01/2006 23:45"</f>
        <v>04/01/2006 23:45</v>
      </c>
    </row>
    <row r="1646" spans="1:10" x14ac:dyDescent="0.3">
      <c r="A1646" t="s">
        <v>6</v>
      </c>
      <c r="B1646" t="str">
        <f>"04/02/2006 00:00"</f>
        <v>04/02/2006 00:00</v>
      </c>
      <c r="C1646">
        <v>50.3</v>
      </c>
      <c r="D1646" t="s">
        <v>7</v>
      </c>
      <c r="E1646" s="2" t="s">
        <v>12</v>
      </c>
      <c r="F1646">
        <f t="shared" si="25"/>
        <v>99.744900000000001</v>
      </c>
      <c r="G1646" t="s">
        <v>16</v>
      </c>
      <c r="J1646" t="str">
        <f>"04/02/2006 23:45"</f>
        <v>04/02/2006 23:45</v>
      </c>
    </row>
    <row r="1647" spans="1:10" x14ac:dyDescent="0.3">
      <c r="A1647" t="s">
        <v>6</v>
      </c>
      <c r="B1647" t="str">
        <f>"04/03/2006 00:00"</f>
        <v>04/03/2006 00:00</v>
      </c>
      <c r="C1647">
        <v>50.3</v>
      </c>
      <c r="D1647" t="s">
        <v>7</v>
      </c>
      <c r="E1647" s="2" t="s">
        <v>12</v>
      </c>
      <c r="F1647">
        <f t="shared" si="25"/>
        <v>99.744900000000001</v>
      </c>
      <c r="G1647" t="s">
        <v>16</v>
      </c>
      <c r="J1647" t="str">
        <f>"04/03/2006 23:45"</f>
        <v>04/03/2006 23:45</v>
      </c>
    </row>
    <row r="1648" spans="1:10" x14ac:dyDescent="0.3">
      <c r="A1648" t="s">
        <v>6</v>
      </c>
      <c r="B1648" t="str">
        <f>"04/04/2006 00:00"</f>
        <v>04/04/2006 00:00</v>
      </c>
      <c r="C1648">
        <v>50.1</v>
      </c>
      <c r="D1648" t="s">
        <v>7</v>
      </c>
      <c r="E1648" s="2" t="s">
        <v>12</v>
      </c>
      <c r="F1648">
        <f t="shared" si="25"/>
        <v>99.348300000000009</v>
      </c>
      <c r="G1648" t="s">
        <v>16</v>
      </c>
      <c r="J1648" t="str">
        <f>"04/04/2006 23:45"</f>
        <v>04/04/2006 23:45</v>
      </c>
    </row>
    <row r="1649" spans="1:10" x14ac:dyDescent="0.3">
      <c r="A1649" t="s">
        <v>6</v>
      </c>
      <c r="B1649" t="str">
        <f>"04/05/2006 00:00"</f>
        <v>04/05/2006 00:00</v>
      </c>
      <c r="C1649">
        <v>49.5</v>
      </c>
      <c r="D1649" t="s">
        <v>7</v>
      </c>
      <c r="E1649" s="2" t="s">
        <v>12</v>
      </c>
      <c r="F1649">
        <f t="shared" si="25"/>
        <v>98.158500000000004</v>
      </c>
      <c r="G1649" t="s">
        <v>16</v>
      </c>
      <c r="J1649" t="str">
        <f>"04/05/2006 23:45"</f>
        <v>04/05/2006 23:45</v>
      </c>
    </row>
    <row r="1650" spans="1:10" x14ac:dyDescent="0.3">
      <c r="A1650" t="s">
        <v>6</v>
      </c>
      <c r="B1650" t="str">
        <f>"04/06/2006 00:00"</f>
        <v>04/06/2006 00:00</v>
      </c>
      <c r="C1650">
        <v>48.5</v>
      </c>
      <c r="D1650" t="s">
        <v>7</v>
      </c>
      <c r="E1650" s="2" t="s">
        <v>12</v>
      </c>
      <c r="F1650">
        <f t="shared" si="25"/>
        <v>96.1755</v>
      </c>
      <c r="G1650" t="s">
        <v>16</v>
      </c>
      <c r="J1650" t="str">
        <f>"04/06/2006 23:45"</f>
        <v>04/06/2006 23:45</v>
      </c>
    </row>
    <row r="1651" spans="1:10" x14ac:dyDescent="0.3">
      <c r="A1651" t="s">
        <v>6</v>
      </c>
      <c r="B1651" t="str">
        <f>"04/07/2006 00:00"</f>
        <v>04/07/2006 00:00</v>
      </c>
      <c r="C1651">
        <v>48.8</v>
      </c>
      <c r="D1651" t="s">
        <v>7</v>
      </c>
      <c r="E1651" s="2" t="s">
        <v>12</v>
      </c>
      <c r="F1651">
        <f t="shared" si="25"/>
        <v>96.770399999999995</v>
      </c>
      <c r="G1651" t="s">
        <v>16</v>
      </c>
      <c r="J1651" t="str">
        <f>"04/07/2006 23:45"</f>
        <v>04/07/2006 23:45</v>
      </c>
    </row>
    <row r="1652" spans="1:10" x14ac:dyDescent="0.3">
      <c r="A1652" t="s">
        <v>6</v>
      </c>
      <c r="B1652" t="str">
        <f>"04/08/2006 00:00"</f>
        <v>04/08/2006 00:00</v>
      </c>
      <c r="C1652">
        <v>49.2</v>
      </c>
      <c r="D1652" t="s">
        <v>7</v>
      </c>
      <c r="E1652" s="2" t="s">
        <v>12</v>
      </c>
      <c r="F1652">
        <f t="shared" si="25"/>
        <v>97.563600000000008</v>
      </c>
      <c r="G1652" t="s">
        <v>16</v>
      </c>
      <c r="J1652" t="str">
        <f>"04/08/2006 23:45"</f>
        <v>04/08/2006 23:45</v>
      </c>
    </row>
    <row r="1653" spans="1:10" x14ac:dyDescent="0.3">
      <c r="A1653" t="s">
        <v>6</v>
      </c>
      <c r="B1653" t="str">
        <f>"04/09/2006 00:00"</f>
        <v>04/09/2006 00:00</v>
      </c>
      <c r="C1653">
        <v>49.2</v>
      </c>
      <c r="D1653" t="s">
        <v>7</v>
      </c>
      <c r="E1653" s="2" t="s">
        <v>12</v>
      </c>
      <c r="F1653">
        <f t="shared" si="25"/>
        <v>97.563600000000008</v>
      </c>
      <c r="G1653" t="s">
        <v>16</v>
      </c>
      <c r="J1653" t="str">
        <f>"04/09/2006 23:45"</f>
        <v>04/09/2006 23:45</v>
      </c>
    </row>
    <row r="1654" spans="1:10" x14ac:dyDescent="0.3">
      <c r="A1654" t="s">
        <v>6</v>
      </c>
      <c r="B1654" t="str">
        <f>"04/10/2006 00:00"</f>
        <v>04/10/2006 00:00</v>
      </c>
      <c r="C1654">
        <v>61.8</v>
      </c>
      <c r="D1654" t="s">
        <v>7</v>
      </c>
      <c r="E1654" s="2" t="s">
        <v>12</v>
      </c>
      <c r="F1654">
        <f t="shared" si="25"/>
        <v>122.54940000000001</v>
      </c>
      <c r="G1654" t="s">
        <v>16</v>
      </c>
      <c r="J1654" t="str">
        <f>"04/10/2006 23:45"</f>
        <v>04/10/2006 23:45</v>
      </c>
    </row>
    <row r="1655" spans="1:10" x14ac:dyDescent="0.3">
      <c r="A1655" t="s">
        <v>6</v>
      </c>
      <c r="B1655" t="str">
        <f>"04/11/2006 00:00"</f>
        <v>04/11/2006 00:00</v>
      </c>
      <c r="C1655">
        <v>69</v>
      </c>
      <c r="D1655" t="s">
        <v>7</v>
      </c>
      <c r="E1655" s="2" t="s">
        <v>12</v>
      </c>
      <c r="F1655">
        <f t="shared" si="25"/>
        <v>136.827</v>
      </c>
      <c r="G1655" t="s">
        <v>16</v>
      </c>
      <c r="J1655" t="str">
        <f>"04/11/2006 23:45"</f>
        <v>04/11/2006 23:45</v>
      </c>
    </row>
    <row r="1656" spans="1:10" x14ac:dyDescent="0.3">
      <c r="A1656" t="s">
        <v>6</v>
      </c>
      <c r="B1656" t="str">
        <f>"04/12/2006 00:00"</f>
        <v>04/12/2006 00:00</v>
      </c>
      <c r="C1656">
        <v>98.2</v>
      </c>
      <c r="D1656" t="s">
        <v>7</v>
      </c>
      <c r="E1656" s="2" t="s">
        <v>12</v>
      </c>
      <c r="F1656">
        <f t="shared" si="25"/>
        <v>194.73060000000001</v>
      </c>
      <c r="G1656" t="s">
        <v>16</v>
      </c>
      <c r="J1656" t="str">
        <f>"04/12/2006 23:45"</f>
        <v>04/12/2006 23:45</v>
      </c>
    </row>
    <row r="1657" spans="1:10" x14ac:dyDescent="0.3">
      <c r="A1657" t="s">
        <v>6</v>
      </c>
      <c r="B1657" t="str">
        <f>"04/13/2006 00:00"</f>
        <v>04/13/2006 00:00</v>
      </c>
      <c r="C1657">
        <v>170</v>
      </c>
      <c r="D1657" t="s">
        <v>7</v>
      </c>
      <c r="E1657" s="2" t="s">
        <v>12</v>
      </c>
      <c r="F1657">
        <f t="shared" si="25"/>
        <v>337.11</v>
      </c>
      <c r="G1657" t="s">
        <v>16</v>
      </c>
      <c r="J1657" t="str">
        <f>"04/13/2006 23:45"</f>
        <v>04/13/2006 23:45</v>
      </c>
    </row>
    <row r="1658" spans="1:10" x14ac:dyDescent="0.3">
      <c r="A1658" t="s">
        <v>6</v>
      </c>
      <c r="B1658" t="str">
        <f>"04/14/2006 00:00"</f>
        <v>04/14/2006 00:00</v>
      </c>
      <c r="C1658">
        <v>221</v>
      </c>
      <c r="D1658" t="s">
        <v>7</v>
      </c>
      <c r="E1658" s="2" t="s">
        <v>12</v>
      </c>
      <c r="F1658">
        <f t="shared" si="25"/>
        <v>438.24299999999999</v>
      </c>
      <c r="G1658" t="s">
        <v>16</v>
      </c>
      <c r="J1658" t="str">
        <f>"04/14/2006 23:45"</f>
        <v>04/14/2006 23:45</v>
      </c>
    </row>
    <row r="1659" spans="1:10" x14ac:dyDescent="0.3">
      <c r="A1659" t="s">
        <v>6</v>
      </c>
      <c r="B1659" t="str">
        <f>"04/15/2006 00:00"</f>
        <v>04/15/2006 00:00</v>
      </c>
      <c r="C1659">
        <v>235</v>
      </c>
      <c r="D1659" t="s">
        <v>7</v>
      </c>
      <c r="E1659" s="2" t="s">
        <v>12</v>
      </c>
      <c r="F1659">
        <f t="shared" si="25"/>
        <v>466.005</v>
      </c>
      <c r="G1659" t="s">
        <v>16</v>
      </c>
      <c r="J1659" t="str">
        <f>"04/15/2006 23:45"</f>
        <v>04/15/2006 23:45</v>
      </c>
    </row>
    <row r="1660" spans="1:10" x14ac:dyDescent="0.3">
      <c r="A1660" t="s">
        <v>6</v>
      </c>
      <c r="B1660" t="str">
        <f>"04/16/2006 00:00"</f>
        <v>04/16/2006 00:00</v>
      </c>
      <c r="C1660">
        <v>236</v>
      </c>
      <c r="D1660" t="s">
        <v>7</v>
      </c>
      <c r="E1660" s="2" t="s">
        <v>12</v>
      </c>
      <c r="F1660">
        <f t="shared" si="25"/>
        <v>467.988</v>
      </c>
      <c r="G1660" t="s">
        <v>16</v>
      </c>
      <c r="J1660" t="str">
        <f>"04/16/2006 23:45"</f>
        <v>04/16/2006 23:45</v>
      </c>
    </row>
    <row r="1661" spans="1:10" x14ac:dyDescent="0.3">
      <c r="A1661" t="s">
        <v>6</v>
      </c>
      <c r="B1661" t="str">
        <f>"04/17/2006 00:00"</f>
        <v>04/17/2006 00:00</v>
      </c>
      <c r="C1661">
        <v>235</v>
      </c>
      <c r="D1661" t="s">
        <v>7</v>
      </c>
      <c r="E1661" s="2" t="s">
        <v>12</v>
      </c>
      <c r="F1661">
        <f t="shared" si="25"/>
        <v>466.005</v>
      </c>
      <c r="G1661" t="s">
        <v>16</v>
      </c>
      <c r="J1661" t="str">
        <f>"04/17/2006 23:45"</f>
        <v>04/17/2006 23:45</v>
      </c>
    </row>
    <row r="1662" spans="1:10" x14ac:dyDescent="0.3">
      <c r="A1662" t="s">
        <v>6</v>
      </c>
      <c r="B1662" t="str">
        <f>"04/18/2006 00:00"</f>
        <v>04/18/2006 00:00</v>
      </c>
      <c r="C1662">
        <v>235</v>
      </c>
      <c r="D1662" t="s">
        <v>7</v>
      </c>
      <c r="E1662" s="2" t="s">
        <v>12</v>
      </c>
      <c r="F1662">
        <f t="shared" si="25"/>
        <v>466.005</v>
      </c>
      <c r="G1662" t="s">
        <v>16</v>
      </c>
      <c r="J1662" t="str">
        <f>"04/18/2006 23:45"</f>
        <v>04/18/2006 23:45</v>
      </c>
    </row>
    <row r="1663" spans="1:10" x14ac:dyDescent="0.3">
      <c r="A1663" t="s">
        <v>6</v>
      </c>
      <c r="B1663" t="str">
        <f>"04/19/2006 00:00"</f>
        <v>04/19/2006 00:00</v>
      </c>
      <c r="C1663">
        <v>235</v>
      </c>
      <c r="D1663" t="s">
        <v>7</v>
      </c>
      <c r="E1663" s="2" t="s">
        <v>12</v>
      </c>
      <c r="F1663">
        <f t="shared" si="25"/>
        <v>466.005</v>
      </c>
      <c r="G1663" t="s">
        <v>16</v>
      </c>
      <c r="J1663" t="str">
        <f>"04/19/2006 23:45"</f>
        <v>04/19/2006 23:45</v>
      </c>
    </row>
    <row r="1664" spans="1:10" x14ac:dyDescent="0.3">
      <c r="A1664" t="s">
        <v>6</v>
      </c>
      <c r="B1664" t="str">
        <f>"04/20/2006 00:00"</f>
        <v>04/20/2006 00:00</v>
      </c>
      <c r="C1664">
        <v>235</v>
      </c>
      <c r="D1664" t="s">
        <v>7</v>
      </c>
      <c r="E1664" s="2" t="s">
        <v>12</v>
      </c>
      <c r="F1664">
        <f t="shared" si="25"/>
        <v>466.005</v>
      </c>
      <c r="G1664" t="s">
        <v>16</v>
      </c>
      <c r="J1664" t="str">
        <f>"04/20/2006 23:45"</f>
        <v>04/20/2006 23:45</v>
      </c>
    </row>
    <row r="1665" spans="1:10" x14ac:dyDescent="0.3">
      <c r="A1665" t="s">
        <v>6</v>
      </c>
      <c r="B1665" t="str">
        <f>"04/21/2006 00:00"</f>
        <v>04/21/2006 00:00</v>
      </c>
      <c r="C1665">
        <v>286</v>
      </c>
      <c r="D1665" t="s">
        <v>7</v>
      </c>
      <c r="E1665" s="2" t="s">
        <v>12</v>
      </c>
      <c r="F1665">
        <f t="shared" si="25"/>
        <v>567.13800000000003</v>
      </c>
      <c r="G1665" t="s">
        <v>16</v>
      </c>
      <c r="J1665" t="str">
        <f>"04/21/2006 23:45"</f>
        <v>04/21/2006 23:45</v>
      </c>
    </row>
    <row r="1666" spans="1:10" x14ac:dyDescent="0.3">
      <c r="A1666" t="s">
        <v>6</v>
      </c>
      <c r="B1666" t="str">
        <f>"04/22/2006 00:00"</f>
        <v>04/22/2006 00:00</v>
      </c>
      <c r="C1666">
        <v>351</v>
      </c>
      <c r="D1666" t="s">
        <v>7</v>
      </c>
      <c r="E1666" s="2" t="s">
        <v>12</v>
      </c>
      <c r="F1666">
        <f t="shared" si="25"/>
        <v>696.03300000000002</v>
      </c>
      <c r="G1666" t="s">
        <v>16</v>
      </c>
      <c r="J1666" t="str">
        <f>"04/22/2006 23:45"</f>
        <v>04/22/2006 23:45</v>
      </c>
    </row>
    <row r="1667" spans="1:10" x14ac:dyDescent="0.3">
      <c r="A1667" t="s">
        <v>6</v>
      </c>
      <c r="B1667" t="str">
        <f>"04/23/2006 00:00"</f>
        <v>04/23/2006 00:00</v>
      </c>
      <c r="C1667">
        <v>350</v>
      </c>
      <c r="D1667" t="s">
        <v>7</v>
      </c>
      <c r="E1667" s="2" t="s">
        <v>12</v>
      </c>
      <c r="F1667">
        <f t="shared" si="25"/>
        <v>694.05000000000007</v>
      </c>
      <c r="G1667" t="s">
        <v>16</v>
      </c>
      <c r="J1667" t="str">
        <f>"04/23/2006 23:45"</f>
        <v>04/23/2006 23:45</v>
      </c>
    </row>
    <row r="1668" spans="1:10" x14ac:dyDescent="0.3">
      <c r="A1668" t="s">
        <v>6</v>
      </c>
      <c r="B1668" t="str">
        <f>"04/24/2006 00:00"</f>
        <v>04/24/2006 00:00</v>
      </c>
      <c r="C1668">
        <v>335</v>
      </c>
      <c r="D1668" t="s">
        <v>7</v>
      </c>
      <c r="E1668" s="2" t="s">
        <v>12</v>
      </c>
      <c r="F1668">
        <f t="shared" ref="F1668:F1731" si="26">C1668*1.983</f>
        <v>664.30500000000006</v>
      </c>
      <c r="G1668" t="s">
        <v>16</v>
      </c>
      <c r="J1668" t="str">
        <f>"04/24/2006 23:45"</f>
        <v>04/24/2006 23:45</v>
      </c>
    </row>
    <row r="1669" spans="1:10" x14ac:dyDescent="0.3">
      <c r="A1669" t="s">
        <v>6</v>
      </c>
      <c r="B1669" t="str">
        <f>"04/25/2006 00:00"</f>
        <v>04/25/2006 00:00</v>
      </c>
      <c r="C1669">
        <v>293</v>
      </c>
      <c r="D1669" t="s">
        <v>7</v>
      </c>
      <c r="E1669" s="2" t="s">
        <v>12</v>
      </c>
      <c r="F1669">
        <f t="shared" si="26"/>
        <v>581.01900000000001</v>
      </c>
      <c r="G1669" t="s">
        <v>16</v>
      </c>
      <c r="J1669" t="str">
        <f>"04/25/2006 23:45"</f>
        <v>04/25/2006 23:45</v>
      </c>
    </row>
    <row r="1670" spans="1:10" x14ac:dyDescent="0.3">
      <c r="A1670" t="s">
        <v>6</v>
      </c>
      <c r="B1670" t="str">
        <f>"04/26/2006 00:00"</f>
        <v>04/26/2006 00:00</v>
      </c>
      <c r="C1670">
        <v>275</v>
      </c>
      <c r="D1670" t="s">
        <v>7</v>
      </c>
      <c r="E1670" s="2" t="s">
        <v>12</v>
      </c>
      <c r="F1670">
        <f t="shared" si="26"/>
        <v>545.32500000000005</v>
      </c>
      <c r="G1670" t="s">
        <v>16</v>
      </c>
      <c r="J1670" t="str">
        <f>"04/26/2006 23:45"</f>
        <v>04/26/2006 23:45</v>
      </c>
    </row>
    <row r="1671" spans="1:10" x14ac:dyDescent="0.3">
      <c r="A1671" t="s">
        <v>6</v>
      </c>
      <c r="B1671" t="str">
        <f>"04/27/2006 00:00"</f>
        <v>04/27/2006 00:00</v>
      </c>
      <c r="C1671">
        <v>280</v>
      </c>
      <c r="D1671" t="s">
        <v>7</v>
      </c>
      <c r="E1671" s="2" t="s">
        <v>12</v>
      </c>
      <c r="F1671">
        <f t="shared" si="26"/>
        <v>555.24</v>
      </c>
      <c r="G1671" t="s">
        <v>16</v>
      </c>
      <c r="J1671" t="str">
        <f>"04/27/2006 23:45"</f>
        <v>04/27/2006 23:45</v>
      </c>
    </row>
    <row r="1672" spans="1:10" x14ac:dyDescent="0.3">
      <c r="A1672" t="s">
        <v>6</v>
      </c>
      <c r="B1672" t="str">
        <f>"04/28/2006 00:00"</f>
        <v>04/28/2006 00:00</v>
      </c>
      <c r="C1672">
        <v>174</v>
      </c>
      <c r="D1672" t="s">
        <v>7</v>
      </c>
      <c r="E1672" s="2" t="s">
        <v>12</v>
      </c>
      <c r="F1672">
        <f t="shared" si="26"/>
        <v>345.04200000000003</v>
      </c>
      <c r="G1672" t="s">
        <v>16</v>
      </c>
      <c r="J1672" t="str">
        <f>"04/28/2006 23:45"</f>
        <v>04/28/2006 23:45</v>
      </c>
    </row>
    <row r="1673" spans="1:10" x14ac:dyDescent="0.3">
      <c r="A1673" t="s">
        <v>6</v>
      </c>
      <c r="B1673" t="str">
        <f>"04/29/2006 00:00"</f>
        <v>04/29/2006 00:00</v>
      </c>
      <c r="C1673">
        <v>2.66</v>
      </c>
      <c r="D1673" t="s">
        <v>7</v>
      </c>
      <c r="E1673" s="2" t="s">
        <v>12</v>
      </c>
      <c r="F1673">
        <f t="shared" si="26"/>
        <v>5.2747800000000007</v>
      </c>
      <c r="G1673" t="s">
        <v>16</v>
      </c>
      <c r="J1673" t="str">
        <f>"04/29/2006 23:45"</f>
        <v>04/29/2006 23:45</v>
      </c>
    </row>
    <row r="1674" spans="1:10" x14ac:dyDescent="0.3">
      <c r="A1674" t="s">
        <v>6</v>
      </c>
      <c r="B1674" t="str">
        <f>"04/30/2006 00:00"</f>
        <v>04/30/2006 00:00</v>
      </c>
      <c r="C1674">
        <v>2.46</v>
      </c>
      <c r="D1674" t="s">
        <v>7</v>
      </c>
      <c r="E1674" s="2" t="s">
        <v>12</v>
      </c>
      <c r="F1674">
        <f t="shared" si="26"/>
        <v>4.8781800000000004</v>
      </c>
      <c r="G1674" t="s">
        <v>16</v>
      </c>
      <c r="J1674" t="str">
        <f>"04/30/2006 23:45"</f>
        <v>04/30/2006 23:45</v>
      </c>
    </row>
    <row r="1675" spans="1:10" x14ac:dyDescent="0.3">
      <c r="A1675" t="s">
        <v>6</v>
      </c>
      <c r="B1675" t="str">
        <f>"05/01/2006 00:00"</f>
        <v>05/01/2006 00:00</v>
      </c>
      <c r="C1675">
        <v>2.4500000000000002</v>
      </c>
      <c r="D1675" t="s">
        <v>7</v>
      </c>
      <c r="E1675" s="2" t="s">
        <v>12</v>
      </c>
      <c r="F1675">
        <f t="shared" si="26"/>
        <v>4.8583500000000006</v>
      </c>
      <c r="G1675" t="s">
        <v>16</v>
      </c>
      <c r="J1675" t="str">
        <f>"05/01/2006 23:45"</f>
        <v>05/01/2006 23:45</v>
      </c>
    </row>
    <row r="1676" spans="1:10" x14ac:dyDescent="0.3">
      <c r="A1676" t="s">
        <v>6</v>
      </c>
      <c r="B1676" t="str">
        <f>"05/02/2006 00:00"</f>
        <v>05/02/2006 00:00</v>
      </c>
      <c r="C1676">
        <v>114</v>
      </c>
      <c r="D1676" t="s">
        <v>7</v>
      </c>
      <c r="E1676" s="2" t="s">
        <v>12</v>
      </c>
      <c r="F1676">
        <f t="shared" si="26"/>
        <v>226.06200000000001</v>
      </c>
      <c r="G1676" t="s">
        <v>16</v>
      </c>
      <c r="J1676" t="str">
        <f>"05/02/2006 23:45"</f>
        <v>05/02/2006 23:45</v>
      </c>
    </row>
    <row r="1677" spans="1:10" x14ac:dyDescent="0.3">
      <c r="A1677" t="s">
        <v>6</v>
      </c>
      <c r="B1677" t="str">
        <f>"05/03/2006 00:00"</f>
        <v>05/03/2006 00:00</v>
      </c>
      <c r="C1677">
        <v>252</v>
      </c>
      <c r="D1677" t="s">
        <v>7</v>
      </c>
      <c r="E1677" s="2" t="s">
        <v>12</v>
      </c>
      <c r="F1677">
        <f t="shared" si="26"/>
        <v>499.71600000000001</v>
      </c>
      <c r="G1677" t="s">
        <v>16</v>
      </c>
      <c r="J1677" t="str">
        <f>"05/03/2006 23:45"</f>
        <v>05/03/2006 23:45</v>
      </c>
    </row>
    <row r="1678" spans="1:10" x14ac:dyDescent="0.3">
      <c r="A1678" t="s">
        <v>6</v>
      </c>
      <c r="B1678" t="str">
        <f>"05/04/2006 00:00"</f>
        <v>05/04/2006 00:00</v>
      </c>
      <c r="C1678">
        <v>252</v>
      </c>
      <c r="D1678" t="s">
        <v>7</v>
      </c>
      <c r="E1678" s="2" t="s">
        <v>12</v>
      </c>
      <c r="F1678">
        <f t="shared" si="26"/>
        <v>499.71600000000001</v>
      </c>
      <c r="G1678" t="s">
        <v>16</v>
      </c>
      <c r="J1678" t="str">
        <f>"05/04/2006 23:45"</f>
        <v>05/04/2006 23:45</v>
      </c>
    </row>
    <row r="1679" spans="1:10" x14ac:dyDescent="0.3">
      <c r="A1679" t="s">
        <v>6</v>
      </c>
      <c r="B1679" t="str">
        <f>"05/05/2006 00:00"</f>
        <v>05/05/2006 00:00</v>
      </c>
      <c r="C1679">
        <v>252</v>
      </c>
      <c r="D1679" t="s">
        <v>7</v>
      </c>
      <c r="E1679" s="2" t="s">
        <v>12</v>
      </c>
      <c r="F1679">
        <f t="shared" si="26"/>
        <v>499.71600000000001</v>
      </c>
      <c r="G1679" t="s">
        <v>16</v>
      </c>
      <c r="J1679" t="str">
        <f>"05/05/2006 23:45"</f>
        <v>05/05/2006 23:45</v>
      </c>
    </row>
    <row r="1680" spans="1:10" x14ac:dyDescent="0.3">
      <c r="A1680" t="s">
        <v>6</v>
      </c>
      <c r="B1680" t="str">
        <f>"05/06/2006 00:00"</f>
        <v>05/06/2006 00:00</v>
      </c>
      <c r="C1680">
        <v>252</v>
      </c>
      <c r="D1680" t="s">
        <v>7</v>
      </c>
      <c r="E1680" s="2" t="s">
        <v>12</v>
      </c>
      <c r="F1680">
        <f t="shared" si="26"/>
        <v>499.71600000000001</v>
      </c>
      <c r="G1680" t="s">
        <v>16</v>
      </c>
      <c r="J1680" t="str">
        <f>"05/06/2006 23:45"</f>
        <v>05/06/2006 23:45</v>
      </c>
    </row>
    <row r="1681" spans="1:10" x14ac:dyDescent="0.3">
      <c r="A1681" t="s">
        <v>6</v>
      </c>
      <c r="B1681" t="str">
        <f>"05/07/2006 00:00"</f>
        <v>05/07/2006 00:00</v>
      </c>
      <c r="C1681">
        <v>220</v>
      </c>
      <c r="D1681" t="s">
        <v>7</v>
      </c>
      <c r="E1681" s="2" t="s">
        <v>12</v>
      </c>
      <c r="F1681">
        <f t="shared" si="26"/>
        <v>436.26000000000005</v>
      </c>
      <c r="G1681" t="s">
        <v>16</v>
      </c>
      <c r="J1681" t="str">
        <f>"05/07/2006 23:45"</f>
        <v>05/07/2006 23:45</v>
      </c>
    </row>
    <row r="1682" spans="1:10" x14ac:dyDescent="0.3">
      <c r="A1682" t="s">
        <v>6</v>
      </c>
      <c r="B1682" t="str">
        <f>"05/08/2006 00:00"</f>
        <v>05/08/2006 00:00</v>
      </c>
      <c r="C1682">
        <v>227</v>
      </c>
      <c r="D1682" t="s">
        <v>7</v>
      </c>
      <c r="E1682" s="2" t="s">
        <v>12</v>
      </c>
      <c r="F1682">
        <f t="shared" si="26"/>
        <v>450.14100000000002</v>
      </c>
      <c r="G1682" t="s">
        <v>16</v>
      </c>
      <c r="J1682" t="str">
        <f>"05/08/2006 23:45"</f>
        <v>05/08/2006 23:45</v>
      </c>
    </row>
    <row r="1683" spans="1:10" x14ac:dyDescent="0.3">
      <c r="A1683" t="s">
        <v>6</v>
      </c>
      <c r="B1683" t="str">
        <f>"05/09/2006 00:00"</f>
        <v>05/09/2006 00:00</v>
      </c>
      <c r="C1683">
        <v>310</v>
      </c>
      <c r="D1683" t="s">
        <v>7</v>
      </c>
      <c r="E1683" s="2" t="s">
        <v>12</v>
      </c>
      <c r="F1683">
        <f t="shared" si="26"/>
        <v>614.73</v>
      </c>
      <c r="G1683" t="s">
        <v>16</v>
      </c>
      <c r="J1683" t="str">
        <f>"05/09/2006 23:45"</f>
        <v>05/09/2006 23:45</v>
      </c>
    </row>
    <row r="1684" spans="1:10" x14ac:dyDescent="0.3">
      <c r="A1684" t="s">
        <v>6</v>
      </c>
      <c r="B1684" t="str">
        <f>"05/10/2006 00:00"</f>
        <v>05/10/2006 00:00</v>
      </c>
      <c r="C1684">
        <v>352</v>
      </c>
      <c r="D1684" t="s">
        <v>7</v>
      </c>
      <c r="E1684" s="2" t="s">
        <v>12</v>
      </c>
      <c r="F1684">
        <f t="shared" si="26"/>
        <v>698.01600000000008</v>
      </c>
      <c r="G1684" t="s">
        <v>16</v>
      </c>
      <c r="J1684" t="str">
        <f>"05/10/2006 23:45"</f>
        <v>05/10/2006 23:45</v>
      </c>
    </row>
    <row r="1685" spans="1:10" x14ac:dyDescent="0.3">
      <c r="A1685" t="s">
        <v>6</v>
      </c>
      <c r="B1685" t="str">
        <f>"05/11/2006 00:00"</f>
        <v>05/11/2006 00:00</v>
      </c>
      <c r="C1685">
        <v>352</v>
      </c>
      <c r="D1685" t="s">
        <v>7</v>
      </c>
      <c r="E1685" s="2" t="s">
        <v>12</v>
      </c>
      <c r="F1685">
        <f t="shared" si="26"/>
        <v>698.01600000000008</v>
      </c>
      <c r="G1685" t="s">
        <v>16</v>
      </c>
      <c r="J1685" t="str">
        <f>"05/11/2006 23:45"</f>
        <v>05/11/2006 23:45</v>
      </c>
    </row>
    <row r="1686" spans="1:10" x14ac:dyDescent="0.3">
      <c r="A1686" t="s">
        <v>6</v>
      </c>
      <c r="B1686" t="str">
        <f>"05/12/2006 00:00"</f>
        <v>05/12/2006 00:00</v>
      </c>
      <c r="C1686">
        <v>394</v>
      </c>
      <c r="D1686" t="s">
        <v>7</v>
      </c>
      <c r="E1686" s="2" t="s">
        <v>12</v>
      </c>
      <c r="F1686">
        <f t="shared" si="26"/>
        <v>781.30200000000002</v>
      </c>
      <c r="G1686" t="s">
        <v>16</v>
      </c>
      <c r="J1686" t="str">
        <f>"05/12/2006 23:45"</f>
        <v>05/12/2006 23:45</v>
      </c>
    </row>
    <row r="1687" spans="1:10" x14ac:dyDescent="0.3">
      <c r="A1687" t="s">
        <v>6</v>
      </c>
      <c r="B1687" t="str">
        <f>"05/13/2006 00:00"</f>
        <v>05/13/2006 00:00</v>
      </c>
      <c r="C1687">
        <v>423</v>
      </c>
      <c r="D1687" t="s">
        <v>7</v>
      </c>
      <c r="E1687" s="2" t="s">
        <v>12</v>
      </c>
      <c r="F1687">
        <f t="shared" si="26"/>
        <v>838.80900000000008</v>
      </c>
      <c r="G1687" t="s">
        <v>16</v>
      </c>
      <c r="J1687" t="str">
        <f>"05/13/2006 23:45"</f>
        <v>05/13/2006 23:45</v>
      </c>
    </row>
    <row r="1688" spans="1:10" x14ac:dyDescent="0.3">
      <c r="A1688" t="s">
        <v>6</v>
      </c>
      <c r="B1688" t="str">
        <f>"05/14/2006 00:00"</f>
        <v>05/14/2006 00:00</v>
      </c>
      <c r="C1688">
        <v>423</v>
      </c>
      <c r="D1688" t="s">
        <v>7</v>
      </c>
      <c r="E1688" s="2" t="s">
        <v>12</v>
      </c>
      <c r="F1688">
        <f t="shared" si="26"/>
        <v>838.80900000000008</v>
      </c>
      <c r="G1688" t="s">
        <v>16</v>
      </c>
      <c r="J1688" t="str">
        <f>"05/14/2006 23:45"</f>
        <v>05/14/2006 23:45</v>
      </c>
    </row>
    <row r="1689" spans="1:10" x14ac:dyDescent="0.3">
      <c r="A1689" t="s">
        <v>6</v>
      </c>
      <c r="B1689" t="str">
        <f>"05/15/2006 00:00"</f>
        <v>05/15/2006 00:00</v>
      </c>
      <c r="C1689">
        <v>439</v>
      </c>
      <c r="D1689" t="s">
        <v>7</v>
      </c>
      <c r="E1689" s="2" t="s">
        <v>12</v>
      </c>
      <c r="F1689">
        <f t="shared" si="26"/>
        <v>870.53700000000003</v>
      </c>
      <c r="G1689" t="s">
        <v>16</v>
      </c>
      <c r="J1689" t="str">
        <f>"05/15/2006 23:45"</f>
        <v>05/15/2006 23:45</v>
      </c>
    </row>
    <row r="1690" spans="1:10" x14ac:dyDescent="0.3">
      <c r="A1690" t="s">
        <v>6</v>
      </c>
      <c r="B1690" t="str">
        <f>"05/16/2006 00:00"</f>
        <v>05/16/2006 00:00</v>
      </c>
      <c r="C1690">
        <v>485</v>
      </c>
      <c r="D1690" t="s">
        <v>7</v>
      </c>
      <c r="E1690" s="2" t="s">
        <v>12</v>
      </c>
      <c r="F1690">
        <f t="shared" si="26"/>
        <v>961.755</v>
      </c>
      <c r="G1690" t="s">
        <v>16</v>
      </c>
      <c r="J1690" t="str">
        <f>"05/16/2006 23:45"</f>
        <v>05/16/2006 23:45</v>
      </c>
    </row>
    <row r="1691" spans="1:10" x14ac:dyDescent="0.3">
      <c r="A1691" t="s">
        <v>6</v>
      </c>
      <c r="B1691" t="str">
        <f>"05/17/2006 00:00"</f>
        <v>05/17/2006 00:00</v>
      </c>
      <c r="C1691">
        <v>472</v>
      </c>
      <c r="D1691" t="s">
        <v>7</v>
      </c>
      <c r="E1691" s="2" t="s">
        <v>12</v>
      </c>
      <c r="F1691">
        <f t="shared" si="26"/>
        <v>935.976</v>
      </c>
      <c r="G1691" t="s">
        <v>16</v>
      </c>
      <c r="J1691" t="str">
        <f>"05/17/2006 23:45"</f>
        <v>05/17/2006 23:45</v>
      </c>
    </row>
    <row r="1692" spans="1:10" x14ac:dyDescent="0.3">
      <c r="A1692" t="s">
        <v>6</v>
      </c>
      <c r="B1692" t="str">
        <f>"05/18/2006 00:00"</f>
        <v>05/18/2006 00:00</v>
      </c>
      <c r="C1692">
        <v>449</v>
      </c>
      <c r="D1692" t="s">
        <v>7</v>
      </c>
      <c r="E1692" s="2" t="s">
        <v>12</v>
      </c>
      <c r="F1692">
        <f t="shared" si="26"/>
        <v>890.36700000000008</v>
      </c>
      <c r="G1692" t="s">
        <v>16</v>
      </c>
      <c r="J1692" t="str">
        <f>"05/18/2006 23:45"</f>
        <v>05/18/2006 23:45</v>
      </c>
    </row>
    <row r="1693" spans="1:10" x14ac:dyDescent="0.3">
      <c r="A1693" t="s">
        <v>6</v>
      </c>
      <c r="B1693" t="str">
        <f>"05/19/2006 00:00"</f>
        <v>05/19/2006 00:00</v>
      </c>
      <c r="C1693">
        <v>454</v>
      </c>
      <c r="D1693" t="s">
        <v>7</v>
      </c>
      <c r="E1693" s="2" t="s">
        <v>12</v>
      </c>
      <c r="F1693">
        <f t="shared" si="26"/>
        <v>900.28200000000004</v>
      </c>
      <c r="G1693" t="s">
        <v>16</v>
      </c>
      <c r="J1693" t="str">
        <f>"05/19/2006 23:45"</f>
        <v>05/19/2006 23:45</v>
      </c>
    </row>
    <row r="1694" spans="1:10" x14ac:dyDescent="0.3">
      <c r="A1694" t="s">
        <v>6</v>
      </c>
      <c r="B1694" t="str">
        <f>"05/20/2006 00:00"</f>
        <v>05/20/2006 00:00</v>
      </c>
      <c r="C1694">
        <v>429</v>
      </c>
      <c r="D1694" t="s">
        <v>7</v>
      </c>
      <c r="E1694" s="2" t="s">
        <v>12</v>
      </c>
      <c r="F1694">
        <f t="shared" si="26"/>
        <v>850.70699999999999</v>
      </c>
      <c r="G1694" t="s">
        <v>16</v>
      </c>
      <c r="J1694" t="str">
        <f>"05/20/2006 23:45"</f>
        <v>05/20/2006 23:45</v>
      </c>
    </row>
    <row r="1695" spans="1:10" x14ac:dyDescent="0.3">
      <c r="A1695" t="s">
        <v>6</v>
      </c>
      <c r="B1695" t="str">
        <f>"05/21/2006 00:00"</f>
        <v>05/21/2006 00:00</v>
      </c>
      <c r="C1695">
        <v>371</v>
      </c>
      <c r="D1695" t="s">
        <v>7</v>
      </c>
      <c r="E1695" s="2" t="s">
        <v>12</v>
      </c>
      <c r="F1695">
        <f t="shared" si="26"/>
        <v>735.69299999999998</v>
      </c>
      <c r="G1695" t="s">
        <v>16</v>
      </c>
      <c r="J1695" t="str">
        <f>"05/21/2006 23:45"</f>
        <v>05/21/2006 23:45</v>
      </c>
    </row>
    <row r="1696" spans="1:10" x14ac:dyDescent="0.3">
      <c r="A1696" t="s">
        <v>6</v>
      </c>
      <c r="B1696" t="str">
        <f>"05/22/2006 00:00"</f>
        <v>05/22/2006 00:00</v>
      </c>
      <c r="C1696">
        <v>381</v>
      </c>
      <c r="D1696" t="s">
        <v>7</v>
      </c>
      <c r="E1696" s="2" t="s">
        <v>12</v>
      </c>
      <c r="F1696">
        <f t="shared" si="26"/>
        <v>755.52300000000002</v>
      </c>
      <c r="G1696" t="s">
        <v>16</v>
      </c>
      <c r="J1696" t="str">
        <f>"05/22/2006 23:45"</f>
        <v>05/22/2006 23:45</v>
      </c>
    </row>
    <row r="1697" spans="1:10" x14ac:dyDescent="0.3">
      <c r="A1697" t="s">
        <v>6</v>
      </c>
      <c r="B1697" t="str">
        <f>"05/23/2006 00:00"</f>
        <v>05/23/2006 00:00</v>
      </c>
      <c r="C1697">
        <v>402</v>
      </c>
      <c r="D1697" t="s">
        <v>7</v>
      </c>
      <c r="E1697" s="2" t="s">
        <v>12</v>
      </c>
      <c r="F1697">
        <f t="shared" si="26"/>
        <v>797.16600000000005</v>
      </c>
      <c r="G1697" t="s">
        <v>16</v>
      </c>
      <c r="J1697" t="str">
        <f>"05/23/2006 23:45"</f>
        <v>05/23/2006 23:45</v>
      </c>
    </row>
    <row r="1698" spans="1:10" x14ac:dyDescent="0.3">
      <c r="A1698" t="s">
        <v>6</v>
      </c>
      <c r="B1698" t="str">
        <f>"05/24/2006 00:00"</f>
        <v>05/24/2006 00:00</v>
      </c>
      <c r="C1698">
        <v>468</v>
      </c>
      <c r="D1698" t="s">
        <v>7</v>
      </c>
      <c r="E1698" s="2" t="s">
        <v>12</v>
      </c>
      <c r="F1698">
        <f t="shared" si="26"/>
        <v>928.0440000000001</v>
      </c>
      <c r="G1698" t="s">
        <v>16</v>
      </c>
      <c r="J1698" t="str">
        <f>"05/24/2006 23:45"</f>
        <v>05/24/2006 23:45</v>
      </c>
    </row>
    <row r="1699" spans="1:10" x14ac:dyDescent="0.3">
      <c r="A1699" t="s">
        <v>6</v>
      </c>
      <c r="B1699" t="str">
        <f>"05/25/2006 00:00"</f>
        <v>05/25/2006 00:00</v>
      </c>
      <c r="C1699">
        <v>495</v>
      </c>
      <c r="D1699" t="s">
        <v>7</v>
      </c>
      <c r="E1699" s="2" t="s">
        <v>12</v>
      </c>
      <c r="F1699">
        <f t="shared" si="26"/>
        <v>981.58500000000004</v>
      </c>
      <c r="G1699" t="s">
        <v>16</v>
      </c>
      <c r="J1699" t="str">
        <f>"05/25/2006 23:45"</f>
        <v>05/25/2006 23:45</v>
      </c>
    </row>
    <row r="1700" spans="1:10" x14ac:dyDescent="0.3">
      <c r="A1700" t="s">
        <v>6</v>
      </c>
      <c r="B1700" t="str">
        <f>"05/26/2006 00:00"</f>
        <v>05/26/2006 00:00</v>
      </c>
      <c r="C1700">
        <v>474</v>
      </c>
      <c r="D1700" t="s">
        <v>7</v>
      </c>
      <c r="E1700" s="2" t="s">
        <v>12</v>
      </c>
      <c r="F1700">
        <f t="shared" si="26"/>
        <v>939.94200000000001</v>
      </c>
      <c r="G1700" t="s">
        <v>16</v>
      </c>
      <c r="J1700" t="str">
        <f>"05/26/2006 23:45"</f>
        <v>05/26/2006 23:45</v>
      </c>
    </row>
    <row r="1701" spans="1:10" x14ac:dyDescent="0.3">
      <c r="A1701" t="s">
        <v>6</v>
      </c>
      <c r="B1701" t="str">
        <f>"05/27/2006 00:00"</f>
        <v>05/27/2006 00:00</v>
      </c>
      <c r="C1701">
        <v>496</v>
      </c>
      <c r="D1701" t="s">
        <v>7</v>
      </c>
      <c r="E1701" s="2" t="s">
        <v>12</v>
      </c>
      <c r="F1701">
        <f t="shared" si="26"/>
        <v>983.5680000000001</v>
      </c>
      <c r="G1701" t="s">
        <v>16</v>
      </c>
      <c r="J1701" t="str">
        <f>"05/27/2006 23:45"</f>
        <v>05/27/2006 23:45</v>
      </c>
    </row>
    <row r="1702" spans="1:10" x14ac:dyDescent="0.3">
      <c r="A1702" t="s">
        <v>6</v>
      </c>
      <c r="B1702" t="str">
        <f>"05/28/2006 00:00"</f>
        <v>05/28/2006 00:00</v>
      </c>
      <c r="C1702">
        <v>501</v>
      </c>
      <c r="D1702" t="s">
        <v>7</v>
      </c>
      <c r="E1702" s="2" t="s">
        <v>12</v>
      </c>
      <c r="F1702">
        <f t="shared" si="26"/>
        <v>993.48300000000006</v>
      </c>
      <c r="G1702" t="s">
        <v>16</v>
      </c>
      <c r="J1702" t="str">
        <f>"05/28/2006 23:45"</f>
        <v>05/28/2006 23:45</v>
      </c>
    </row>
    <row r="1703" spans="1:10" x14ac:dyDescent="0.3">
      <c r="A1703" t="s">
        <v>6</v>
      </c>
      <c r="B1703" t="str">
        <f>"05/29/2006 00:00"</f>
        <v>05/29/2006 00:00</v>
      </c>
      <c r="C1703">
        <v>502</v>
      </c>
      <c r="D1703" t="s">
        <v>7</v>
      </c>
      <c r="E1703" s="2" t="s">
        <v>12</v>
      </c>
      <c r="F1703">
        <f t="shared" si="26"/>
        <v>995.46600000000001</v>
      </c>
      <c r="G1703" t="s">
        <v>16</v>
      </c>
      <c r="J1703" t="str">
        <f>"05/29/2006 23:45"</f>
        <v>05/29/2006 23:45</v>
      </c>
    </row>
    <row r="1704" spans="1:10" x14ac:dyDescent="0.3">
      <c r="A1704" t="s">
        <v>6</v>
      </c>
      <c r="B1704" t="str">
        <f>"05/30/2006 00:00"</f>
        <v>05/30/2006 00:00</v>
      </c>
      <c r="C1704">
        <v>492</v>
      </c>
      <c r="D1704" t="s">
        <v>7</v>
      </c>
      <c r="E1704" s="2" t="s">
        <v>12</v>
      </c>
      <c r="F1704">
        <f t="shared" si="26"/>
        <v>975.63600000000008</v>
      </c>
      <c r="G1704" t="s">
        <v>16</v>
      </c>
      <c r="J1704" t="str">
        <f>"05/30/2006 23:45"</f>
        <v>05/30/2006 23:45</v>
      </c>
    </row>
    <row r="1705" spans="1:10" x14ac:dyDescent="0.3">
      <c r="A1705" t="s">
        <v>6</v>
      </c>
      <c r="B1705" t="str">
        <f>"05/31/2006 00:00"</f>
        <v>05/31/2006 00:00</v>
      </c>
      <c r="C1705">
        <v>510</v>
      </c>
      <c r="D1705" t="s">
        <v>7</v>
      </c>
      <c r="E1705" s="2" t="s">
        <v>12</v>
      </c>
      <c r="F1705">
        <f t="shared" si="26"/>
        <v>1011.33</v>
      </c>
      <c r="G1705" t="s">
        <v>16</v>
      </c>
      <c r="J1705" t="str">
        <f>"05/31/2006 23:45"</f>
        <v>05/31/2006 23:45</v>
      </c>
    </row>
    <row r="1706" spans="1:10" x14ac:dyDescent="0.3">
      <c r="A1706" t="s">
        <v>6</v>
      </c>
      <c r="B1706" t="str">
        <f>"06/01/2006 00:00"</f>
        <v>06/01/2006 00:00</v>
      </c>
      <c r="C1706">
        <v>514</v>
      </c>
      <c r="D1706" t="s">
        <v>7</v>
      </c>
      <c r="E1706" s="2" t="s">
        <v>12</v>
      </c>
      <c r="F1706">
        <f t="shared" si="26"/>
        <v>1019.2620000000001</v>
      </c>
      <c r="G1706" t="s">
        <v>16</v>
      </c>
      <c r="J1706" t="str">
        <f>"06/01/2006 23:45"</f>
        <v>06/01/2006 23:45</v>
      </c>
    </row>
    <row r="1707" spans="1:10" x14ac:dyDescent="0.3">
      <c r="A1707" t="s">
        <v>6</v>
      </c>
      <c r="B1707" t="str">
        <f>"06/02/2006 00:00"</f>
        <v>06/02/2006 00:00</v>
      </c>
      <c r="C1707">
        <v>509</v>
      </c>
      <c r="D1707" t="s">
        <v>7</v>
      </c>
      <c r="E1707" s="2" t="s">
        <v>12</v>
      </c>
      <c r="F1707">
        <f t="shared" si="26"/>
        <v>1009.3470000000001</v>
      </c>
      <c r="G1707" t="s">
        <v>16</v>
      </c>
      <c r="J1707" t="str">
        <f>"06/02/2006 23:45"</f>
        <v>06/02/2006 23:45</v>
      </c>
    </row>
    <row r="1708" spans="1:10" x14ac:dyDescent="0.3">
      <c r="A1708" t="s">
        <v>6</v>
      </c>
      <c r="B1708" t="str">
        <f>"06/03/2006 00:00"</f>
        <v>06/03/2006 00:00</v>
      </c>
      <c r="C1708">
        <v>503</v>
      </c>
      <c r="D1708" t="s">
        <v>7</v>
      </c>
      <c r="E1708" s="2" t="s">
        <v>12</v>
      </c>
      <c r="F1708">
        <f t="shared" si="26"/>
        <v>997.44900000000007</v>
      </c>
      <c r="G1708" t="s">
        <v>16</v>
      </c>
      <c r="J1708" t="str">
        <f>"06/03/2006 23:45"</f>
        <v>06/03/2006 23:45</v>
      </c>
    </row>
    <row r="1709" spans="1:10" x14ac:dyDescent="0.3">
      <c r="A1709" t="s">
        <v>6</v>
      </c>
      <c r="B1709" t="str">
        <f>"06/04/2006 00:00"</f>
        <v>06/04/2006 00:00</v>
      </c>
      <c r="C1709">
        <v>502</v>
      </c>
      <c r="D1709" t="s">
        <v>7</v>
      </c>
      <c r="E1709" s="2" t="s">
        <v>12</v>
      </c>
      <c r="F1709">
        <f t="shared" si="26"/>
        <v>995.46600000000001</v>
      </c>
      <c r="G1709" t="s">
        <v>16</v>
      </c>
      <c r="J1709" t="str">
        <f>"06/04/2006 23:45"</f>
        <v>06/04/2006 23:45</v>
      </c>
    </row>
    <row r="1710" spans="1:10" x14ac:dyDescent="0.3">
      <c r="A1710" t="s">
        <v>6</v>
      </c>
      <c r="B1710" t="str">
        <f>"06/05/2006 00:00"</f>
        <v>06/05/2006 00:00</v>
      </c>
      <c r="C1710">
        <v>498</v>
      </c>
      <c r="D1710" t="s">
        <v>7</v>
      </c>
      <c r="E1710" s="2" t="s">
        <v>12</v>
      </c>
      <c r="F1710">
        <f t="shared" si="26"/>
        <v>987.53399999999999</v>
      </c>
      <c r="G1710" t="s">
        <v>16</v>
      </c>
      <c r="J1710" t="str">
        <f>"06/05/2006 23:45"</f>
        <v>06/05/2006 23:45</v>
      </c>
    </row>
    <row r="1711" spans="1:10" x14ac:dyDescent="0.3">
      <c r="A1711" t="s">
        <v>6</v>
      </c>
      <c r="B1711" t="str">
        <f>"06/06/2006 00:00"</f>
        <v>06/06/2006 00:00</v>
      </c>
      <c r="C1711">
        <v>475</v>
      </c>
      <c r="D1711" t="s">
        <v>7</v>
      </c>
      <c r="E1711" s="2" t="s">
        <v>12</v>
      </c>
      <c r="F1711">
        <f t="shared" si="26"/>
        <v>941.92500000000007</v>
      </c>
      <c r="G1711" t="s">
        <v>16</v>
      </c>
      <c r="J1711" t="str">
        <f>"06/06/2006 23:45"</f>
        <v>06/06/2006 23:45</v>
      </c>
    </row>
    <row r="1712" spans="1:10" x14ac:dyDescent="0.3">
      <c r="A1712" t="s">
        <v>6</v>
      </c>
      <c r="B1712" t="str">
        <f>"06/07/2006 00:00"</f>
        <v>06/07/2006 00:00</v>
      </c>
      <c r="C1712">
        <v>464</v>
      </c>
      <c r="D1712" t="s">
        <v>7</v>
      </c>
      <c r="E1712" s="2" t="s">
        <v>12</v>
      </c>
      <c r="F1712">
        <f t="shared" si="26"/>
        <v>920.11200000000008</v>
      </c>
      <c r="G1712" t="s">
        <v>16</v>
      </c>
      <c r="J1712" t="str">
        <f>"06/07/2006 23:45"</f>
        <v>06/07/2006 23:45</v>
      </c>
    </row>
    <row r="1713" spans="1:10" x14ac:dyDescent="0.3">
      <c r="A1713" t="s">
        <v>6</v>
      </c>
      <c r="B1713" t="str">
        <f>"06/08/2006 00:00"</f>
        <v>06/08/2006 00:00</v>
      </c>
      <c r="C1713">
        <v>477</v>
      </c>
      <c r="D1713" t="s">
        <v>7</v>
      </c>
      <c r="E1713" s="2" t="s">
        <v>12</v>
      </c>
      <c r="F1713">
        <f t="shared" si="26"/>
        <v>945.89100000000008</v>
      </c>
      <c r="G1713" t="s">
        <v>16</v>
      </c>
      <c r="J1713" t="str">
        <f>"06/08/2006 23:45"</f>
        <v>06/08/2006 23:45</v>
      </c>
    </row>
    <row r="1714" spans="1:10" x14ac:dyDescent="0.3">
      <c r="A1714" t="s">
        <v>6</v>
      </c>
      <c r="B1714" t="str">
        <f>"06/09/2006 00:00"</f>
        <v>06/09/2006 00:00</v>
      </c>
      <c r="C1714">
        <v>491</v>
      </c>
      <c r="D1714" t="s">
        <v>7</v>
      </c>
      <c r="E1714" s="2" t="s">
        <v>12</v>
      </c>
      <c r="F1714">
        <f t="shared" si="26"/>
        <v>973.65300000000002</v>
      </c>
      <c r="G1714" t="s">
        <v>16</v>
      </c>
      <c r="J1714" t="str">
        <f>"06/09/2006 23:45"</f>
        <v>06/09/2006 23:45</v>
      </c>
    </row>
    <row r="1715" spans="1:10" x14ac:dyDescent="0.3">
      <c r="A1715" t="s">
        <v>6</v>
      </c>
      <c r="B1715" t="str">
        <f>"06/10/2006 00:00"</f>
        <v>06/10/2006 00:00</v>
      </c>
      <c r="C1715">
        <v>504</v>
      </c>
      <c r="D1715" t="s">
        <v>7</v>
      </c>
      <c r="E1715" s="2" t="s">
        <v>12</v>
      </c>
      <c r="F1715">
        <f t="shared" si="26"/>
        <v>999.43200000000002</v>
      </c>
      <c r="G1715" t="s">
        <v>16</v>
      </c>
      <c r="J1715" t="str">
        <f>"06/10/2006 23:45"</f>
        <v>06/10/2006 23:45</v>
      </c>
    </row>
    <row r="1716" spans="1:10" x14ac:dyDescent="0.3">
      <c r="A1716" t="s">
        <v>6</v>
      </c>
      <c r="B1716" t="str">
        <f>"06/11/2006 00:00"</f>
        <v>06/11/2006 00:00</v>
      </c>
      <c r="C1716">
        <v>490</v>
      </c>
      <c r="D1716" t="s">
        <v>7</v>
      </c>
      <c r="E1716" s="2" t="s">
        <v>12</v>
      </c>
      <c r="F1716">
        <f t="shared" si="26"/>
        <v>971.67000000000007</v>
      </c>
      <c r="G1716" t="s">
        <v>16</v>
      </c>
      <c r="J1716" t="str">
        <f>"06/11/2006 23:45"</f>
        <v>06/11/2006 23:45</v>
      </c>
    </row>
    <row r="1717" spans="1:10" x14ac:dyDescent="0.3">
      <c r="A1717" t="s">
        <v>6</v>
      </c>
      <c r="B1717" t="str">
        <f>"06/12/2006 00:00"</f>
        <v>06/12/2006 00:00</v>
      </c>
      <c r="C1717">
        <v>488</v>
      </c>
      <c r="D1717" t="s">
        <v>7</v>
      </c>
      <c r="E1717" s="2" t="s">
        <v>12</v>
      </c>
      <c r="F1717">
        <f t="shared" si="26"/>
        <v>967.70400000000006</v>
      </c>
      <c r="G1717" t="s">
        <v>16</v>
      </c>
      <c r="J1717" t="str">
        <f>"06/12/2006 23:45"</f>
        <v>06/12/2006 23:45</v>
      </c>
    </row>
    <row r="1718" spans="1:10" x14ac:dyDescent="0.3">
      <c r="A1718" t="s">
        <v>6</v>
      </c>
      <c r="B1718" t="str">
        <f>"06/13/2006 00:00"</f>
        <v>06/13/2006 00:00</v>
      </c>
      <c r="C1718">
        <v>493</v>
      </c>
      <c r="D1718" t="s">
        <v>7</v>
      </c>
      <c r="E1718" s="2" t="s">
        <v>12</v>
      </c>
      <c r="F1718">
        <f t="shared" si="26"/>
        <v>977.61900000000003</v>
      </c>
      <c r="G1718" t="s">
        <v>16</v>
      </c>
      <c r="J1718" t="str">
        <f>"06/13/2006 23:45"</f>
        <v>06/13/2006 23:45</v>
      </c>
    </row>
    <row r="1719" spans="1:10" x14ac:dyDescent="0.3">
      <c r="A1719" t="s">
        <v>6</v>
      </c>
      <c r="B1719" t="str">
        <f>"06/14/2006 00:00"</f>
        <v>06/14/2006 00:00</v>
      </c>
      <c r="C1719">
        <v>507</v>
      </c>
      <c r="D1719" t="s">
        <v>7</v>
      </c>
      <c r="E1719" s="2" t="s">
        <v>12</v>
      </c>
      <c r="F1719">
        <f t="shared" si="26"/>
        <v>1005.3810000000001</v>
      </c>
      <c r="G1719" t="s">
        <v>16</v>
      </c>
      <c r="J1719" t="str">
        <f>"06/14/2006 23:45"</f>
        <v>06/14/2006 23:45</v>
      </c>
    </row>
    <row r="1720" spans="1:10" x14ac:dyDescent="0.3">
      <c r="A1720" t="s">
        <v>6</v>
      </c>
      <c r="B1720" t="str">
        <f>"06/15/2006 00:00"</f>
        <v>06/15/2006 00:00</v>
      </c>
      <c r="C1720">
        <v>513</v>
      </c>
      <c r="D1720" t="s">
        <v>7</v>
      </c>
      <c r="E1720" s="2" t="s">
        <v>12</v>
      </c>
      <c r="F1720">
        <f t="shared" si="26"/>
        <v>1017.279</v>
      </c>
      <c r="G1720" t="s">
        <v>16</v>
      </c>
      <c r="J1720" t="str">
        <f>"06/15/2006 23:45"</f>
        <v>06/15/2006 23:45</v>
      </c>
    </row>
    <row r="1721" spans="1:10" x14ac:dyDescent="0.3">
      <c r="A1721" t="s">
        <v>6</v>
      </c>
      <c r="B1721" t="str">
        <f>"06/16/2006 00:00"</f>
        <v>06/16/2006 00:00</v>
      </c>
      <c r="C1721">
        <v>520</v>
      </c>
      <c r="D1721" t="s">
        <v>7</v>
      </c>
      <c r="E1721" s="2" t="s">
        <v>12</v>
      </c>
      <c r="F1721">
        <f t="shared" si="26"/>
        <v>1031.1600000000001</v>
      </c>
      <c r="G1721" t="s">
        <v>16</v>
      </c>
      <c r="J1721" t="str">
        <f>"06/16/2006 23:45"</f>
        <v>06/16/2006 23:45</v>
      </c>
    </row>
    <row r="1722" spans="1:10" x14ac:dyDescent="0.3">
      <c r="A1722" t="s">
        <v>6</v>
      </c>
      <c r="B1722" t="str">
        <f>"06/17/2006 00:00"</f>
        <v>06/17/2006 00:00</v>
      </c>
      <c r="C1722">
        <v>535</v>
      </c>
      <c r="D1722" t="s">
        <v>7</v>
      </c>
      <c r="E1722" s="2" t="s">
        <v>12</v>
      </c>
      <c r="F1722">
        <f t="shared" si="26"/>
        <v>1060.905</v>
      </c>
      <c r="G1722" t="s">
        <v>16</v>
      </c>
      <c r="J1722" t="str">
        <f>"06/17/2006 23:45"</f>
        <v>06/17/2006 23:45</v>
      </c>
    </row>
    <row r="1723" spans="1:10" x14ac:dyDescent="0.3">
      <c r="A1723" t="s">
        <v>6</v>
      </c>
      <c r="B1723" t="str">
        <f>"06/18/2006 00:00"</f>
        <v>06/18/2006 00:00</v>
      </c>
      <c r="C1723">
        <v>547</v>
      </c>
      <c r="D1723" t="s">
        <v>7</v>
      </c>
      <c r="E1723" s="2" t="s">
        <v>12</v>
      </c>
      <c r="F1723">
        <f t="shared" si="26"/>
        <v>1084.701</v>
      </c>
      <c r="G1723" t="s">
        <v>16</v>
      </c>
      <c r="J1723" t="str">
        <f>"06/18/2006 23:45"</f>
        <v>06/18/2006 23:45</v>
      </c>
    </row>
    <row r="1724" spans="1:10" x14ac:dyDescent="0.3">
      <c r="A1724" t="s">
        <v>6</v>
      </c>
      <c r="B1724" t="str">
        <f>"06/19/2006 00:00"</f>
        <v>06/19/2006 00:00</v>
      </c>
      <c r="C1724">
        <v>551</v>
      </c>
      <c r="D1724" t="s">
        <v>7</v>
      </c>
      <c r="E1724" s="2" t="s">
        <v>12</v>
      </c>
      <c r="F1724">
        <f t="shared" si="26"/>
        <v>1092.633</v>
      </c>
      <c r="G1724" t="s">
        <v>16</v>
      </c>
      <c r="J1724" t="str">
        <f>"06/19/2006 23:45"</f>
        <v>06/19/2006 23:45</v>
      </c>
    </row>
    <row r="1725" spans="1:10" x14ac:dyDescent="0.3">
      <c r="A1725" t="s">
        <v>6</v>
      </c>
      <c r="B1725" t="str">
        <f>"06/20/2006 00:00"</f>
        <v>06/20/2006 00:00</v>
      </c>
      <c r="C1725">
        <v>547</v>
      </c>
      <c r="D1725" t="s">
        <v>7</v>
      </c>
      <c r="E1725" s="2" t="s">
        <v>12</v>
      </c>
      <c r="F1725">
        <f t="shared" si="26"/>
        <v>1084.701</v>
      </c>
      <c r="G1725" t="s">
        <v>16</v>
      </c>
      <c r="J1725" t="str">
        <f>"06/20/2006 23:45"</f>
        <v>06/20/2006 23:45</v>
      </c>
    </row>
    <row r="1726" spans="1:10" x14ac:dyDescent="0.3">
      <c r="A1726" t="s">
        <v>6</v>
      </c>
      <c r="B1726" t="str">
        <f>"06/21/2006 00:00"</f>
        <v>06/21/2006 00:00</v>
      </c>
      <c r="C1726">
        <v>551</v>
      </c>
      <c r="D1726" t="s">
        <v>7</v>
      </c>
      <c r="E1726" s="2" t="s">
        <v>12</v>
      </c>
      <c r="F1726">
        <f t="shared" si="26"/>
        <v>1092.633</v>
      </c>
      <c r="G1726" t="s">
        <v>16</v>
      </c>
      <c r="J1726" t="str">
        <f>"06/21/2006 23:45"</f>
        <v>06/21/2006 23:45</v>
      </c>
    </row>
    <row r="1727" spans="1:10" x14ac:dyDescent="0.3">
      <c r="A1727" t="s">
        <v>6</v>
      </c>
      <c r="B1727" t="str">
        <f>"06/22/2006 00:00"</f>
        <v>06/22/2006 00:00</v>
      </c>
      <c r="C1727">
        <v>551</v>
      </c>
      <c r="D1727" t="s">
        <v>7</v>
      </c>
      <c r="E1727" s="2" t="s">
        <v>12</v>
      </c>
      <c r="F1727">
        <f t="shared" si="26"/>
        <v>1092.633</v>
      </c>
      <c r="G1727" t="s">
        <v>16</v>
      </c>
      <c r="J1727" t="str">
        <f>"06/22/2006 23:45"</f>
        <v>06/22/2006 23:45</v>
      </c>
    </row>
    <row r="1728" spans="1:10" x14ac:dyDescent="0.3">
      <c r="A1728" t="s">
        <v>6</v>
      </c>
      <c r="B1728" t="str">
        <f>"06/23/2006 00:00"</f>
        <v>06/23/2006 00:00</v>
      </c>
      <c r="C1728">
        <v>573</v>
      </c>
      <c r="D1728" t="s">
        <v>7</v>
      </c>
      <c r="E1728" s="2" t="s">
        <v>12</v>
      </c>
      <c r="F1728">
        <f t="shared" si="26"/>
        <v>1136.259</v>
      </c>
      <c r="G1728" t="s">
        <v>16</v>
      </c>
      <c r="J1728" t="str">
        <f>"06/23/2006 23:45"</f>
        <v>06/23/2006 23:45</v>
      </c>
    </row>
    <row r="1729" spans="1:10" x14ac:dyDescent="0.3">
      <c r="A1729" t="s">
        <v>6</v>
      </c>
      <c r="B1729" t="str">
        <f>"06/24/2006 00:00"</f>
        <v>06/24/2006 00:00</v>
      </c>
      <c r="C1729">
        <v>573</v>
      </c>
      <c r="D1729" t="s">
        <v>7</v>
      </c>
      <c r="E1729" s="2" t="s">
        <v>12</v>
      </c>
      <c r="F1729">
        <f t="shared" si="26"/>
        <v>1136.259</v>
      </c>
      <c r="G1729" t="s">
        <v>16</v>
      </c>
      <c r="J1729" t="str">
        <f>"06/24/2006 23:45"</f>
        <v>06/24/2006 23:45</v>
      </c>
    </row>
    <row r="1730" spans="1:10" x14ac:dyDescent="0.3">
      <c r="A1730" t="s">
        <v>6</v>
      </c>
      <c r="B1730" t="str">
        <f>"06/25/2006 00:00"</f>
        <v>06/25/2006 00:00</v>
      </c>
      <c r="C1730">
        <v>594</v>
      </c>
      <c r="D1730" t="s">
        <v>7</v>
      </c>
      <c r="E1730" s="2" t="s">
        <v>12</v>
      </c>
      <c r="F1730">
        <f t="shared" si="26"/>
        <v>1177.902</v>
      </c>
      <c r="G1730" t="s">
        <v>16</v>
      </c>
      <c r="J1730" t="str">
        <f>"06/25/2006 23:45"</f>
        <v>06/25/2006 23:45</v>
      </c>
    </row>
    <row r="1731" spans="1:10" x14ac:dyDescent="0.3">
      <c r="A1731" t="s">
        <v>6</v>
      </c>
      <c r="B1731" t="str">
        <f>"06/26/2006 00:00"</f>
        <v>06/26/2006 00:00</v>
      </c>
      <c r="C1731">
        <v>580</v>
      </c>
      <c r="D1731" t="s">
        <v>7</v>
      </c>
      <c r="E1731" s="2" t="s">
        <v>12</v>
      </c>
      <c r="F1731">
        <f t="shared" si="26"/>
        <v>1150.1400000000001</v>
      </c>
      <c r="G1731" t="s">
        <v>16</v>
      </c>
      <c r="J1731" t="str">
        <f>"06/26/2006 23:45"</f>
        <v>06/26/2006 23:45</v>
      </c>
    </row>
    <row r="1732" spans="1:10" x14ac:dyDescent="0.3">
      <c r="A1732" t="s">
        <v>6</v>
      </c>
      <c r="B1732" t="str">
        <f>"06/27/2006 00:00"</f>
        <v>06/27/2006 00:00</v>
      </c>
      <c r="C1732">
        <v>571</v>
      </c>
      <c r="D1732" t="s">
        <v>7</v>
      </c>
      <c r="E1732" s="2" t="s">
        <v>12</v>
      </c>
      <c r="F1732">
        <f t="shared" ref="F1732:F1795" si="27">C1732*1.983</f>
        <v>1132.2930000000001</v>
      </c>
      <c r="G1732" t="s">
        <v>16</v>
      </c>
      <c r="J1732" t="str">
        <f>"06/27/2006 23:45"</f>
        <v>06/27/2006 23:45</v>
      </c>
    </row>
    <row r="1733" spans="1:10" x14ac:dyDescent="0.3">
      <c r="A1733" t="s">
        <v>6</v>
      </c>
      <c r="B1733" t="str">
        <f>"06/28/2006 00:00"</f>
        <v>06/28/2006 00:00</v>
      </c>
      <c r="C1733">
        <v>563</v>
      </c>
      <c r="D1733" t="s">
        <v>7</v>
      </c>
      <c r="E1733" s="2" t="s">
        <v>12</v>
      </c>
      <c r="F1733">
        <f t="shared" si="27"/>
        <v>1116.4290000000001</v>
      </c>
      <c r="G1733" t="s">
        <v>16</v>
      </c>
      <c r="J1733" t="str">
        <f>"06/28/2006 23:45"</f>
        <v>06/28/2006 23:45</v>
      </c>
    </row>
    <row r="1734" spans="1:10" x14ac:dyDescent="0.3">
      <c r="A1734" t="s">
        <v>6</v>
      </c>
      <c r="B1734" t="str">
        <f>"06/29/2006 00:00"</f>
        <v>06/29/2006 00:00</v>
      </c>
      <c r="C1734">
        <v>529</v>
      </c>
      <c r="D1734" t="s">
        <v>7</v>
      </c>
      <c r="E1734" s="2" t="s">
        <v>12</v>
      </c>
      <c r="F1734">
        <f t="shared" si="27"/>
        <v>1049.0070000000001</v>
      </c>
      <c r="G1734" t="s">
        <v>16</v>
      </c>
      <c r="J1734" t="str">
        <f>"06/29/2006 23:45"</f>
        <v>06/29/2006 23:45</v>
      </c>
    </row>
    <row r="1735" spans="1:10" x14ac:dyDescent="0.3">
      <c r="A1735" t="s">
        <v>6</v>
      </c>
      <c r="B1735" t="str">
        <f>"06/30/2006 00:00"</f>
        <v>06/30/2006 00:00</v>
      </c>
      <c r="C1735">
        <v>468</v>
      </c>
      <c r="D1735" t="s">
        <v>7</v>
      </c>
      <c r="E1735" s="2" t="s">
        <v>12</v>
      </c>
      <c r="F1735">
        <f t="shared" si="27"/>
        <v>928.0440000000001</v>
      </c>
      <c r="G1735" t="s">
        <v>16</v>
      </c>
      <c r="J1735" t="str">
        <f>"06/30/2006 23:45"</f>
        <v>06/30/2006 23:45</v>
      </c>
    </row>
    <row r="1736" spans="1:10" x14ac:dyDescent="0.3">
      <c r="A1736" t="s">
        <v>6</v>
      </c>
      <c r="B1736" t="str">
        <f>"07/01/2006 00:00"</f>
        <v>07/01/2006 00:00</v>
      </c>
      <c r="C1736">
        <v>450</v>
      </c>
      <c r="D1736" t="s">
        <v>7</v>
      </c>
      <c r="E1736" s="2" t="s">
        <v>12</v>
      </c>
      <c r="F1736">
        <f t="shared" si="27"/>
        <v>892.35</v>
      </c>
      <c r="G1736" t="s">
        <v>16</v>
      </c>
      <c r="J1736" t="str">
        <f>"07/01/2006 23:45"</f>
        <v>07/01/2006 23:45</v>
      </c>
    </row>
    <row r="1737" spans="1:10" x14ac:dyDescent="0.3">
      <c r="A1737" t="s">
        <v>6</v>
      </c>
      <c r="B1737" t="str">
        <f>"07/02/2006 00:00"</f>
        <v>07/02/2006 00:00</v>
      </c>
      <c r="C1737">
        <v>449</v>
      </c>
      <c r="D1737" t="s">
        <v>7</v>
      </c>
      <c r="E1737" s="2" t="s">
        <v>12</v>
      </c>
      <c r="F1737">
        <f t="shared" si="27"/>
        <v>890.36700000000008</v>
      </c>
      <c r="G1737" t="s">
        <v>16</v>
      </c>
      <c r="J1737" t="str">
        <f>"07/02/2006 23:45"</f>
        <v>07/02/2006 23:45</v>
      </c>
    </row>
    <row r="1738" spans="1:10" x14ac:dyDescent="0.3">
      <c r="A1738" t="s">
        <v>6</v>
      </c>
      <c r="B1738" t="str">
        <f>"07/03/2006 00:00"</f>
        <v>07/03/2006 00:00</v>
      </c>
      <c r="C1738">
        <v>440</v>
      </c>
      <c r="D1738" t="s">
        <v>7</v>
      </c>
      <c r="E1738" s="2" t="s">
        <v>12</v>
      </c>
      <c r="F1738">
        <f t="shared" si="27"/>
        <v>872.5200000000001</v>
      </c>
      <c r="G1738" t="s">
        <v>16</v>
      </c>
      <c r="J1738" t="str">
        <f>"07/03/2006 23:45"</f>
        <v>07/03/2006 23:45</v>
      </c>
    </row>
    <row r="1739" spans="1:10" x14ac:dyDescent="0.3">
      <c r="A1739" t="s">
        <v>6</v>
      </c>
      <c r="B1739" t="str">
        <f>"07/04/2006 00:00"</f>
        <v>07/04/2006 00:00</v>
      </c>
      <c r="C1739">
        <v>358</v>
      </c>
      <c r="D1739" t="s">
        <v>7</v>
      </c>
      <c r="E1739" s="2" t="s">
        <v>12</v>
      </c>
      <c r="F1739">
        <f t="shared" si="27"/>
        <v>709.91399999999999</v>
      </c>
      <c r="G1739" t="s">
        <v>16</v>
      </c>
      <c r="J1739" t="str">
        <f>"07/04/2006 23:45"</f>
        <v>07/04/2006 23:45</v>
      </c>
    </row>
    <row r="1740" spans="1:10" x14ac:dyDescent="0.3">
      <c r="A1740" t="s">
        <v>6</v>
      </c>
      <c r="B1740" t="str">
        <f>"07/05/2006 00:00"</f>
        <v>07/05/2006 00:00</v>
      </c>
      <c r="C1740">
        <v>298</v>
      </c>
      <c r="D1740" t="s">
        <v>7</v>
      </c>
      <c r="E1740" s="2" t="s">
        <v>12</v>
      </c>
      <c r="F1740">
        <f t="shared" si="27"/>
        <v>590.93400000000008</v>
      </c>
      <c r="G1740" t="s">
        <v>16</v>
      </c>
      <c r="J1740" t="str">
        <f>"07/05/2006 23:45"</f>
        <v>07/05/2006 23:45</v>
      </c>
    </row>
    <row r="1741" spans="1:10" x14ac:dyDescent="0.3">
      <c r="A1741" t="s">
        <v>6</v>
      </c>
      <c r="B1741" t="str">
        <f>"07/06/2006 00:00"</f>
        <v>07/06/2006 00:00</v>
      </c>
      <c r="C1741">
        <v>299</v>
      </c>
      <c r="D1741" t="s">
        <v>7</v>
      </c>
      <c r="E1741" s="2" t="s">
        <v>12</v>
      </c>
      <c r="F1741">
        <f t="shared" si="27"/>
        <v>592.91700000000003</v>
      </c>
      <c r="G1741" t="s">
        <v>16</v>
      </c>
      <c r="J1741" t="str">
        <f>"07/06/2006 23:45"</f>
        <v>07/06/2006 23:45</v>
      </c>
    </row>
    <row r="1742" spans="1:10" x14ac:dyDescent="0.3">
      <c r="A1742" t="s">
        <v>6</v>
      </c>
      <c r="B1742" t="str">
        <f>"07/07/2006 00:00"</f>
        <v>07/07/2006 00:00</v>
      </c>
      <c r="C1742">
        <v>344</v>
      </c>
      <c r="D1742" t="s">
        <v>7</v>
      </c>
      <c r="E1742" s="2" t="s">
        <v>12</v>
      </c>
      <c r="F1742">
        <f t="shared" si="27"/>
        <v>682.15200000000004</v>
      </c>
      <c r="G1742" t="s">
        <v>16</v>
      </c>
      <c r="J1742" t="str">
        <f>"07/07/2006 23:45"</f>
        <v>07/07/2006 23:45</v>
      </c>
    </row>
    <row r="1743" spans="1:10" x14ac:dyDescent="0.3">
      <c r="A1743" t="s">
        <v>6</v>
      </c>
      <c r="B1743" t="str">
        <f>"07/08/2006 00:00"</f>
        <v>07/08/2006 00:00</v>
      </c>
      <c r="C1743">
        <v>342</v>
      </c>
      <c r="D1743" t="s">
        <v>7</v>
      </c>
      <c r="E1743" s="2" t="s">
        <v>12</v>
      </c>
      <c r="F1743">
        <f t="shared" si="27"/>
        <v>678.18600000000004</v>
      </c>
      <c r="G1743" t="s">
        <v>16</v>
      </c>
      <c r="J1743" t="str">
        <f>"07/08/2006 23:45"</f>
        <v>07/08/2006 23:45</v>
      </c>
    </row>
    <row r="1744" spans="1:10" x14ac:dyDescent="0.3">
      <c r="A1744" t="s">
        <v>6</v>
      </c>
      <c r="B1744" t="str">
        <f>"07/09/2006 00:00"</f>
        <v>07/09/2006 00:00</v>
      </c>
      <c r="C1744">
        <v>227</v>
      </c>
      <c r="D1744" t="s">
        <v>7</v>
      </c>
      <c r="E1744" s="2" t="s">
        <v>12</v>
      </c>
      <c r="F1744">
        <f t="shared" si="27"/>
        <v>450.14100000000002</v>
      </c>
      <c r="G1744" t="s">
        <v>16</v>
      </c>
      <c r="J1744" t="str">
        <f>"07/09/2006 23:45"</f>
        <v>07/09/2006 23:45</v>
      </c>
    </row>
    <row r="1745" spans="1:10" x14ac:dyDescent="0.3">
      <c r="A1745" t="s">
        <v>6</v>
      </c>
      <c r="B1745" t="str">
        <f>"07/10/2006 00:00"</f>
        <v>07/10/2006 00:00</v>
      </c>
      <c r="C1745">
        <v>78.8</v>
      </c>
      <c r="D1745" t="s">
        <v>7</v>
      </c>
      <c r="E1745" s="2" t="s">
        <v>12</v>
      </c>
      <c r="F1745">
        <f t="shared" si="27"/>
        <v>156.2604</v>
      </c>
      <c r="G1745" t="s">
        <v>16</v>
      </c>
      <c r="J1745" t="str">
        <f>"07/10/2006 23:45"</f>
        <v>07/10/2006 23:45</v>
      </c>
    </row>
    <row r="1746" spans="1:10" x14ac:dyDescent="0.3">
      <c r="A1746" t="s">
        <v>6</v>
      </c>
      <c r="B1746" t="str">
        <f>"07/11/2006 00:00"</f>
        <v>07/11/2006 00:00</v>
      </c>
      <c r="C1746">
        <v>2.02</v>
      </c>
      <c r="D1746" t="s">
        <v>7</v>
      </c>
      <c r="E1746" s="2" t="s">
        <v>12</v>
      </c>
      <c r="F1746">
        <f t="shared" si="27"/>
        <v>4.0056600000000007</v>
      </c>
      <c r="G1746" t="s">
        <v>16</v>
      </c>
      <c r="J1746" t="str">
        <f>"07/11/2006 23:45"</f>
        <v>07/11/2006 23:45</v>
      </c>
    </row>
    <row r="1747" spans="1:10" x14ac:dyDescent="0.3">
      <c r="A1747" t="s">
        <v>6</v>
      </c>
      <c r="B1747" t="str">
        <f>"07/12/2006 00:00"</f>
        <v>07/12/2006 00:00</v>
      </c>
      <c r="C1747">
        <v>118</v>
      </c>
      <c r="D1747" t="s">
        <v>7</v>
      </c>
      <c r="E1747" s="2" t="s">
        <v>12</v>
      </c>
      <c r="F1747">
        <f t="shared" si="27"/>
        <v>233.994</v>
      </c>
      <c r="G1747" t="s">
        <v>16</v>
      </c>
      <c r="J1747" t="str">
        <f>"07/12/2006 23:45"</f>
        <v>07/12/2006 23:45</v>
      </c>
    </row>
    <row r="1748" spans="1:10" x14ac:dyDescent="0.3">
      <c r="A1748" t="s">
        <v>6</v>
      </c>
      <c r="B1748" t="str">
        <f>"07/13/2006 00:00"</f>
        <v>07/13/2006 00:00</v>
      </c>
      <c r="C1748">
        <v>334</v>
      </c>
      <c r="D1748" t="s">
        <v>7</v>
      </c>
      <c r="E1748" s="2" t="s">
        <v>12</v>
      </c>
      <c r="F1748">
        <f t="shared" si="27"/>
        <v>662.322</v>
      </c>
      <c r="G1748" t="s">
        <v>16</v>
      </c>
      <c r="J1748" t="str">
        <f>"07/13/2006 23:45"</f>
        <v>07/13/2006 23:45</v>
      </c>
    </row>
    <row r="1749" spans="1:10" x14ac:dyDescent="0.3">
      <c r="A1749" t="s">
        <v>6</v>
      </c>
      <c r="B1749" t="str">
        <f>"07/14/2006 00:00"</f>
        <v>07/14/2006 00:00</v>
      </c>
      <c r="C1749">
        <v>551</v>
      </c>
      <c r="D1749" t="s">
        <v>7</v>
      </c>
      <c r="E1749" s="2" t="s">
        <v>12</v>
      </c>
      <c r="F1749">
        <f t="shared" si="27"/>
        <v>1092.633</v>
      </c>
      <c r="G1749" t="s">
        <v>16</v>
      </c>
      <c r="J1749" t="str">
        <f>"07/14/2006 23:45"</f>
        <v>07/14/2006 23:45</v>
      </c>
    </row>
    <row r="1750" spans="1:10" x14ac:dyDescent="0.3">
      <c r="A1750" t="s">
        <v>6</v>
      </c>
      <c r="B1750" t="str">
        <f>"07/15/2006 00:00"</f>
        <v>07/15/2006 00:00</v>
      </c>
      <c r="C1750">
        <v>551</v>
      </c>
      <c r="D1750" t="s">
        <v>7</v>
      </c>
      <c r="E1750" s="2" t="s">
        <v>12</v>
      </c>
      <c r="F1750">
        <f t="shared" si="27"/>
        <v>1092.633</v>
      </c>
      <c r="G1750" t="s">
        <v>16</v>
      </c>
      <c r="J1750" t="str">
        <f>"07/15/2006 23:45"</f>
        <v>07/15/2006 23:45</v>
      </c>
    </row>
    <row r="1751" spans="1:10" x14ac:dyDescent="0.3">
      <c r="A1751" t="s">
        <v>6</v>
      </c>
      <c r="B1751" t="str">
        <f>"07/16/2006 00:00"</f>
        <v>07/16/2006 00:00</v>
      </c>
      <c r="C1751">
        <v>552</v>
      </c>
      <c r="D1751" t="s">
        <v>7</v>
      </c>
      <c r="E1751" s="2" t="s">
        <v>12</v>
      </c>
      <c r="F1751">
        <f t="shared" si="27"/>
        <v>1094.616</v>
      </c>
      <c r="G1751" t="s">
        <v>16</v>
      </c>
      <c r="J1751" t="str">
        <f>"07/16/2006 23:45"</f>
        <v>07/16/2006 23:45</v>
      </c>
    </row>
    <row r="1752" spans="1:10" x14ac:dyDescent="0.3">
      <c r="A1752" t="s">
        <v>6</v>
      </c>
      <c r="B1752" t="str">
        <f>"07/17/2006 00:00"</f>
        <v>07/17/2006 00:00</v>
      </c>
      <c r="C1752">
        <v>552</v>
      </c>
      <c r="D1752" t="s">
        <v>7</v>
      </c>
      <c r="E1752" s="2" t="s">
        <v>12</v>
      </c>
      <c r="F1752">
        <f t="shared" si="27"/>
        <v>1094.616</v>
      </c>
      <c r="G1752" t="s">
        <v>16</v>
      </c>
      <c r="J1752" t="str">
        <f>"07/17/2006 23:45"</f>
        <v>07/17/2006 23:45</v>
      </c>
    </row>
    <row r="1753" spans="1:10" x14ac:dyDescent="0.3">
      <c r="A1753" t="s">
        <v>6</v>
      </c>
      <c r="B1753" t="str">
        <f>"07/18/2006 00:00"</f>
        <v>07/18/2006 00:00</v>
      </c>
      <c r="C1753">
        <v>551</v>
      </c>
      <c r="D1753" t="s">
        <v>7</v>
      </c>
      <c r="E1753" s="2" t="s">
        <v>12</v>
      </c>
      <c r="F1753">
        <f t="shared" si="27"/>
        <v>1092.633</v>
      </c>
      <c r="G1753" t="s">
        <v>16</v>
      </c>
      <c r="J1753" t="str">
        <f>"07/18/2006 23:45"</f>
        <v>07/18/2006 23:45</v>
      </c>
    </row>
    <row r="1754" spans="1:10" x14ac:dyDescent="0.3">
      <c r="A1754" t="s">
        <v>6</v>
      </c>
      <c r="B1754" t="str">
        <f>"07/19/2006 00:00"</f>
        <v>07/19/2006 00:00</v>
      </c>
      <c r="C1754">
        <v>518</v>
      </c>
      <c r="D1754" t="s">
        <v>7</v>
      </c>
      <c r="E1754" s="2" t="s">
        <v>12</v>
      </c>
      <c r="F1754">
        <f t="shared" si="27"/>
        <v>1027.194</v>
      </c>
      <c r="G1754" t="s">
        <v>16</v>
      </c>
      <c r="J1754" t="str">
        <f>"07/19/2006 23:45"</f>
        <v>07/19/2006 23:45</v>
      </c>
    </row>
    <row r="1755" spans="1:10" x14ac:dyDescent="0.3">
      <c r="A1755" t="s">
        <v>6</v>
      </c>
      <c r="B1755" t="str">
        <f>"07/20/2006 00:00"</f>
        <v>07/20/2006 00:00</v>
      </c>
      <c r="C1755">
        <v>498</v>
      </c>
      <c r="D1755" t="s">
        <v>7</v>
      </c>
      <c r="E1755" s="2" t="s">
        <v>12</v>
      </c>
      <c r="F1755">
        <f t="shared" si="27"/>
        <v>987.53399999999999</v>
      </c>
      <c r="G1755" t="s">
        <v>16</v>
      </c>
      <c r="J1755" t="str">
        <f>"07/20/2006 23:45"</f>
        <v>07/20/2006 23:45</v>
      </c>
    </row>
    <row r="1756" spans="1:10" x14ac:dyDescent="0.3">
      <c r="A1756" t="s">
        <v>6</v>
      </c>
      <c r="B1756" t="str">
        <f>"07/21/2006 00:00"</f>
        <v>07/21/2006 00:00</v>
      </c>
      <c r="C1756">
        <v>455</v>
      </c>
      <c r="D1756" t="s">
        <v>7</v>
      </c>
      <c r="E1756" s="2" t="s">
        <v>12</v>
      </c>
      <c r="F1756">
        <f t="shared" si="27"/>
        <v>902.2650000000001</v>
      </c>
      <c r="G1756" t="s">
        <v>16</v>
      </c>
      <c r="J1756" t="str">
        <f>"07/21/2006 23:45"</f>
        <v>07/21/2006 23:45</v>
      </c>
    </row>
    <row r="1757" spans="1:10" x14ac:dyDescent="0.3">
      <c r="A1757" t="s">
        <v>6</v>
      </c>
      <c r="B1757" t="str">
        <f>"07/22/2006 00:00"</f>
        <v>07/22/2006 00:00</v>
      </c>
      <c r="C1757">
        <v>399</v>
      </c>
      <c r="D1757" t="s">
        <v>7</v>
      </c>
      <c r="E1757" s="2" t="s">
        <v>12</v>
      </c>
      <c r="F1757">
        <f t="shared" si="27"/>
        <v>791.21699999999998</v>
      </c>
      <c r="G1757" t="s">
        <v>16</v>
      </c>
      <c r="J1757" t="str">
        <f>"07/22/2006 23:45"</f>
        <v>07/22/2006 23:45</v>
      </c>
    </row>
    <row r="1758" spans="1:10" x14ac:dyDescent="0.3">
      <c r="A1758" t="s">
        <v>6</v>
      </c>
      <c r="B1758" t="str">
        <f>"07/23/2006 00:00"</f>
        <v>07/23/2006 00:00</v>
      </c>
      <c r="C1758">
        <v>398</v>
      </c>
      <c r="D1758" t="s">
        <v>7</v>
      </c>
      <c r="E1758" s="2" t="s">
        <v>12</v>
      </c>
      <c r="F1758">
        <f t="shared" si="27"/>
        <v>789.23400000000004</v>
      </c>
      <c r="G1758" t="s">
        <v>16</v>
      </c>
      <c r="J1758" t="str">
        <f>"07/23/2006 23:45"</f>
        <v>07/23/2006 23:45</v>
      </c>
    </row>
    <row r="1759" spans="1:10" x14ac:dyDescent="0.3">
      <c r="A1759" t="s">
        <v>6</v>
      </c>
      <c r="B1759" t="str">
        <f>"07/24/2006 00:00"</f>
        <v>07/24/2006 00:00</v>
      </c>
      <c r="C1759">
        <v>347</v>
      </c>
      <c r="D1759" t="s">
        <v>7</v>
      </c>
      <c r="E1759" s="2" t="s">
        <v>12</v>
      </c>
      <c r="F1759">
        <f t="shared" si="27"/>
        <v>688.101</v>
      </c>
      <c r="G1759" t="s">
        <v>16</v>
      </c>
      <c r="J1759" t="str">
        <f>"07/24/2006 23:45"</f>
        <v>07/24/2006 23:45</v>
      </c>
    </row>
    <row r="1760" spans="1:10" x14ac:dyDescent="0.3">
      <c r="A1760" t="s">
        <v>6</v>
      </c>
      <c r="B1760" t="str">
        <f>"07/25/2006 00:00"</f>
        <v>07/25/2006 00:00</v>
      </c>
      <c r="C1760">
        <v>292</v>
      </c>
      <c r="D1760" t="s">
        <v>7</v>
      </c>
      <c r="E1760" s="2" t="s">
        <v>12</v>
      </c>
      <c r="F1760">
        <f t="shared" si="27"/>
        <v>579.03600000000006</v>
      </c>
      <c r="G1760" t="s">
        <v>16</v>
      </c>
      <c r="J1760" t="str">
        <f>"07/25/2006 23:45"</f>
        <v>07/25/2006 23:45</v>
      </c>
    </row>
    <row r="1761" spans="1:10" x14ac:dyDescent="0.3">
      <c r="A1761" t="s">
        <v>6</v>
      </c>
      <c r="B1761" t="str">
        <f>"07/26/2006 00:00"</f>
        <v>07/26/2006 00:00</v>
      </c>
      <c r="C1761">
        <v>297</v>
      </c>
      <c r="D1761" t="s">
        <v>7</v>
      </c>
      <c r="E1761" s="2" t="s">
        <v>12</v>
      </c>
      <c r="F1761">
        <f t="shared" si="27"/>
        <v>588.95100000000002</v>
      </c>
      <c r="G1761" t="s">
        <v>16</v>
      </c>
      <c r="J1761" t="str">
        <f>"07/26/2006 23:45"</f>
        <v>07/26/2006 23:45</v>
      </c>
    </row>
    <row r="1762" spans="1:10" x14ac:dyDescent="0.3">
      <c r="A1762" t="s">
        <v>6</v>
      </c>
      <c r="B1762" t="str">
        <f>"07/27/2006 00:00"</f>
        <v>07/27/2006 00:00</v>
      </c>
      <c r="C1762">
        <v>297</v>
      </c>
      <c r="D1762" t="s">
        <v>7</v>
      </c>
      <c r="E1762" s="2" t="s">
        <v>12</v>
      </c>
      <c r="F1762">
        <f t="shared" si="27"/>
        <v>588.95100000000002</v>
      </c>
      <c r="G1762" t="s">
        <v>16</v>
      </c>
      <c r="J1762" t="str">
        <f>"07/27/2006 23:45"</f>
        <v>07/27/2006 23:45</v>
      </c>
    </row>
    <row r="1763" spans="1:10" x14ac:dyDescent="0.3">
      <c r="A1763" t="s">
        <v>6</v>
      </c>
      <c r="B1763" t="str">
        <f>"07/28/2006 00:00"</f>
        <v>07/28/2006 00:00</v>
      </c>
      <c r="C1763">
        <v>242</v>
      </c>
      <c r="D1763" t="s">
        <v>7</v>
      </c>
      <c r="E1763" s="2" t="s">
        <v>12</v>
      </c>
      <c r="F1763">
        <f t="shared" si="27"/>
        <v>479.88600000000002</v>
      </c>
      <c r="G1763" t="s">
        <v>16</v>
      </c>
      <c r="J1763" t="str">
        <f>"07/28/2006 23:45"</f>
        <v>07/28/2006 23:45</v>
      </c>
    </row>
    <row r="1764" spans="1:10" x14ac:dyDescent="0.3">
      <c r="A1764" t="s">
        <v>6</v>
      </c>
      <c r="B1764" t="str">
        <f>"07/29/2006 00:00"</f>
        <v>07/29/2006 00:00</v>
      </c>
      <c r="C1764">
        <v>195</v>
      </c>
      <c r="D1764" t="s">
        <v>7</v>
      </c>
      <c r="E1764" s="2" t="s">
        <v>12</v>
      </c>
      <c r="F1764">
        <f t="shared" si="27"/>
        <v>386.685</v>
      </c>
      <c r="G1764" t="s">
        <v>16</v>
      </c>
      <c r="J1764" t="str">
        <f>"07/29/2006 23:45"</f>
        <v>07/29/2006 23:45</v>
      </c>
    </row>
    <row r="1765" spans="1:10" x14ac:dyDescent="0.3">
      <c r="A1765" t="s">
        <v>6</v>
      </c>
      <c r="B1765" t="str">
        <f>"07/30/2006 00:00"</f>
        <v>07/30/2006 00:00</v>
      </c>
      <c r="C1765">
        <v>245</v>
      </c>
      <c r="D1765" t="s">
        <v>7</v>
      </c>
      <c r="E1765" s="2" t="s">
        <v>12</v>
      </c>
      <c r="F1765">
        <f t="shared" si="27"/>
        <v>485.83500000000004</v>
      </c>
      <c r="G1765" t="s">
        <v>16</v>
      </c>
      <c r="J1765" t="str">
        <f>"07/30/2006 23:45"</f>
        <v>07/30/2006 23:45</v>
      </c>
    </row>
    <row r="1766" spans="1:10" x14ac:dyDescent="0.3">
      <c r="A1766" t="s">
        <v>6</v>
      </c>
      <c r="B1766" t="str">
        <f>"07/31/2006 00:00"</f>
        <v>07/31/2006 00:00</v>
      </c>
      <c r="C1766">
        <v>276</v>
      </c>
      <c r="D1766" t="s">
        <v>7</v>
      </c>
      <c r="E1766" s="2" t="s">
        <v>12</v>
      </c>
      <c r="F1766">
        <f t="shared" si="27"/>
        <v>547.30799999999999</v>
      </c>
      <c r="G1766" t="s">
        <v>16</v>
      </c>
      <c r="J1766" t="str">
        <f>"07/31/2006 23:45"</f>
        <v>07/31/2006 23:45</v>
      </c>
    </row>
    <row r="1767" spans="1:10" x14ac:dyDescent="0.3">
      <c r="A1767" t="s">
        <v>6</v>
      </c>
      <c r="B1767" t="str">
        <f>"08/01/2006 00:00"</f>
        <v>08/01/2006 00:00</v>
      </c>
      <c r="C1767">
        <v>277</v>
      </c>
      <c r="D1767" t="s">
        <v>7</v>
      </c>
      <c r="E1767" s="2" t="s">
        <v>12</v>
      </c>
      <c r="F1767">
        <f t="shared" si="27"/>
        <v>549.29100000000005</v>
      </c>
      <c r="G1767" t="s">
        <v>16</v>
      </c>
      <c r="J1767" t="str">
        <f>"08/01/2006 23:45"</f>
        <v>08/01/2006 23:45</v>
      </c>
    </row>
    <row r="1768" spans="1:10" x14ac:dyDescent="0.3">
      <c r="A1768" t="s">
        <v>6</v>
      </c>
      <c r="B1768" t="str">
        <f>"08/02/2006 00:00"</f>
        <v>08/02/2006 00:00</v>
      </c>
      <c r="C1768">
        <v>246</v>
      </c>
      <c r="D1768" t="s">
        <v>7</v>
      </c>
      <c r="E1768" s="2" t="s">
        <v>12</v>
      </c>
      <c r="F1768">
        <f t="shared" si="27"/>
        <v>487.81800000000004</v>
      </c>
      <c r="G1768" t="s">
        <v>16</v>
      </c>
      <c r="J1768" t="str">
        <f>"08/02/2006 23:45"</f>
        <v>08/02/2006 23:45</v>
      </c>
    </row>
    <row r="1769" spans="1:10" x14ac:dyDescent="0.3">
      <c r="A1769" t="s">
        <v>6</v>
      </c>
      <c r="B1769" t="str">
        <f>"08/03/2006 00:00"</f>
        <v>08/03/2006 00:00</v>
      </c>
      <c r="C1769">
        <v>175</v>
      </c>
      <c r="D1769" t="s">
        <v>7</v>
      </c>
      <c r="E1769" s="2" t="s">
        <v>12</v>
      </c>
      <c r="F1769">
        <f t="shared" si="27"/>
        <v>347.02500000000003</v>
      </c>
      <c r="G1769" t="s">
        <v>16</v>
      </c>
      <c r="J1769" t="str">
        <f>"08/03/2006 23:45"</f>
        <v>08/03/2006 23:45</v>
      </c>
    </row>
    <row r="1770" spans="1:10" x14ac:dyDescent="0.3">
      <c r="A1770" t="s">
        <v>6</v>
      </c>
      <c r="B1770" t="str">
        <f>"08/04/2006 00:00"</f>
        <v>08/04/2006 00:00</v>
      </c>
      <c r="C1770">
        <v>92.6</v>
      </c>
      <c r="D1770" t="s">
        <v>7</v>
      </c>
      <c r="E1770" s="2" t="s">
        <v>12</v>
      </c>
      <c r="F1770">
        <f t="shared" si="27"/>
        <v>183.6258</v>
      </c>
      <c r="G1770" t="s">
        <v>16</v>
      </c>
      <c r="J1770" t="str">
        <f>"08/04/2006 23:45"</f>
        <v>08/04/2006 23:45</v>
      </c>
    </row>
    <row r="1771" spans="1:10" x14ac:dyDescent="0.3">
      <c r="A1771" t="s">
        <v>6</v>
      </c>
      <c r="B1771" t="str">
        <f>"08/05/2006 00:00"</f>
        <v>08/05/2006 00:00</v>
      </c>
      <c r="C1771">
        <v>57.6</v>
      </c>
      <c r="D1771" t="s">
        <v>7</v>
      </c>
      <c r="E1771" s="2" t="s">
        <v>12</v>
      </c>
      <c r="F1771">
        <f t="shared" si="27"/>
        <v>114.22080000000001</v>
      </c>
      <c r="G1771" t="s">
        <v>16</v>
      </c>
      <c r="J1771" t="str">
        <f>"08/05/2006 23:45"</f>
        <v>08/05/2006 23:45</v>
      </c>
    </row>
    <row r="1772" spans="1:10" x14ac:dyDescent="0.3">
      <c r="A1772" t="s">
        <v>6</v>
      </c>
      <c r="B1772" t="str">
        <f>"08/06/2006 00:00"</f>
        <v>08/06/2006 00:00</v>
      </c>
      <c r="C1772">
        <v>56.8</v>
      </c>
      <c r="D1772" t="s">
        <v>7</v>
      </c>
      <c r="E1772" s="2" t="s">
        <v>12</v>
      </c>
      <c r="F1772">
        <f t="shared" si="27"/>
        <v>112.6344</v>
      </c>
      <c r="G1772" t="s">
        <v>16</v>
      </c>
      <c r="J1772" t="str">
        <f>"08/06/2006 23:45"</f>
        <v>08/06/2006 23:45</v>
      </c>
    </row>
    <row r="1773" spans="1:10" x14ac:dyDescent="0.3">
      <c r="A1773" t="s">
        <v>6</v>
      </c>
      <c r="B1773" t="str">
        <f>"08/07/2006 00:00"</f>
        <v>08/07/2006 00:00</v>
      </c>
      <c r="C1773">
        <v>56.1</v>
      </c>
      <c r="D1773" t="s">
        <v>7</v>
      </c>
      <c r="E1773" s="2" t="s">
        <v>12</v>
      </c>
      <c r="F1773">
        <f t="shared" si="27"/>
        <v>111.24630000000001</v>
      </c>
      <c r="G1773" t="s">
        <v>16</v>
      </c>
      <c r="J1773" t="str">
        <f>"08/07/2006 23:45"</f>
        <v>08/07/2006 23:45</v>
      </c>
    </row>
    <row r="1774" spans="1:10" x14ac:dyDescent="0.3">
      <c r="A1774" t="s">
        <v>6</v>
      </c>
      <c r="B1774" t="str">
        <f>"08/08/2006 00:00"</f>
        <v>08/08/2006 00:00</v>
      </c>
      <c r="C1774">
        <v>55.2</v>
      </c>
      <c r="D1774" t="s">
        <v>7</v>
      </c>
      <c r="E1774" s="2" t="s">
        <v>12</v>
      </c>
      <c r="F1774">
        <f t="shared" si="27"/>
        <v>109.4616</v>
      </c>
      <c r="G1774" t="s">
        <v>16</v>
      </c>
      <c r="J1774" t="str">
        <f>"08/08/2006 23:45"</f>
        <v>08/08/2006 23:45</v>
      </c>
    </row>
    <row r="1775" spans="1:10" x14ac:dyDescent="0.3">
      <c r="A1775" t="s">
        <v>6</v>
      </c>
      <c r="B1775" t="str">
        <f>"08/09/2006 00:00"</f>
        <v>08/09/2006 00:00</v>
      </c>
      <c r="C1775">
        <v>84.4</v>
      </c>
      <c r="D1775" t="s">
        <v>7</v>
      </c>
      <c r="E1775" s="2" t="s">
        <v>12</v>
      </c>
      <c r="F1775">
        <f t="shared" si="27"/>
        <v>167.36520000000002</v>
      </c>
      <c r="G1775" t="s">
        <v>16</v>
      </c>
      <c r="J1775" t="str">
        <f>"08/09/2006 23:45"</f>
        <v>08/09/2006 23:45</v>
      </c>
    </row>
    <row r="1776" spans="1:10" x14ac:dyDescent="0.3">
      <c r="A1776" t="s">
        <v>6</v>
      </c>
      <c r="B1776" t="str">
        <f>"08/10/2006 00:00"</f>
        <v>08/10/2006 00:00</v>
      </c>
      <c r="C1776">
        <v>159</v>
      </c>
      <c r="D1776" t="s">
        <v>7</v>
      </c>
      <c r="E1776" s="2" t="s">
        <v>12</v>
      </c>
      <c r="F1776">
        <f t="shared" si="27"/>
        <v>315.29700000000003</v>
      </c>
      <c r="G1776" t="s">
        <v>16</v>
      </c>
      <c r="J1776" t="str">
        <f>"08/10/2006 23:45"</f>
        <v>08/10/2006 23:45</v>
      </c>
    </row>
    <row r="1777" spans="1:10" x14ac:dyDescent="0.3">
      <c r="A1777" t="s">
        <v>6</v>
      </c>
      <c r="B1777" t="str">
        <f>"08/11/2006 00:00"</f>
        <v>08/11/2006 00:00</v>
      </c>
      <c r="C1777">
        <v>254</v>
      </c>
      <c r="D1777" t="s">
        <v>7</v>
      </c>
      <c r="E1777" s="2" t="s">
        <v>12</v>
      </c>
      <c r="F1777">
        <f t="shared" si="27"/>
        <v>503.68200000000002</v>
      </c>
      <c r="G1777" t="s">
        <v>16</v>
      </c>
      <c r="J1777" t="str">
        <f>"08/11/2006 23:45"</f>
        <v>08/11/2006 23:45</v>
      </c>
    </row>
    <row r="1778" spans="1:10" x14ac:dyDescent="0.3">
      <c r="A1778" t="s">
        <v>6</v>
      </c>
      <c r="B1778" t="str">
        <f>"08/12/2006 00:00"</f>
        <v>08/12/2006 00:00</v>
      </c>
      <c r="C1778">
        <v>303</v>
      </c>
      <c r="D1778" t="s">
        <v>7</v>
      </c>
      <c r="E1778" s="2" t="s">
        <v>12</v>
      </c>
      <c r="F1778">
        <f t="shared" si="27"/>
        <v>600.84900000000005</v>
      </c>
      <c r="G1778" t="s">
        <v>16</v>
      </c>
      <c r="J1778" t="str">
        <f>"08/12/2006 23:45"</f>
        <v>08/12/2006 23:45</v>
      </c>
    </row>
    <row r="1779" spans="1:10" x14ac:dyDescent="0.3">
      <c r="A1779" t="s">
        <v>6</v>
      </c>
      <c r="B1779" t="str">
        <f>"08/13/2006 00:00"</f>
        <v>08/13/2006 00:00</v>
      </c>
      <c r="C1779">
        <v>301</v>
      </c>
      <c r="D1779" t="s">
        <v>7</v>
      </c>
      <c r="E1779" s="2" t="s">
        <v>12</v>
      </c>
      <c r="F1779">
        <f t="shared" si="27"/>
        <v>596.88300000000004</v>
      </c>
      <c r="G1779" t="s">
        <v>16</v>
      </c>
      <c r="J1779" t="str">
        <f>"08/13/2006 23:45"</f>
        <v>08/13/2006 23:45</v>
      </c>
    </row>
    <row r="1780" spans="1:10" x14ac:dyDescent="0.3">
      <c r="A1780" t="s">
        <v>6</v>
      </c>
      <c r="B1780" t="str">
        <f>"08/14/2006 00:00"</f>
        <v>08/14/2006 00:00</v>
      </c>
      <c r="C1780">
        <v>248</v>
      </c>
      <c r="D1780" t="s">
        <v>7</v>
      </c>
      <c r="E1780" s="2" t="s">
        <v>12</v>
      </c>
      <c r="F1780">
        <f t="shared" si="27"/>
        <v>491.78400000000005</v>
      </c>
      <c r="G1780" t="s">
        <v>16</v>
      </c>
      <c r="J1780" t="str">
        <f>"08/14/2006 23:45"</f>
        <v>08/14/2006 23:45</v>
      </c>
    </row>
    <row r="1781" spans="1:10" x14ac:dyDescent="0.3">
      <c r="A1781" t="s">
        <v>6</v>
      </c>
      <c r="B1781" t="str">
        <f>"08/15/2006 00:00"</f>
        <v>08/15/2006 00:00</v>
      </c>
      <c r="C1781">
        <v>151</v>
      </c>
      <c r="D1781" t="s">
        <v>7</v>
      </c>
      <c r="E1781" s="2" t="s">
        <v>12</v>
      </c>
      <c r="F1781">
        <f t="shared" si="27"/>
        <v>299.43299999999999</v>
      </c>
      <c r="G1781" t="s">
        <v>16</v>
      </c>
      <c r="J1781" t="str">
        <f>"08/15/2006 23:45"</f>
        <v>08/15/2006 23:45</v>
      </c>
    </row>
    <row r="1782" spans="1:10" x14ac:dyDescent="0.3">
      <c r="A1782" t="s">
        <v>6</v>
      </c>
      <c r="B1782" t="str">
        <f>"08/16/2006 00:00"</f>
        <v>08/16/2006 00:00</v>
      </c>
      <c r="C1782">
        <v>69.099999999999994</v>
      </c>
      <c r="D1782" t="s">
        <v>7</v>
      </c>
      <c r="E1782" s="2" t="s">
        <v>12</v>
      </c>
      <c r="F1782">
        <f t="shared" si="27"/>
        <v>137.02529999999999</v>
      </c>
      <c r="G1782" t="s">
        <v>16</v>
      </c>
      <c r="J1782" t="str">
        <f>"08/16/2006 23:45"</f>
        <v>08/16/2006 23:45</v>
      </c>
    </row>
    <row r="1783" spans="1:10" x14ac:dyDescent="0.3">
      <c r="A1783" t="s">
        <v>6</v>
      </c>
      <c r="B1783" t="str">
        <f>"08/17/2006 00:00"</f>
        <v>08/17/2006 00:00</v>
      </c>
      <c r="C1783">
        <v>21.7</v>
      </c>
      <c r="D1783" t="s">
        <v>7</v>
      </c>
      <c r="E1783" s="2" t="s">
        <v>12</v>
      </c>
      <c r="F1783">
        <f t="shared" si="27"/>
        <v>43.031100000000002</v>
      </c>
      <c r="G1783" t="s">
        <v>16</v>
      </c>
      <c r="J1783" t="str">
        <f>"08/17/2006 23:45"</f>
        <v>08/17/2006 23:45</v>
      </c>
    </row>
    <row r="1784" spans="1:10" x14ac:dyDescent="0.3">
      <c r="A1784" t="s">
        <v>6</v>
      </c>
      <c r="B1784" t="str">
        <f>"08/18/2006 00:00"</f>
        <v>08/18/2006 00:00</v>
      </c>
      <c r="C1784">
        <v>115</v>
      </c>
      <c r="D1784" t="s">
        <v>7</v>
      </c>
      <c r="E1784" s="2" t="s">
        <v>12</v>
      </c>
      <c r="F1784">
        <f t="shared" si="27"/>
        <v>228.04500000000002</v>
      </c>
      <c r="G1784" t="s">
        <v>16</v>
      </c>
      <c r="J1784" t="str">
        <f>"08/18/2006 23:45"</f>
        <v>08/18/2006 23:45</v>
      </c>
    </row>
    <row r="1785" spans="1:10" x14ac:dyDescent="0.3">
      <c r="A1785" t="s">
        <v>6</v>
      </c>
      <c r="B1785" t="str">
        <f>"08/19/2006 00:00"</f>
        <v>08/19/2006 00:00</v>
      </c>
      <c r="C1785">
        <v>197</v>
      </c>
      <c r="D1785" t="s">
        <v>7</v>
      </c>
      <c r="E1785" s="2" t="s">
        <v>12</v>
      </c>
      <c r="F1785">
        <f t="shared" si="27"/>
        <v>390.65100000000001</v>
      </c>
      <c r="G1785" t="s">
        <v>16</v>
      </c>
      <c r="J1785" t="str">
        <f>"08/19/2006 23:45"</f>
        <v>08/19/2006 23:45</v>
      </c>
    </row>
    <row r="1786" spans="1:10" x14ac:dyDescent="0.3">
      <c r="A1786" t="s">
        <v>6</v>
      </c>
      <c r="B1786" t="str">
        <f>"08/20/2006 00:00"</f>
        <v>08/20/2006 00:00</v>
      </c>
      <c r="C1786">
        <v>196</v>
      </c>
      <c r="D1786" t="s">
        <v>7</v>
      </c>
      <c r="E1786" s="2" t="s">
        <v>12</v>
      </c>
      <c r="F1786">
        <f t="shared" si="27"/>
        <v>388.66800000000001</v>
      </c>
      <c r="G1786" t="s">
        <v>16</v>
      </c>
      <c r="J1786" t="str">
        <f>"08/20/2006 23:45"</f>
        <v>08/20/2006 23:45</v>
      </c>
    </row>
    <row r="1787" spans="1:10" x14ac:dyDescent="0.3">
      <c r="A1787" t="s">
        <v>6</v>
      </c>
      <c r="B1787" t="str">
        <f>"08/21/2006 00:00"</f>
        <v>08/21/2006 00:00</v>
      </c>
      <c r="C1787">
        <v>195</v>
      </c>
      <c r="D1787" t="s">
        <v>7</v>
      </c>
      <c r="E1787" s="2" t="s">
        <v>12</v>
      </c>
      <c r="F1787">
        <f t="shared" si="27"/>
        <v>386.685</v>
      </c>
      <c r="G1787" t="s">
        <v>16</v>
      </c>
      <c r="J1787" t="str">
        <f>"08/21/2006 23:45"</f>
        <v>08/21/2006 23:45</v>
      </c>
    </row>
    <row r="1788" spans="1:10" x14ac:dyDescent="0.3">
      <c r="A1788" t="s">
        <v>6</v>
      </c>
      <c r="B1788" t="str">
        <f>"08/22/2006 00:00"</f>
        <v>08/22/2006 00:00</v>
      </c>
      <c r="C1788">
        <v>141</v>
      </c>
      <c r="D1788" t="s">
        <v>7</v>
      </c>
      <c r="E1788" s="2" t="s">
        <v>12</v>
      </c>
      <c r="F1788">
        <f t="shared" si="27"/>
        <v>279.60300000000001</v>
      </c>
      <c r="G1788" t="s">
        <v>16</v>
      </c>
      <c r="J1788" t="str">
        <f>"08/22/2006 23:45"</f>
        <v>08/22/2006 23:45</v>
      </c>
    </row>
    <row r="1789" spans="1:10" x14ac:dyDescent="0.3">
      <c r="A1789" t="s">
        <v>6</v>
      </c>
      <c r="B1789" t="str">
        <f>"08/23/2006 00:00"</f>
        <v>08/23/2006 00:00</v>
      </c>
      <c r="C1789">
        <v>101</v>
      </c>
      <c r="D1789" t="s">
        <v>7</v>
      </c>
      <c r="E1789" s="2" t="s">
        <v>12</v>
      </c>
      <c r="F1789">
        <f t="shared" si="27"/>
        <v>200.28300000000002</v>
      </c>
      <c r="G1789" t="s">
        <v>16</v>
      </c>
      <c r="J1789" t="str">
        <f>"08/23/2006 23:45"</f>
        <v>08/23/2006 23:45</v>
      </c>
    </row>
    <row r="1790" spans="1:10" x14ac:dyDescent="0.3">
      <c r="A1790" t="s">
        <v>6</v>
      </c>
      <c r="B1790" t="str">
        <f>"08/24/2006 00:00"</f>
        <v>08/24/2006 00:00</v>
      </c>
      <c r="C1790">
        <v>101</v>
      </c>
      <c r="D1790" t="s">
        <v>7</v>
      </c>
      <c r="E1790" s="2" t="s">
        <v>12</v>
      </c>
      <c r="F1790">
        <f t="shared" si="27"/>
        <v>200.28300000000002</v>
      </c>
      <c r="G1790" t="s">
        <v>16</v>
      </c>
      <c r="J1790" t="str">
        <f>"08/24/2006 23:45"</f>
        <v>08/24/2006 23:45</v>
      </c>
    </row>
    <row r="1791" spans="1:10" x14ac:dyDescent="0.3">
      <c r="A1791" t="s">
        <v>6</v>
      </c>
      <c r="B1791" t="str">
        <f>"08/25/2006 00:00"</f>
        <v>08/25/2006 00:00</v>
      </c>
      <c r="C1791">
        <v>98.7</v>
      </c>
      <c r="D1791" t="s">
        <v>7</v>
      </c>
      <c r="E1791" s="2" t="s">
        <v>12</v>
      </c>
      <c r="F1791">
        <f t="shared" si="27"/>
        <v>195.72210000000001</v>
      </c>
      <c r="G1791" t="s">
        <v>16</v>
      </c>
      <c r="J1791" t="str">
        <f>"08/25/2006 23:45"</f>
        <v>08/25/2006 23:45</v>
      </c>
    </row>
    <row r="1792" spans="1:10" x14ac:dyDescent="0.3">
      <c r="A1792" t="s">
        <v>6</v>
      </c>
      <c r="B1792" t="str">
        <f>"08/26/2006 00:00"</f>
        <v>08/26/2006 00:00</v>
      </c>
      <c r="C1792">
        <v>72.900000000000006</v>
      </c>
      <c r="D1792" t="s">
        <v>7</v>
      </c>
      <c r="E1792" s="2" t="s">
        <v>12</v>
      </c>
      <c r="F1792">
        <f t="shared" si="27"/>
        <v>144.56070000000003</v>
      </c>
      <c r="G1792" t="s">
        <v>16</v>
      </c>
      <c r="J1792" t="str">
        <f>"08/26/2006 23:45"</f>
        <v>08/26/2006 23:45</v>
      </c>
    </row>
    <row r="1793" spans="1:10" x14ac:dyDescent="0.3">
      <c r="A1793" t="s">
        <v>6</v>
      </c>
      <c r="B1793" t="str">
        <f>"08/27/2006 00:00"</f>
        <v>08/27/2006 00:00</v>
      </c>
      <c r="C1793">
        <v>57.9</v>
      </c>
      <c r="D1793" t="s">
        <v>7</v>
      </c>
      <c r="E1793" s="2" t="s">
        <v>12</v>
      </c>
      <c r="F1793">
        <f t="shared" si="27"/>
        <v>114.81570000000001</v>
      </c>
      <c r="G1793" t="s">
        <v>16</v>
      </c>
      <c r="J1793" t="str">
        <f>"08/27/2006 23:45"</f>
        <v>08/27/2006 23:45</v>
      </c>
    </row>
    <row r="1794" spans="1:10" x14ac:dyDescent="0.3">
      <c r="A1794" t="s">
        <v>6</v>
      </c>
      <c r="B1794" t="str">
        <f>"08/28/2006 00:00"</f>
        <v>08/28/2006 00:00</v>
      </c>
      <c r="C1794">
        <v>58.2</v>
      </c>
      <c r="D1794" t="s">
        <v>7</v>
      </c>
      <c r="E1794" s="2" t="s">
        <v>12</v>
      </c>
      <c r="F1794">
        <f t="shared" si="27"/>
        <v>115.41060000000002</v>
      </c>
      <c r="G1794" t="s">
        <v>16</v>
      </c>
      <c r="J1794" t="str">
        <f>"08/28/2006 23:45"</f>
        <v>08/28/2006 23:45</v>
      </c>
    </row>
    <row r="1795" spans="1:10" x14ac:dyDescent="0.3">
      <c r="A1795" t="s">
        <v>6</v>
      </c>
      <c r="B1795" t="str">
        <f>"08/29/2006 00:00"</f>
        <v>08/29/2006 00:00</v>
      </c>
      <c r="C1795">
        <v>84.3</v>
      </c>
      <c r="D1795" t="s">
        <v>7</v>
      </c>
      <c r="E1795" s="2" t="s">
        <v>12</v>
      </c>
      <c r="F1795">
        <f t="shared" si="27"/>
        <v>167.1669</v>
      </c>
      <c r="G1795" t="s">
        <v>16</v>
      </c>
      <c r="J1795" t="str">
        <f>"08/29/2006 23:45"</f>
        <v>08/29/2006 23:45</v>
      </c>
    </row>
    <row r="1796" spans="1:10" x14ac:dyDescent="0.3">
      <c r="A1796" t="s">
        <v>6</v>
      </c>
      <c r="B1796" t="str">
        <f>"08/30/2006 00:00"</f>
        <v>08/30/2006 00:00</v>
      </c>
      <c r="C1796">
        <v>145</v>
      </c>
      <c r="D1796" t="s">
        <v>7</v>
      </c>
      <c r="E1796" s="2" t="s">
        <v>12</v>
      </c>
      <c r="F1796">
        <f t="shared" ref="F1796:F1859" si="28">C1796*1.983</f>
        <v>287.53500000000003</v>
      </c>
      <c r="G1796" t="s">
        <v>16</v>
      </c>
      <c r="J1796" t="str">
        <f>"08/30/2006 23:45"</f>
        <v>08/30/2006 23:45</v>
      </c>
    </row>
    <row r="1797" spans="1:10" x14ac:dyDescent="0.3">
      <c r="A1797" t="s">
        <v>6</v>
      </c>
      <c r="B1797" t="str">
        <f>"08/31/2006 00:00"</f>
        <v>08/31/2006 00:00</v>
      </c>
      <c r="C1797">
        <v>84.2</v>
      </c>
      <c r="D1797" t="s">
        <v>7</v>
      </c>
      <c r="E1797" s="2" t="s">
        <v>12</v>
      </c>
      <c r="F1797">
        <f t="shared" si="28"/>
        <v>166.96860000000001</v>
      </c>
      <c r="G1797" t="s">
        <v>16</v>
      </c>
      <c r="J1797" t="str">
        <f>"08/31/2006 23:45"</f>
        <v>08/31/2006 23:45</v>
      </c>
    </row>
    <row r="1798" spans="1:10" x14ac:dyDescent="0.3">
      <c r="A1798" t="s">
        <v>6</v>
      </c>
      <c r="B1798" t="str">
        <f>"09/01/2006 00:00"</f>
        <v>09/01/2006 00:00</v>
      </c>
      <c r="C1798">
        <v>41.1</v>
      </c>
      <c r="D1798" t="s">
        <v>7</v>
      </c>
      <c r="E1798" s="2" t="s">
        <v>12</v>
      </c>
      <c r="F1798">
        <f t="shared" si="28"/>
        <v>81.501300000000001</v>
      </c>
      <c r="G1798" t="s">
        <v>16</v>
      </c>
      <c r="J1798" t="str">
        <f>"09/01/2006 23:45"</f>
        <v>09/01/2006 23:45</v>
      </c>
    </row>
    <row r="1799" spans="1:10" x14ac:dyDescent="0.3">
      <c r="A1799" t="s">
        <v>6</v>
      </c>
      <c r="B1799" t="str">
        <f>"09/02/2006 00:00"</f>
        <v>09/02/2006 00:00</v>
      </c>
      <c r="C1799">
        <v>26.4</v>
      </c>
      <c r="D1799" t="s">
        <v>7</v>
      </c>
      <c r="E1799" s="2" t="s">
        <v>12</v>
      </c>
      <c r="F1799">
        <f t="shared" si="28"/>
        <v>52.351199999999999</v>
      </c>
      <c r="G1799" t="s">
        <v>16</v>
      </c>
      <c r="J1799" t="str">
        <f>"09/02/2006 23:45"</f>
        <v>09/02/2006 23:45</v>
      </c>
    </row>
    <row r="1800" spans="1:10" x14ac:dyDescent="0.3">
      <c r="A1800" t="s">
        <v>6</v>
      </c>
      <c r="B1800" t="str">
        <f>"09/03/2006 00:00"</f>
        <v>09/03/2006 00:00</v>
      </c>
      <c r="C1800">
        <v>33.1</v>
      </c>
      <c r="D1800" t="s">
        <v>7</v>
      </c>
      <c r="E1800" s="2" t="s">
        <v>12</v>
      </c>
      <c r="F1800">
        <f t="shared" si="28"/>
        <v>65.63730000000001</v>
      </c>
      <c r="G1800" t="s">
        <v>16</v>
      </c>
      <c r="J1800" t="str">
        <f>"09/03/2006 23:45"</f>
        <v>09/03/2006 23:45</v>
      </c>
    </row>
    <row r="1801" spans="1:10" x14ac:dyDescent="0.3">
      <c r="A1801" t="s">
        <v>6</v>
      </c>
      <c r="B1801" t="str">
        <f>"09/04/2006 00:00"</f>
        <v>09/04/2006 00:00</v>
      </c>
      <c r="C1801">
        <v>33.4</v>
      </c>
      <c r="D1801" t="s">
        <v>7</v>
      </c>
      <c r="E1801" s="2" t="s">
        <v>12</v>
      </c>
      <c r="F1801">
        <f t="shared" si="28"/>
        <v>66.232200000000006</v>
      </c>
      <c r="G1801" t="s">
        <v>16</v>
      </c>
      <c r="J1801" t="str">
        <f>"09/04/2006 23:45"</f>
        <v>09/04/2006 23:45</v>
      </c>
    </row>
    <row r="1802" spans="1:10" x14ac:dyDescent="0.3">
      <c r="A1802" t="s">
        <v>6</v>
      </c>
      <c r="B1802" t="str">
        <f>"09/05/2006 00:00"</f>
        <v>09/05/2006 00:00</v>
      </c>
      <c r="C1802">
        <v>32.700000000000003</v>
      </c>
      <c r="D1802" t="s">
        <v>7</v>
      </c>
      <c r="E1802" s="2" t="s">
        <v>12</v>
      </c>
      <c r="F1802">
        <f t="shared" si="28"/>
        <v>64.844100000000012</v>
      </c>
      <c r="G1802" t="s">
        <v>16</v>
      </c>
      <c r="J1802" t="str">
        <f>"09/05/2006 23:45"</f>
        <v>09/05/2006 23:45</v>
      </c>
    </row>
    <row r="1803" spans="1:10" x14ac:dyDescent="0.3">
      <c r="A1803" t="s">
        <v>6</v>
      </c>
      <c r="B1803" t="str">
        <f>"09/06/2006 00:00"</f>
        <v>09/06/2006 00:00</v>
      </c>
      <c r="C1803">
        <v>39.200000000000003</v>
      </c>
      <c r="D1803" t="s">
        <v>7</v>
      </c>
      <c r="E1803" s="2" t="s">
        <v>12</v>
      </c>
      <c r="F1803">
        <f t="shared" si="28"/>
        <v>77.73360000000001</v>
      </c>
      <c r="G1803" t="s">
        <v>16</v>
      </c>
      <c r="J1803" t="str">
        <f>"09/06/2006 23:45"</f>
        <v>09/06/2006 23:45</v>
      </c>
    </row>
    <row r="1804" spans="1:10" x14ac:dyDescent="0.3">
      <c r="A1804" t="s">
        <v>6</v>
      </c>
      <c r="B1804" t="str">
        <f>"09/07/2006 00:00"</f>
        <v>09/07/2006 00:00</v>
      </c>
      <c r="C1804">
        <v>40</v>
      </c>
      <c r="D1804" t="s">
        <v>7</v>
      </c>
      <c r="E1804" s="2" t="s">
        <v>12</v>
      </c>
      <c r="F1804">
        <f t="shared" si="28"/>
        <v>79.320000000000007</v>
      </c>
      <c r="G1804" t="s">
        <v>16</v>
      </c>
      <c r="J1804" t="str">
        <f>"09/07/2006 23:45"</f>
        <v>09/07/2006 23:45</v>
      </c>
    </row>
    <row r="1805" spans="1:10" x14ac:dyDescent="0.3">
      <c r="A1805" t="s">
        <v>6</v>
      </c>
      <c r="B1805" t="str">
        <f>"09/08/2006 00:00"</f>
        <v>09/08/2006 00:00</v>
      </c>
      <c r="C1805">
        <v>9.9499999999999993</v>
      </c>
      <c r="D1805" t="s">
        <v>7</v>
      </c>
      <c r="E1805" s="2" t="s">
        <v>12</v>
      </c>
      <c r="F1805">
        <f t="shared" si="28"/>
        <v>19.73085</v>
      </c>
      <c r="G1805" t="s">
        <v>16</v>
      </c>
      <c r="J1805" t="str">
        <f>"09/08/2006 23:45"</f>
        <v>09/08/2006 23:45</v>
      </c>
    </row>
    <row r="1806" spans="1:10" x14ac:dyDescent="0.3">
      <c r="A1806" t="s">
        <v>6</v>
      </c>
      <c r="B1806" t="str">
        <f>"09/09/2006 00:00"</f>
        <v>09/09/2006 00:00</v>
      </c>
      <c r="C1806">
        <v>9.9499999999999993</v>
      </c>
      <c r="D1806" t="s">
        <v>7</v>
      </c>
      <c r="E1806" s="2" t="s">
        <v>12</v>
      </c>
      <c r="F1806">
        <f t="shared" si="28"/>
        <v>19.73085</v>
      </c>
      <c r="G1806" t="s">
        <v>16</v>
      </c>
      <c r="J1806" t="str">
        <f>"09/09/2006 23:45"</f>
        <v>09/09/2006 23:45</v>
      </c>
    </row>
    <row r="1807" spans="1:10" x14ac:dyDescent="0.3">
      <c r="A1807" t="s">
        <v>6</v>
      </c>
      <c r="B1807" t="str">
        <f>"09/10/2006 00:00"</f>
        <v>09/10/2006 00:00</v>
      </c>
      <c r="C1807">
        <v>9.9499999999999993</v>
      </c>
      <c r="D1807" t="s">
        <v>7</v>
      </c>
      <c r="E1807" s="2" t="s">
        <v>12</v>
      </c>
      <c r="F1807">
        <f t="shared" si="28"/>
        <v>19.73085</v>
      </c>
      <c r="G1807" t="s">
        <v>16</v>
      </c>
      <c r="J1807" t="str">
        <f>"09/10/2006 23:45"</f>
        <v>09/10/2006 23:45</v>
      </c>
    </row>
    <row r="1808" spans="1:10" x14ac:dyDescent="0.3">
      <c r="A1808" t="s">
        <v>6</v>
      </c>
      <c r="B1808" t="str">
        <f>"09/11/2006 00:00"</f>
        <v>09/11/2006 00:00</v>
      </c>
      <c r="C1808">
        <v>9.9499999999999993</v>
      </c>
      <c r="D1808" t="s">
        <v>7</v>
      </c>
      <c r="E1808" s="2" t="s">
        <v>12</v>
      </c>
      <c r="F1808">
        <f t="shared" si="28"/>
        <v>19.73085</v>
      </c>
      <c r="G1808" t="s">
        <v>16</v>
      </c>
      <c r="J1808" t="str">
        <f>"09/11/2006 23:45"</f>
        <v>09/11/2006 23:45</v>
      </c>
    </row>
    <row r="1809" spans="1:10" x14ac:dyDescent="0.3">
      <c r="A1809" t="s">
        <v>6</v>
      </c>
      <c r="B1809" t="str">
        <f>"09/12/2006 00:00"</f>
        <v>09/12/2006 00:00</v>
      </c>
      <c r="C1809">
        <v>9.9499999999999993</v>
      </c>
      <c r="D1809" t="s">
        <v>7</v>
      </c>
      <c r="E1809" s="2" t="s">
        <v>12</v>
      </c>
      <c r="F1809">
        <f t="shared" si="28"/>
        <v>19.73085</v>
      </c>
      <c r="G1809" t="s">
        <v>16</v>
      </c>
      <c r="J1809" t="str">
        <f>"09/12/2006 23:45"</f>
        <v>09/12/2006 23:45</v>
      </c>
    </row>
    <row r="1810" spans="1:10" x14ac:dyDescent="0.3">
      <c r="A1810" t="s">
        <v>6</v>
      </c>
      <c r="B1810" t="str">
        <f>"09/13/2006 00:00"</f>
        <v>09/13/2006 00:00</v>
      </c>
      <c r="C1810">
        <v>9.8000000000000007</v>
      </c>
      <c r="D1810" t="s">
        <v>7</v>
      </c>
      <c r="E1810" s="2" t="s">
        <v>12</v>
      </c>
      <c r="F1810">
        <f t="shared" si="28"/>
        <v>19.433400000000002</v>
      </c>
      <c r="G1810" t="s">
        <v>16</v>
      </c>
      <c r="J1810" t="str">
        <f>"09/13/2006 23:45"</f>
        <v>09/13/2006 23:45</v>
      </c>
    </row>
    <row r="1811" spans="1:10" x14ac:dyDescent="0.3">
      <c r="A1811" t="s">
        <v>6</v>
      </c>
      <c r="B1811" t="str">
        <f>"09/14/2006 00:00"</f>
        <v>09/14/2006 00:00</v>
      </c>
      <c r="C1811">
        <v>9.4600000000000009</v>
      </c>
      <c r="D1811" t="s">
        <v>7</v>
      </c>
      <c r="E1811" s="2" t="s">
        <v>12</v>
      </c>
      <c r="F1811">
        <f t="shared" si="28"/>
        <v>18.759180000000004</v>
      </c>
      <c r="G1811" t="s">
        <v>16</v>
      </c>
      <c r="J1811" t="str">
        <f>"09/14/2006 23:45"</f>
        <v>09/14/2006 23:45</v>
      </c>
    </row>
    <row r="1812" spans="1:10" x14ac:dyDescent="0.3">
      <c r="A1812" t="s">
        <v>6</v>
      </c>
      <c r="B1812" t="str">
        <f>"09/15/2006 00:00"</f>
        <v>09/15/2006 00:00</v>
      </c>
      <c r="C1812">
        <v>9.41</v>
      </c>
      <c r="D1812" t="s">
        <v>7</v>
      </c>
      <c r="E1812" s="2" t="s">
        <v>12</v>
      </c>
      <c r="F1812">
        <f t="shared" si="28"/>
        <v>18.660030000000003</v>
      </c>
      <c r="G1812" t="s">
        <v>16</v>
      </c>
      <c r="J1812" t="str">
        <f>"09/15/2006 23:45"</f>
        <v>09/15/2006 23:45</v>
      </c>
    </row>
    <row r="1813" spans="1:10" x14ac:dyDescent="0.3">
      <c r="A1813" t="s">
        <v>6</v>
      </c>
      <c r="B1813" t="str">
        <f>"09/16/2006 00:00"</f>
        <v>09/16/2006 00:00</v>
      </c>
      <c r="C1813">
        <v>9.36</v>
      </c>
      <c r="D1813" t="s">
        <v>7</v>
      </c>
      <c r="E1813" s="2" t="s">
        <v>12</v>
      </c>
      <c r="F1813">
        <f t="shared" si="28"/>
        <v>18.560880000000001</v>
      </c>
      <c r="G1813" t="s">
        <v>16</v>
      </c>
      <c r="J1813" t="str">
        <f>"09/16/2006 23:45"</f>
        <v>09/16/2006 23:45</v>
      </c>
    </row>
    <row r="1814" spans="1:10" x14ac:dyDescent="0.3">
      <c r="A1814" t="s">
        <v>6</v>
      </c>
      <c r="B1814" t="str">
        <f>"09/17/2006 00:00"</f>
        <v>09/17/2006 00:00</v>
      </c>
      <c r="C1814">
        <v>9.19</v>
      </c>
      <c r="D1814" t="s">
        <v>7</v>
      </c>
      <c r="E1814" s="2" t="s">
        <v>12</v>
      </c>
      <c r="F1814">
        <f t="shared" si="28"/>
        <v>18.223769999999998</v>
      </c>
      <c r="G1814" t="s">
        <v>16</v>
      </c>
      <c r="J1814" t="str">
        <f>"09/17/2006 23:45"</f>
        <v>09/17/2006 23:45</v>
      </c>
    </row>
    <row r="1815" spans="1:10" x14ac:dyDescent="0.3">
      <c r="A1815" t="s">
        <v>6</v>
      </c>
      <c r="B1815" t="str">
        <f>"09/18/2006 00:00"</f>
        <v>09/18/2006 00:00</v>
      </c>
      <c r="C1815">
        <v>8.98</v>
      </c>
      <c r="D1815" t="s">
        <v>7</v>
      </c>
      <c r="E1815" s="2" t="s">
        <v>12</v>
      </c>
      <c r="F1815">
        <f t="shared" si="28"/>
        <v>17.80734</v>
      </c>
      <c r="G1815" t="s">
        <v>16</v>
      </c>
      <c r="J1815" t="str">
        <f>"09/18/2006 23:45"</f>
        <v>09/18/2006 23:45</v>
      </c>
    </row>
    <row r="1816" spans="1:10" x14ac:dyDescent="0.3">
      <c r="A1816" t="s">
        <v>6</v>
      </c>
      <c r="B1816" t="str">
        <f>"09/19/2006 00:00"</f>
        <v>09/19/2006 00:00</v>
      </c>
      <c r="C1816">
        <v>8.84</v>
      </c>
      <c r="D1816" t="s">
        <v>7</v>
      </c>
      <c r="E1816" s="2" t="s">
        <v>12</v>
      </c>
      <c r="F1816">
        <f t="shared" si="28"/>
        <v>17.529720000000001</v>
      </c>
      <c r="G1816" t="s">
        <v>16</v>
      </c>
      <c r="J1816" t="str">
        <f>"09/19/2006 23:45"</f>
        <v>09/19/2006 23:45</v>
      </c>
    </row>
    <row r="1817" spans="1:10" x14ac:dyDescent="0.3">
      <c r="A1817" t="s">
        <v>6</v>
      </c>
      <c r="B1817" t="str">
        <f>"09/20/2006 00:00"</f>
        <v>09/20/2006 00:00</v>
      </c>
      <c r="C1817">
        <v>8.83</v>
      </c>
      <c r="D1817" t="s">
        <v>7</v>
      </c>
      <c r="E1817" s="2" t="s">
        <v>12</v>
      </c>
      <c r="F1817">
        <f t="shared" si="28"/>
        <v>17.509890000000002</v>
      </c>
      <c r="G1817" t="s">
        <v>16</v>
      </c>
      <c r="J1817" t="str">
        <f>"09/20/2006 23:45"</f>
        <v>09/20/2006 23:45</v>
      </c>
    </row>
    <row r="1818" spans="1:10" x14ac:dyDescent="0.3">
      <c r="A1818" t="s">
        <v>6</v>
      </c>
      <c r="B1818" t="str">
        <f>"09/21/2006 00:00"</f>
        <v>09/21/2006 00:00</v>
      </c>
      <c r="C1818">
        <v>8.8000000000000007</v>
      </c>
      <c r="D1818" t="s">
        <v>7</v>
      </c>
      <c r="E1818" s="2" t="s">
        <v>12</v>
      </c>
      <c r="F1818">
        <f t="shared" si="28"/>
        <v>17.450400000000002</v>
      </c>
      <c r="G1818" t="s">
        <v>16</v>
      </c>
      <c r="J1818" t="str">
        <f>"09/21/2006 23:45"</f>
        <v>09/21/2006 23:45</v>
      </c>
    </row>
    <row r="1819" spans="1:10" x14ac:dyDescent="0.3">
      <c r="A1819" t="s">
        <v>6</v>
      </c>
      <c r="B1819" t="str">
        <f>"09/22/2006 00:00"</f>
        <v>09/22/2006 00:00</v>
      </c>
      <c r="C1819">
        <v>8.4600000000000009</v>
      </c>
      <c r="D1819" t="s">
        <v>7</v>
      </c>
      <c r="E1819" s="2" t="s">
        <v>12</v>
      </c>
      <c r="F1819">
        <f t="shared" si="28"/>
        <v>16.776180000000004</v>
      </c>
      <c r="G1819" t="s">
        <v>16</v>
      </c>
      <c r="J1819" t="str">
        <f>"09/22/2006 23:45"</f>
        <v>09/22/2006 23:45</v>
      </c>
    </row>
    <row r="1820" spans="1:10" x14ac:dyDescent="0.3">
      <c r="A1820" t="s">
        <v>6</v>
      </c>
      <c r="B1820" t="str">
        <f>"09/23/2006 00:00"</f>
        <v>09/23/2006 00:00</v>
      </c>
      <c r="C1820">
        <v>8.33</v>
      </c>
      <c r="D1820" t="s">
        <v>7</v>
      </c>
      <c r="E1820" s="2" t="s">
        <v>12</v>
      </c>
      <c r="F1820">
        <f t="shared" si="28"/>
        <v>16.51839</v>
      </c>
      <c r="G1820" t="s">
        <v>16</v>
      </c>
      <c r="J1820" t="str">
        <f>"09/23/2006 23:45"</f>
        <v>09/23/2006 23:45</v>
      </c>
    </row>
    <row r="1821" spans="1:10" x14ac:dyDescent="0.3">
      <c r="A1821" t="s">
        <v>6</v>
      </c>
      <c r="B1821" t="str">
        <f>"09/24/2006 00:00"</f>
        <v>09/24/2006 00:00</v>
      </c>
      <c r="C1821">
        <v>8.2799999999999994</v>
      </c>
      <c r="D1821" t="s">
        <v>7</v>
      </c>
      <c r="E1821" s="2" t="s">
        <v>12</v>
      </c>
      <c r="F1821">
        <f t="shared" si="28"/>
        <v>16.419239999999999</v>
      </c>
      <c r="G1821" t="s">
        <v>16</v>
      </c>
      <c r="J1821" t="str">
        <f>"09/24/2006 23:45"</f>
        <v>09/24/2006 23:45</v>
      </c>
    </row>
    <row r="1822" spans="1:10" x14ac:dyDescent="0.3">
      <c r="A1822" t="s">
        <v>6</v>
      </c>
      <c r="B1822" t="str">
        <f>"09/25/2006 00:00"</f>
        <v>09/25/2006 00:00</v>
      </c>
      <c r="C1822">
        <v>8.01</v>
      </c>
      <c r="D1822" t="s">
        <v>7</v>
      </c>
      <c r="E1822" s="2" t="s">
        <v>12</v>
      </c>
      <c r="F1822">
        <f t="shared" si="28"/>
        <v>15.88383</v>
      </c>
      <c r="G1822" t="s">
        <v>16</v>
      </c>
      <c r="J1822" t="str">
        <f>"09/25/2006 23:45"</f>
        <v>09/25/2006 23:45</v>
      </c>
    </row>
    <row r="1823" spans="1:10" x14ac:dyDescent="0.3">
      <c r="A1823" t="s">
        <v>6</v>
      </c>
      <c r="B1823" t="str">
        <f>"09/26/2006 00:00"</f>
        <v>09/26/2006 00:00</v>
      </c>
      <c r="C1823">
        <v>7.78</v>
      </c>
      <c r="D1823" t="s">
        <v>7</v>
      </c>
      <c r="E1823" s="2" t="s">
        <v>12</v>
      </c>
      <c r="F1823">
        <f t="shared" si="28"/>
        <v>15.427740000000002</v>
      </c>
      <c r="G1823" t="s">
        <v>16</v>
      </c>
      <c r="J1823" t="str">
        <f>"09/26/2006 23:45"</f>
        <v>09/26/2006 23:45</v>
      </c>
    </row>
    <row r="1824" spans="1:10" x14ac:dyDescent="0.3">
      <c r="A1824" t="s">
        <v>6</v>
      </c>
      <c r="B1824" t="str">
        <f>"09/27/2006 00:00"</f>
        <v>09/27/2006 00:00</v>
      </c>
      <c r="C1824">
        <v>7.77</v>
      </c>
      <c r="D1824" t="s">
        <v>7</v>
      </c>
      <c r="E1824" s="2" t="s">
        <v>12</v>
      </c>
      <c r="F1824">
        <f t="shared" si="28"/>
        <v>15.407909999999999</v>
      </c>
      <c r="G1824" t="s">
        <v>16</v>
      </c>
      <c r="J1824" t="str">
        <f>"09/27/2006 23:45"</f>
        <v>09/27/2006 23:45</v>
      </c>
    </row>
    <row r="1825" spans="1:10" x14ac:dyDescent="0.3">
      <c r="A1825" t="s">
        <v>6</v>
      </c>
      <c r="B1825" t="str">
        <f>"09/28/2006 00:00"</f>
        <v>09/28/2006 00:00</v>
      </c>
      <c r="C1825">
        <v>7.52</v>
      </c>
      <c r="D1825" t="s">
        <v>7</v>
      </c>
      <c r="E1825" s="2" t="s">
        <v>12</v>
      </c>
      <c r="F1825">
        <f t="shared" si="28"/>
        <v>14.91216</v>
      </c>
      <c r="G1825" t="s">
        <v>16</v>
      </c>
      <c r="J1825" t="str">
        <f>"09/28/2006 23:45"</f>
        <v>09/28/2006 23:45</v>
      </c>
    </row>
    <row r="1826" spans="1:10" x14ac:dyDescent="0.3">
      <c r="A1826" t="s">
        <v>6</v>
      </c>
      <c r="B1826" t="str">
        <f>"09/29/2006 00:00"</f>
        <v>09/29/2006 00:00</v>
      </c>
      <c r="C1826">
        <v>7.28</v>
      </c>
      <c r="D1826" t="s">
        <v>7</v>
      </c>
      <c r="E1826" s="2" t="s">
        <v>12</v>
      </c>
      <c r="F1826">
        <f t="shared" si="28"/>
        <v>14.436240000000002</v>
      </c>
      <c r="G1826" t="s">
        <v>16</v>
      </c>
      <c r="J1826" t="str">
        <f>"09/29/2006 23:45"</f>
        <v>09/29/2006 23:45</v>
      </c>
    </row>
    <row r="1827" spans="1:10" x14ac:dyDescent="0.3">
      <c r="A1827" t="s">
        <v>6</v>
      </c>
      <c r="B1827" t="str">
        <f>"09/30/2006 00:00"</f>
        <v>09/30/2006 00:00</v>
      </c>
      <c r="C1827">
        <v>7.26</v>
      </c>
      <c r="D1827" t="s">
        <v>7</v>
      </c>
      <c r="E1827" s="2" t="s">
        <v>12</v>
      </c>
      <c r="F1827">
        <f t="shared" si="28"/>
        <v>14.39658</v>
      </c>
      <c r="G1827" t="s">
        <v>16</v>
      </c>
      <c r="J1827" t="str">
        <f>"09/30/2006 23:45"</f>
        <v>09/30/2006 23:45</v>
      </c>
    </row>
    <row r="1828" spans="1:10" x14ac:dyDescent="0.3">
      <c r="A1828" t="s">
        <v>6</v>
      </c>
      <c r="B1828" t="str">
        <f>"10/01/2006 00:00"</f>
        <v>10/01/2006 00:00</v>
      </c>
      <c r="C1828">
        <v>7.26</v>
      </c>
      <c r="D1828" t="s">
        <v>7</v>
      </c>
      <c r="E1828" s="2" t="s">
        <v>12</v>
      </c>
      <c r="F1828">
        <f t="shared" si="28"/>
        <v>14.39658</v>
      </c>
      <c r="G1828" t="s">
        <v>16</v>
      </c>
      <c r="I1828" t="s">
        <v>8</v>
      </c>
      <c r="J1828" t="str">
        <f>"10/01/2006 23:45"</f>
        <v>10/01/2006 23:45</v>
      </c>
    </row>
    <row r="1829" spans="1:10" x14ac:dyDescent="0.3">
      <c r="A1829" t="s">
        <v>6</v>
      </c>
      <c r="B1829" t="str">
        <f>"10/02/2006 00:00"</f>
        <v>10/02/2006 00:00</v>
      </c>
      <c r="C1829">
        <v>6.81</v>
      </c>
      <c r="D1829" t="s">
        <v>7</v>
      </c>
      <c r="E1829" s="2" t="s">
        <v>12</v>
      </c>
      <c r="F1829">
        <f t="shared" si="28"/>
        <v>13.50423</v>
      </c>
      <c r="G1829" t="s">
        <v>16</v>
      </c>
      <c r="J1829" t="str">
        <f>"10/02/2006 23:45"</f>
        <v>10/02/2006 23:45</v>
      </c>
    </row>
    <row r="1830" spans="1:10" x14ac:dyDescent="0.3">
      <c r="A1830" t="s">
        <v>6</v>
      </c>
      <c r="B1830" t="str">
        <f>"10/03/2006 00:00"</f>
        <v>10/03/2006 00:00</v>
      </c>
      <c r="C1830">
        <v>7.33</v>
      </c>
      <c r="D1830" t="s">
        <v>7</v>
      </c>
      <c r="E1830" s="2" t="s">
        <v>12</v>
      </c>
      <c r="F1830">
        <f t="shared" si="28"/>
        <v>14.535390000000001</v>
      </c>
      <c r="G1830" t="s">
        <v>16</v>
      </c>
      <c r="J1830" t="str">
        <f>"10/03/2006 23:45"</f>
        <v>10/03/2006 23:45</v>
      </c>
    </row>
    <row r="1831" spans="1:10" x14ac:dyDescent="0.3">
      <c r="A1831" t="s">
        <v>6</v>
      </c>
      <c r="B1831" t="str">
        <f>"10/04/2006 00:00"</f>
        <v>10/04/2006 00:00</v>
      </c>
      <c r="C1831">
        <v>4.59</v>
      </c>
      <c r="D1831" t="s">
        <v>7</v>
      </c>
      <c r="E1831" s="2" t="s">
        <v>12</v>
      </c>
      <c r="F1831">
        <f t="shared" si="28"/>
        <v>9.1019699999999997</v>
      </c>
      <c r="G1831" t="s">
        <v>16</v>
      </c>
      <c r="J1831" t="str">
        <f>"10/04/2006 23:45"</f>
        <v>10/04/2006 23:45</v>
      </c>
    </row>
    <row r="1832" spans="1:10" x14ac:dyDescent="0.3">
      <c r="A1832" t="s">
        <v>6</v>
      </c>
      <c r="B1832" t="str">
        <f>"10/05/2006 00:00"</f>
        <v>10/05/2006 00:00</v>
      </c>
      <c r="C1832">
        <v>1.08</v>
      </c>
      <c r="D1832" t="s">
        <v>7</v>
      </c>
      <c r="E1832" s="2" t="s">
        <v>12</v>
      </c>
      <c r="F1832">
        <f t="shared" si="28"/>
        <v>2.1416400000000002</v>
      </c>
      <c r="G1832" t="s">
        <v>16</v>
      </c>
      <c r="J1832" t="str">
        <f>"10/05/2006 23:45"</f>
        <v>10/05/2006 23:45</v>
      </c>
    </row>
    <row r="1833" spans="1:10" x14ac:dyDescent="0.3">
      <c r="A1833" t="s">
        <v>6</v>
      </c>
      <c r="B1833" t="str">
        <f>"10/06/2006 00:00"</f>
        <v>10/06/2006 00:00</v>
      </c>
      <c r="C1833">
        <v>1.1599999999999999</v>
      </c>
      <c r="D1833" t="s">
        <v>7</v>
      </c>
      <c r="E1833" s="2" t="s">
        <v>12</v>
      </c>
      <c r="F1833">
        <f t="shared" si="28"/>
        <v>2.3002799999999999</v>
      </c>
      <c r="G1833" t="s">
        <v>16</v>
      </c>
      <c r="J1833" t="str">
        <f>"10/06/2006 23:45"</f>
        <v>10/06/2006 23:45</v>
      </c>
    </row>
    <row r="1834" spans="1:10" x14ac:dyDescent="0.3">
      <c r="A1834" t="s">
        <v>6</v>
      </c>
      <c r="B1834" t="str">
        <f>"10/07/2006 00:00"</f>
        <v>10/07/2006 00:00</v>
      </c>
      <c r="C1834">
        <v>1.34</v>
      </c>
      <c r="D1834" t="s">
        <v>7</v>
      </c>
      <c r="E1834" s="2" t="s">
        <v>12</v>
      </c>
      <c r="F1834">
        <f t="shared" si="28"/>
        <v>2.6572200000000001</v>
      </c>
      <c r="G1834" t="s">
        <v>16</v>
      </c>
      <c r="J1834" t="str">
        <f>"10/07/2006 23:45"</f>
        <v>10/07/2006 23:45</v>
      </c>
    </row>
    <row r="1835" spans="1:10" x14ac:dyDescent="0.3">
      <c r="A1835" t="s">
        <v>6</v>
      </c>
      <c r="B1835" t="str">
        <f>"10/08/2006 00:00"</f>
        <v>10/08/2006 00:00</v>
      </c>
      <c r="C1835">
        <v>1.1399999999999999</v>
      </c>
      <c r="D1835" t="s">
        <v>7</v>
      </c>
      <c r="E1835" s="2" t="s">
        <v>12</v>
      </c>
      <c r="F1835">
        <f t="shared" si="28"/>
        <v>2.2606199999999999</v>
      </c>
      <c r="G1835" t="s">
        <v>16</v>
      </c>
      <c r="J1835" t="str">
        <f>"10/08/2006 23:45"</f>
        <v>10/08/2006 23:45</v>
      </c>
    </row>
    <row r="1836" spans="1:10" x14ac:dyDescent="0.3">
      <c r="A1836" t="s">
        <v>6</v>
      </c>
      <c r="B1836" t="str">
        <f>"10/09/2006 00:00"</f>
        <v>10/09/2006 00:00</v>
      </c>
      <c r="C1836">
        <v>1</v>
      </c>
      <c r="D1836" t="s">
        <v>7</v>
      </c>
      <c r="E1836" s="2" t="s">
        <v>12</v>
      </c>
      <c r="F1836">
        <f t="shared" si="28"/>
        <v>1.9830000000000001</v>
      </c>
      <c r="G1836" t="s">
        <v>16</v>
      </c>
      <c r="J1836" t="str">
        <f>"10/09/2006 23:45"</f>
        <v>10/09/2006 23:45</v>
      </c>
    </row>
    <row r="1837" spans="1:10" x14ac:dyDescent="0.3">
      <c r="A1837" t="s">
        <v>6</v>
      </c>
      <c r="B1837" t="str">
        <f>"10/10/2006 00:00"</f>
        <v>10/10/2006 00:00</v>
      </c>
      <c r="C1837">
        <v>1.22</v>
      </c>
      <c r="D1837" t="s">
        <v>7</v>
      </c>
      <c r="E1837" s="2" t="s">
        <v>12</v>
      </c>
      <c r="F1837">
        <f t="shared" si="28"/>
        <v>2.41926</v>
      </c>
      <c r="G1837" t="s">
        <v>16</v>
      </c>
      <c r="J1837" t="str">
        <f>"10/10/2006 23:45"</f>
        <v>10/10/2006 23:45</v>
      </c>
    </row>
    <row r="1838" spans="1:10" x14ac:dyDescent="0.3">
      <c r="A1838" t="s">
        <v>6</v>
      </c>
      <c r="B1838" t="str">
        <f>"10/11/2006 00:00"</f>
        <v>10/11/2006 00:00</v>
      </c>
      <c r="C1838">
        <v>57.9</v>
      </c>
      <c r="D1838" t="s">
        <v>7</v>
      </c>
      <c r="E1838" s="2" t="s">
        <v>12</v>
      </c>
      <c r="F1838">
        <f t="shared" si="28"/>
        <v>114.81570000000001</v>
      </c>
      <c r="G1838" t="s">
        <v>16</v>
      </c>
      <c r="J1838" t="str">
        <f>"10/11/2006 23:45"</f>
        <v>10/11/2006 23:45</v>
      </c>
    </row>
    <row r="1839" spans="1:10" x14ac:dyDescent="0.3">
      <c r="A1839" t="s">
        <v>6</v>
      </c>
      <c r="B1839" t="str">
        <f>"10/12/2006 00:00"</f>
        <v>10/12/2006 00:00</v>
      </c>
      <c r="C1839">
        <v>129</v>
      </c>
      <c r="D1839" t="s">
        <v>7</v>
      </c>
      <c r="E1839" s="2" t="s">
        <v>12</v>
      </c>
      <c r="F1839">
        <f t="shared" si="28"/>
        <v>255.80700000000002</v>
      </c>
      <c r="G1839" t="s">
        <v>16</v>
      </c>
      <c r="J1839" t="str">
        <f>"10/12/2006 23:45"</f>
        <v>10/12/2006 23:45</v>
      </c>
    </row>
    <row r="1840" spans="1:10" x14ac:dyDescent="0.3">
      <c r="A1840" t="s">
        <v>6</v>
      </c>
      <c r="B1840" t="str">
        <f>"10/13/2006 00:00"</f>
        <v>10/13/2006 00:00</v>
      </c>
      <c r="C1840">
        <v>150</v>
      </c>
      <c r="D1840" t="s">
        <v>7</v>
      </c>
      <c r="E1840" s="2" t="s">
        <v>12</v>
      </c>
      <c r="F1840">
        <f t="shared" si="28"/>
        <v>297.45</v>
      </c>
      <c r="G1840" t="s">
        <v>16</v>
      </c>
      <c r="J1840" t="str">
        <f>"10/13/2006 23:45"</f>
        <v>10/13/2006 23:45</v>
      </c>
    </row>
    <row r="1841" spans="1:10" x14ac:dyDescent="0.3">
      <c r="A1841" t="s">
        <v>6</v>
      </c>
      <c r="B1841" t="str">
        <f>"10/14/2006 00:00"</f>
        <v>10/14/2006 00:00</v>
      </c>
      <c r="C1841">
        <v>147</v>
      </c>
      <c r="D1841" t="s">
        <v>7</v>
      </c>
      <c r="E1841" s="2" t="s">
        <v>12</v>
      </c>
      <c r="F1841">
        <f t="shared" si="28"/>
        <v>291.50100000000003</v>
      </c>
      <c r="G1841" t="s">
        <v>16</v>
      </c>
      <c r="J1841" t="str">
        <f>"10/14/2006 23:45"</f>
        <v>10/14/2006 23:45</v>
      </c>
    </row>
    <row r="1842" spans="1:10" x14ac:dyDescent="0.3">
      <c r="A1842" t="s">
        <v>6</v>
      </c>
      <c r="B1842" t="str">
        <f>"10/15/2006 00:00"</f>
        <v>10/15/2006 00:00</v>
      </c>
      <c r="C1842">
        <v>149</v>
      </c>
      <c r="D1842" t="s">
        <v>7</v>
      </c>
      <c r="E1842" s="2" t="s">
        <v>12</v>
      </c>
      <c r="F1842">
        <f t="shared" si="28"/>
        <v>295.46700000000004</v>
      </c>
      <c r="G1842" t="s">
        <v>16</v>
      </c>
      <c r="J1842" t="str">
        <f>"10/15/2006 23:45"</f>
        <v>10/15/2006 23:45</v>
      </c>
    </row>
    <row r="1843" spans="1:10" x14ac:dyDescent="0.3">
      <c r="A1843" t="s">
        <v>6</v>
      </c>
      <c r="B1843" t="str">
        <f>"10/16/2006 00:00"</f>
        <v>10/16/2006 00:00</v>
      </c>
      <c r="C1843">
        <v>211</v>
      </c>
      <c r="D1843" t="s">
        <v>7</v>
      </c>
      <c r="E1843" s="2" t="s">
        <v>12</v>
      </c>
      <c r="F1843">
        <f t="shared" si="28"/>
        <v>418.41300000000001</v>
      </c>
      <c r="G1843" t="s">
        <v>16</v>
      </c>
      <c r="J1843" t="str">
        <f>"10/16/2006 23:45"</f>
        <v>10/16/2006 23:45</v>
      </c>
    </row>
    <row r="1844" spans="1:10" x14ac:dyDescent="0.3">
      <c r="A1844" t="s">
        <v>6</v>
      </c>
      <c r="B1844" t="str">
        <f>"10/17/2006 00:00"</f>
        <v>10/17/2006 00:00</v>
      </c>
      <c r="C1844">
        <v>282</v>
      </c>
      <c r="D1844" t="s">
        <v>7</v>
      </c>
      <c r="E1844" s="2" t="s">
        <v>12</v>
      </c>
      <c r="F1844">
        <f t="shared" si="28"/>
        <v>559.20600000000002</v>
      </c>
      <c r="G1844" t="s">
        <v>16</v>
      </c>
      <c r="J1844" t="str">
        <f>"10/17/2006 23:45"</f>
        <v>10/17/2006 23:45</v>
      </c>
    </row>
    <row r="1845" spans="1:10" x14ac:dyDescent="0.3">
      <c r="A1845" t="s">
        <v>6</v>
      </c>
      <c r="B1845" t="str">
        <f>"10/18/2006 00:00"</f>
        <v>10/18/2006 00:00</v>
      </c>
      <c r="C1845">
        <v>299</v>
      </c>
      <c r="D1845" t="s">
        <v>7</v>
      </c>
      <c r="E1845" s="2" t="s">
        <v>12</v>
      </c>
      <c r="F1845">
        <f t="shared" si="28"/>
        <v>592.91700000000003</v>
      </c>
      <c r="G1845" t="s">
        <v>16</v>
      </c>
      <c r="J1845" t="str">
        <f>"10/18/2006 23:45"</f>
        <v>10/18/2006 23:45</v>
      </c>
    </row>
    <row r="1846" spans="1:10" x14ac:dyDescent="0.3">
      <c r="A1846" t="s">
        <v>6</v>
      </c>
      <c r="B1846" t="str">
        <f>"10/19/2006 00:00"</f>
        <v>10/19/2006 00:00</v>
      </c>
      <c r="C1846">
        <v>246</v>
      </c>
      <c r="D1846" t="s">
        <v>7</v>
      </c>
      <c r="E1846" s="2" t="s">
        <v>12</v>
      </c>
      <c r="F1846">
        <f t="shared" si="28"/>
        <v>487.81800000000004</v>
      </c>
      <c r="G1846" t="s">
        <v>16</v>
      </c>
      <c r="J1846" t="str">
        <f>"10/19/2006 23:45"</f>
        <v>10/19/2006 23:45</v>
      </c>
    </row>
    <row r="1847" spans="1:10" x14ac:dyDescent="0.3">
      <c r="A1847" t="s">
        <v>6</v>
      </c>
      <c r="B1847" t="str">
        <f>"10/20/2006 00:00"</f>
        <v>10/20/2006 00:00</v>
      </c>
      <c r="C1847">
        <v>142</v>
      </c>
      <c r="D1847" t="s">
        <v>7</v>
      </c>
      <c r="E1847" s="2" t="s">
        <v>12</v>
      </c>
      <c r="F1847">
        <f t="shared" si="28"/>
        <v>281.58600000000001</v>
      </c>
      <c r="G1847" t="s">
        <v>16</v>
      </c>
      <c r="J1847" t="str">
        <f>"10/20/2006 23:45"</f>
        <v>10/20/2006 23:45</v>
      </c>
    </row>
    <row r="1848" spans="1:10" x14ac:dyDescent="0.3">
      <c r="A1848" t="s">
        <v>6</v>
      </c>
      <c r="B1848" t="str">
        <f>"10/21/2006 00:00"</f>
        <v>10/21/2006 00:00</v>
      </c>
      <c r="C1848">
        <v>101</v>
      </c>
      <c r="D1848" t="s">
        <v>7</v>
      </c>
      <c r="E1848" s="2" t="s">
        <v>12</v>
      </c>
      <c r="F1848">
        <f t="shared" si="28"/>
        <v>200.28300000000002</v>
      </c>
      <c r="G1848" t="s">
        <v>16</v>
      </c>
      <c r="J1848" t="str">
        <f>"10/21/2006 23:45"</f>
        <v>10/21/2006 23:45</v>
      </c>
    </row>
    <row r="1849" spans="1:10" x14ac:dyDescent="0.3">
      <c r="A1849" t="s">
        <v>6</v>
      </c>
      <c r="B1849" t="str">
        <f>"10/22/2006 00:00"</f>
        <v>10/22/2006 00:00</v>
      </c>
      <c r="C1849">
        <v>101</v>
      </c>
      <c r="D1849" t="s">
        <v>7</v>
      </c>
      <c r="E1849" s="2" t="s">
        <v>12</v>
      </c>
      <c r="F1849">
        <f t="shared" si="28"/>
        <v>200.28300000000002</v>
      </c>
      <c r="G1849" t="s">
        <v>16</v>
      </c>
      <c r="J1849" t="str">
        <f>"10/22/2006 23:45"</f>
        <v>10/22/2006 23:45</v>
      </c>
    </row>
    <row r="1850" spans="1:10" x14ac:dyDescent="0.3">
      <c r="A1850" t="s">
        <v>6</v>
      </c>
      <c r="B1850" t="str">
        <f>"10/23/2006 00:00"</f>
        <v>10/23/2006 00:00</v>
      </c>
      <c r="C1850">
        <v>102</v>
      </c>
      <c r="D1850" t="s">
        <v>7</v>
      </c>
      <c r="E1850" s="2" t="s">
        <v>12</v>
      </c>
      <c r="F1850">
        <f t="shared" si="28"/>
        <v>202.26600000000002</v>
      </c>
      <c r="G1850" t="s">
        <v>16</v>
      </c>
      <c r="J1850" t="str">
        <f>"10/23/2006 23:45"</f>
        <v>10/23/2006 23:45</v>
      </c>
    </row>
    <row r="1851" spans="1:10" x14ac:dyDescent="0.3">
      <c r="A1851" t="s">
        <v>6</v>
      </c>
      <c r="B1851" t="str">
        <f>"10/24/2006 00:00"</f>
        <v>10/24/2006 00:00</v>
      </c>
      <c r="C1851">
        <v>102</v>
      </c>
      <c r="D1851" t="s">
        <v>7</v>
      </c>
      <c r="E1851" s="2" t="s">
        <v>12</v>
      </c>
      <c r="F1851">
        <f t="shared" si="28"/>
        <v>202.26600000000002</v>
      </c>
      <c r="G1851" t="s">
        <v>16</v>
      </c>
      <c r="J1851" t="str">
        <f>"10/24/2006 23:45"</f>
        <v>10/24/2006 23:45</v>
      </c>
    </row>
    <row r="1852" spans="1:10" x14ac:dyDescent="0.3">
      <c r="A1852" t="s">
        <v>6</v>
      </c>
      <c r="B1852" t="str">
        <f>"10/25/2006 00:00"</f>
        <v>10/25/2006 00:00</v>
      </c>
      <c r="C1852">
        <v>72.099999999999994</v>
      </c>
      <c r="D1852" t="s">
        <v>7</v>
      </c>
      <c r="E1852" s="2" t="s">
        <v>12</v>
      </c>
      <c r="F1852">
        <f t="shared" si="28"/>
        <v>142.9743</v>
      </c>
      <c r="G1852" t="s">
        <v>16</v>
      </c>
      <c r="J1852" t="str">
        <f>"10/25/2006 23:45"</f>
        <v>10/25/2006 23:45</v>
      </c>
    </row>
    <row r="1853" spans="1:10" x14ac:dyDescent="0.3">
      <c r="A1853" t="s">
        <v>6</v>
      </c>
      <c r="B1853" t="str">
        <f>"10/26/2006 00:00"</f>
        <v>10/26/2006 00:00</v>
      </c>
      <c r="C1853">
        <v>25.5</v>
      </c>
      <c r="D1853" t="s">
        <v>7</v>
      </c>
      <c r="E1853" s="2" t="s">
        <v>12</v>
      </c>
      <c r="F1853">
        <f t="shared" si="28"/>
        <v>50.566500000000005</v>
      </c>
      <c r="G1853" t="s">
        <v>16</v>
      </c>
      <c r="J1853" t="str">
        <f>"10/26/2006 23:45"</f>
        <v>10/26/2006 23:45</v>
      </c>
    </row>
    <row r="1854" spans="1:10" x14ac:dyDescent="0.3">
      <c r="A1854" t="s">
        <v>6</v>
      </c>
      <c r="B1854" t="str">
        <f>"10/27/2006 00:00"</f>
        <v>10/27/2006 00:00</v>
      </c>
      <c r="C1854">
        <v>3.58</v>
      </c>
      <c r="D1854" t="s">
        <v>7</v>
      </c>
      <c r="E1854" s="2" t="s">
        <v>12</v>
      </c>
      <c r="F1854">
        <f t="shared" si="28"/>
        <v>7.0991400000000002</v>
      </c>
      <c r="G1854" t="s">
        <v>16</v>
      </c>
      <c r="J1854" t="str">
        <f>"10/27/2006 23:45"</f>
        <v>10/27/2006 23:45</v>
      </c>
    </row>
    <row r="1855" spans="1:10" x14ac:dyDescent="0.3">
      <c r="A1855" t="s">
        <v>6</v>
      </c>
      <c r="B1855" t="str">
        <f>"10/28/2006 00:00"</f>
        <v>10/28/2006 00:00</v>
      </c>
      <c r="C1855">
        <v>3.66</v>
      </c>
      <c r="D1855" t="s">
        <v>7</v>
      </c>
      <c r="E1855" s="2" t="s">
        <v>12</v>
      </c>
      <c r="F1855">
        <f t="shared" si="28"/>
        <v>7.2577800000000003</v>
      </c>
      <c r="G1855" t="s">
        <v>16</v>
      </c>
      <c r="J1855" t="str">
        <f>"10/28/2006 23:45"</f>
        <v>10/28/2006 23:45</v>
      </c>
    </row>
    <row r="1856" spans="1:10" x14ac:dyDescent="0.3">
      <c r="A1856" t="s">
        <v>6</v>
      </c>
      <c r="B1856" t="str">
        <f>"10/29/2006 00:00"</f>
        <v>10/29/2006 00:00</v>
      </c>
      <c r="C1856">
        <v>3.33</v>
      </c>
      <c r="D1856" t="s">
        <v>7</v>
      </c>
      <c r="E1856" s="2" t="s">
        <v>12</v>
      </c>
      <c r="F1856">
        <f t="shared" si="28"/>
        <v>6.6033900000000001</v>
      </c>
      <c r="G1856" t="s">
        <v>16</v>
      </c>
      <c r="J1856" t="str">
        <f>"10/29/2006 23:45"</f>
        <v>10/29/2006 23:45</v>
      </c>
    </row>
    <row r="1857" spans="1:10" x14ac:dyDescent="0.3">
      <c r="A1857" t="s">
        <v>6</v>
      </c>
      <c r="B1857" t="str">
        <f>"10/30/2006 00:00"</f>
        <v>10/30/2006 00:00</v>
      </c>
      <c r="C1857">
        <v>3.18</v>
      </c>
      <c r="D1857" t="s">
        <v>7</v>
      </c>
      <c r="E1857" s="2" t="s">
        <v>12</v>
      </c>
      <c r="F1857">
        <f t="shared" si="28"/>
        <v>6.3059400000000005</v>
      </c>
      <c r="G1857" t="s">
        <v>16</v>
      </c>
      <c r="J1857" t="str">
        <f>"10/30/2006 23:45"</f>
        <v>10/30/2006 23:45</v>
      </c>
    </row>
    <row r="1858" spans="1:10" x14ac:dyDescent="0.3">
      <c r="A1858" t="s">
        <v>6</v>
      </c>
      <c r="B1858" t="str">
        <f>"10/31/2006 00:00"</f>
        <v>10/31/2006 00:00</v>
      </c>
      <c r="C1858">
        <v>18.899999999999999</v>
      </c>
      <c r="D1858" t="s">
        <v>7</v>
      </c>
      <c r="E1858" s="2" t="s">
        <v>12</v>
      </c>
      <c r="F1858">
        <f t="shared" si="28"/>
        <v>37.478699999999996</v>
      </c>
      <c r="G1858" t="s">
        <v>16</v>
      </c>
      <c r="J1858" t="str">
        <f>"10/31/2006 23:45"</f>
        <v>10/31/2006 23:45</v>
      </c>
    </row>
    <row r="1859" spans="1:10" x14ac:dyDescent="0.3">
      <c r="A1859" t="s">
        <v>6</v>
      </c>
      <c r="B1859" t="str">
        <f>"11/01/2006 00:00"</f>
        <v>11/01/2006 00:00</v>
      </c>
      <c r="C1859">
        <v>133</v>
      </c>
      <c r="D1859" t="s">
        <v>7</v>
      </c>
      <c r="E1859" s="2" t="s">
        <v>12</v>
      </c>
      <c r="F1859">
        <f t="shared" si="28"/>
        <v>263.73900000000003</v>
      </c>
      <c r="G1859" t="s">
        <v>16</v>
      </c>
      <c r="J1859" t="str">
        <f>"11/01/2006 23:45"</f>
        <v>11/01/2006 23:45</v>
      </c>
    </row>
    <row r="1860" spans="1:10" x14ac:dyDescent="0.3">
      <c r="A1860" t="s">
        <v>6</v>
      </c>
      <c r="B1860" t="str">
        <f>"11/02/2006 00:00"</f>
        <v>11/02/2006 00:00</v>
      </c>
      <c r="C1860">
        <v>208</v>
      </c>
      <c r="D1860" t="s">
        <v>7</v>
      </c>
      <c r="E1860" s="2" t="s">
        <v>12</v>
      </c>
      <c r="F1860">
        <f t="shared" ref="F1860:F1923" si="29">C1860*1.983</f>
        <v>412.464</v>
      </c>
      <c r="G1860" t="s">
        <v>16</v>
      </c>
      <c r="J1860" t="str">
        <f>"11/02/2006 23:45"</f>
        <v>11/02/2006 23:45</v>
      </c>
    </row>
    <row r="1861" spans="1:10" x14ac:dyDescent="0.3">
      <c r="A1861" t="s">
        <v>6</v>
      </c>
      <c r="B1861" t="str">
        <f>"11/03/2006 00:00"</f>
        <v>11/03/2006 00:00</v>
      </c>
      <c r="C1861">
        <v>208</v>
      </c>
      <c r="D1861" t="s">
        <v>7</v>
      </c>
      <c r="E1861" s="2" t="s">
        <v>12</v>
      </c>
      <c r="F1861">
        <f t="shared" si="29"/>
        <v>412.464</v>
      </c>
      <c r="G1861" t="s">
        <v>16</v>
      </c>
      <c r="J1861" t="str">
        <f>"11/03/2006 23:45"</f>
        <v>11/03/2006 23:45</v>
      </c>
    </row>
    <row r="1862" spans="1:10" x14ac:dyDescent="0.3">
      <c r="A1862" t="s">
        <v>6</v>
      </c>
      <c r="B1862" t="str">
        <f>"11/04/2006 00:00"</f>
        <v>11/04/2006 00:00</v>
      </c>
      <c r="C1862">
        <v>149</v>
      </c>
      <c r="D1862" t="s">
        <v>7</v>
      </c>
      <c r="E1862" s="2" t="s">
        <v>12</v>
      </c>
      <c r="F1862">
        <f t="shared" si="29"/>
        <v>295.46700000000004</v>
      </c>
      <c r="G1862" t="s">
        <v>16</v>
      </c>
      <c r="J1862" t="str">
        <f>"11/04/2006 23:45"</f>
        <v>11/04/2006 23:45</v>
      </c>
    </row>
    <row r="1863" spans="1:10" x14ac:dyDescent="0.3">
      <c r="A1863" t="s">
        <v>6</v>
      </c>
      <c r="B1863" t="str">
        <f>"11/05/2006 00:00"</f>
        <v>11/05/2006 00:00</v>
      </c>
      <c r="C1863">
        <v>40.1</v>
      </c>
      <c r="D1863" t="s">
        <v>7</v>
      </c>
      <c r="E1863" s="2" t="s">
        <v>12</v>
      </c>
      <c r="F1863">
        <f t="shared" si="29"/>
        <v>79.518300000000011</v>
      </c>
      <c r="G1863" t="s">
        <v>16</v>
      </c>
      <c r="J1863" t="str">
        <f>"11/05/2006 23:45"</f>
        <v>11/05/2006 23:45</v>
      </c>
    </row>
    <row r="1864" spans="1:10" x14ac:dyDescent="0.3">
      <c r="A1864" t="s">
        <v>6</v>
      </c>
      <c r="B1864" t="str">
        <f>"11/06/2006 00:00"</f>
        <v>11/06/2006 00:00</v>
      </c>
      <c r="C1864">
        <v>2.34</v>
      </c>
      <c r="D1864" t="s">
        <v>7</v>
      </c>
      <c r="E1864" s="2" t="s">
        <v>12</v>
      </c>
      <c r="F1864">
        <f t="shared" si="29"/>
        <v>4.6402200000000002</v>
      </c>
      <c r="G1864" t="s">
        <v>16</v>
      </c>
      <c r="J1864" t="str">
        <f>"11/06/2006 23:45"</f>
        <v>11/06/2006 23:45</v>
      </c>
    </row>
    <row r="1865" spans="1:10" x14ac:dyDescent="0.3">
      <c r="A1865" t="s">
        <v>6</v>
      </c>
      <c r="B1865" t="str">
        <f>"11/07/2006 00:00"</f>
        <v>11/07/2006 00:00</v>
      </c>
      <c r="C1865">
        <v>2.23</v>
      </c>
      <c r="D1865" t="s">
        <v>7</v>
      </c>
      <c r="E1865" s="2" t="s">
        <v>12</v>
      </c>
      <c r="F1865">
        <f t="shared" si="29"/>
        <v>4.4220899999999999</v>
      </c>
      <c r="G1865" t="s">
        <v>16</v>
      </c>
      <c r="J1865" t="str">
        <f>"11/07/2006 23:45"</f>
        <v>11/07/2006 23:45</v>
      </c>
    </row>
    <row r="1866" spans="1:10" x14ac:dyDescent="0.3">
      <c r="A1866" t="s">
        <v>6</v>
      </c>
      <c r="B1866" t="str">
        <f>"11/08/2006 00:00"</f>
        <v>11/08/2006 00:00</v>
      </c>
      <c r="C1866">
        <v>2.23</v>
      </c>
      <c r="D1866" t="s">
        <v>7</v>
      </c>
      <c r="E1866" s="2" t="s">
        <v>12</v>
      </c>
      <c r="F1866">
        <f t="shared" si="29"/>
        <v>4.4220899999999999</v>
      </c>
      <c r="G1866" t="s">
        <v>16</v>
      </c>
      <c r="J1866" t="str">
        <f>"11/08/2006 23:45"</f>
        <v>11/08/2006 23:45</v>
      </c>
    </row>
    <row r="1867" spans="1:10" x14ac:dyDescent="0.3">
      <c r="A1867" t="s">
        <v>6</v>
      </c>
      <c r="B1867" t="str">
        <f>"11/09/2006 00:00"</f>
        <v>11/09/2006 00:00</v>
      </c>
      <c r="C1867">
        <v>2.23</v>
      </c>
      <c r="D1867" t="s">
        <v>7</v>
      </c>
      <c r="E1867" s="2" t="s">
        <v>12</v>
      </c>
      <c r="F1867">
        <f t="shared" si="29"/>
        <v>4.4220899999999999</v>
      </c>
      <c r="G1867" t="s">
        <v>16</v>
      </c>
      <c r="J1867" t="str">
        <f>"11/09/2006 23:45"</f>
        <v>11/09/2006 23:45</v>
      </c>
    </row>
    <row r="1868" spans="1:10" x14ac:dyDescent="0.3">
      <c r="A1868" t="s">
        <v>6</v>
      </c>
      <c r="B1868" t="str">
        <f>"11/10/2006 00:00"</f>
        <v>11/10/2006 00:00</v>
      </c>
      <c r="C1868">
        <v>2.46</v>
      </c>
      <c r="D1868" t="s">
        <v>7</v>
      </c>
      <c r="E1868" s="2" t="s">
        <v>12</v>
      </c>
      <c r="F1868">
        <f t="shared" si="29"/>
        <v>4.8781800000000004</v>
      </c>
      <c r="G1868" t="s">
        <v>16</v>
      </c>
      <c r="J1868" t="str">
        <f>"11/10/2006 23:45"</f>
        <v>11/10/2006 23:45</v>
      </c>
    </row>
    <row r="1869" spans="1:10" x14ac:dyDescent="0.3">
      <c r="A1869" t="s">
        <v>6</v>
      </c>
      <c r="B1869" t="str">
        <f>"11/11/2006 00:00"</f>
        <v>11/11/2006 00:00</v>
      </c>
      <c r="C1869">
        <v>2.62</v>
      </c>
      <c r="D1869" t="s">
        <v>7</v>
      </c>
      <c r="E1869" s="2" t="s">
        <v>12</v>
      </c>
      <c r="F1869">
        <f t="shared" si="29"/>
        <v>5.1954600000000006</v>
      </c>
      <c r="G1869" t="s">
        <v>16</v>
      </c>
      <c r="J1869" t="str">
        <f>"11/11/2006 23:45"</f>
        <v>11/11/2006 23:45</v>
      </c>
    </row>
    <row r="1870" spans="1:10" x14ac:dyDescent="0.3">
      <c r="A1870" t="s">
        <v>6</v>
      </c>
      <c r="B1870" t="str">
        <f>"11/12/2006 00:00"</f>
        <v>11/12/2006 00:00</v>
      </c>
      <c r="C1870">
        <v>3.21</v>
      </c>
      <c r="D1870" t="s">
        <v>7</v>
      </c>
      <c r="E1870" s="2" t="s">
        <v>12</v>
      </c>
      <c r="F1870">
        <f t="shared" si="29"/>
        <v>6.3654299999999999</v>
      </c>
      <c r="G1870" t="s">
        <v>16</v>
      </c>
      <c r="J1870" t="str">
        <f>"11/12/2006 23:45"</f>
        <v>11/12/2006 23:45</v>
      </c>
    </row>
    <row r="1871" spans="1:10" x14ac:dyDescent="0.3">
      <c r="A1871" t="s">
        <v>6</v>
      </c>
      <c r="B1871" t="str">
        <f>"11/13/2006 00:00"</f>
        <v>11/13/2006 00:00</v>
      </c>
      <c r="C1871">
        <v>3.76</v>
      </c>
      <c r="D1871" t="s">
        <v>7</v>
      </c>
      <c r="E1871" s="2" t="s">
        <v>12</v>
      </c>
      <c r="F1871">
        <f t="shared" si="29"/>
        <v>7.45608</v>
      </c>
      <c r="G1871" t="s">
        <v>16</v>
      </c>
      <c r="J1871" t="str">
        <f>"11/13/2006 23:45"</f>
        <v>11/13/2006 23:45</v>
      </c>
    </row>
    <row r="1872" spans="1:10" x14ac:dyDescent="0.3">
      <c r="A1872" t="s">
        <v>6</v>
      </c>
      <c r="B1872" t="str">
        <f>"11/14/2006 00:00"</f>
        <v>11/14/2006 00:00</v>
      </c>
      <c r="C1872">
        <v>4.1100000000000003</v>
      </c>
      <c r="D1872" t="s">
        <v>7</v>
      </c>
      <c r="E1872" s="2" t="s">
        <v>12</v>
      </c>
      <c r="F1872">
        <f t="shared" si="29"/>
        <v>8.1501300000000008</v>
      </c>
      <c r="G1872" t="s">
        <v>16</v>
      </c>
      <c r="J1872" t="str">
        <f>"11/14/2006 23:45"</f>
        <v>11/14/2006 23:45</v>
      </c>
    </row>
    <row r="1873" spans="1:10" x14ac:dyDescent="0.3">
      <c r="A1873" t="s">
        <v>6</v>
      </c>
      <c r="B1873" t="str">
        <f>"11/15/2006 00:00"</f>
        <v>11/15/2006 00:00</v>
      </c>
      <c r="C1873">
        <v>3.67</v>
      </c>
      <c r="D1873" t="s">
        <v>7</v>
      </c>
      <c r="E1873" s="2" t="s">
        <v>12</v>
      </c>
      <c r="F1873">
        <f t="shared" si="29"/>
        <v>7.2776100000000001</v>
      </c>
      <c r="G1873" t="s">
        <v>16</v>
      </c>
      <c r="J1873" t="str">
        <f>"11/15/2006 23:45"</f>
        <v>11/15/2006 23:45</v>
      </c>
    </row>
    <row r="1874" spans="1:10" x14ac:dyDescent="0.3">
      <c r="A1874" t="s">
        <v>6</v>
      </c>
      <c r="B1874" t="str">
        <f>"11/16/2006 00:00"</f>
        <v>11/16/2006 00:00</v>
      </c>
      <c r="C1874">
        <v>3.2</v>
      </c>
      <c r="D1874" t="s">
        <v>7</v>
      </c>
      <c r="E1874" s="2" t="s">
        <v>12</v>
      </c>
      <c r="F1874">
        <f t="shared" si="29"/>
        <v>6.345600000000001</v>
      </c>
      <c r="G1874" t="s">
        <v>16</v>
      </c>
      <c r="J1874" t="str">
        <f>"11/16/2006 23:45"</f>
        <v>11/16/2006 23:45</v>
      </c>
    </row>
    <row r="1875" spans="1:10" x14ac:dyDescent="0.3">
      <c r="A1875" t="s">
        <v>6</v>
      </c>
      <c r="B1875" t="str">
        <f>"11/17/2006 00:00"</f>
        <v>11/17/2006 00:00</v>
      </c>
      <c r="C1875">
        <v>3.28</v>
      </c>
      <c r="D1875" t="s">
        <v>7</v>
      </c>
      <c r="E1875" s="2" t="s">
        <v>12</v>
      </c>
      <c r="F1875">
        <f t="shared" si="29"/>
        <v>6.5042400000000002</v>
      </c>
      <c r="G1875" t="s">
        <v>16</v>
      </c>
      <c r="J1875" t="str">
        <f>"11/17/2006 23:45"</f>
        <v>11/17/2006 23:45</v>
      </c>
    </row>
    <row r="1876" spans="1:10" x14ac:dyDescent="0.3">
      <c r="A1876" t="s">
        <v>6</v>
      </c>
      <c r="B1876" t="str">
        <f>"11/18/2006 00:00"</f>
        <v>11/18/2006 00:00</v>
      </c>
      <c r="C1876">
        <v>3.22</v>
      </c>
      <c r="D1876" t="s">
        <v>7</v>
      </c>
      <c r="E1876" s="2" t="s">
        <v>12</v>
      </c>
      <c r="F1876">
        <f t="shared" si="29"/>
        <v>6.3852600000000006</v>
      </c>
      <c r="G1876" t="s">
        <v>16</v>
      </c>
      <c r="J1876" t="str">
        <f>"11/18/2006 23:45"</f>
        <v>11/18/2006 23:45</v>
      </c>
    </row>
    <row r="1877" spans="1:10" x14ac:dyDescent="0.3">
      <c r="A1877" t="s">
        <v>6</v>
      </c>
      <c r="B1877" t="str">
        <f>"11/19/2006 00:00"</f>
        <v>11/19/2006 00:00</v>
      </c>
      <c r="C1877">
        <v>3.28</v>
      </c>
      <c r="D1877" t="s">
        <v>7</v>
      </c>
      <c r="E1877" s="2" t="s">
        <v>12</v>
      </c>
      <c r="F1877">
        <f t="shared" si="29"/>
        <v>6.5042400000000002</v>
      </c>
      <c r="G1877" t="s">
        <v>16</v>
      </c>
      <c r="J1877" t="str">
        <f>"11/19/2006 23:45"</f>
        <v>11/19/2006 23:45</v>
      </c>
    </row>
    <row r="1878" spans="1:10" x14ac:dyDescent="0.3">
      <c r="A1878" t="s">
        <v>6</v>
      </c>
      <c r="B1878" t="str">
        <f>"11/20/2006 00:00"</f>
        <v>11/20/2006 00:00</v>
      </c>
      <c r="C1878">
        <v>3.1</v>
      </c>
      <c r="D1878" t="s">
        <v>7</v>
      </c>
      <c r="E1878" s="2" t="s">
        <v>12</v>
      </c>
      <c r="F1878">
        <f t="shared" si="29"/>
        <v>6.1473000000000004</v>
      </c>
      <c r="G1878" t="s">
        <v>16</v>
      </c>
      <c r="J1878" t="str">
        <f>"11/20/2006 23:45"</f>
        <v>11/20/2006 23:45</v>
      </c>
    </row>
    <row r="1879" spans="1:10" x14ac:dyDescent="0.3">
      <c r="A1879" t="s">
        <v>6</v>
      </c>
      <c r="B1879" t="str">
        <f>"11/21/2006 00:00"</f>
        <v>11/21/2006 00:00</v>
      </c>
      <c r="C1879">
        <v>3.28</v>
      </c>
      <c r="D1879" t="s">
        <v>7</v>
      </c>
      <c r="E1879" s="2" t="s">
        <v>12</v>
      </c>
      <c r="F1879">
        <f t="shared" si="29"/>
        <v>6.5042400000000002</v>
      </c>
      <c r="G1879" t="s">
        <v>16</v>
      </c>
      <c r="J1879" t="str">
        <f>"11/21/2006 23:45"</f>
        <v>11/21/2006 23:45</v>
      </c>
    </row>
    <row r="1880" spans="1:10" x14ac:dyDescent="0.3">
      <c r="A1880" t="s">
        <v>6</v>
      </c>
      <c r="B1880" t="str">
        <f>"11/22/2006 00:00"</f>
        <v>11/22/2006 00:00</v>
      </c>
      <c r="C1880">
        <v>3.08</v>
      </c>
      <c r="D1880" t="s">
        <v>7</v>
      </c>
      <c r="E1880" s="2" t="s">
        <v>12</v>
      </c>
      <c r="F1880">
        <f t="shared" si="29"/>
        <v>6.1076400000000008</v>
      </c>
      <c r="G1880" t="s">
        <v>16</v>
      </c>
      <c r="J1880" t="str">
        <f>"11/22/2006 23:45"</f>
        <v>11/22/2006 23:45</v>
      </c>
    </row>
    <row r="1881" spans="1:10" x14ac:dyDescent="0.3">
      <c r="A1881" t="s">
        <v>6</v>
      </c>
      <c r="B1881" t="str">
        <f>"11/23/2006 00:00"</f>
        <v>11/23/2006 00:00</v>
      </c>
      <c r="C1881">
        <v>2.98</v>
      </c>
      <c r="D1881" t="s">
        <v>7</v>
      </c>
      <c r="E1881" s="2" t="s">
        <v>12</v>
      </c>
      <c r="F1881">
        <f t="shared" si="29"/>
        <v>5.9093400000000003</v>
      </c>
      <c r="G1881" t="s">
        <v>16</v>
      </c>
      <c r="J1881" t="str">
        <f>"11/23/2006 23:45"</f>
        <v>11/23/2006 23:45</v>
      </c>
    </row>
    <row r="1882" spans="1:10" x14ac:dyDescent="0.3">
      <c r="A1882" t="s">
        <v>6</v>
      </c>
      <c r="B1882" t="str">
        <f>"11/24/2006 00:00"</f>
        <v>11/24/2006 00:00</v>
      </c>
      <c r="C1882">
        <v>3.1</v>
      </c>
      <c r="D1882" t="s">
        <v>7</v>
      </c>
      <c r="E1882" s="2" t="s">
        <v>12</v>
      </c>
      <c r="F1882">
        <f t="shared" si="29"/>
        <v>6.1473000000000004</v>
      </c>
      <c r="G1882" t="s">
        <v>16</v>
      </c>
      <c r="J1882" t="str">
        <f>"11/24/2006 23:45"</f>
        <v>11/24/2006 23:45</v>
      </c>
    </row>
    <row r="1883" spans="1:10" x14ac:dyDescent="0.3">
      <c r="A1883" t="s">
        <v>6</v>
      </c>
      <c r="B1883" t="str">
        <f>"11/25/2006 00:00"</f>
        <v>11/25/2006 00:00</v>
      </c>
      <c r="C1883">
        <v>2.91</v>
      </c>
      <c r="D1883" t="s">
        <v>7</v>
      </c>
      <c r="E1883" s="2" t="s">
        <v>12</v>
      </c>
      <c r="F1883">
        <f t="shared" si="29"/>
        <v>5.7705300000000008</v>
      </c>
      <c r="G1883" t="s">
        <v>16</v>
      </c>
      <c r="J1883" t="str">
        <f>"11/25/2006 23:45"</f>
        <v>11/25/2006 23:45</v>
      </c>
    </row>
    <row r="1884" spans="1:10" x14ac:dyDescent="0.3">
      <c r="A1884" t="s">
        <v>6</v>
      </c>
      <c r="B1884" t="str">
        <f>"11/26/2006 00:00"</f>
        <v>11/26/2006 00:00</v>
      </c>
      <c r="C1884">
        <v>3.15</v>
      </c>
      <c r="D1884" t="s">
        <v>7</v>
      </c>
      <c r="E1884" s="2" t="s">
        <v>12</v>
      </c>
      <c r="F1884">
        <f t="shared" si="29"/>
        <v>6.2464500000000003</v>
      </c>
      <c r="G1884" t="s">
        <v>16</v>
      </c>
      <c r="J1884" t="str">
        <f>"11/26/2006 23:45"</f>
        <v>11/26/2006 23:45</v>
      </c>
    </row>
    <row r="1885" spans="1:10" x14ac:dyDescent="0.3">
      <c r="A1885" t="s">
        <v>6</v>
      </c>
      <c r="B1885" t="str">
        <f>"11/27/2006 00:00"</f>
        <v>11/27/2006 00:00</v>
      </c>
      <c r="C1885">
        <v>9.52</v>
      </c>
      <c r="D1885" t="s">
        <v>7</v>
      </c>
      <c r="E1885" s="2" t="s">
        <v>12</v>
      </c>
      <c r="F1885">
        <f t="shared" si="29"/>
        <v>18.878160000000001</v>
      </c>
      <c r="G1885" t="s">
        <v>16</v>
      </c>
      <c r="J1885" t="str">
        <f>"11/27/2006 23:45"</f>
        <v>11/27/2006 23:45</v>
      </c>
    </row>
    <row r="1886" spans="1:10" x14ac:dyDescent="0.3">
      <c r="A1886" t="s">
        <v>6</v>
      </c>
      <c r="B1886" t="str">
        <f>"11/28/2006 00:00"</f>
        <v>11/28/2006 00:00</v>
      </c>
      <c r="C1886">
        <v>45.3</v>
      </c>
      <c r="D1886" t="s">
        <v>7</v>
      </c>
      <c r="E1886" s="2" t="s">
        <v>12</v>
      </c>
      <c r="F1886">
        <f t="shared" si="29"/>
        <v>89.829899999999995</v>
      </c>
      <c r="G1886" t="s">
        <v>16</v>
      </c>
      <c r="J1886" t="str">
        <f>"11/28/2006 23:45"</f>
        <v>11/28/2006 23:45</v>
      </c>
    </row>
    <row r="1887" spans="1:10" x14ac:dyDescent="0.3">
      <c r="A1887" t="s">
        <v>6</v>
      </c>
      <c r="B1887" t="str">
        <f>"11/29/2006 00:00"</f>
        <v>11/29/2006 00:00</v>
      </c>
      <c r="C1887">
        <v>78.7</v>
      </c>
      <c r="D1887" t="s">
        <v>7</v>
      </c>
      <c r="E1887" s="2" t="s">
        <v>12</v>
      </c>
      <c r="F1887">
        <f t="shared" si="29"/>
        <v>156.06210000000002</v>
      </c>
      <c r="G1887" t="s">
        <v>16</v>
      </c>
      <c r="J1887" t="str">
        <f>"11/29/2006 23:45"</f>
        <v>11/29/2006 23:45</v>
      </c>
    </row>
    <row r="1888" spans="1:10" x14ac:dyDescent="0.3">
      <c r="A1888" t="s">
        <v>6</v>
      </c>
      <c r="B1888" t="str">
        <f>"11/30/2006 00:00"</f>
        <v>11/30/2006 00:00</v>
      </c>
      <c r="C1888">
        <v>80.3</v>
      </c>
      <c r="D1888" t="s">
        <v>7</v>
      </c>
      <c r="E1888" s="2" t="s">
        <v>12</v>
      </c>
      <c r="F1888">
        <f t="shared" si="29"/>
        <v>159.23490000000001</v>
      </c>
      <c r="G1888" t="s">
        <v>16</v>
      </c>
      <c r="J1888" t="str">
        <f>"11/30/2006 23:45"</f>
        <v>11/30/2006 23:45</v>
      </c>
    </row>
    <row r="1889" spans="1:10" x14ac:dyDescent="0.3">
      <c r="A1889" t="s">
        <v>6</v>
      </c>
      <c r="B1889" t="str">
        <f>"12/01/2006 00:00"</f>
        <v>12/01/2006 00:00</v>
      </c>
      <c r="C1889">
        <v>82.4</v>
      </c>
      <c r="D1889" t="s">
        <v>7</v>
      </c>
      <c r="E1889" s="2" t="s">
        <v>12</v>
      </c>
      <c r="F1889">
        <f t="shared" si="29"/>
        <v>163.39920000000001</v>
      </c>
      <c r="G1889" t="s">
        <v>16</v>
      </c>
      <c r="J1889" t="str">
        <f>"12/01/2006 23:45"</f>
        <v>12/01/2006 23:45</v>
      </c>
    </row>
    <row r="1890" spans="1:10" x14ac:dyDescent="0.3">
      <c r="A1890" t="s">
        <v>6</v>
      </c>
      <c r="B1890" t="str">
        <f>"12/02/2006 00:00"</f>
        <v>12/02/2006 00:00</v>
      </c>
      <c r="C1890">
        <v>67.3</v>
      </c>
      <c r="D1890" t="s">
        <v>7</v>
      </c>
      <c r="E1890" s="2" t="s">
        <v>12</v>
      </c>
      <c r="F1890">
        <f t="shared" si="29"/>
        <v>133.45590000000001</v>
      </c>
      <c r="G1890" t="s">
        <v>16</v>
      </c>
      <c r="J1890" t="str">
        <f>"12/02/2006 23:45"</f>
        <v>12/02/2006 23:45</v>
      </c>
    </row>
    <row r="1891" spans="1:10" x14ac:dyDescent="0.3">
      <c r="A1891" t="s">
        <v>6</v>
      </c>
      <c r="B1891" t="str">
        <f>"12/03/2006 00:00"</f>
        <v>12/03/2006 00:00</v>
      </c>
      <c r="C1891">
        <v>70.8</v>
      </c>
      <c r="D1891" t="s">
        <v>7</v>
      </c>
      <c r="E1891" s="2" t="s">
        <v>12</v>
      </c>
      <c r="F1891">
        <f t="shared" si="29"/>
        <v>140.3964</v>
      </c>
      <c r="G1891" t="s">
        <v>16</v>
      </c>
      <c r="J1891" t="str">
        <f>"12/03/2006 23:45"</f>
        <v>12/03/2006 23:45</v>
      </c>
    </row>
    <row r="1892" spans="1:10" x14ac:dyDescent="0.3">
      <c r="A1892" t="s">
        <v>6</v>
      </c>
      <c r="B1892" t="str">
        <f>"12/04/2006 00:00"</f>
        <v>12/04/2006 00:00</v>
      </c>
      <c r="C1892">
        <v>55.7</v>
      </c>
      <c r="D1892" t="s">
        <v>7</v>
      </c>
      <c r="E1892" s="2" t="s">
        <v>12</v>
      </c>
      <c r="F1892">
        <f t="shared" si="29"/>
        <v>110.45310000000001</v>
      </c>
      <c r="G1892" t="s">
        <v>16</v>
      </c>
      <c r="J1892" t="str">
        <f>"12/04/2006 23:45"</f>
        <v>12/04/2006 23:45</v>
      </c>
    </row>
    <row r="1893" spans="1:10" x14ac:dyDescent="0.3">
      <c r="A1893" t="s">
        <v>6</v>
      </c>
      <c r="B1893" t="str">
        <f>"12/05/2006 00:00"</f>
        <v>12/05/2006 00:00</v>
      </c>
      <c r="C1893">
        <v>10.6</v>
      </c>
      <c r="D1893" t="s">
        <v>7</v>
      </c>
      <c r="E1893" s="2" t="s">
        <v>12</v>
      </c>
      <c r="F1893">
        <f t="shared" si="29"/>
        <v>21.0198</v>
      </c>
      <c r="G1893" t="s">
        <v>16</v>
      </c>
      <c r="J1893" t="str">
        <f>"12/05/2006 23:45"</f>
        <v>12/05/2006 23:45</v>
      </c>
    </row>
    <row r="1894" spans="1:10" x14ac:dyDescent="0.3">
      <c r="A1894" t="s">
        <v>6</v>
      </c>
      <c r="B1894" t="str">
        <f>"12/06/2006 00:00"</f>
        <v>12/06/2006 00:00</v>
      </c>
      <c r="C1894">
        <v>5.41</v>
      </c>
      <c r="D1894" t="s">
        <v>7</v>
      </c>
      <c r="E1894" s="2" t="s">
        <v>12</v>
      </c>
      <c r="F1894">
        <f t="shared" si="29"/>
        <v>10.72803</v>
      </c>
      <c r="G1894" t="s">
        <v>16</v>
      </c>
      <c r="J1894" t="str">
        <f>"12/06/2006 23:45"</f>
        <v>12/06/2006 23:45</v>
      </c>
    </row>
    <row r="1895" spans="1:10" x14ac:dyDescent="0.3">
      <c r="A1895" t="s">
        <v>6</v>
      </c>
      <c r="B1895" t="str">
        <f>"12/07/2006 00:00"</f>
        <v>12/07/2006 00:00</v>
      </c>
      <c r="C1895">
        <v>1.62</v>
      </c>
      <c r="D1895" t="s">
        <v>7</v>
      </c>
      <c r="E1895" s="2" t="s">
        <v>12</v>
      </c>
      <c r="F1895">
        <f t="shared" si="29"/>
        <v>3.2124600000000005</v>
      </c>
      <c r="G1895" t="s">
        <v>16</v>
      </c>
      <c r="J1895" t="str">
        <f>"12/07/2006 23:45"</f>
        <v>12/07/2006 23:45</v>
      </c>
    </row>
    <row r="1896" spans="1:10" x14ac:dyDescent="0.3">
      <c r="A1896" t="s">
        <v>6</v>
      </c>
      <c r="B1896" t="str">
        <f>"12/08/2006 00:00"</f>
        <v>12/08/2006 00:00</v>
      </c>
      <c r="C1896">
        <v>1.62</v>
      </c>
      <c r="D1896" t="s">
        <v>7</v>
      </c>
      <c r="E1896" s="2" t="s">
        <v>12</v>
      </c>
      <c r="F1896">
        <f t="shared" si="29"/>
        <v>3.2124600000000005</v>
      </c>
      <c r="G1896" t="s">
        <v>16</v>
      </c>
      <c r="J1896" t="str">
        <f>"12/08/2006 23:45"</f>
        <v>12/08/2006 23:45</v>
      </c>
    </row>
    <row r="1897" spans="1:10" x14ac:dyDescent="0.3">
      <c r="A1897" t="s">
        <v>6</v>
      </c>
      <c r="B1897" t="str">
        <f>"12/09/2006 00:00"</f>
        <v>12/09/2006 00:00</v>
      </c>
      <c r="C1897">
        <v>1.62</v>
      </c>
      <c r="D1897" t="s">
        <v>7</v>
      </c>
      <c r="E1897" s="2" t="s">
        <v>12</v>
      </c>
      <c r="F1897">
        <f t="shared" si="29"/>
        <v>3.2124600000000005</v>
      </c>
      <c r="G1897" t="s">
        <v>16</v>
      </c>
      <c r="J1897" t="str">
        <f>"12/09/2006 23:45"</f>
        <v>12/09/2006 23:45</v>
      </c>
    </row>
    <row r="1898" spans="1:10" x14ac:dyDescent="0.3">
      <c r="A1898" t="s">
        <v>6</v>
      </c>
      <c r="B1898" t="str">
        <f>"12/10/2006 00:00"</f>
        <v>12/10/2006 00:00</v>
      </c>
      <c r="C1898">
        <v>1.62</v>
      </c>
      <c r="D1898" t="s">
        <v>7</v>
      </c>
      <c r="E1898" s="2" t="s">
        <v>12</v>
      </c>
      <c r="F1898">
        <f t="shared" si="29"/>
        <v>3.2124600000000005</v>
      </c>
      <c r="G1898" t="s">
        <v>16</v>
      </c>
      <c r="J1898" t="str">
        <f>"12/10/2006 23:45"</f>
        <v>12/10/2006 23:45</v>
      </c>
    </row>
    <row r="1899" spans="1:10" x14ac:dyDescent="0.3">
      <c r="A1899" t="s">
        <v>6</v>
      </c>
      <c r="B1899" t="str">
        <f>"12/11/2006 00:00"</f>
        <v>12/11/2006 00:00</v>
      </c>
      <c r="C1899">
        <v>1.8</v>
      </c>
      <c r="D1899" t="s">
        <v>7</v>
      </c>
      <c r="E1899" s="2" t="s">
        <v>12</v>
      </c>
      <c r="F1899">
        <f t="shared" si="29"/>
        <v>3.5694000000000004</v>
      </c>
      <c r="G1899" t="s">
        <v>16</v>
      </c>
      <c r="J1899" t="str">
        <f>"12/11/2006 23:45"</f>
        <v>12/11/2006 23:45</v>
      </c>
    </row>
    <row r="1900" spans="1:10" x14ac:dyDescent="0.3">
      <c r="A1900" t="s">
        <v>6</v>
      </c>
      <c r="B1900" t="str">
        <f>"12/12/2006 00:00"</f>
        <v>12/12/2006 00:00</v>
      </c>
      <c r="C1900">
        <v>1.92</v>
      </c>
      <c r="D1900" t="s">
        <v>7</v>
      </c>
      <c r="E1900" s="2" t="s">
        <v>12</v>
      </c>
      <c r="F1900">
        <f t="shared" si="29"/>
        <v>3.8073600000000001</v>
      </c>
      <c r="G1900" t="s">
        <v>16</v>
      </c>
      <c r="J1900" t="str">
        <f>"12/12/2006 23:45"</f>
        <v>12/12/2006 23:45</v>
      </c>
    </row>
    <row r="1901" spans="1:10" x14ac:dyDescent="0.3">
      <c r="A1901" t="s">
        <v>6</v>
      </c>
      <c r="B1901" t="str">
        <f>"12/13/2006 00:00"</f>
        <v>12/13/2006 00:00</v>
      </c>
      <c r="C1901">
        <v>1.92</v>
      </c>
      <c r="D1901" t="s">
        <v>7</v>
      </c>
      <c r="E1901" s="2" t="s">
        <v>12</v>
      </c>
      <c r="F1901">
        <f t="shared" si="29"/>
        <v>3.8073600000000001</v>
      </c>
      <c r="G1901" t="s">
        <v>16</v>
      </c>
      <c r="J1901" t="str">
        <f>"12/13/2006 23:45"</f>
        <v>12/13/2006 23:45</v>
      </c>
    </row>
    <row r="1902" spans="1:10" x14ac:dyDescent="0.3">
      <c r="A1902" t="s">
        <v>6</v>
      </c>
      <c r="B1902" t="str">
        <f>"12/14/2006 00:00"</f>
        <v>12/14/2006 00:00</v>
      </c>
      <c r="C1902">
        <v>1.92</v>
      </c>
      <c r="D1902" t="s">
        <v>7</v>
      </c>
      <c r="E1902" s="2" t="s">
        <v>12</v>
      </c>
      <c r="F1902">
        <f t="shared" si="29"/>
        <v>3.8073600000000001</v>
      </c>
      <c r="G1902" t="s">
        <v>16</v>
      </c>
      <c r="J1902" t="str">
        <f>"12/14/2006 23:45"</f>
        <v>12/14/2006 23:45</v>
      </c>
    </row>
    <row r="1903" spans="1:10" x14ac:dyDescent="0.3">
      <c r="A1903" t="s">
        <v>6</v>
      </c>
      <c r="B1903" t="str">
        <f>"12/15/2006 00:00"</f>
        <v>12/15/2006 00:00</v>
      </c>
      <c r="C1903">
        <v>1.92</v>
      </c>
      <c r="D1903" t="s">
        <v>7</v>
      </c>
      <c r="E1903" s="2" t="s">
        <v>12</v>
      </c>
      <c r="F1903">
        <f t="shared" si="29"/>
        <v>3.8073600000000001</v>
      </c>
      <c r="G1903" t="s">
        <v>16</v>
      </c>
      <c r="J1903" t="str">
        <f>"12/15/2006 23:45"</f>
        <v>12/15/2006 23:45</v>
      </c>
    </row>
    <row r="1904" spans="1:10" x14ac:dyDescent="0.3">
      <c r="A1904" t="s">
        <v>6</v>
      </c>
      <c r="B1904" t="str">
        <f>"12/16/2006 00:00"</f>
        <v>12/16/2006 00:00</v>
      </c>
      <c r="C1904">
        <v>2.12</v>
      </c>
      <c r="D1904" t="s">
        <v>7</v>
      </c>
      <c r="E1904" s="2" t="s">
        <v>12</v>
      </c>
      <c r="F1904">
        <f t="shared" si="29"/>
        <v>4.2039600000000004</v>
      </c>
      <c r="G1904" t="s">
        <v>16</v>
      </c>
      <c r="J1904" t="str">
        <f>"12/16/2006 23:45"</f>
        <v>12/16/2006 23:45</v>
      </c>
    </row>
    <row r="1905" spans="1:10" x14ac:dyDescent="0.3">
      <c r="A1905" t="s">
        <v>6</v>
      </c>
      <c r="B1905" t="str">
        <f>"12/17/2006 00:00"</f>
        <v>12/17/2006 00:00</v>
      </c>
      <c r="C1905">
        <v>2.23</v>
      </c>
      <c r="D1905" t="s">
        <v>7</v>
      </c>
      <c r="E1905" s="2" t="s">
        <v>12</v>
      </c>
      <c r="F1905">
        <f t="shared" si="29"/>
        <v>4.4220899999999999</v>
      </c>
      <c r="G1905" t="s">
        <v>16</v>
      </c>
      <c r="J1905" t="str">
        <f>"12/17/2006 23:45"</f>
        <v>12/17/2006 23:45</v>
      </c>
    </row>
    <row r="1906" spans="1:10" x14ac:dyDescent="0.3">
      <c r="A1906" t="s">
        <v>6</v>
      </c>
      <c r="B1906" t="str">
        <f>"12/18/2006 00:00"</f>
        <v>12/18/2006 00:00</v>
      </c>
      <c r="C1906">
        <v>2.23</v>
      </c>
      <c r="D1906" t="s">
        <v>7</v>
      </c>
      <c r="E1906" s="2" t="s">
        <v>12</v>
      </c>
      <c r="F1906">
        <f t="shared" si="29"/>
        <v>4.4220899999999999</v>
      </c>
      <c r="G1906" t="s">
        <v>16</v>
      </c>
      <c r="J1906" t="str">
        <f>"12/18/2006 23:45"</f>
        <v>12/18/2006 23:45</v>
      </c>
    </row>
    <row r="1907" spans="1:10" x14ac:dyDescent="0.3">
      <c r="A1907" t="s">
        <v>6</v>
      </c>
      <c r="B1907" t="str">
        <f>"12/19/2006 00:00"</f>
        <v>12/19/2006 00:00</v>
      </c>
      <c r="C1907">
        <v>2.0499999999999998</v>
      </c>
      <c r="D1907" t="s">
        <v>7</v>
      </c>
      <c r="E1907" s="2" t="s">
        <v>12</v>
      </c>
      <c r="F1907">
        <f t="shared" si="29"/>
        <v>4.06515</v>
      </c>
      <c r="G1907" t="s">
        <v>16</v>
      </c>
      <c r="J1907" t="str">
        <f>"12/19/2006 23:45"</f>
        <v>12/19/2006 23:45</v>
      </c>
    </row>
    <row r="1908" spans="1:10" x14ac:dyDescent="0.3">
      <c r="A1908" t="s">
        <v>6</v>
      </c>
      <c r="B1908" t="str">
        <f>"12/20/2006 00:00"</f>
        <v>12/20/2006 00:00</v>
      </c>
      <c r="C1908">
        <v>2.23</v>
      </c>
      <c r="D1908" t="s">
        <v>7</v>
      </c>
      <c r="E1908" s="2" t="s">
        <v>12</v>
      </c>
      <c r="F1908">
        <f t="shared" si="29"/>
        <v>4.4220899999999999</v>
      </c>
      <c r="G1908" t="s">
        <v>16</v>
      </c>
      <c r="J1908" t="str">
        <f>"12/20/2006 23:45"</f>
        <v>12/20/2006 23:45</v>
      </c>
    </row>
    <row r="1909" spans="1:10" x14ac:dyDescent="0.3">
      <c r="A1909" t="s">
        <v>6</v>
      </c>
      <c r="B1909" t="str">
        <f>"12/21/2006 00:00"</f>
        <v>12/21/2006 00:00</v>
      </c>
      <c r="C1909">
        <v>2.41</v>
      </c>
      <c r="D1909" t="s">
        <v>7</v>
      </c>
      <c r="E1909" s="2" t="s">
        <v>12</v>
      </c>
      <c r="F1909">
        <f t="shared" si="29"/>
        <v>4.7790300000000006</v>
      </c>
      <c r="G1909" t="s">
        <v>16</v>
      </c>
      <c r="J1909" t="str">
        <f>"12/21/2006 23:45"</f>
        <v>12/21/2006 23:45</v>
      </c>
    </row>
    <row r="1910" spans="1:10" x14ac:dyDescent="0.3">
      <c r="A1910" t="s">
        <v>6</v>
      </c>
      <c r="B1910" t="str">
        <f>"12/22/2006 00:00"</f>
        <v>12/22/2006 00:00</v>
      </c>
      <c r="C1910">
        <v>2.31</v>
      </c>
      <c r="D1910" t="s">
        <v>7</v>
      </c>
      <c r="E1910" s="2" t="s">
        <v>12</v>
      </c>
      <c r="F1910">
        <f t="shared" si="29"/>
        <v>4.58073</v>
      </c>
      <c r="G1910" t="s">
        <v>16</v>
      </c>
      <c r="J1910" t="str">
        <f>"12/22/2006 23:45"</f>
        <v>12/22/2006 23:45</v>
      </c>
    </row>
    <row r="1911" spans="1:10" x14ac:dyDescent="0.3">
      <c r="A1911" t="s">
        <v>6</v>
      </c>
      <c r="B1911" t="str">
        <f>"12/23/2006 00:00"</f>
        <v>12/23/2006 00:00</v>
      </c>
      <c r="C1911">
        <v>2.19</v>
      </c>
      <c r="D1911" t="s">
        <v>7</v>
      </c>
      <c r="E1911" s="2" t="s">
        <v>12</v>
      </c>
      <c r="F1911">
        <f t="shared" si="29"/>
        <v>4.3427699999999998</v>
      </c>
      <c r="G1911" t="s">
        <v>16</v>
      </c>
      <c r="J1911" t="str">
        <f>"12/23/2006 23:45"</f>
        <v>12/23/2006 23:45</v>
      </c>
    </row>
    <row r="1912" spans="1:10" x14ac:dyDescent="0.3">
      <c r="A1912" t="s">
        <v>6</v>
      </c>
      <c r="B1912" t="str">
        <f>"12/24/2006 00:00"</f>
        <v>12/24/2006 00:00</v>
      </c>
      <c r="C1912">
        <v>2.23</v>
      </c>
      <c r="D1912" t="s">
        <v>7</v>
      </c>
      <c r="E1912" s="2" t="s">
        <v>12</v>
      </c>
      <c r="F1912">
        <f t="shared" si="29"/>
        <v>4.4220899999999999</v>
      </c>
      <c r="G1912" t="s">
        <v>16</v>
      </c>
      <c r="J1912" t="str">
        <f>"12/24/2006 23:45"</f>
        <v>12/24/2006 23:45</v>
      </c>
    </row>
    <row r="1913" spans="1:10" x14ac:dyDescent="0.3">
      <c r="A1913" t="s">
        <v>6</v>
      </c>
      <c r="B1913" t="str">
        <f>"12/25/2006 00:00"</f>
        <v>12/25/2006 00:00</v>
      </c>
      <c r="C1913">
        <v>2.23</v>
      </c>
      <c r="D1913" t="s">
        <v>7</v>
      </c>
      <c r="E1913" s="2" t="s">
        <v>12</v>
      </c>
      <c r="F1913">
        <f t="shared" si="29"/>
        <v>4.4220899999999999</v>
      </c>
      <c r="G1913" t="s">
        <v>16</v>
      </c>
      <c r="J1913" t="str">
        <f>"12/25/2006 23:45"</f>
        <v>12/25/2006 23:45</v>
      </c>
    </row>
    <row r="1914" spans="1:10" x14ac:dyDescent="0.3">
      <c r="A1914" t="s">
        <v>6</v>
      </c>
      <c r="B1914" t="str">
        <f>"12/26/2006 00:00"</f>
        <v>12/26/2006 00:00</v>
      </c>
      <c r="C1914">
        <v>2.23</v>
      </c>
      <c r="D1914" t="s">
        <v>7</v>
      </c>
      <c r="E1914" s="2" t="s">
        <v>12</v>
      </c>
      <c r="F1914">
        <f t="shared" si="29"/>
        <v>4.4220899999999999</v>
      </c>
      <c r="G1914" t="s">
        <v>16</v>
      </c>
      <c r="J1914" t="str">
        <f>"12/26/2006 23:45"</f>
        <v>12/26/2006 23:45</v>
      </c>
    </row>
    <row r="1915" spans="1:10" x14ac:dyDescent="0.3">
      <c r="A1915" t="s">
        <v>6</v>
      </c>
      <c r="B1915" t="str">
        <f>"12/27/2006 00:00"</f>
        <v>12/27/2006 00:00</v>
      </c>
      <c r="C1915">
        <v>2.0699999999999998</v>
      </c>
      <c r="D1915" t="s">
        <v>7</v>
      </c>
      <c r="E1915" s="2" t="s">
        <v>12</v>
      </c>
      <c r="F1915">
        <f t="shared" si="29"/>
        <v>4.1048099999999996</v>
      </c>
      <c r="G1915" t="s">
        <v>16</v>
      </c>
      <c r="J1915" t="str">
        <f>"12/27/2006 23:45"</f>
        <v>12/27/2006 23:45</v>
      </c>
    </row>
    <row r="1916" spans="1:10" x14ac:dyDescent="0.3">
      <c r="A1916" t="s">
        <v>6</v>
      </c>
      <c r="B1916" t="str">
        <f>"12/28/2006 00:00"</f>
        <v>12/28/2006 00:00</v>
      </c>
      <c r="C1916">
        <v>1.92</v>
      </c>
      <c r="D1916" t="s">
        <v>7</v>
      </c>
      <c r="E1916" s="2" t="s">
        <v>12</v>
      </c>
      <c r="F1916">
        <f t="shared" si="29"/>
        <v>3.8073600000000001</v>
      </c>
      <c r="G1916" t="s">
        <v>16</v>
      </c>
      <c r="J1916" t="str">
        <f>"12/28/2006 23:45"</f>
        <v>12/28/2006 23:45</v>
      </c>
    </row>
    <row r="1917" spans="1:10" x14ac:dyDescent="0.3">
      <c r="A1917" t="s">
        <v>6</v>
      </c>
      <c r="B1917" t="str">
        <f>"12/29/2006 00:00"</f>
        <v>12/29/2006 00:00</v>
      </c>
      <c r="C1917">
        <v>1.92</v>
      </c>
      <c r="D1917" t="s">
        <v>7</v>
      </c>
      <c r="E1917" s="2" t="s">
        <v>12</v>
      </c>
      <c r="F1917">
        <f t="shared" si="29"/>
        <v>3.8073600000000001</v>
      </c>
      <c r="G1917" t="s">
        <v>16</v>
      </c>
      <c r="J1917" t="str">
        <f>"12/29/2006 23:45"</f>
        <v>12/29/2006 23:45</v>
      </c>
    </row>
    <row r="1918" spans="1:10" x14ac:dyDescent="0.3">
      <c r="A1918" t="s">
        <v>6</v>
      </c>
      <c r="B1918" t="str">
        <f>"12/30/2006 00:00"</f>
        <v>12/30/2006 00:00</v>
      </c>
      <c r="C1918">
        <v>1.92</v>
      </c>
      <c r="D1918" t="s">
        <v>7</v>
      </c>
      <c r="E1918" s="2" t="s">
        <v>12</v>
      </c>
      <c r="F1918">
        <f t="shared" si="29"/>
        <v>3.8073600000000001</v>
      </c>
      <c r="G1918" t="s">
        <v>16</v>
      </c>
      <c r="J1918" t="str">
        <f>"12/30/2006 23:45"</f>
        <v>12/30/2006 23:45</v>
      </c>
    </row>
    <row r="1919" spans="1:10" x14ac:dyDescent="0.3">
      <c r="A1919" t="s">
        <v>6</v>
      </c>
      <c r="B1919" t="str">
        <f>"12/31/2006 00:00"</f>
        <v>12/31/2006 00:00</v>
      </c>
      <c r="C1919">
        <v>1.92</v>
      </c>
      <c r="D1919" t="s">
        <v>7</v>
      </c>
      <c r="E1919" s="2" t="s">
        <v>12</v>
      </c>
      <c r="F1919">
        <f t="shared" si="29"/>
        <v>3.8073600000000001</v>
      </c>
      <c r="G1919" t="s">
        <v>16</v>
      </c>
      <c r="J1919" t="str">
        <f>"12/31/2006 23:45"</f>
        <v>12/31/2006 23:45</v>
      </c>
    </row>
    <row r="1920" spans="1:10" x14ac:dyDescent="0.3">
      <c r="A1920" t="s">
        <v>6</v>
      </c>
      <c r="B1920" t="str">
        <f>"01/01/2007 00:00"</f>
        <v>01/01/2007 00:00</v>
      </c>
      <c r="C1920">
        <v>1.92</v>
      </c>
      <c r="D1920" t="s">
        <v>7</v>
      </c>
      <c r="E1920" s="2" t="s">
        <v>12</v>
      </c>
      <c r="F1920">
        <f t="shared" si="29"/>
        <v>3.8073600000000001</v>
      </c>
      <c r="G1920" t="s">
        <v>16</v>
      </c>
      <c r="J1920" t="str">
        <f>"01/01/2007 23:45"</f>
        <v>01/01/2007 23:45</v>
      </c>
    </row>
    <row r="1921" spans="1:10" x14ac:dyDescent="0.3">
      <c r="A1921" t="s">
        <v>6</v>
      </c>
      <c r="B1921" t="str">
        <f>"01/02/2007 00:00"</f>
        <v>01/02/2007 00:00</v>
      </c>
      <c r="C1921">
        <v>1.92</v>
      </c>
      <c r="D1921" t="s">
        <v>7</v>
      </c>
      <c r="E1921" s="2" t="s">
        <v>12</v>
      </c>
      <c r="F1921">
        <f t="shared" si="29"/>
        <v>3.8073600000000001</v>
      </c>
      <c r="G1921" t="s">
        <v>16</v>
      </c>
      <c r="J1921" t="str">
        <f>"01/02/2007 23:45"</f>
        <v>01/02/2007 23:45</v>
      </c>
    </row>
    <row r="1922" spans="1:10" x14ac:dyDescent="0.3">
      <c r="A1922" t="s">
        <v>6</v>
      </c>
      <c r="B1922" t="str">
        <f>"01/03/2007 00:00"</f>
        <v>01/03/2007 00:00</v>
      </c>
      <c r="C1922">
        <v>1.76</v>
      </c>
      <c r="D1922" t="s">
        <v>7</v>
      </c>
      <c r="E1922" s="2" t="s">
        <v>12</v>
      </c>
      <c r="F1922">
        <f t="shared" si="29"/>
        <v>3.4900800000000003</v>
      </c>
      <c r="G1922" t="s">
        <v>16</v>
      </c>
      <c r="J1922" t="str">
        <f>"01/03/2007 23:45"</f>
        <v>01/03/2007 23:45</v>
      </c>
    </row>
    <row r="1923" spans="1:10" x14ac:dyDescent="0.3">
      <c r="A1923" t="s">
        <v>6</v>
      </c>
      <c r="B1923" t="str">
        <f>"01/04/2007 00:00"</f>
        <v>01/04/2007 00:00</v>
      </c>
      <c r="C1923">
        <v>1.62</v>
      </c>
      <c r="D1923" t="s">
        <v>7</v>
      </c>
      <c r="E1923" s="2" t="s">
        <v>12</v>
      </c>
      <c r="F1923">
        <f t="shared" si="29"/>
        <v>3.2124600000000005</v>
      </c>
      <c r="G1923" t="s">
        <v>16</v>
      </c>
      <c r="J1923" t="str">
        <f>"01/04/2007 23:45"</f>
        <v>01/04/2007 23:45</v>
      </c>
    </row>
    <row r="1924" spans="1:10" x14ac:dyDescent="0.3">
      <c r="A1924" t="s">
        <v>6</v>
      </c>
      <c r="B1924" t="str">
        <f>"01/05/2007 00:00"</f>
        <v>01/05/2007 00:00</v>
      </c>
      <c r="C1924">
        <v>1.83</v>
      </c>
      <c r="D1924" t="s">
        <v>7</v>
      </c>
      <c r="E1924" s="2" t="s">
        <v>12</v>
      </c>
      <c r="F1924">
        <f t="shared" ref="F1924:F1987" si="30">C1924*1.983</f>
        <v>3.6288900000000002</v>
      </c>
      <c r="G1924" t="s">
        <v>16</v>
      </c>
      <c r="J1924" t="str">
        <f>"01/05/2007 23:45"</f>
        <v>01/05/2007 23:45</v>
      </c>
    </row>
    <row r="1925" spans="1:10" x14ac:dyDescent="0.3">
      <c r="A1925" t="s">
        <v>6</v>
      </c>
      <c r="B1925" t="str">
        <f>"01/06/2007 00:00"</f>
        <v>01/06/2007 00:00</v>
      </c>
      <c r="C1925">
        <v>1.91</v>
      </c>
      <c r="D1925" t="s">
        <v>7</v>
      </c>
      <c r="E1925" s="2" t="s">
        <v>12</v>
      </c>
      <c r="F1925">
        <f t="shared" si="30"/>
        <v>3.7875299999999998</v>
      </c>
      <c r="G1925" t="s">
        <v>16</v>
      </c>
      <c r="J1925" t="str">
        <f>"01/06/2007 23:45"</f>
        <v>01/06/2007 23:45</v>
      </c>
    </row>
    <row r="1926" spans="1:10" x14ac:dyDescent="0.3">
      <c r="A1926" t="s">
        <v>6</v>
      </c>
      <c r="B1926" t="str">
        <f>"01/07/2007 00:00"</f>
        <v>01/07/2007 00:00</v>
      </c>
      <c r="C1926">
        <v>1.87</v>
      </c>
      <c r="D1926" t="s">
        <v>7</v>
      </c>
      <c r="E1926" s="2" t="s">
        <v>12</v>
      </c>
      <c r="F1926">
        <f t="shared" si="30"/>
        <v>3.7082100000000002</v>
      </c>
      <c r="G1926" t="s">
        <v>16</v>
      </c>
      <c r="J1926" t="str">
        <f>"01/07/2007 23:45"</f>
        <v>01/07/2007 23:45</v>
      </c>
    </row>
    <row r="1927" spans="1:10" x14ac:dyDescent="0.3">
      <c r="A1927" t="s">
        <v>6</v>
      </c>
      <c r="B1927" t="str">
        <f>"01/08/2007 00:00"</f>
        <v>01/08/2007 00:00</v>
      </c>
      <c r="C1927">
        <v>1.92</v>
      </c>
      <c r="D1927" t="s">
        <v>7</v>
      </c>
      <c r="E1927" s="2" t="s">
        <v>12</v>
      </c>
      <c r="F1927">
        <f t="shared" si="30"/>
        <v>3.8073600000000001</v>
      </c>
      <c r="G1927" t="s">
        <v>16</v>
      </c>
      <c r="J1927" t="str">
        <f>"01/08/2007 23:45"</f>
        <v>01/08/2007 23:45</v>
      </c>
    </row>
    <row r="1928" spans="1:10" x14ac:dyDescent="0.3">
      <c r="A1928" t="s">
        <v>6</v>
      </c>
      <c r="B1928" t="str">
        <f>"01/09/2007 00:00"</f>
        <v>01/09/2007 00:00</v>
      </c>
      <c r="C1928">
        <v>1.92</v>
      </c>
      <c r="D1928" t="s">
        <v>7</v>
      </c>
      <c r="E1928" s="2" t="s">
        <v>12</v>
      </c>
      <c r="F1928">
        <f t="shared" si="30"/>
        <v>3.8073600000000001</v>
      </c>
      <c r="G1928" t="s">
        <v>16</v>
      </c>
      <c r="J1928" t="str">
        <f>"01/09/2007 23:45"</f>
        <v>01/09/2007 23:45</v>
      </c>
    </row>
    <row r="1929" spans="1:10" x14ac:dyDescent="0.3">
      <c r="A1929" t="s">
        <v>6</v>
      </c>
      <c r="B1929" t="str">
        <f>"01/10/2007 00:00"</f>
        <v>01/10/2007 00:00</v>
      </c>
      <c r="C1929">
        <v>1.67</v>
      </c>
      <c r="D1929" t="s">
        <v>7</v>
      </c>
      <c r="E1929" s="2" t="s">
        <v>12</v>
      </c>
      <c r="F1929">
        <f t="shared" si="30"/>
        <v>3.3116099999999999</v>
      </c>
      <c r="G1929" t="s">
        <v>16</v>
      </c>
      <c r="J1929" t="str">
        <f>"01/10/2007 23:45"</f>
        <v>01/10/2007 23:45</v>
      </c>
    </row>
    <row r="1930" spans="1:10" x14ac:dyDescent="0.3">
      <c r="A1930" t="s">
        <v>6</v>
      </c>
      <c r="B1930" t="str">
        <f>"01/11/2007 00:00"</f>
        <v>01/11/2007 00:00</v>
      </c>
      <c r="C1930">
        <v>1.62</v>
      </c>
      <c r="D1930" t="s">
        <v>7</v>
      </c>
      <c r="E1930" s="2" t="s">
        <v>12</v>
      </c>
      <c r="F1930">
        <f t="shared" si="30"/>
        <v>3.2124600000000005</v>
      </c>
      <c r="G1930" t="s">
        <v>16</v>
      </c>
      <c r="J1930" t="str">
        <f>"01/11/2007 23:45"</f>
        <v>01/11/2007 23:45</v>
      </c>
    </row>
    <row r="1931" spans="1:10" x14ac:dyDescent="0.3">
      <c r="A1931" t="s">
        <v>6</v>
      </c>
      <c r="B1931" t="str">
        <f>"01/12/2007 00:00"</f>
        <v>01/12/2007 00:00</v>
      </c>
      <c r="C1931">
        <v>1.62</v>
      </c>
      <c r="D1931" t="s">
        <v>7</v>
      </c>
      <c r="E1931" s="2" t="s">
        <v>12</v>
      </c>
      <c r="F1931">
        <f t="shared" si="30"/>
        <v>3.2124600000000005</v>
      </c>
      <c r="G1931" t="s">
        <v>16</v>
      </c>
      <c r="J1931" t="str">
        <f>"01/12/2007 23:45"</f>
        <v>01/12/2007 23:45</v>
      </c>
    </row>
    <row r="1932" spans="1:10" x14ac:dyDescent="0.3">
      <c r="A1932" t="s">
        <v>6</v>
      </c>
      <c r="B1932" t="str">
        <f>"01/13/2007 00:00"</f>
        <v>01/13/2007 00:00</v>
      </c>
      <c r="C1932">
        <v>1.62</v>
      </c>
      <c r="D1932" t="s">
        <v>7</v>
      </c>
      <c r="E1932" s="2" t="s">
        <v>12</v>
      </c>
      <c r="F1932">
        <f t="shared" si="30"/>
        <v>3.2124600000000005</v>
      </c>
      <c r="G1932" t="s">
        <v>16</v>
      </c>
      <c r="J1932" t="str">
        <f>"01/13/2007 23:45"</f>
        <v>01/13/2007 23:45</v>
      </c>
    </row>
    <row r="1933" spans="1:10" x14ac:dyDescent="0.3">
      <c r="A1933" t="s">
        <v>6</v>
      </c>
      <c r="B1933" t="str">
        <f>"01/14/2007 00:00"</f>
        <v>01/14/2007 00:00</v>
      </c>
      <c r="C1933">
        <v>1.62</v>
      </c>
      <c r="D1933" t="s">
        <v>7</v>
      </c>
      <c r="E1933" s="2" t="s">
        <v>12</v>
      </c>
      <c r="F1933">
        <f t="shared" si="30"/>
        <v>3.2124600000000005</v>
      </c>
      <c r="G1933" t="s">
        <v>16</v>
      </c>
      <c r="J1933" t="str">
        <f>"01/14/2007 23:45"</f>
        <v>01/14/2007 23:45</v>
      </c>
    </row>
    <row r="1934" spans="1:10" x14ac:dyDescent="0.3">
      <c r="A1934" t="s">
        <v>6</v>
      </c>
      <c r="B1934" t="str">
        <f>"01/15/2007 00:00"</f>
        <v>01/15/2007 00:00</v>
      </c>
      <c r="C1934">
        <v>1.62</v>
      </c>
      <c r="D1934" t="s">
        <v>7</v>
      </c>
      <c r="E1934" s="2" t="s">
        <v>12</v>
      </c>
      <c r="F1934">
        <f t="shared" si="30"/>
        <v>3.2124600000000005</v>
      </c>
      <c r="G1934" t="s">
        <v>16</v>
      </c>
      <c r="J1934" t="str">
        <f>"01/15/2007 23:45"</f>
        <v>01/15/2007 23:45</v>
      </c>
    </row>
    <row r="1935" spans="1:10" x14ac:dyDescent="0.3">
      <c r="A1935" t="s">
        <v>6</v>
      </c>
      <c r="B1935" t="str">
        <f>"01/16/2007 00:00"</f>
        <v>01/16/2007 00:00</v>
      </c>
      <c r="C1935">
        <v>1.62</v>
      </c>
      <c r="D1935" t="s">
        <v>7</v>
      </c>
      <c r="E1935" s="2" t="s">
        <v>12</v>
      </c>
      <c r="F1935">
        <f t="shared" si="30"/>
        <v>3.2124600000000005</v>
      </c>
      <c r="G1935" t="s">
        <v>16</v>
      </c>
      <c r="J1935" t="str">
        <f>"01/16/2007 23:45"</f>
        <v>01/16/2007 23:45</v>
      </c>
    </row>
    <row r="1936" spans="1:10" x14ac:dyDescent="0.3">
      <c r="A1936" t="s">
        <v>6</v>
      </c>
      <c r="B1936" t="str">
        <f>"01/17/2007 00:00"</f>
        <v>01/17/2007 00:00</v>
      </c>
      <c r="C1936">
        <v>1.62</v>
      </c>
      <c r="D1936" t="s">
        <v>7</v>
      </c>
      <c r="E1936" s="2" t="s">
        <v>12</v>
      </c>
      <c r="F1936">
        <f t="shared" si="30"/>
        <v>3.2124600000000005</v>
      </c>
      <c r="G1936" t="s">
        <v>16</v>
      </c>
      <c r="J1936" t="str">
        <f>"01/17/2007 23:45"</f>
        <v>01/17/2007 23:45</v>
      </c>
    </row>
    <row r="1937" spans="1:10" x14ac:dyDescent="0.3">
      <c r="A1937" t="s">
        <v>6</v>
      </c>
      <c r="B1937" t="str">
        <f>"01/18/2007 00:00"</f>
        <v>01/18/2007 00:00</v>
      </c>
      <c r="C1937">
        <v>1.48</v>
      </c>
      <c r="D1937" t="s">
        <v>7</v>
      </c>
      <c r="E1937" s="2" t="s">
        <v>12</v>
      </c>
      <c r="F1937">
        <f t="shared" si="30"/>
        <v>2.9348399999999999</v>
      </c>
      <c r="G1937" t="s">
        <v>16</v>
      </c>
      <c r="J1937" t="str">
        <f>"01/18/2007 23:45"</f>
        <v>01/18/2007 23:45</v>
      </c>
    </row>
    <row r="1938" spans="1:10" x14ac:dyDescent="0.3">
      <c r="A1938" t="s">
        <v>6</v>
      </c>
      <c r="B1938" t="str">
        <f>"01/19/2007 00:00"</f>
        <v>01/19/2007 00:00</v>
      </c>
      <c r="C1938">
        <v>1.34</v>
      </c>
      <c r="D1938" t="s">
        <v>7</v>
      </c>
      <c r="E1938" s="2" t="s">
        <v>12</v>
      </c>
      <c r="F1938">
        <f t="shared" si="30"/>
        <v>2.6572200000000001</v>
      </c>
      <c r="G1938" t="s">
        <v>16</v>
      </c>
      <c r="J1938" t="str">
        <f>"01/19/2007 23:45"</f>
        <v>01/19/2007 23:45</v>
      </c>
    </row>
    <row r="1939" spans="1:10" x14ac:dyDescent="0.3">
      <c r="A1939" t="s">
        <v>6</v>
      </c>
      <c r="B1939" t="str">
        <f>"01/20/2007 00:00"</f>
        <v>01/20/2007 00:00</v>
      </c>
      <c r="C1939">
        <v>1.34</v>
      </c>
      <c r="D1939" t="s">
        <v>7</v>
      </c>
      <c r="E1939" s="2" t="s">
        <v>12</v>
      </c>
      <c r="F1939">
        <f t="shared" si="30"/>
        <v>2.6572200000000001</v>
      </c>
      <c r="G1939" t="s">
        <v>16</v>
      </c>
      <c r="J1939" t="str">
        <f>"01/20/2007 23:45"</f>
        <v>01/20/2007 23:45</v>
      </c>
    </row>
    <row r="1940" spans="1:10" x14ac:dyDescent="0.3">
      <c r="A1940" t="s">
        <v>6</v>
      </c>
      <c r="B1940" t="str">
        <f>"01/21/2007 00:00"</f>
        <v>01/21/2007 00:00</v>
      </c>
      <c r="C1940">
        <v>1.34</v>
      </c>
      <c r="D1940" t="s">
        <v>7</v>
      </c>
      <c r="E1940" s="2" t="s">
        <v>12</v>
      </c>
      <c r="F1940">
        <f t="shared" si="30"/>
        <v>2.6572200000000001</v>
      </c>
      <c r="G1940" t="s">
        <v>16</v>
      </c>
      <c r="J1940" t="str">
        <f>"01/21/2007 23:45"</f>
        <v>01/21/2007 23:45</v>
      </c>
    </row>
    <row r="1941" spans="1:10" x14ac:dyDescent="0.3">
      <c r="A1941" t="s">
        <v>6</v>
      </c>
      <c r="B1941" t="str">
        <f>"01/22/2007 00:00"</f>
        <v>01/22/2007 00:00</v>
      </c>
      <c r="C1941">
        <v>1.34</v>
      </c>
      <c r="D1941" t="s">
        <v>7</v>
      </c>
      <c r="E1941" s="2" t="s">
        <v>12</v>
      </c>
      <c r="F1941">
        <f t="shared" si="30"/>
        <v>2.6572200000000001</v>
      </c>
      <c r="G1941" t="s">
        <v>16</v>
      </c>
      <c r="J1941" t="str">
        <f>"01/22/2007 23:45"</f>
        <v>01/22/2007 23:45</v>
      </c>
    </row>
    <row r="1942" spans="1:10" x14ac:dyDescent="0.3">
      <c r="A1942" t="s">
        <v>6</v>
      </c>
      <c r="B1942" t="str">
        <f>"01/23/2007 00:00"</f>
        <v>01/23/2007 00:00</v>
      </c>
      <c r="C1942">
        <v>1.34</v>
      </c>
      <c r="D1942" t="s">
        <v>7</v>
      </c>
      <c r="E1942" s="2" t="s">
        <v>12</v>
      </c>
      <c r="F1942">
        <f t="shared" si="30"/>
        <v>2.6572200000000001</v>
      </c>
      <c r="G1942" t="s">
        <v>16</v>
      </c>
      <c r="J1942" t="str">
        <f>"01/23/2007 23:45"</f>
        <v>01/23/2007 23:45</v>
      </c>
    </row>
    <row r="1943" spans="1:10" x14ac:dyDescent="0.3">
      <c r="A1943" t="s">
        <v>6</v>
      </c>
      <c r="B1943" t="str">
        <f>"01/24/2007 00:00"</f>
        <v>01/24/2007 00:00</v>
      </c>
      <c r="C1943">
        <v>1.34</v>
      </c>
      <c r="D1943" t="s">
        <v>7</v>
      </c>
      <c r="E1943" s="2" t="s">
        <v>12</v>
      </c>
      <c r="F1943">
        <f t="shared" si="30"/>
        <v>2.6572200000000001</v>
      </c>
      <c r="G1943" t="s">
        <v>16</v>
      </c>
      <c r="J1943" t="str">
        <f>"01/24/2007 23:45"</f>
        <v>01/24/2007 23:45</v>
      </c>
    </row>
    <row r="1944" spans="1:10" x14ac:dyDescent="0.3">
      <c r="A1944" t="s">
        <v>6</v>
      </c>
      <c r="B1944" t="str">
        <f>"01/25/2007 00:00"</f>
        <v>01/25/2007 00:00</v>
      </c>
      <c r="C1944">
        <v>1.34</v>
      </c>
      <c r="D1944" t="s">
        <v>7</v>
      </c>
      <c r="E1944" s="2" t="s">
        <v>12</v>
      </c>
      <c r="F1944">
        <f t="shared" si="30"/>
        <v>2.6572200000000001</v>
      </c>
      <c r="G1944" t="s">
        <v>16</v>
      </c>
      <c r="J1944" t="str">
        <f>"01/25/2007 23:45"</f>
        <v>01/25/2007 23:45</v>
      </c>
    </row>
    <row r="1945" spans="1:10" x14ac:dyDescent="0.3">
      <c r="A1945" t="s">
        <v>6</v>
      </c>
      <c r="B1945" t="str">
        <f>"01/26/2007 00:00"</f>
        <v>01/26/2007 00:00</v>
      </c>
      <c r="C1945">
        <v>1.34</v>
      </c>
      <c r="D1945" t="s">
        <v>7</v>
      </c>
      <c r="E1945" s="2" t="s">
        <v>12</v>
      </c>
      <c r="F1945">
        <f t="shared" si="30"/>
        <v>2.6572200000000001</v>
      </c>
      <c r="G1945" t="s">
        <v>16</v>
      </c>
      <c r="J1945" t="str">
        <f>"01/26/2007 23:45"</f>
        <v>01/26/2007 23:45</v>
      </c>
    </row>
    <row r="1946" spans="1:10" x14ac:dyDescent="0.3">
      <c r="A1946" t="s">
        <v>6</v>
      </c>
      <c r="B1946" t="str">
        <f>"01/27/2007 00:00"</f>
        <v>01/27/2007 00:00</v>
      </c>
      <c r="C1946">
        <v>1.34</v>
      </c>
      <c r="D1946" t="s">
        <v>7</v>
      </c>
      <c r="E1946" s="2" t="s">
        <v>12</v>
      </c>
      <c r="F1946">
        <f t="shared" si="30"/>
        <v>2.6572200000000001</v>
      </c>
      <c r="G1946" t="s">
        <v>16</v>
      </c>
      <c r="J1946" t="str">
        <f>"01/27/2007 23:45"</f>
        <v>01/27/2007 23:45</v>
      </c>
    </row>
    <row r="1947" spans="1:10" x14ac:dyDescent="0.3">
      <c r="A1947" t="s">
        <v>6</v>
      </c>
      <c r="B1947" t="str">
        <f>"01/28/2007 00:00"</f>
        <v>01/28/2007 00:00</v>
      </c>
      <c r="C1947">
        <v>1.34</v>
      </c>
      <c r="D1947" t="s">
        <v>7</v>
      </c>
      <c r="E1947" s="2" t="s">
        <v>12</v>
      </c>
      <c r="F1947">
        <f t="shared" si="30"/>
        <v>2.6572200000000001</v>
      </c>
      <c r="G1947" t="s">
        <v>16</v>
      </c>
      <c r="J1947" t="str">
        <f>"01/28/2007 23:45"</f>
        <v>01/28/2007 23:45</v>
      </c>
    </row>
    <row r="1948" spans="1:10" x14ac:dyDescent="0.3">
      <c r="A1948" t="s">
        <v>6</v>
      </c>
      <c r="B1948" t="str">
        <f>"01/29/2007 00:00"</f>
        <v>01/29/2007 00:00</v>
      </c>
      <c r="C1948">
        <v>1.34</v>
      </c>
      <c r="D1948" t="s">
        <v>7</v>
      </c>
      <c r="E1948" s="2" t="s">
        <v>12</v>
      </c>
      <c r="F1948">
        <f t="shared" si="30"/>
        <v>2.6572200000000001</v>
      </c>
      <c r="G1948" t="s">
        <v>16</v>
      </c>
      <c r="J1948" t="str">
        <f>"01/29/2007 23:45"</f>
        <v>01/29/2007 23:45</v>
      </c>
    </row>
    <row r="1949" spans="1:10" x14ac:dyDescent="0.3">
      <c r="A1949" t="s">
        <v>6</v>
      </c>
      <c r="B1949" t="str">
        <f>"01/30/2007 00:00"</f>
        <v>01/30/2007 00:00</v>
      </c>
      <c r="C1949">
        <v>1.34</v>
      </c>
      <c r="D1949" t="s">
        <v>7</v>
      </c>
      <c r="E1949" s="2" t="s">
        <v>12</v>
      </c>
      <c r="F1949">
        <f t="shared" si="30"/>
        <v>2.6572200000000001</v>
      </c>
      <c r="G1949" t="s">
        <v>16</v>
      </c>
      <c r="J1949" t="str">
        <f>"01/30/2007 23:45"</f>
        <v>01/30/2007 23:45</v>
      </c>
    </row>
    <row r="1950" spans="1:10" x14ac:dyDescent="0.3">
      <c r="A1950" t="s">
        <v>6</v>
      </c>
      <c r="B1950" t="str">
        <f>"01/31/2007 00:00"</f>
        <v>01/31/2007 00:00</v>
      </c>
      <c r="C1950">
        <v>1.34</v>
      </c>
      <c r="D1950" t="s">
        <v>7</v>
      </c>
      <c r="E1950" s="2" t="s">
        <v>12</v>
      </c>
      <c r="F1950">
        <f t="shared" si="30"/>
        <v>2.6572200000000001</v>
      </c>
      <c r="G1950" t="s">
        <v>16</v>
      </c>
      <c r="J1950" t="str">
        <f>"01/31/2007 23:45"</f>
        <v>01/31/2007 23:45</v>
      </c>
    </row>
    <row r="1951" spans="1:10" x14ac:dyDescent="0.3">
      <c r="A1951" t="s">
        <v>6</v>
      </c>
      <c r="B1951" t="str">
        <f>"02/01/2007 00:00"</f>
        <v>02/01/2007 00:00</v>
      </c>
      <c r="C1951">
        <v>1.34</v>
      </c>
      <c r="D1951" t="s">
        <v>7</v>
      </c>
      <c r="E1951" s="2" t="s">
        <v>12</v>
      </c>
      <c r="F1951">
        <f t="shared" si="30"/>
        <v>2.6572200000000001</v>
      </c>
      <c r="G1951" t="s">
        <v>16</v>
      </c>
      <c r="J1951" t="str">
        <f>"02/01/2007 23:45"</f>
        <v>02/01/2007 23:45</v>
      </c>
    </row>
    <row r="1952" spans="1:10" x14ac:dyDescent="0.3">
      <c r="A1952" t="s">
        <v>6</v>
      </c>
      <c r="B1952" t="str">
        <f>"02/02/2007 00:00"</f>
        <v>02/02/2007 00:00</v>
      </c>
      <c r="C1952">
        <v>1.34</v>
      </c>
      <c r="D1952" t="s">
        <v>7</v>
      </c>
      <c r="E1952" s="2" t="s">
        <v>12</v>
      </c>
      <c r="F1952">
        <f t="shared" si="30"/>
        <v>2.6572200000000001</v>
      </c>
      <c r="G1952" t="s">
        <v>16</v>
      </c>
      <c r="J1952" t="str">
        <f>"02/02/2007 23:45"</f>
        <v>02/02/2007 23:45</v>
      </c>
    </row>
    <row r="1953" spans="1:10" x14ac:dyDescent="0.3">
      <c r="A1953" t="s">
        <v>6</v>
      </c>
      <c r="B1953" t="str">
        <f>"02/03/2007 00:00"</f>
        <v>02/03/2007 00:00</v>
      </c>
      <c r="C1953">
        <v>1.34</v>
      </c>
      <c r="D1953" t="s">
        <v>7</v>
      </c>
      <c r="E1953" s="2" t="s">
        <v>12</v>
      </c>
      <c r="F1953">
        <f t="shared" si="30"/>
        <v>2.6572200000000001</v>
      </c>
      <c r="G1953" t="s">
        <v>16</v>
      </c>
      <c r="J1953" t="str">
        <f>"02/03/2007 23:45"</f>
        <v>02/03/2007 23:45</v>
      </c>
    </row>
    <row r="1954" spans="1:10" x14ac:dyDescent="0.3">
      <c r="A1954" t="s">
        <v>6</v>
      </c>
      <c r="B1954" t="str">
        <f>"02/04/2007 00:00"</f>
        <v>02/04/2007 00:00</v>
      </c>
      <c r="C1954">
        <v>1.34</v>
      </c>
      <c r="D1954" t="s">
        <v>7</v>
      </c>
      <c r="E1954" s="2" t="s">
        <v>12</v>
      </c>
      <c r="F1954">
        <f t="shared" si="30"/>
        <v>2.6572200000000001</v>
      </c>
      <c r="G1954" t="s">
        <v>16</v>
      </c>
      <c r="J1954" t="str">
        <f>"02/04/2007 23:45"</f>
        <v>02/04/2007 23:45</v>
      </c>
    </row>
    <row r="1955" spans="1:10" x14ac:dyDescent="0.3">
      <c r="A1955" t="s">
        <v>6</v>
      </c>
      <c r="B1955" t="str">
        <f>"02/05/2007 00:00"</f>
        <v>02/05/2007 00:00</v>
      </c>
      <c r="C1955">
        <v>1.21</v>
      </c>
      <c r="D1955" t="s">
        <v>7</v>
      </c>
      <c r="E1955" s="2" t="s">
        <v>12</v>
      </c>
      <c r="F1955">
        <f t="shared" si="30"/>
        <v>2.3994300000000002</v>
      </c>
      <c r="G1955" t="s">
        <v>16</v>
      </c>
      <c r="J1955" t="str">
        <f>"02/05/2007 23:45"</f>
        <v>02/05/2007 23:45</v>
      </c>
    </row>
    <row r="1956" spans="1:10" x14ac:dyDescent="0.3">
      <c r="A1956" t="s">
        <v>6</v>
      </c>
      <c r="B1956" t="str">
        <f>"02/06/2007 00:00"</f>
        <v>02/06/2007 00:00</v>
      </c>
      <c r="C1956">
        <v>1.28</v>
      </c>
      <c r="D1956" t="s">
        <v>7</v>
      </c>
      <c r="E1956" s="2" t="s">
        <v>12</v>
      </c>
      <c r="F1956">
        <f t="shared" si="30"/>
        <v>2.5382400000000001</v>
      </c>
      <c r="G1956" t="s">
        <v>16</v>
      </c>
      <c r="J1956" t="str">
        <f>"02/06/2007 23:45"</f>
        <v>02/06/2007 23:45</v>
      </c>
    </row>
    <row r="1957" spans="1:10" x14ac:dyDescent="0.3">
      <c r="A1957" t="s">
        <v>6</v>
      </c>
      <c r="B1957" t="str">
        <f>"02/07/2007 00:00"</f>
        <v>02/07/2007 00:00</v>
      </c>
      <c r="C1957">
        <v>1.38</v>
      </c>
      <c r="D1957" t="s">
        <v>7</v>
      </c>
      <c r="E1957" s="2" t="s">
        <v>12</v>
      </c>
      <c r="F1957">
        <f t="shared" si="30"/>
        <v>2.7365399999999998</v>
      </c>
      <c r="G1957" t="s">
        <v>16</v>
      </c>
      <c r="J1957" t="str">
        <f>"02/07/2007 23:45"</f>
        <v>02/07/2007 23:45</v>
      </c>
    </row>
    <row r="1958" spans="1:10" x14ac:dyDescent="0.3">
      <c r="A1958" t="s">
        <v>6</v>
      </c>
      <c r="B1958" t="str">
        <f>"02/08/2007 00:00"</f>
        <v>02/08/2007 00:00</v>
      </c>
      <c r="C1958">
        <v>1.73</v>
      </c>
      <c r="D1958" t="s">
        <v>7</v>
      </c>
      <c r="E1958" s="2" t="s">
        <v>12</v>
      </c>
      <c r="F1958">
        <f t="shared" si="30"/>
        <v>3.43059</v>
      </c>
      <c r="G1958" t="s">
        <v>16</v>
      </c>
      <c r="J1958" t="str">
        <f>"02/08/2007 23:45"</f>
        <v>02/08/2007 23:45</v>
      </c>
    </row>
    <row r="1959" spans="1:10" x14ac:dyDescent="0.3">
      <c r="A1959" t="s">
        <v>6</v>
      </c>
      <c r="B1959" t="str">
        <f>"02/09/2007 00:00"</f>
        <v>02/09/2007 00:00</v>
      </c>
      <c r="C1959">
        <v>1.79</v>
      </c>
      <c r="D1959" t="s">
        <v>7</v>
      </c>
      <c r="E1959" s="2" t="s">
        <v>12</v>
      </c>
      <c r="F1959">
        <f t="shared" si="30"/>
        <v>3.5495700000000001</v>
      </c>
      <c r="G1959" t="s">
        <v>16</v>
      </c>
      <c r="J1959" t="str">
        <f>"02/09/2007 23:45"</f>
        <v>02/09/2007 23:45</v>
      </c>
    </row>
    <row r="1960" spans="1:10" x14ac:dyDescent="0.3">
      <c r="A1960" t="s">
        <v>6</v>
      </c>
      <c r="B1960" t="str">
        <f>"02/10/2007 00:00"</f>
        <v>02/10/2007 00:00</v>
      </c>
      <c r="C1960">
        <v>1.62</v>
      </c>
      <c r="D1960" t="s">
        <v>7</v>
      </c>
      <c r="E1960" s="2" t="s">
        <v>12</v>
      </c>
      <c r="F1960">
        <f t="shared" si="30"/>
        <v>3.2124600000000005</v>
      </c>
      <c r="G1960" t="s">
        <v>16</v>
      </c>
      <c r="J1960" t="str">
        <f>"02/10/2007 23:45"</f>
        <v>02/10/2007 23:45</v>
      </c>
    </row>
    <row r="1961" spans="1:10" x14ac:dyDescent="0.3">
      <c r="A1961" t="s">
        <v>6</v>
      </c>
      <c r="B1961" t="str">
        <f>"02/11/2007 00:00"</f>
        <v>02/11/2007 00:00</v>
      </c>
      <c r="C1961">
        <v>1.51</v>
      </c>
      <c r="D1961" t="s">
        <v>7</v>
      </c>
      <c r="E1961" s="2" t="s">
        <v>12</v>
      </c>
      <c r="F1961">
        <f t="shared" si="30"/>
        <v>2.9943300000000002</v>
      </c>
      <c r="G1961" t="s">
        <v>16</v>
      </c>
      <c r="J1961" t="str">
        <f>"02/11/2007 23:45"</f>
        <v>02/11/2007 23:45</v>
      </c>
    </row>
    <row r="1962" spans="1:10" x14ac:dyDescent="0.3">
      <c r="A1962" t="s">
        <v>6</v>
      </c>
      <c r="B1962" t="str">
        <f>"02/12/2007 00:00"</f>
        <v>02/12/2007 00:00</v>
      </c>
      <c r="C1962">
        <v>2.4500000000000002</v>
      </c>
      <c r="D1962" t="s">
        <v>7</v>
      </c>
      <c r="E1962" s="2" t="s">
        <v>12</v>
      </c>
      <c r="F1962">
        <f t="shared" si="30"/>
        <v>4.8583500000000006</v>
      </c>
      <c r="G1962" t="s">
        <v>16</v>
      </c>
      <c r="J1962" t="str">
        <f>"02/12/2007 23:45"</f>
        <v>02/12/2007 23:45</v>
      </c>
    </row>
    <row r="1963" spans="1:10" x14ac:dyDescent="0.3">
      <c r="A1963" t="s">
        <v>6</v>
      </c>
      <c r="B1963" t="str">
        <f>"02/13/2007 00:00"</f>
        <v>02/13/2007 00:00</v>
      </c>
      <c r="C1963">
        <v>7.22</v>
      </c>
      <c r="D1963" t="s">
        <v>7</v>
      </c>
      <c r="E1963" s="2" t="s">
        <v>12</v>
      </c>
      <c r="F1963">
        <f t="shared" si="30"/>
        <v>14.317260000000001</v>
      </c>
      <c r="G1963" t="s">
        <v>16</v>
      </c>
      <c r="J1963" t="str">
        <f>"02/13/2007 23:45"</f>
        <v>02/13/2007 23:45</v>
      </c>
    </row>
    <row r="1964" spans="1:10" x14ac:dyDescent="0.3">
      <c r="A1964" t="s">
        <v>6</v>
      </c>
      <c r="B1964" t="str">
        <f>"02/14/2007 00:00"</f>
        <v>02/14/2007 00:00</v>
      </c>
      <c r="C1964">
        <v>12.6</v>
      </c>
      <c r="D1964" t="s">
        <v>7</v>
      </c>
      <c r="E1964" s="2" t="s">
        <v>12</v>
      </c>
      <c r="F1964">
        <f t="shared" si="30"/>
        <v>24.985800000000001</v>
      </c>
      <c r="G1964" t="s">
        <v>16</v>
      </c>
      <c r="J1964" t="str">
        <f>"02/14/2007 23:45"</f>
        <v>02/14/2007 23:45</v>
      </c>
    </row>
    <row r="1965" spans="1:10" x14ac:dyDescent="0.3">
      <c r="A1965" t="s">
        <v>6</v>
      </c>
      <c r="B1965" t="str">
        <f>"02/15/2007 00:00"</f>
        <v>02/15/2007 00:00</v>
      </c>
      <c r="C1965">
        <v>11.8</v>
      </c>
      <c r="D1965" t="s">
        <v>7</v>
      </c>
      <c r="E1965" s="2" t="s">
        <v>12</v>
      </c>
      <c r="F1965">
        <f t="shared" si="30"/>
        <v>23.399400000000004</v>
      </c>
      <c r="G1965" t="s">
        <v>16</v>
      </c>
      <c r="J1965" t="str">
        <f>"02/15/2007 23:45"</f>
        <v>02/15/2007 23:45</v>
      </c>
    </row>
    <row r="1966" spans="1:10" x14ac:dyDescent="0.3">
      <c r="A1966" t="s">
        <v>6</v>
      </c>
      <c r="B1966" t="str">
        <f>"02/16/2007 00:00"</f>
        <v>02/16/2007 00:00</v>
      </c>
      <c r="C1966">
        <v>11.7</v>
      </c>
      <c r="D1966" t="s">
        <v>7</v>
      </c>
      <c r="E1966" s="2" t="s">
        <v>12</v>
      </c>
      <c r="F1966">
        <f t="shared" si="30"/>
        <v>23.2011</v>
      </c>
      <c r="G1966" t="s">
        <v>16</v>
      </c>
      <c r="J1966" t="str">
        <f>"02/16/2007 23:45"</f>
        <v>02/16/2007 23:45</v>
      </c>
    </row>
    <row r="1967" spans="1:10" x14ac:dyDescent="0.3">
      <c r="A1967" t="s">
        <v>6</v>
      </c>
      <c r="B1967" t="str">
        <f>"02/17/2007 00:00"</f>
        <v>02/17/2007 00:00</v>
      </c>
      <c r="C1967">
        <v>11.7</v>
      </c>
      <c r="D1967" t="s">
        <v>7</v>
      </c>
      <c r="E1967" s="2" t="s">
        <v>12</v>
      </c>
      <c r="F1967">
        <f t="shared" si="30"/>
        <v>23.2011</v>
      </c>
      <c r="G1967" t="s">
        <v>16</v>
      </c>
      <c r="J1967" t="str">
        <f>"02/17/2007 23:45"</f>
        <v>02/17/2007 23:45</v>
      </c>
    </row>
    <row r="1968" spans="1:10" x14ac:dyDescent="0.3">
      <c r="A1968" t="s">
        <v>6</v>
      </c>
      <c r="B1968" t="str">
        <f>"02/18/2007 00:00"</f>
        <v>02/18/2007 00:00</v>
      </c>
      <c r="C1968">
        <v>11.7</v>
      </c>
      <c r="D1968" t="s">
        <v>7</v>
      </c>
      <c r="E1968" s="2" t="s">
        <v>12</v>
      </c>
      <c r="F1968">
        <f t="shared" si="30"/>
        <v>23.2011</v>
      </c>
      <c r="G1968" t="s">
        <v>16</v>
      </c>
      <c r="J1968" t="str">
        <f>"02/18/2007 23:45"</f>
        <v>02/18/2007 23:45</v>
      </c>
    </row>
    <row r="1969" spans="1:10" x14ac:dyDescent="0.3">
      <c r="A1969" t="s">
        <v>6</v>
      </c>
      <c r="B1969" t="str">
        <f>"02/19/2007 00:00"</f>
        <v>02/19/2007 00:00</v>
      </c>
      <c r="C1969">
        <v>11.7</v>
      </c>
      <c r="D1969" t="s">
        <v>7</v>
      </c>
      <c r="E1969" s="2" t="s">
        <v>12</v>
      </c>
      <c r="F1969">
        <f t="shared" si="30"/>
        <v>23.2011</v>
      </c>
      <c r="G1969" t="s">
        <v>16</v>
      </c>
      <c r="J1969" t="str">
        <f>"02/19/2007 23:45"</f>
        <v>02/19/2007 23:45</v>
      </c>
    </row>
    <row r="1970" spans="1:10" x14ac:dyDescent="0.3">
      <c r="A1970" t="s">
        <v>6</v>
      </c>
      <c r="B1970" t="str">
        <f>"02/20/2007 00:00"</f>
        <v>02/20/2007 00:00</v>
      </c>
      <c r="C1970">
        <v>11.7</v>
      </c>
      <c r="D1970" t="s">
        <v>7</v>
      </c>
      <c r="E1970" s="2" t="s">
        <v>12</v>
      </c>
      <c r="F1970">
        <f t="shared" si="30"/>
        <v>23.2011</v>
      </c>
      <c r="G1970" t="s">
        <v>16</v>
      </c>
      <c r="J1970" t="str">
        <f>"02/20/2007 23:45"</f>
        <v>02/20/2007 23:45</v>
      </c>
    </row>
    <row r="1971" spans="1:10" x14ac:dyDescent="0.3">
      <c r="A1971" t="s">
        <v>6</v>
      </c>
      <c r="B1971" t="str">
        <f>"02/21/2007 00:00"</f>
        <v>02/21/2007 00:00</v>
      </c>
      <c r="C1971">
        <v>15</v>
      </c>
      <c r="D1971" t="s">
        <v>7</v>
      </c>
      <c r="E1971" s="2" t="s">
        <v>12</v>
      </c>
      <c r="F1971">
        <f t="shared" si="30"/>
        <v>29.745000000000001</v>
      </c>
      <c r="G1971" t="s">
        <v>16</v>
      </c>
      <c r="J1971" t="str">
        <f>"02/21/2007 23:45"</f>
        <v>02/21/2007 23:45</v>
      </c>
    </row>
    <row r="1972" spans="1:10" x14ac:dyDescent="0.3">
      <c r="A1972" t="s">
        <v>6</v>
      </c>
      <c r="B1972" t="str">
        <f>"02/22/2007 00:00"</f>
        <v>02/22/2007 00:00</v>
      </c>
      <c r="C1972">
        <v>19.8</v>
      </c>
      <c r="D1972" t="s">
        <v>7</v>
      </c>
      <c r="E1972" s="2" t="s">
        <v>12</v>
      </c>
      <c r="F1972">
        <f t="shared" si="30"/>
        <v>39.263400000000004</v>
      </c>
      <c r="G1972" t="s">
        <v>16</v>
      </c>
      <c r="J1972" t="str">
        <f>"02/22/2007 23:45"</f>
        <v>02/22/2007 23:45</v>
      </c>
    </row>
    <row r="1973" spans="1:10" x14ac:dyDescent="0.3">
      <c r="A1973" t="s">
        <v>6</v>
      </c>
      <c r="B1973" t="str">
        <f>"02/23/2007 00:00"</f>
        <v>02/23/2007 00:00</v>
      </c>
      <c r="C1973">
        <v>22.1</v>
      </c>
      <c r="D1973" t="s">
        <v>7</v>
      </c>
      <c r="E1973" s="2" t="s">
        <v>12</v>
      </c>
      <c r="F1973">
        <f t="shared" si="30"/>
        <v>43.824300000000008</v>
      </c>
      <c r="G1973" t="s">
        <v>16</v>
      </c>
      <c r="J1973" t="str">
        <f>"02/23/2007 23:45"</f>
        <v>02/23/2007 23:45</v>
      </c>
    </row>
    <row r="1974" spans="1:10" x14ac:dyDescent="0.3">
      <c r="A1974" t="s">
        <v>6</v>
      </c>
      <c r="B1974" t="str">
        <f>"02/24/2007 00:00"</f>
        <v>02/24/2007 00:00</v>
      </c>
      <c r="C1974">
        <v>23.3</v>
      </c>
      <c r="D1974" t="s">
        <v>7</v>
      </c>
      <c r="E1974" s="2" t="s">
        <v>12</v>
      </c>
      <c r="F1974">
        <f t="shared" si="30"/>
        <v>46.203900000000004</v>
      </c>
      <c r="G1974" t="s">
        <v>16</v>
      </c>
      <c r="J1974" t="str">
        <f>"02/24/2007 23:45"</f>
        <v>02/24/2007 23:45</v>
      </c>
    </row>
    <row r="1975" spans="1:10" x14ac:dyDescent="0.3">
      <c r="A1975" t="s">
        <v>6</v>
      </c>
      <c r="B1975" t="str">
        <f>"02/25/2007 00:00"</f>
        <v>02/25/2007 00:00</v>
      </c>
      <c r="C1975">
        <v>24.8</v>
      </c>
      <c r="D1975" t="s">
        <v>7</v>
      </c>
      <c r="E1975" s="2" t="s">
        <v>12</v>
      </c>
      <c r="F1975">
        <f t="shared" si="30"/>
        <v>49.178400000000003</v>
      </c>
      <c r="G1975" t="s">
        <v>16</v>
      </c>
      <c r="J1975" t="str">
        <f>"02/25/2007 23:45"</f>
        <v>02/25/2007 23:45</v>
      </c>
    </row>
    <row r="1976" spans="1:10" x14ac:dyDescent="0.3">
      <c r="A1976" t="s">
        <v>6</v>
      </c>
      <c r="B1976" t="str">
        <f>"02/26/2007 00:00"</f>
        <v>02/26/2007 00:00</v>
      </c>
      <c r="C1976">
        <v>28.3</v>
      </c>
      <c r="D1976" t="s">
        <v>7</v>
      </c>
      <c r="E1976" s="2" t="s">
        <v>12</v>
      </c>
      <c r="F1976">
        <f t="shared" si="30"/>
        <v>56.118900000000004</v>
      </c>
      <c r="G1976" t="s">
        <v>16</v>
      </c>
      <c r="J1976" t="str">
        <f>"02/26/2007 23:45"</f>
        <v>02/26/2007 23:45</v>
      </c>
    </row>
    <row r="1977" spans="1:10" x14ac:dyDescent="0.3">
      <c r="A1977" t="s">
        <v>6</v>
      </c>
      <c r="B1977" t="str">
        <f>"02/27/2007 00:00"</f>
        <v>02/27/2007 00:00</v>
      </c>
      <c r="C1977">
        <v>32.799999999999997</v>
      </c>
      <c r="D1977" t="s">
        <v>7</v>
      </c>
      <c r="E1977" s="2" t="s">
        <v>12</v>
      </c>
      <c r="F1977">
        <f t="shared" si="30"/>
        <v>65.042400000000001</v>
      </c>
      <c r="G1977" t="s">
        <v>16</v>
      </c>
      <c r="J1977" t="str">
        <f>"02/27/2007 23:45"</f>
        <v>02/27/2007 23:45</v>
      </c>
    </row>
    <row r="1978" spans="1:10" x14ac:dyDescent="0.3">
      <c r="A1978" t="s">
        <v>6</v>
      </c>
      <c r="B1978" t="str">
        <f>"02/28/2007 00:00"</f>
        <v>02/28/2007 00:00</v>
      </c>
      <c r="C1978">
        <v>26.5</v>
      </c>
      <c r="D1978" t="s">
        <v>7</v>
      </c>
      <c r="E1978" s="2" t="s">
        <v>12</v>
      </c>
      <c r="F1978">
        <f t="shared" si="30"/>
        <v>52.549500000000002</v>
      </c>
      <c r="G1978" t="s">
        <v>16</v>
      </c>
      <c r="J1978" t="str">
        <f>"02/28/2007 23:45"</f>
        <v>02/28/2007 23:45</v>
      </c>
    </row>
    <row r="1979" spans="1:10" x14ac:dyDescent="0.3">
      <c r="A1979" t="s">
        <v>6</v>
      </c>
      <c r="B1979" t="str">
        <f>"03/01/2007 00:00"</f>
        <v>03/01/2007 00:00</v>
      </c>
      <c r="C1979">
        <v>7.5</v>
      </c>
      <c r="D1979" t="s">
        <v>7</v>
      </c>
      <c r="E1979" s="2" t="s">
        <v>12</v>
      </c>
      <c r="F1979">
        <f t="shared" si="30"/>
        <v>14.8725</v>
      </c>
      <c r="G1979" t="s">
        <v>16</v>
      </c>
      <c r="J1979" t="str">
        <f>"03/01/2007 23:45"</f>
        <v>03/01/2007 23:45</v>
      </c>
    </row>
    <row r="1980" spans="1:10" x14ac:dyDescent="0.3">
      <c r="A1980" t="s">
        <v>6</v>
      </c>
      <c r="B1980" t="str">
        <f>"03/02/2007 00:00"</f>
        <v>03/02/2007 00:00</v>
      </c>
      <c r="C1980">
        <v>4.1500000000000004</v>
      </c>
      <c r="D1980" t="s">
        <v>7</v>
      </c>
      <c r="E1980" s="2" t="s">
        <v>12</v>
      </c>
      <c r="F1980">
        <f t="shared" si="30"/>
        <v>8.2294500000000017</v>
      </c>
      <c r="G1980" t="s">
        <v>16</v>
      </c>
      <c r="J1980" t="str">
        <f>"03/02/2007 23:45"</f>
        <v>03/02/2007 23:45</v>
      </c>
    </row>
    <row r="1981" spans="1:10" x14ac:dyDescent="0.3">
      <c r="A1981" t="s">
        <v>6</v>
      </c>
      <c r="B1981" t="str">
        <f>"03/03/2007 00:00"</f>
        <v>03/03/2007 00:00</v>
      </c>
      <c r="C1981">
        <v>1.62</v>
      </c>
      <c r="D1981" t="s">
        <v>7</v>
      </c>
      <c r="E1981" s="2" t="s">
        <v>12</v>
      </c>
      <c r="F1981">
        <f t="shared" si="30"/>
        <v>3.2124600000000005</v>
      </c>
      <c r="G1981" t="s">
        <v>16</v>
      </c>
      <c r="J1981" t="str">
        <f>"03/03/2007 23:45"</f>
        <v>03/03/2007 23:45</v>
      </c>
    </row>
    <row r="1982" spans="1:10" x14ac:dyDescent="0.3">
      <c r="A1982" t="s">
        <v>6</v>
      </c>
      <c r="B1982" t="str">
        <f>"03/04/2007 00:00"</f>
        <v>03/04/2007 00:00</v>
      </c>
      <c r="C1982">
        <v>1.52</v>
      </c>
      <c r="D1982" t="s">
        <v>7</v>
      </c>
      <c r="E1982" s="2" t="s">
        <v>12</v>
      </c>
      <c r="F1982">
        <f t="shared" si="30"/>
        <v>3.0141600000000004</v>
      </c>
      <c r="G1982" t="s">
        <v>16</v>
      </c>
      <c r="J1982" t="str">
        <f>"03/04/2007 23:45"</f>
        <v>03/04/2007 23:45</v>
      </c>
    </row>
    <row r="1983" spans="1:10" x14ac:dyDescent="0.3">
      <c r="A1983" t="s">
        <v>6</v>
      </c>
      <c r="B1983" t="str">
        <f>"03/05/2007 00:00"</f>
        <v>03/05/2007 00:00</v>
      </c>
      <c r="C1983">
        <v>1.34</v>
      </c>
      <c r="D1983" t="s">
        <v>7</v>
      </c>
      <c r="E1983" s="2" t="s">
        <v>12</v>
      </c>
      <c r="F1983">
        <f t="shared" si="30"/>
        <v>2.6572200000000001</v>
      </c>
      <c r="G1983" t="s">
        <v>16</v>
      </c>
      <c r="J1983" t="str">
        <f>"03/05/2007 23:45"</f>
        <v>03/05/2007 23:45</v>
      </c>
    </row>
    <row r="1984" spans="1:10" x14ac:dyDescent="0.3">
      <c r="A1984" t="s">
        <v>6</v>
      </c>
      <c r="B1984" t="str">
        <f>"03/06/2007 00:00"</f>
        <v>03/06/2007 00:00</v>
      </c>
      <c r="C1984">
        <v>1.34</v>
      </c>
      <c r="D1984" t="s">
        <v>7</v>
      </c>
      <c r="E1984" s="2" t="s">
        <v>12</v>
      </c>
      <c r="F1984">
        <f t="shared" si="30"/>
        <v>2.6572200000000001</v>
      </c>
      <c r="G1984" t="s">
        <v>16</v>
      </c>
      <c r="J1984" t="str">
        <f>"03/06/2007 23:45"</f>
        <v>03/06/2007 23:45</v>
      </c>
    </row>
    <row r="1985" spans="1:10" x14ac:dyDescent="0.3">
      <c r="A1985" t="s">
        <v>6</v>
      </c>
      <c r="B1985" t="str">
        <f>"03/07/2007 00:00"</f>
        <v>03/07/2007 00:00</v>
      </c>
      <c r="C1985">
        <v>1.34</v>
      </c>
      <c r="D1985" t="s">
        <v>7</v>
      </c>
      <c r="E1985" s="2" t="s">
        <v>12</v>
      </c>
      <c r="F1985">
        <f t="shared" si="30"/>
        <v>2.6572200000000001</v>
      </c>
      <c r="G1985" t="s">
        <v>16</v>
      </c>
      <c r="J1985" t="str">
        <f>"03/07/2007 23:45"</f>
        <v>03/07/2007 23:45</v>
      </c>
    </row>
    <row r="1986" spans="1:10" x14ac:dyDescent="0.3">
      <c r="A1986" t="s">
        <v>6</v>
      </c>
      <c r="B1986" t="str">
        <f>"03/08/2007 00:00"</f>
        <v>03/08/2007 00:00</v>
      </c>
      <c r="C1986">
        <v>1.24</v>
      </c>
      <c r="D1986" t="s">
        <v>7</v>
      </c>
      <c r="E1986" s="2" t="s">
        <v>12</v>
      </c>
      <c r="F1986">
        <f t="shared" si="30"/>
        <v>2.45892</v>
      </c>
      <c r="G1986" t="s">
        <v>16</v>
      </c>
      <c r="J1986" t="str">
        <f>"03/08/2007 23:45"</f>
        <v>03/08/2007 23:45</v>
      </c>
    </row>
    <row r="1987" spans="1:10" x14ac:dyDescent="0.3">
      <c r="A1987" t="s">
        <v>6</v>
      </c>
      <c r="B1987" t="str">
        <f>"03/09/2007 00:00"</f>
        <v>03/09/2007 00:00</v>
      </c>
      <c r="C1987">
        <v>1.1200000000000001</v>
      </c>
      <c r="D1987" t="s">
        <v>7</v>
      </c>
      <c r="E1987" s="2" t="s">
        <v>12</v>
      </c>
      <c r="F1987">
        <f t="shared" si="30"/>
        <v>2.2209600000000003</v>
      </c>
      <c r="G1987" t="s">
        <v>16</v>
      </c>
      <c r="J1987" t="str">
        <f>"03/09/2007 23:45"</f>
        <v>03/09/2007 23:45</v>
      </c>
    </row>
    <row r="1988" spans="1:10" x14ac:dyDescent="0.3">
      <c r="A1988" t="s">
        <v>6</v>
      </c>
      <c r="B1988" t="str">
        <f>"03/10/2007 00:00"</f>
        <v>03/10/2007 00:00</v>
      </c>
      <c r="C1988">
        <v>1.08</v>
      </c>
      <c r="D1988" t="s">
        <v>7</v>
      </c>
      <c r="E1988" s="2" t="s">
        <v>12</v>
      </c>
      <c r="F1988">
        <f t="shared" ref="F1988:F2051" si="31">C1988*1.983</f>
        <v>2.1416400000000002</v>
      </c>
      <c r="G1988" t="s">
        <v>16</v>
      </c>
      <c r="J1988" t="str">
        <f>"03/10/2007 23:45"</f>
        <v>03/10/2007 23:45</v>
      </c>
    </row>
    <row r="1989" spans="1:10" x14ac:dyDescent="0.3">
      <c r="A1989" t="s">
        <v>6</v>
      </c>
      <c r="B1989" t="str">
        <f>"03/11/2007 00:00"</f>
        <v>03/11/2007 00:00</v>
      </c>
      <c r="C1989">
        <v>1.08</v>
      </c>
      <c r="D1989" t="s">
        <v>7</v>
      </c>
      <c r="E1989" s="2" t="s">
        <v>12</v>
      </c>
      <c r="F1989">
        <f t="shared" si="31"/>
        <v>2.1416400000000002</v>
      </c>
      <c r="G1989" t="s">
        <v>16</v>
      </c>
      <c r="J1989" t="str">
        <f>"03/11/2007 23:45"</f>
        <v>03/11/2007 23:45</v>
      </c>
    </row>
    <row r="1990" spans="1:10" x14ac:dyDescent="0.3">
      <c r="A1990" t="s">
        <v>6</v>
      </c>
      <c r="B1990" t="str">
        <f>"03/12/2007 00:00"</f>
        <v>03/12/2007 00:00</v>
      </c>
      <c r="C1990">
        <v>1.08</v>
      </c>
      <c r="D1990" t="s">
        <v>7</v>
      </c>
      <c r="E1990" s="2" t="s">
        <v>12</v>
      </c>
      <c r="F1990">
        <f t="shared" si="31"/>
        <v>2.1416400000000002</v>
      </c>
      <c r="G1990" t="s">
        <v>16</v>
      </c>
      <c r="J1990" t="str">
        <f>"03/12/2007 23:45"</f>
        <v>03/12/2007 23:45</v>
      </c>
    </row>
    <row r="1991" spans="1:10" x14ac:dyDescent="0.3">
      <c r="A1991" t="s">
        <v>6</v>
      </c>
      <c r="B1991" t="str">
        <f>"03/13/2007 00:00"</f>
        <v>03/13/2007 00:00</v>
      </c>
      <c r="C1991">
        <v>1.08</v>
      </c>
      <c r="D1991" t="s">
        <v>7</v>
      </c>
      <c r="E1991" s="2" t="s">
        <v>12</v>
      </c>
      <c r="F1991">
        <f t="shared" si="31"/>
        <v>2.1416400000000002</v>
      </c>
      <c r="G1991" t="s">
        <v>16</v>
      </c>
      <c r="J1991" t="str">
        <f>"03/13/2007 23:45"</f>
        <v>03/13/2007 23:45</v>
      </c>
    </row>
    <row r="1992" spans="1:10" x14ac:dyDescent="0.3">
      <c r="A1992" t="s">
        <v>6</v>
      </c>
      <c r="B1992" t="str">
        <f>"03/14/2007 00:00"</f>
        <v>03/14/2007 00:00</v>
      </c>
      <c r="C1992">
        <v>1.08</v>
      </c>
      <c r="D1992" t="s">
        <v>7</v>
      </c>
      <c r="E1992" s="2" t="s">
        <v>12</v>
      </c>
      <c r="F1992">
        <f t="shared" si="31"/>
        <v>2.1416400000000002</v>
      </c>
      <c r="G1992" t="s">
        <v>16</v>
      </c>
      <c r="J1992" t="str">
        <f>"03/14/2007 23:45"</f>
        <v>03/14/2007 23:45</v>
      </c>
    </row>
    <row r="1993" spans="1:10" x14ac:dyDescent="0.3">
      <c r="A1993" t="s">
        <v>6</v>
      </c>
      <c r="B1993" t="str">
        <f>"03/15/2007 00:00"</f>
        <v>03/15/2007 00:00</v>
      </c>
      <c r="C1993">
        <v>1.08</v>
      </c>
      <c r="D1993" t="s">
        <v>7</v>
      </c>
      <c r="E1993" s="2" t="s">
        <v>12</v>
      </c>
      <c r="F1993">
        <f t="shared" si="31"/>
        <v>2.1416400000000002</v>
      </c>
      <c r="G1993" t="s">
        <v>16</v>
      </c>
      <c r="J1993" t="str">
        <f>"03/15/2007 23:45"</f>
        <v>03/15/2007 23:45</v>
      </c>
    </row>
    <row r="1994" spans="1:10" x14ac:dyDescent="0.3">
      <c r="A1994" t="s">
        <v>6</v>
      </c>
      <c r="B1994" t="str">
        <f>"03/16/2007 00:00"</f>
        <v>03/16/2007 00:00</v>
      </c>
      <c r="C1994">
        <v>1.08</v>
      </c>
      <c r="D1994" t="s">
        <v>7</v>
      </c>
      <c r="E1994" s="2" t="s">
        <v>12</v>
      </c>
      <c r="F1994">
        <f t="shared" si="31"/>
        <v>2.1416400000000002</v>
      </c>
      <c r="G1994" t="s">
        <v>16</v>
      </c>
      <c r="J1994" t="str">
        <f>"03/16/2007 23:45"</f>
        <v>03/16/2007 23:45</v>
      </c>
    </row>
    <row r="1995" spans="1:10" x14ac:dyDescent="0.3">
      <c r="A1995" t="s">
        <v>6</v>
      </c>
      <c r="B1995" t="str">
        <f>"03/17/2007 00:00"</f>
        <v>03/17/2007 00:00</v>
      </c>
      <c r="C1995">
        <v>1.08</v>
      </c>
      <c r="D1995" t="s">
        <v>7</v>
      </c>
      <c r="E1995" s="2" t="s">
        <v>12</v>
      </c>
      <c r="F1995">
        <f t="shared" si="31"/>
        <v>2.1416400000000002</v>
      </c>
      <c r="G1995" t="s">
        <v>16</v>
      </c>
      <c r="J1995" t="str">
        <f>"03/17/2007 23:45"</f>
        <v>03/17/2007 23:45</v>
      </c>
    </row>
    <row r="1996" spans="1:10" x14ac:dyDescent="0.3">
      <c r="A1996" t="s">
        <v>6</v>
      </c>
      <c r="B1996" t="str">
        <f>"03/18/2007 00:00"</f>
        <v>03/18/2007 00:00</v>
      </c>
      <c r="C1996">
        <v>1.08</v>
      </c>
      <c r="D1996" t="s">
        <v>7</v>
      </c>
      <c r="E1996" s="2" t="s">
        <v>12</v>
      </c>
      <c r="F1996">
        <f t="shared" si="31"/>
        <v>2.1416400000000002</v>
      </c>
      <c r="G1996" t="s">
        <v>16</v>
      </c>
      <c r="J1996" t="str">
        <f>"03/18/2007 23:45"</f>
        <v>03/18/2007 23:45</v>
      </c>
    </row>
    <row r="1997" spans="1:10" x14ac:dyDescent="0.3">
      <c r="A1997" t="s">
        <v>6</v>
      </c>
      <c r="B1997" t="str">
        <f>"03/19/2007 00:00"</f>
        <v>03/19/2007 00:00</v>
      </c>
      <c r="C1997">
        <v>1.08</v>
      </c>
      <c r="D1997" t="s">
        <v>7</v>
      </c>
      <c r="E1997" s="2" t="s">
        <v>12</v>
      </c>
      <c r="F1997">
        <f t="shared" si="31"/>
        <v>2.1416400000000002</v>
      </c>
      <c r="G1997" t="s">
        <v>16</v>
      </c>
      <c r="J1997" t="str">
        <f>"03/19/2007 23:45"</f>
        <v>03/19/2007 23:45</v>
      </c>
    </row>
    <row r="1998" spans="1:10" x14ac:dyDescent="0.3">
      <c r="A1998" t="s">
        <v>6</v>
      </c>
      <c r="B1998" t="str">
        <f>"03/20/2007 00:00"</f>
        <v>03/20/2007 00:00</v>
      </c>
      <c r="C1998">
        <v>1.06</v>
      </c>
      <c r="D1998" t="s">
        <v>7</v>
      </c>
      <c r="E1998" s="2" t="s">
        <v>12</v>
      </c>
      <c r="F1998">
        <f t="shared" si="31"/>
        <v>2.1019800000000002</v>
      </c>
      <c r="G1998" t="s">
        <v>16</v>
      </c>
      <c r="J1998" t="str">
        <f>"03/20/2007 23:45"</f>
        <v>03/20/2007 23:45</v>
      </c>
    </row>
    <row r="1999" spans="1:10" x14ac:dyDescent="0.3">
      <c r="A1999" t="s">
        <v>6</v>
      </c>
      <c r="B1999" t="str">
        <f>"03/21/2007 00:00"</f>
        <v>03/21/2007 00:00</v>
      </c>
      <c r="C1999">
        <v>0.84599999999999997</v>
      </c>
      <c r="D1999" t="s">
        <v>7</v>
      </c>
      <c r="E1999" s="2" t="s">
        <v>12</v>
      </c>
      <c r="F1999">
        <f t="shared" si="31"/>
        <v>1.6776180000000001</v>
      </c>
      <c r="G1999" t="s">
        <v>16</v>
      </c>
      <c r="J1999" t="str">
        <f>"03/21/2007 23:45"</f>
        <v>03/21/2007 23:45</v>
      </c>
    </row>
    <row r="2000" spans="1:10" x14ac:dyDescent="0.3">
      <c r="A2000" t="s">
        <v>6</v>
      </c>
      <c r="B2000" t="str">
        <f>"03/22/2007 00:00"</f>
        <v>03/22/2007 00:00</v>
      </c>
      <c r="C2000">
        <v>0.84599999999999997</v>
      </c>
      <c r="D2000" t="s">
        <v>7</v>
      </c>
      <c r="E2000" s="2" t="s">
        <v>12</v>
      </c>
      <c r="F2000">
        <f t="shared" si="31"/>
        <v>1.6776180000000001</v>
      </c>
      <c r="G2000" t="s">
        <v>16</v>
      </c>
      <c r="J2000" t="str">
        <f>"03/22/2007 23:45"</f>
        <v>03/22/2007 23:45</v>
      </c>
    </row>
    <row r="2001" spans="1:10" x14ac:dyDescent="0.3">
      <c r="A2001" t="s">
        <v>6</v>
      </c>
      <c r="B2001" t="str">
        <f>"03/23/2007 00:00"</f>
        <v>03/23/2007 00:00</v>
      </c>
      <c r="C2001">
        <v>0.84599999999999997</v>
      </c>
      <c r="D2001" t="s">
        <v>7</v>
      </c>
      <c r="E2001" s="2" t="s">
        <v>12</v>
      </c>
      <c r="F2001">
        <f t="shared" si="31"/>
        <v>1.6776180000000001</v>
      </c>
      <c r="G2001" t="s">
        <v>16</v>
      </c>
      <c r="J2001" t="str">
        <f>"03/23/2007 23:45"</f>
        <v>03/23/2007 23:45</v>
      </c>
    </row>
    <row r="2002" spans="1:10" x14ac:dyDescent="0.3">
      <c r="A2002" t="s">
        <v>6</v>
      </c>
      <c r="B2002" t="str">
        <f>"03/24/2007 00:00"</f>
        <v>03/24/2007 00:00</v>
      </c>
      <c r="C2002">
        <v>0.84599999999999997</v>
      </c>
      <c r="D2002" t="s">
        <v>7</v>
      </c>
      <c r="E2002" s="2" t="s">
        <v>12</v>
      </c>
      <c r="F2002">
        <f t="shared" si="31"/>
        <v>1.6776180000000001</v>
      </c>
      <c r="G2002" t="s">
        <v>16</v>
      </c>
      <c r="J2002" t="str">
        <f>"03/24/2007 23:45"</f>
        <v>03/24/2007 23:45</v>
      </c>
    </row>
    <row r="2003" spans="1:10" x14ac:dyDescent="0.3">
      <c r="A2003" t="s">
        <v>6</v>
      </c>
      <c r="B2003" t="str">
        <f>"03/25/2007 00:00"</f>
        <v>03/25/2007 00:00</v>
      </c>
      <c r="C2003">
        <v>0.84599999999999997</v>
      </c>
      <c r="D2003" t="s">
        <v>7</v>
      </c>
      <c r="E2003" s="2" t="s">
        <v>12</v>
      </c>
      <c r="F2003">
        <f t="shared" si="31"/>
        <v>1.6776180000000001</v>
      </c>
      <c r="G2003" t="s">
        <v>16</v>
      </c>
      <c r="J2003" t="str">
        <f>"03/25/2007 23:45"</f>
        <v>03/25/2007 23:45</v>
      </c>
    </row>
    <row r="2004" spans="1:10" x14ac:dyDescent="0.3">
      <c r="A2004" t="s">
        <v>6</v>
      </c>
      <c r="B2004" t="str">
        <f>"03/26/2007 00:00"</f>
        <v>03/26/2007 00:00</v>
      </c>
      <c r="C2004">
        <v>0.84599999999999997</v>
      </c>
      <c r="D2004" t="s">
        <v>7</v>
      </c>
      <c r="E2004" s="2" t="s">
        <v>12</v>
      </c>
      <c r="F2004">
        <f t="shared" si="31"/>
        <v>1.6776180000000001</v>
      </c>
      <c r="G2004" t="s">
        <v>16</v>
      </c>
      <c r="J2004" t="str">
        <f>"03/26/2007 23:45"</f>
        <v>03/26/2007 23:45</v>
      </c>
    </row>
    <row r="2005" spans="1:10" x14ac:dyDescent="0.3">
      <c r="A2005" t="s">
        <v>6</v>
      </c>
      <c r="B2005" t="str">
        <f>"03/27/2007 00:00"</f>
        <v>03/27/2007 00:00</v>
      </c>
      <c r="C2005">
        <v>0.84599999999999997</v>
      </c>
      <c r="D2005" t="s">
        <v>7</v>
      </c>
      <c r="E2005" s="2" t="s">
        <v>12</v>
      </c>
      <c r="F2005">
        <f t="shared" si="31"/>
        <v>1.6776180000000001</v>
      </c>
      <c r="G2005" t="s">
        <v>16</v>
      </c>
      <c r="J2005" t="str">
        <f>"03/27/2007 23:45"</f>
        <v>03/27/2007 23:45</v>
      </c>
    </row>
    <row r="2006" spans="1:10" x14ac:dyDescent="0.3">
      <c r="A2006" t="s">
        <v>6</v>
      </c>
      <c r="B2006" t="str">
        <f>"03/28/2007 00:00"</f>
        <v>03/28/2007 00:00</v>
      </c>
      <c r="C2006">
        <v>0.84599999999999997</v>
      </c>
      <c r="D2006" t="s">
        <v>7</v>
      </c>
      <c r="E2006" s="2" t="s">
        <v>12</v>
      </c>
      <c r="F2006">
        <f t="shared" si="31"/>
        <v>1.6776180000000001</v>
      </c>
      <c r="G2006" t="s">
        <v>16</v>
      </c>
      <c r="J2006" t="str">
        <f>"03/28/2007 23:45"</f>
        <v>03/28/2007 23:45</v>
      </c>
    </row>
    <row r="2007" spans="1:10" x14ac:dyDescent="0.3">
      <c r="A2007" t="s">
        <v>6</v>
      </c>
      <c r="B2007" t="str">
        <f>"03/29/2007 00:00"</f>
        <v>03/29/2007 00:00</v>
      </c>
      <c r="C2007">
        <v>0.84599999999999997</v>
      </c>
      <c r="D2007" t="s">
        <v>7</v>
      </c>
      <c r="E2007" s="2" t="s">
        <v>12</v>
      </c>
      <c r="F2007">
        <f t="shared" si="31"/>
        <v>1.6776180000000001</v>
      </c>
      <c r="G2007" t="s">
        <v>16</v>
      </c>
      <c r="J2007" t="str">
        <f>"03/29/2007 23:45"</f>
        <v>03/29/2007 23:45</v>
      </c>
    </row>
    <row r="2008" spans="1:10" x14ac:dyDescent="0.3">
      <c r="A2008" t="s">
        <v>6</v>
      </c>
      <c r="B2008" t="str">
        <f>"03/30/2007 00:00"</f>
        <v>03/30/2007 00:00</v>
      </c>
      <c r="C2008">
        <v>0.84599999999999997</v>
      </c>
      <c r="D2008" t="s">
        <v>7</v>
      </c>
      <c r="E2008" s="2" t="s">
        <v>12</v>
      </c>
      <c r="F2008">
        <f t="shared" si="31"/>
        <v>1.6776180000000001</v>
      </c>
      <c r="G2008" t="s">
        <v>16</v>
      </c>
      <c r="J2008" t="str">
        <f>"03/30/2007 23:45"</f>
        <v>03/30/2007 23:45</v>
      </c>
    </row>
    <row r="2009" spans="1:10" x14ac:dyDescent="0.3">
      <c r="A2009" t="s">
        <v>6</v>
      </c>
      <c r="B2009" t="str">
        <f>"03/31/2007 00:00"</f>
        <v>03/31/2007 00:00</v>
      </c>
      <c r="C2009">
        <v>0.84599999999999997</v>
      </c>
      <c r="D2009" t="s">
        <v>7</v>
      </c>
      <c r="E2009" s="2" t="s">
        <v>12</v>
      </c>
      <c r="F2009">
        <f t="shared" si="31"/>
        <v>1.6776180000000001</v>
      </c>
      <c r="G2009" t="s">
        <v>16</v>
      </c>
      <c r="J2009" t="str">
        <f>"03/31/2007 23:45"</f>
        <v>03/31/2007 23:45</v>
      </c>
    </row>
    <row r="2010" spans="1:10" x14ac:dyDescent="0.3">
      <c r="A2010" t="s">
        <v>6</v>
      </c>
      <c r="B2010" t="str">
        <f>"04/01/2007 00:00"</f>
        <v>04/01/2007 00:00</v>
      </c>
      <c r="C2010">
        <v>0.84599999999999997</v>
      </c>
      <c r="D2010" t="s">
        <v>7</v>
      </c>
      <c r="E2010" s="2" t="s">
        <v>12</v>
      </c>
      <c r="F2010">
        <f t="shared" si="31"/>
        <v>1.6776180000000001</v>
      </c>
      <c r="G2010" t="s">
        <v>16</v>
      </c>
      <c r="J2010" t="str">
        <f>"04/01/2007 23:45"</f>
        <v>04/01/2007 23:45</v>
      </c>
    </row>
    <row r="2011" spans="1:10" x14ac:dyDescent="0.3">
      <c r="A2011" t="s">
        <v>6</v>
      </c>
      <c r="B2011" t="str">
        <f>"04/02/2007 00:00"</f>
        <v>04/02/2007 00:00</v>
      </c>
      <c r="C2011">
        <v>0.84599999999999997</v>
      </c>
      <c r="D2011" t="s">
        <v>7</v>
      </c>
      <c r="E2011" s="2" t="s">
        <v>12</v>
      </c>
      <c r="F2011">
        <f t="shared" si="31"/>
        <v>1.6776180000000001</v>
      </c>
      <c r="G2011" t="s">
        <v>16</v>
      </c>
      <c r="J2011" t="str">
        <f>"04/02/2007 23:45"</f>
        <v>04/02/2007 23:45</v>
      </c>
    </row>
    <row r="2012" spans="1:10" x14ac:dyDescent="0.3">
      <c r="A2012" t="s">
        <v>6</v>
      </c>
      <c r="B2012" t="str">
        <f>"04/03/2007 00:00"</f>
        <v>04/03/2007 00:00</v>
      </c>
      <c r="C2012">
        <v>0.84599999999999997</v>
      </c>
      <c r="D2012" t="s">
        <v>7</v>
      </c>
      <c r="E2012" s="2" t="s">
        <v>12</v>
      </c>
      <c r="F2012">
        <f t="shared" si="31"/>
        <v>1.6776180000000001</v>
      </c>
      <c r="G2012" t="s">
        <v>16</v>
      </c>
      <c r="J2012" t="str">
        <f>"04/03/2007 23:45"</f>
        <v>04/03/2007 23:45</v>
      </c>
    </row>
    <row r="2013" spans="1:10" x14ac:dyDescent="0.3">
      <c r="A2013" t="s">
        <v>6</v>
      </c>
      <c r="B2013" t="str">
        <f>"04/04/2007 00:00"</f>
        <v>04/04/2007 00:00</v>
      </c>
      <c r="C2013">
        <v>0.84599999999999997</v>
      </c>
      <c r="D2013" t="s">
        <v>7</v>
      </c>
      <c r="E2013" s="2" t="s">
        <v>12</v>
      </c>
      <c r="F2013">
        <f t="shared" si="31"/>
        <v>1.6776180000000001</v>
      </c>
      <c r="G2013" t="s">
        <v>16</v>
      </c>
      <c r="J2013" t="str">
        <f>"04/04/2007 23:45"</f>
        <v>04/04/2007 23:45</v>
      </c>
    </row>
    <row r="2014" spans="1:10" x14ac:dyDescent="0.3">
      <c r="A2014" t="s">
        <v>6</v>
      </c>
      <c r="B2014" t="str">
        <f>"04/05/2007 00:00"</f>
        <v>04/05/2007 00:00</v>
      </c>
      <c r="C2014">
        <v>0.84599999999999997</v>
      </c>
      <c r="D2014" t="s">
        <v>7</v>
      </c>
      <c r="E2014" s="2" t="s">
        <v>12</v>
      </c>
      <c r="F2014">
        <f t="shared" si="31"/>
        <v>1.6776180000000001</v>
      </c>
      <c r="G2014" t="s">
        <v>16</v>
      </c>
      <c r="J2014" t="str">
        <f>"04/05/2007 23:45"</f>
        <v>04/05/2007 23:45</v>
      </c>
    </row>
    <row r="2015" spans="1:10" x14ac:dyDescent="0.3">
      <c r="A2015" t="s">
        <v>6</v>
      </c>
      <c r="B2015" t="str">
        <f>"04/06/2007 00:00"</f>
        <v>04/06/2007 00:00</v>
      </c>
      <c r="C2015">
        <v>0.84599999999999997</v>
      </c>
      <c r="D2015" t="s">
        <v>7</v>
      </c>
      <c r="E2015" s="2" t="s">
        <v>12</v>
      </c>
      <c r="F2015">
        <f t="shared" si="31"/>
        <v>1.6776180000000001</v>
      </c>
      <c r="G2015" t="s">
        <v>16</v>
      </c>
      <c r="J2015" t="str">
        <f>"04/06/2007 23:45"</f>
        <v>04/06/2007 23:45</v>
      </c>
    </row>
    <row r="2016" spans="1:10" x14ac:dyDescent="0.3">
      <c r="A2016" t="s">
        <v>6</v>
      </c>
      <c r="B2016" t="str">
        <f>"04/07/2007 00:00"</f>
        <v>04/07/2007 00:00</v>
      </c>
      <c r="C2016">
        <v>0.84599999999999997</v>
      </c>
      <c r="D2016" t="s">
        <v>7</v>
      </c>
      <c r="E2016" s="2" t="s">
        <v>12</v>
      </c>
      <c r="F2016">
        <f t="shared" si="31"/>
        <v>1.6776180000000001</v>
      </c>
      <c r="G2016" t="s">
        <v>16</v>
      </c>
      <c r="J2016" t="str">
        <f>"04/07/2007 23:45"</f>
        <v>04/07/2007 23:45</v>
      </c>
    </row>
    <row r="2017" spans="1:10" x14ac:dyDescent="0.3">
      <c r="A2017" t="s">
        <v>6</v>
      </c>
      <c r="B2017" t="str">
        <f>"04/08/2007 00:00"</f>
        <v>04/08/2007 00:00</v>
      </c>
      <c r="C2017">
        <v>0.84599999999999997</v>
      </c>
      <c r="D2017" t="s">
        <v>7</v>
      </c>
      <c r="E2017" s="2" t="s">
        <v>12</v>
      </c>
      <c r="F2017">
        <f t="shared" si="31"/>
        <v>1.6776180000000001</v>
      </c>
      <c r="G2017" t="s">
        <v>16</v>
      </c>
      <c r="J2017" t="str">
        <f>"04/08/2007 23:45"</f>
        <v>04/08/2007 23:45</v>
      </c>
    </row>
    <row r="2018" spans="1:10" x14ac:dyDescent="0.3">
      <c r="A2018" t="s">
        <v>6</v>
      </c>
      <c r="B2018" t="str">
        <f>"04/09/2007 00:00"</f>
        <v>04/09/2007 00:00</v>
      </c>
      <c r="C2018">
        <v>0.84599999999999997</v>
      </c>
      <c r="D2018" t="s">
        <v>7</v>
      </c>
      <c r="E2018" s="2" t="s">
        <v>12</v>
      </c>
      <c r="F2018">
        <f t="shared" si="31"/>
        <v>1.6776180000000001</v>
      </c>
      <c r="G2018" t="s">
        <v>16</v>
      </c>
      <c r="J2018" t="str">
        <f>"04/09/2007 23:45"</f>
        <v>04/09/2007 23:45</v>
      </c>
    </row>
    <row r="2019" spans="1:10" x14ac:dyDescent="0.3">
      <c r="A2019" t="s">
        <v>6</v>
      </c>
      <c r="B2019" t="str">
        <f>"04/10/2007 00:00"</f>
        <v>04/10/2007 00:00</v>
      </c>
      <c r="C2019">
        <v>0.84599999999999997</v>
      </c>
      <c r="D2019" t="s">
        <v>7</v>
      </c>
      <c r="E2019" s="2" t="s">
        <v>12</v>
      </c>
      <c r="F2019">
        <f t="shared" si="31"/>
        <v>1.6776180000000001</v>
      </c>
      <c r="G2019" t="s">
        <v>16</v>
      </c>
      <c r="J2019" t="str">
        <f>"04/10/2007 23:45"</f>
        <v>04/10/2007 23:45</v>
      </c>
    </row>
    <row r="2020" spans="1:10" x14ac:dyDescent="0.3">
      <c r="A2020" t="s">
        <v>6</v>
      </c>
      <c r="B2020" t="str">
        <f>"04/11/2007 00:00"</f>
        <v>04/11/2007 00:00</v>
      </c>
      <c r="C2020">
        <v>0.84599999999999997</v>
      </c>
      <c r="D2020" t="s">
        <v>7</v>
      </c>
      <c r="E2020" s="2" t="s">
        <v>12</v>
      </c>
      <c r="F2020">
        <f t="shared" si="31"/>
        <v>1.6776180000000001</v>
      </c>
      <c r="G2020" t="s">
        <v>16</v>
      </c>
      <c r="J2020" t="str">
        <f>"04/11/2007 23:45"</f>
        <v>04/11/2007 23:45</v>
      </c>
    </row>
    <row r="2021" spans="1:10" x14ac:dyDescent="0.3">
      <c r="A2021" t="s">
        <v>6</v>
      </c>
      <c r="B2021" t="str">
        <f>"04/12/2007 00:00"</f>
        <v>04/12/2007 00:00</v>
      </c>
      <c r="C2021">
        <v>0.84599999999999997</v>
      </c>
      <c r="D2021" t="s">
        <v>7</v>
      </c>
      <c r="E2021" s="2" t="s">
        <v>12</v>
      </c>
      <c r="F2021">
        <f t="shared" si="31"/>
        <v>1.6776180000000001</v>
      </c>
      <c r="G2021" t="s">
        <v>16</v>
      </c>
      <c r="J2021" t="str">
        <f>"04/12/2007 23:45"</f>
        <v>04/12/2007 23:45</v>
      </c>
    </row>
    <row r="2022" spans="1:10" x14ac:dyDescent="0.3">
      <c r="A2022" t="s">
        <v>6</v>
      </c>
      <c r="B2022" t="str">
        <f>"04/13/2007 00:00"</f>
        <v>04/13/2007 00:00</v>
      </c>
      <c r="C2022">
        <v>0.84599999999999997</v>
      </c>
      <c r="D2022" t="s">
        <v>7</v>
      </c>
      <c r="E2022" s="2" t="s">
        <v>12</v>
      </c>
      <c r="F2022">
        <f t="shared" si="31"/>
        <v>1.6776180000000001</v>
      </c>
      <c r="G2022" t="s">
        <v>16</v>
      </c>
      <c r="J2022" t="str">
        <f>"04/13/2007 23:45"</f>
        <v>04/13/2007 23:45</v>
      </c>
    </row>
    <row r="2023" spans="1:10" x14ac:dyDescent="0.3">
      <c r="A2023" t="s">
        <v>6</v>
      </c>
      <c r="B2023" t="str">
        <f>"04/14/2007 00:00"</f>
        <v>04/14/2007 00:00</v>
      </c>
      <c r="C2023">
        <v>0.84599999999999997</v>
      </c>
      <c r="D2023" t="s">
        <v>7</v>
      </c>
      <c r="E2023" s="2" t="s">
        <v>12</v>
      </c>
      <c r="F2023">
        <f t="shared" si="31"/>
        <v>1.6776180000000001</v>
      </c>
      <c r="G2023" t="s">
        <v>16</v>
      </c>
      <c r="J2023" t="str">
        <f>"04/14/2007 23:45"</f>
        <v>04/14/2007 23:45</v>
      </c>
    </row>
    <row r="2024" spans="1:10" x14ac:dyDescent="0.3">
      <c r="A2024" t="s">
        <v>6</v>
      </c>
      <c r="B2024" t="str">
        <f>"04/15/2007 00:00"</f>
        <v>04/15/2007 00:00</v>
      </c>
      <c r="C2024">
        <v>0.79</v>
      </c>
      <c r="D2024" t="s">
        <v>7</v>
      </c>
      <c r="E2024" s="2" t="s">
        <v>12</v>
      </c>
      <c r="F2024">
        <f t="shared" si="31"/>
        <v>1.5665700000000002</v>
      </c>
      <c r="G2024" t="s">
        <v>16</v>
      </c>
      <c r="J2024" t="str">
        <f>"04/15/2007 23:45"</f>
        <v>04/15/2007 23:45</v>
      </c>
    </row>
    <row r="2025" spans="1:10" x14ac:dyDescent="0.3">
      <c r="A2025" t="s">
        <v>6</v>
      </c>
      <c r="B2025" t="str">
        <f>"04/16/2007 00:00"</f>
        <v>04/16/2007 00:00</v>
      </c>
      <c r="C2025">
        <v>0.63200000000000001</v>
      </c>
      <c r="D2025" t="s">
        <v>7</v>
      </c>
      <c r="E2025" s="2" t="s">
        <v>12</v>
      </c>
      <c r="F2025">
        <f t="shared" si="31"/>
        <v>1.2532560000000001</v>
      </c>
      <c r="G2025" t="s">
        <v>16</v>
      </c>
      <c r="J2025" t="str">
        <f>"04/16/2007 23:45"</f>
        <v>04/16/2007 23:45</v>
      </c>
    </row>
    <row r="2026" spans="1:10" x14ac:dyDescent="0.3">
      <c r="A2026" t="s">
        <v>6</v>
      </c>
      <c r="B2026" t="str">
        <f>"04/17/2007 00:00"</f>
        <v>04/17/2007 00:00</v>
      </c>
      <c r="C2026">
        <v>0.63200000000000001</v>
      </c>
      <c r="D2026" t="s">
        <v>7</v>
      </c>
      <c r="E2026" s="2" t="s">
        <v>12</v>
      </c>
      <c r="F2026">
        <f t="shared" si="31"/>
        <v>1.2532560000000001</v>
      </c>
      <c r="G2026" t="s">
        <v>16</v>
      </c>
      <c r="J2026" t="str">
        <f>"04/17/2007 23:45"</f>
        <v>04/17/2007 23:45</v>
      </c>
    </row>
    <row r="2027" spans="1:10" x14ac:dyDescent="0.3">
      <c r="A2027" t="s">
        <v>6</v>
      </c>
      <c r="B2027" t="str">
        <f>"04/18/2007 00:00"</f>
        <v>04/18/2007 00:00</v>
      </c>
      <c r="C2027">
        <v>0.63200000000000001</v>
      </c>
      <c r="D2027" t="s">
        <v>7</v>
      </c>
      <c r="E2027" s="2" t="s">
        <v>12</v>
      </c>
      <c r="F2027">
        <f t="shared" si="31"/>
        <v>1.2532560000000001</v>
      </c>
      <c r="G2027" t="s">
        <v>16</v>
      </c>
      <c r="J2027" t="str">
        <f>"04/18/2007 23:45"</f>
        <v>04/18/2007 23:45</v>
      </c>
    </row>
    <row r="2028" spans="1:10" x14ac:dyDescent="0.3">
      <c r="A2028" t="s">
        <v>6</v>
      </c>
      <c r="B2028" t="str">
        <f>"04/19/2007 00:00"</f>
        <v>04/19/2007 00:00</v>
      </c>
      <c r="C2028">
        <v>0.63200000000000001</v>
      </c>
      <c r="D2028" t="s">
        <v>7</v>
      </c>
      <c r="E2028" s="2" t="s">
        <v>12</v>
      </c>
      <c r="F2028">
        <f t="shared" si="31"/>
        <v>1.2532560000000001</v>
      </c>
      <c r="G2028" t="s">
        <v>16</v>
      </c>
      <c r="J2028" t="str">
        <f>"04/19/2007 23:45"</f>
        <v>04/19/2007 23:45</v>
      </c>
    </row>
    <row r="2029" spans="1:10" x14ac:dyDescent="0.3">
      <c r="A2029" t="s">
        <v>6</v>
      </c>
      <c r="B2029" t="str">
        <f>"04/20/2007 00:00"</f>
        <v>04/20/2007 00:00</v>
      </c>
      <c r="C2029">
        <v>0.63200000000000001</v>
      </c>
      <c r="D2029" t="s">
        <v>7</v>
      </c>
      <c r="E2029" s="2" t="s">
        <v>12</v>
      </c>
      <c r="F2029">
        <f t="shared" si="31"/>
        <v>1.2532560000000001</v>
      </c>
      <c r="G2029" t="s">
        <v>16</v>
      </c>
      <c r="J2029" t="str">
        <f>"04/20/2007 23:45"</f>
        <v>04/20/2007 23:45</v>
      </c>
    </row>
    <row r="2030" spans="1:10" x14ac:dyDescent="0.3">
      <c r="A2030" t="s">
        <v>6</v>
      </c>
      <c r="B2030" t="str">
        <f>"04/21/2007 00:00"</f>
        <v>04/21/2007 00:00</v>
      </c>
      <c r="C2030">
        <v>0.63200000000000001</v>
      </c>
      <c r="D2030" t="s">
        <v>7</v>
      </c>
      <c r="E2030" s="2" t="s">
        <v>12</v>
      </c>
      <c r="F2030">
        <f t="shared" si="31"/>
        <v>1.2532560000000001</v>
      </c>
      <c r="G2030" t="s">
        <v>16</v>
      </c>
      <c r="J2030" t="str">
        <f>"04/21/2007 23:45"</f>
        <v>04/21/2007 23:45</v>
      </c>
    </row>
    <row r="2031" spans="1:10" x14ac:dyDescent="0.3">
      <c r="A2031" t="s">
        <v>6</v>
      </c>
      <c r="B2031" t="str">
        <f>"04/22/2007 00:00"</f>
        <v>04/22/2007 00:00</v>
      </c>
      <c r="C2031">
        <v>0.63200000000000001</v>
      </c>
      <c r="D2031" t="s">
        <v>7</v>
      </c>
      <c r="E2031" s="2" t="s">
        <v>12</v>
      </c>
      <c r="F2031">
        <f t="shared" si="31"/>
        <v>1.2532560000000001</v>
      </c>
      <c r="G2031" t="s">
        <v>16</v>
      </c>
      <c r="J2031" t="str">
        <f>"04/22/2007 23:45"</f>
        <v>04/22/2007 23:45</v>
      </c>
    </row>
    <row r="2032" spans="1:10" x14ac:dyDescent="0.3">
      <c r="A2032" t="s">
        <v>6</v>
      </c>
      <c r="B2032" t="str">
        <f>"04/23/2007 00:00"</f>
        <v>04/23/2007 00:00</v>
      </c>
      <c r="C2032">
        <v>0.63200000000000001</v>
      </c>
      <c r="D2032" t="s">
        <v>7</v>
      </c>
      <c r="E2032" s="2" t="s">
        <v>12</v>
      </c>
      <c r="F2032">
        <f t="shared" si="31"/>
        <v>1.2532560000000001</v>
      </c>
      <c r="G2032" t="s">
        <v>16</v>
      </c>
      <c r="J2032" t="str">
        <f>"04/23/2007 23:45"</f>
        <v>04/23/2007 23:45</v>
      </c>
    </row>
    <row r="2033" spans="1:10" x14ac:dyDescent="0.3">
      <c r="A2033" t="s">
        <v>6</v>
      </c>
      <c r="B2033" t="str">
        <f>"04/24/2007 00:00"</f>
        <v>04/24/2007 00:00</v>
      </c>
      <c r="C2033">
        <v>0.63200000000000001</v>
      </c>
      <c r="D2033" t="s">
        <v>7</v>
      </c>
      <c r="E2033" s="2" t="s">
        <v>12</v>
      </c>
      <c r="F2033">
        <f t="shared" si="31"/>
        <v>1.2532560000000001</v>
      </c>
      <c r="G2033" t="s">
        <v>16</v>
      </c>
      <c r="J2033" t="str">
        <f>"04/24/2007 23:45"</f>
        <v>04/24/2007 23:45</v>
      </c>
    </row>
    <row r="2034" spans="1:10" x14ac:dyDescent="0.3">
      <c r="A2034" t="s">
        <v>6</v>
      </c>
      <c r="B2034" t="str">
        <f>"04/25/2007 00:00"</f>
        <v>04/25/2007 00:00</v>
      </c>
      <c r="C2034">
        <v>0.63200000000000001</v>
      </c>
      <c r="D2034" t="s">
        <v>7</v>
      </c>
      <c r="E2034" s="2" t="s">
        <v>12</v>
      </c>
      <c r="F2034">
        <f t="shared" si="31"/>
        <v>1.2532560000000001</v>
      </c>
      <c r="G2034" t="s">
        <v>16</v>
      </c>
      <c r="J2034" t="str">
        <f>"04/25/2007 23:45"</f>
        <v>04/25/2007 23:45</v>
      </c>
    </row>
    <row r="2035" spans="1:10" x14ac:dyDescent="0.3">
      <c r="A2035" t="s">
        <v>6</v>
      </c>
      <c r="B2035" t="str">
        <f>"04/26/2007 00:00"</f>
        <v>04/26/2007 00:00</v>
      </c>
      <c r="C2035">
        <v>0.63200000000000001</v>
      </c>
      <c r="D2035" t="s">
        <v>7</v>
      </c>
      <c r="E2035" s="2" t="s">
        <v>12</v>
      </c>
      <c r="F2035">
        <f t="shared" si="31"/>
        <v>1.2532560000000001</v>
      </c>
      <c r="G2035" t="s">
        <v>16</v>
      </c>
      <c r="J2035" t="str">
        <f>"04/26/2007 23:45"</f>
        <v>04/26/2007 23:45</v>
      </c>
    </row>
    <row r="2036" spans="1:10" x14ac:dyDescent="0.3">
      <c r="A2036" t="s">
        <v>6</v>
      </c>
      <c r="B2036" t="str">
        <f>"04/27/2007 00:00"</f>
        <v>04/27/2007 00:00</v>
      </c>
      <c r="C2036">
        <v>0.63200000000000001</v>
      </c>
      <c r="D2036" t="s">
        <v>7</v>
      </c>
      <c r="E2036" s="2" t="s">
        <v>12</v>
      </c>
      <c r="F2036">
        <f t="shared" si="31"/>
        <v>1.2532560000000001</v>
      </c>
      <c r="G2036" t="s">
        <v>16</v>
      </c>
      <c r="J2036" t="str">
        <f>"04/27/2007 23:45"</f>
        <v>04/27/2007 23:45</v>
      </c>
    </row>
    <row r="2037" spans="1:10" x14ac:dyDescent="0.3">
      <c r="A2037" t="s">
        <v>6</v>
      </c>
      <c r="B2037" t="str">
        <f>"04/28/2007 00:00"</f>
        <v>04/28/2007 00:00</v>
      </c>
      <c r="C2037">
        <v>0.63200000000000001</v>
      </c>
      <c r="D2037" t="s">
        <v>7</v>
      </c>
      <c r="E2037" s="2" t="s">
        <v>12</v>
      </c>
      <c r="F2037">
        <f t="shared" si="31"/>
        <v>1.2532560000000001</v>
      </c>
      <c r="G2037" t="s">
        <v>16</v>
      </c>
      <c r="J2037" t="str">
        <f>"04/28/2007 23:45"</f>
        <v>04/28/2007 23:45</v>
      </c>
    </row>
    <row r="2038" spans="1:10" x14ac:dyDescent="0.3">
      <c r="A2038" t="s">
        <v>6</v>
      </c>
      <c r="B2038" t="str">
        <f>"04/29/2007 00:00"</f>
        <v>04/29/2007 00:00</v>
      </c>
      <c r="C2038">
        <v>0.63200000000000001</v>
      </c>
      <c r="D2038" t="s">
        <v>7</v>
      </c>
      <c r="E2038" s="2" t="s">
        <v>12</v>
      </c>
      <c r="F2038">
        <f t="shared" si="31"/>
        <v>1.2532560000000001</v>
      </c>
      <c r="G2038" t="s">
        <v>16</v>
      </c>
      <c r="J2038" t="str">
        <f>"04/29/2007 23:45"</f>
        <v>04/29/2007 23:45</v>
      </c>
    </row>
    <row r="2039" spans="1:10" x14ac:dyDescent="0.3">
      <c r="A2039" t="s">
        <v>6</v>
      </c>
      <c r="B2039" t="str">
        <f>"04/30/2007 00:00"</f>
        <v>04/30/2007 00:00</v>
      </c>
      <c r="C2039">
        <v>0.63200000000000001</v>
      </c>
      <c r="D2039" t="s">
        <v>7</v>
      </c>
      <c r="E2039" s="2" t="s">
        <v>12</v>
      </c>
      <c r="F2039">
        <f t="shared" si="31"/>
        <v>1.2532560000000001</v>
      </c>
      <c r="G2039" t="s">
        <v>16</v>
      </c>
      <c r="J2039" t="str">
        <f>"04/30/2007 23:45"</f>
        <v>04/30/2007 23:45</v>
      </c>
    </row>
    <row r="2040" spans="1:10" x14ac:dyDescent="0.3">
      <c r="A2040" t="s">
        <v>6</v>
      </c>
      <c r="B2040" t="str">
        <f>"05/01/2007 00:00"</f>
        <v>05/01/2007 00:00</v>
      </c>
      <c r="C2040">
        <v>0.63200000000000001</v>
      </c>
      <c r="D2040" t="s">
        <v>7</v>
      </c>
      <c r="E2040" s="2" t="s">
        <v>12</v>
      </c>
      <c r="F2040">
        <f t="shared" si="31"/>
        <v>1.2532560000000001</v>
      </c>
      <c r="G2040" t="s">
        <v>16</v>
      </c>
      <c r="J2040" t="str">
        <f>"05/01/2007 23:45"</f>
        <v>05/01/2007 23:45</v>
      </c>
    </row>
    <row r="2041" spans="1:10" x14ac:dyDescent="0.3">
      <c r="A2041" t="s">
        <v>6</v>
      </c>
      <c r="B2041" t="str">
        <f>"05/02/2007 00:00"</f>
        <v>05/02/2007 00:00</v>
      </c>
      <c r="C2041">
        <v>0.63200000000000001</v>
      </c>
      <c r="D2041" t="s">
        <v>7</v>
      </c>
      <c r="E2041" s="2" t="s">
        <v>12</v>
      </c>
      <c r="F2041">
        <f t="shared" si="31"/>
        <v>1.2532560000000001</v>
      </c>
      <c r="G2041" t="s">
        <v>16</v>
      </c>
      <c r="J2041" t="str">
        <f>"05/02/2007 23:45"</f>
        <v>05/02/2007 23:45</v>
      </c>
    </row>
    <row r="2042" spans="1:10" x14ac:dyDescent="0.3">
      <c r="A2042" t="s">
        <v>6</v>
      </c>
      <c r="B2042" t="str">
        <f>"05/03/2007 00:00"</f>
        <v>05/03/2007 00:00</v>
      </c>
      <c r="C2042">
        <v>0.63200000000000001</v>
      </c>
      <c r="D2042" t="s">
        <v>7</v>
      </c>
      <c r="E2042" s="2" t="s">
        <v>12</v>
      </c>
      <c r="F2042">
        <f t="shared" si="31"/>
        <v>1.2532560000000001</v>
      </c>
      <c r="G2042" t="s">
        <v>16</v>
      </c>
      <c r="J2042" t="str">
        <f>"05/03/2007 23:45"</f>
        <v>05/03/2007 23:45</v>
      </c>
    </row>
    <row r="2043" spans="1:10" x14ac:dyDescent="0.3">
      <c r="A2043" t="s">
        <v>6</v>
      </c>
      <c r="B2043" t="str">
        <f>"05/04/2007 00:00"</f>
        <v>05/04/2007 00:00</v>
      </c>
      <c r="C2043">
        <v>0.63200000000000001</v>
      </c>
      <c r="D2043" t="s">
        <v>7</v>
      </c>
      <c r="E2043" s="2" t="s">
        <v>12</v>
      </c>
      <c r="F2043">
        <f t="shared" si="31"/>
        <v>1.2532560000000001</v>
      </c>
      <c r="G2043" t="s">
        <v>16</v>
      </c>
      <c r="J2043" t="str">
        <f>"05/04/2007 23:45"</f>
        <v>05/04/2007 23:45</v>
      </c>
    </row>
    <row r="2044" spans="1:10" x14ac:dyDescent="0.3">
      <c r="A2044" t="s">
        <v>6</v>
      </c>
      <c r="B2044" t="str">
        <f>"05/05/2007 00:00"</f>
        <v>05/05/2007 00:00</v>
      </c>
      <c r="C2044">
        <v>0.6</v>
      </c>
      <c r="D2044" t="s">
        <v>7</v>
      </c>
      <c r="E2044" s="2" t="s">
        <v>12</v>
      </c>
      <c r="F2044">
        <f t="shared" si="31"/>
        <v>1.1898</v>
      </c>
      <c r="G2044" t="s">
        <v>16</v>
      </c>
      <c r="J2044" t="str">
        <f>"05/05/2007 23:45"</f>
        <v>05/05/2007 23:45</v>
      </c>
    </row>
    <row r="2045" spans="1:10" x14ac:dyDescent="0.3">
      <c r="A2045" t="s">
        <v>6</v>
      </c>
      <c r="B2045" t="str">
        <f>"05/06/2007 00:00"</f>
        <v>05/06/2007 00:00</v>
      </c>
      <c r="C2045">
        <v>0.48</v>
      </c>
      <c r="D2045" t="s">
        <v>7</v>
      </c>
      <c r="E2045" s="2" t="s">
        <v>12</v>
      </c>
      <c r="F2045">
        <f t="shared" si="31"/>
        <v>0.95184000000000002</v>
      </c>
      <c r="G2045" t="s">
        <v>16</v>
      </c>
      <c r="J2045" t="str">
        <f>"05/06/2007 23:45"</f>
        <v>05/06/2007 23:45</v>
      </c>
    </row>
    <row r="2046" spans="1:10" x14ac:dyDescent="0.3">
      <c r="A2046" t="s">
        <v>6</v>
      </c>
      <c r="B2046" t="str">
        <f>"05/07/2007 00:00"</f>
        <v>05/07/2007 00:00</v>
      </c>
      <c r="C2046">
        <v>0.442</v>
      </c>
      <c r="D2046" t="s">
        <v>7</v>
      </c>
      <c r="E2046" s="2" t="s">
        <v>12</v>
      </c>
      <c r="F2046">
        <f t="shared" si="31"/>
        <v>0.8764860000000001</v>
      </c>
      <c r="G2046" t="s">
        <v>16</v>
      </c>
      <c r="J2046" t="str">
        <f>"05/07/2007 23:45"</f>
        <v>05/07/2007 23:45</v>
      </c>
    </row>
    <row r="2047" spans="1:10" x14ac:dyDescent="0.3">
      <c r="A2047" t="s">
        <v>6</v>
      </c>
      <c r="B2047" t="str">
        <f>"05/08/2007 00:00"</f>
        <v>05/08/2007 00:00</v>
      </c>
      <c r="C2047">
        <v>2.15</v>
      </c>
      <c r="D2047" t="s">
        <v>7</v>
      </c>
      <c r="E2047" s="2" t="s">
        <v>12</v>
      </c>
      <c r="F2047">
        <f t="shared" si="31"/>
        <v>4.2634499999999997</v>
      </c>
      <c r="G2047" t="s">
        <v>16</v>
      </c>
      <c r="J2047" t="str">
        <f>"05/08/2007 23:45"</f>
        <v>05/08/2007 23:45</v>
      </c>
    </row>
    <row r="2048" spans="1:10" x14ac:dyDescent="0.3">
      <c r="A2048" t="s">
        <v>6</v>
      </c>
      <c r="B2048" t="str">
        <f>"05/09/2007 00:00"</f>
        <v>05/09/2007 00:00</v>
      </c>
      <c r="C2048">
        <v>1.47</v>
      </c>
      <c r="D2048" t="s">
        <v>7</v>
      </c>
      <c r="E2048" s="2" t="s">
        <v>12</v>
      </c>
      <c r="F2048">
        <f t="shared" si="31"/>
        <v>2.9150100000000001</v>
      </c>
      <c r="G2048" t="s">
        <v>16</v>
      </c>
      <c r="J2048" t="str">
        <f>"05/09/2007 23:45"</f>
        <v>05/09/2007 23:45</v>
      </c>
    </row>
    <row r="2049" spans="1:10" x14ac:dyDescent="0.3">
      <c r="A2049" t="s">
        <v>6</v>
      </c>
      <c r="B2049" t="str">
        <f>"05/10/2007 00:00"</f>
        <v>05/10/2007 00:00</v>
      </c>
      <c r="C2049">
        <v>1.34</v>
      </c>
      <c r="D2049" t="s">
        <v>7</v>
      </c>
      <c r="E2049" s="2" t="s">
        <v>12</v>
      </c>
      <c r="F2049">
        <f t="shared" si="31"/>
        <v>2.6572200000000001</v>
      </c>
      <c r="G2049" t="s">
        <v>16</v>
      </c>
      <c r="J2049" t="str">
        <f>"05/10/2007 23:45"</f>
        <v>05/10/2007 23:45</v>
      </c>
    </row>
    <row r="2050" spans="1:10" x14ac:dyDescent="0.3">
      <c r="A2050" t="s">
        <v>6</v>
      </c>
      <c r="B2050" t="str">
        <f>"05/11/2007 00:00"</f>
        <v>05/11/2007 00:00</v>
      </c>
      <c r="C2050">
        <v>1.34</v>
      </c>
      <c r="D2050" t="s">
        <v>7</v>
      </c>
      <c r="E2050" s="2" t="s">
        <v>12</v>
      </c>
      <c r="F2050">
        <f t="shared" si="31"/>
        <v>2.6572200000000001</v>
      </c>
      <c r="G2050" t="s">
        <v>16</v>
      </c>
      <c r="J2050" t="str">
        <f>"05/11/2007 23:45"</f>
        <v>05/11/2007 23:45</v>
      </c>
    </row>
    <row r="2051" spans="1:10" x14ac:dyDescent="0.3">
      <c r="A2051" t="s">
        <v>6</v>
      </c>
      <c r="B2051" t="str">
        <f>"05/12/2007 00:00"</f>
        <v>05/12/2007 00:00</v>
      </c>
      <c r="C2051">
        <v>1.27</v>
      </c>
      <c r="D2051" t="s">
        <v>7</v>
      </c>
      <c r="E2051" s="2" t="s">
        <v>12</v>
      </c>
      <c r="F2051">
        <f t="shared" si="31"/>
        <v>2.5184100000000003</v>
      </c>
      <c r="G2051" t="s">
        <v>16</v>
      </c>
      <c r="J2051" t="str">
        <f>"05/12/2007 23:45"</f>
        <v>05/12/2007 23:45</v>
      </c>
    </row>
    <row r="2052" spans="1:10" x14ac:dyDescent="0.3">
      <c r="A2052" t="s">
        <v>6</v>
      </c>
      <c r="B2052" t="str">
        <f>"05/13/2007 00:00"</f>
        <v>05/13/2007 00:00</v>
      </c>
      <c r="C2052">
        <v>1.52</v>
      </c>
      <c r="D2052" t="s">
        <v>7</v>
      </c>
      <c r="E2052" s="2" t="s">
        <v>12</v>
      </c>
      <c r="F2052">
        <f t="shared" ref="F2052:F2115" si="32">C2052*1.983</f>
        <v>3.0141600000000004</v>
      </c>
      <c r="G2052" t="s">
        <v>16</v>
      </c>
      <c r="J2052" t="str">
        <f>"05/13/2007 23:45"</f>
        <v>05/13/2007 23:45</v>
      </c>
    </row>
    <row r="2053" spans="1:10" x14ac:dyDescent="0.3">
      <c r="A2053" t="s">
        <v>6</v>
      </c>
      <c r="B2053" t="str">
        <f>"05/14/2007 00:00"</f>
        <v>05/14/2007 00:00</v>
      </c>
      <c r="C2053">
        <v>1.47</v>
      </c>
      <c r="D2053" t="s">
        <v>7</v>
      </c>
      <c r="E2053" s="2" t="s">
        <v>12</v>
      </c>
      <c r="F2053">
        <f t="shared" si="32"/>
        <v>2.9150100000000001</v>
      </c>
      <c r="G2053" t="s">
        <v>16</v>
      </c>
      <c r="J2053" t="str">
        <f>"05/14/2007 23:45"</f>
        <v>05/14/2007 23:45</v>
      </c>
    </row>
    <row r="2054" spans="1:10" x14ac:dyDescent="0.3">
      <c r="A2054" t="s">
        <v>6</v>
      </c>
      <c r="B2054" t="str">
        <f>"05/15/2007 00:00"</f>
        <v>05/15/2007 00:00</v>
      </c>
      <c r="C2054">
        <v>1.54</v>
      </c>
      <c r="D2054" t="s">
        <v>7</v>
      </c>
      <c r="E2054" s="2" t="s">
        <v>12</v>
      </c>
      <c r="F2054">
        <f t="shared" si="32"/>
        <v>3.0538200000000004</v>
      </c>
      <c r="G2054" t="s">
        <v>16</v>
      </c>
      <c r="J2054" t="str">
        <f>"05/15/2007 23:45"</f>
        <v>05/15/2007 23:45</v>
      </c>
    </row>
    <row r="2055" spans="1:10" x14ac:dyDescent="0.3">
      <c r="A2055" t="s">
        <v>6</v>
      </c>
      <c r="B2055" t="str">
        <f>"05/16/2007 00:00"</f>
        <v>05/16/2007 00:00</v>
      </c>
      <c r="C2055">
        <v>1.62</v>
      </c>
      <c r="D2055" t="s">
        <v>7</v>
      </c>
      <c r="E2055" s="2" t="s">
        <v>12</v>
      </c>
      <c r="F2055">
        <f t="shared" si="32"/>
        <v>3.2124600000000005</v>
      </c>
      <c r="G2055" t="s">
        <v>16</v>
      </c>
      <c r="J2055" t="str">
        <f>"05/16/2007 23:45"</f>
        <v>05/16/2007 23:45</v>
      </c>
    </row>
    <row r="2056" spans="1:10" x14ac:dyDescent="0.3">
      <c r="A2056" t="s">
        <v>6</v>
      </c>
      <c r="B2056" t="str">
        <f>"05/17/2007 00:00"</f>
        <v>05/17/2007 00:00</v>
      </c>
      <c r="C2056">
        <v>1.62</v>
      </c>
      <c r="D2056" t="s">
        <v>7</v>
      </c>
      <c r="E2056" s="2" t="s">
        <v>12</v>
      </c>
      <c r="F2056">
        <f t="shared" si="32"/>
        <v>3.2124600000000005</v>
      </c>
      <c r="G2056" t="s">
        <v>16</v>
      </c>
      <c r="J2056" t="str">
        <f>"05/17/2007 23:45"</f>
        <v>05/17/2007 23:45</v>
      </c>
    </row>
    <row r="2057" spans="1:10" x14ac:dyDescent="0.3">
      <c r="A2057" t="s">
        <v>6</v>
      </c>
      <c r="B2057" t="str">
        <f>"05/18/2007 00:00"</f>
        <v>05/18/2007 00:00</v>
      </c>
      <c r="C2057">
        <v>1.62</v>
      </c>
      <c r="D2057" t="s">
        <v>7</v>
      </c>
      <c r="E2057" s="2" t="s">
        <v>12</v>
      </c>
      <c r="F2057">
        <f t="shared" si="32"/>
        <v>3.2124600000000005</v>
      </c>
      <c r="G2057" t="s">
        <v>16</v>
      </c>
      <c r="J2057" t="str">
        <f>"05/18/2007 23:45"</f>
        <v>05/18/2007 23:45</v>
      </c>
    </row>
    <row r="2058" spans="1:10" x14ac:dyDescent="0.3">
      <c r="A2058" t="s">
        <v>6</v>
      </c>
      <c r="B2058" t="str">
        <f>"05/19/2007 00:00"</f>
        <v>05/19/2007 00:00</v>
      </c>
      <c r="C2058">
        <v>1.62</v>
      </c>
      <c r="D2058" t="s">
        <v>7</v>
      </c>
      <c r="E2058" s="2" t="s">
        <v>12</v>
      </c>
      <c r="F2058">
        <f t="shared" si="32"/>
        <v>3.2124600000000005</v>
      </c>
      <c r="G2058" t="s">
        <v>16</v>
      </c>
      <c r="J2058" t="str">
        <f>"05/19/2007 23:45"</f>
        <v>05/19/2007 23:45</v>
      </c>
    </row>
    <row r="2059" spans="1:10" x14ac:dyDescent="0.3">
      <c r="A2059" t="s">
        <v>6</v>
      </c>
      <c r="B2059" t="str">
        <f>"05/20/2007 00:00"</f>
        <v>05/20/2007 00:00</v>
      </c>
      <c r="C2059">
        <v>1.62</v>
      </c>
      <c r="D2059" t="s">
        <v>7</v>
      </c>
      <c r="E2059" s="2" t="s">
        <v>12</v>
      </c>
      <c r="F2059">
        <f t="shared" si="32"/>
        <v>3.2124600000000005</v>
      </c>
      <c r="G2059" t="s">
        <v>16</v>
      </c>
      <c r="J2059" t="str">
        <f>"05/20/2007 23:45"</f>
        <v>05/20/2007 23:45</v>
      </c>
    </row>
    <row r="2060" spans="1:10" x14ac:dyDescent="0.3">
      <c r="A2060" t="s">
        <v>6</v>
      </c>
      <c r="B2060" t="str">
        <f>"05/21/2007 00:00"</f>
        <v>05/21/2007 00:00</v>
      </c>
      <c r="C2060">
        <v>1.81</v>
      </c>
      <c r="D2060" t="s">
        <v>7</v>
      </c>
      <c r="E2060" s="2" t="s">
        <v>12</v>
      </c>
      <c r="F2060">
        <f t="shared" si="32"/>
        <v>3.5892300000000001</v>
      </c>
      <c r="G2060" t="s">
        <v>16</v>
      </c>
      <c r="J2060" t="str">
        <f>"05/21/2007 23:45"</f>
        <v>05/21/2007 23:45</v>
      </c>
    </row>
    <row r="2061" spans="1:10" x14ac:dyDescent="0.3">
      <c r="A2061" t="s">
        <v>6</v>
      </c>
      <c r="B2061" t="str">
        <f>"05/22/2007 00:00"</f>
        <v>05/22/2007 00:00</v>
      </c>
      <c r="C2061">
        <v>1.92</v>
      </c>
      <c r="D2061" t="s">
        <v>7</v>
      </c>
      <c r="E2061" s="2" t="s">
        <v>12</v>
      </c>
      <c r="F2061">
        <f t="shared" si="32"/>
        <v>3.8073600000000001</v>
      </c>
      <c r="G2061" t="s">
        <v>16</v>
      </c>
      <c r="J2061" t="str">
        <f>"05/22/2007 23:45"</f>
        <v>05/22/2007 23:45</v>
      </c>
    </row>
    <row r="2062" spans="1:10" x14ac:dyDescent="0.3">
      <c r="A2062" t="s">
        <v>6</v>
      </c>
      <c r="B2062" t="str">
        <f>"05/23/2007 00:00"</f>
        <v>05/23/2007 00:00</v>
      </c>
      <c r="C2062">
        <v>1.71</v>
      </c>
      <c r="D2062" t="s">
        <v>7</v>
      </c>
      <c r="E2062" s="2" t="s">
        <v>12</v>
      </c>
      <c r="F2062">
        <f t="shared" si="32"/>
        <v>3.39093</v>
      </c>
      <c r="G2062" t="s">
        <v>16</v>
      </c>
      <c r="J2062" t="str">
        <f>"05/23/2007 23:45"</f>
        <v>05/23/2007 23:45</v>
      </c>
    </row>
    <row r="2063" spans="1:10" x14ac:dyDescent="0.3">
      <c r="A2063" t="s">
        <v>6</v>
      </c>
      <c r="B2063" t="str">
        <f>"05/24/2007 00:00"</f>
        <v>05/24/2007 00:00</v>
      </c>
      <c r="C2063">
        <v>1.66</v>
      </c>
      <c r="D2063" t="s">
        <v>7</v>
      </c>
      <c r="E2063" s="2" t="s">
        <v>12</v>
      </c>
      <c r="F2063">
        <f t="shared" si="32"/>
        <v>3.2917800000000002</v>
      </c>
      <c r="G2063" t="s">
        <v>16</v>
      </c>
      <c r="J2063" t="str">
        <f>"05/24/2007 23:45"</f>
        <v>05/24/2007 23:45</v>
      </c>
    </row>
    <row r="2064" spans="1:10" x14ac:dyDescent="0.3">
      <c r="A2064" t="s">
        <v>6</v>
      </c>
      <c r="B2064" t="str">
        <f>"05/25/2007 00:00"</f>
        <v>05/25/2007 00:00</v>
      </c>
      <c r="C2064">
        <v>1.69</v>
      </c>
      <c r="D2064" t="s">
        <v>7</v>
      </c>
      <c r="E2064" s="2" t="s">
        <v>12</v>
      </c>
      <c r="F2064">
        <f t="shared" si="32"/>
        <v>3.35127</v>
      </c>
      <c r="G2064" t="s">
        <v>16</v>
      </c>
      <c r="J2064" t="str">
        <f>"05/25/2007 23:45"</f>
        <v>05/25/2007 23:45</v>
      </c>
    </row>
    <row r="2065" spans="1:10" x14ac:dyDescent="0.3">
      <c r="A2065" t="s">
        <v>6</v>
      </c>
      <c r="B2065" t="str">
        <f>"05/26/2007 00:00"</f>
        <v>05/26/2007 00:00</v>
      </c>
      <c r="C2065">
        <v>1.92</v>
      </c>
      <c r="D2065" t="s">
        <v>7</v>
      </c>
      <c r="E2065" s="2" t="s">
        <v>12</v>
      </c>
      <c r="F2065">
        <f t="shared" si="32"/>
        <v>3.8073600000000001</v>
      </c>
      <c r="G2065" t="s">
        <v>16</v>
      </c>
      <c r="J2065" t="str">
        <f>"05/26/2007 23:45"</f>
        <v>05/26/2007 23:45</v>
      </c>
    </row>
    <row r="2066" spans="1:10" x14ac:dyDescent="0.3">
      <c r="A2066" t="s">
        <v>6</v>
      </c>
      <c r="B2066" t="str">
        <f>"05/27/2007 00:00"</f>
        <v>05/27/2007 00:00</v>
      </c>
      <c r="C2066">
        <v>1.77</v>
      </c>
      <c r="D2066" t="s">
        <v>7</v>
      </c>
      <c r="E2066" s="2" t="s">
        <v>12</v>
      </c>
      <c r="F2066">
        <f t="shared" si="32"/>
        <v>3.5099100000000001</v>
      </c>
      <c r="G2066" t="s">
        <v>16</v>
      </c>
      <c r="J2066" t="str">
        <f>"05/27/2007 23:45"</f>
        <v>05/27/2007 23:45</v>
      </c>
    </row>
    <row r="2067" spans="1:10" x14ac:dyDescent="0.3">
      <c r="A2067" t="s">
        <v>6</v>
      </c>
      <c r="B2067" t="str">
        <f>"05/28/2007 00:00"</f>
        <v>05/28/2007 00:00</v>
      </c>
      <c r="C2067">
        <v>2.0499999999999998</v>
      </c>
      <c r="D2067" t="s">
        <v>7</v>
      </c>
      <c r="E2067" s="2" t="s">
        <v>12</v>
      </c>
      <c r="F2067">
        <f t="shared" si="32"/>
        <v>4.06515</v>
      </c>
      <c r="G2067" t="s">
        <v>16</v>
      </c>
      <c r="J2067" t="str">
        <f>"05/28/2007 23:45"</f>
        <v>05/28/2007 23:45</v>
      </c>
    </row>
    <row r="2068" spans="1:10" x14ac:dyDescent="0.3">
      <c r="A2068" t="s">
        <v>6</v>
      </c>
      <c r="B2068" t="str">
        <f>"05/29/2007 00:00"</f>
        <v>05/29/2007 00:00</v>
      </c>
      <c r="C2068">
        <v>1.95</v>
      </c>
      <c r="D2068" t="s">
        <v>7</v>
      </c>
      <c r="E2068" s="2" t="s">
        <v>12</v>
      </c>
      <c r="F2068">
        <f t="shared" si="32"/>
        <v>3.8668499999999999</v>
      </c>
      <c r="G2068" t="s">
        <v>16</v>
      </c>
      <c r="J2068" t="str">
        <f>"05/29/2007 23:45"</f>
        <v>05/29/2007 23:45</v>
      </c>
    </row>
    <row r="2069" spans="1:10" x14ac:dyDescent="0.3">
      <c r="A2069" t="s">
        <v>6</v>
      </c>
      <c r="B2069" t="str">
        <f>"05/30/2007 00:00"</f>
        <v>05/30/2007 00:00</v>
      </c>
      <c r="C2069">
        <v>1.99</v>
      </c>
      <c r="D2069" t="s">
        <v>7</v>
      </c>
      <c r="E2069" s="2" t="s">
        <v>12</v>
      </c>
      <c r="F2069">
        <f t="shared" si="32"/>
        <v>3.94617</v>
      </c>
      <c r="G2069" t="s">
        <v>16</v>
      </c>
      <c r="J2069" t="str">
        <f>"05/30/2007 23:45"</f>
        <v>05/30/2007 23:45</v>
      </c>
    </row>
    <row r="2070" spans="1:10" x14ac:dyDescent="0.3">
      <c r="A2070" t="s">
        <v>6</v>
      </c>
      <c r="B2070" t="str">
        <f>"05/31/2007 00:00"</f>
        <v>05/31/2007 00:00</v>
      </c>
      <c r="C2070">
        <v>2.23</v>
      </c>
      <c r="D2070" t="s">
        <v>7</v>
      </c>
      <c r="E2070" s="2" t="s">
        <v>12</v>
      </c>
      <c r="F2070">
        <f t="shared" si="32"/>
        <v>4.4220899999999999</v>
      </c>
      <c r="G2070" t="s">
        <v>16</v>
      </c>
      <c r="J2070" t="str">
        <f>"05/31/2007 23:45"</f>
        <v>05/31/2007 23:45</v>
      </c>
    </row>
    <row r="2071" spans="1:10" x14ac:dyDescent="0.3">
      <c r="A2071" t="s">
        <v>6</v>
      </c>
      <c r="B2071" t="str">
        <f>"06/01/2007 00:00"</f>
        <v>06/01/2007 00:00</v>
      </c>
      <c r="C2071">
        <v>2.1</v>
      </c>
      <c r="D2071" t="s">
        <v>7</v>
      </c>
      <c r="E2071" s="2" t="s">
        <v>12</v>
      </c>
      <c r="F2071">
        <f t="shared" si="32"/>
        <v>4.1643000000000008</v>
      </c>
      <c r="G2071" t="s">
        <v>16</v>
      </c>
      <c r="J2071" t="str">
        <f>"06/01/2007 23:45"</f>
        <v>06/01/2007 23:45</v>
      </c>
    </row>
    <row r="2072" spans="1:10" x14ac:dyDescent="0.3">
      <c r="A2072" t="s">
        <v>6</v>
      </c>
      <c r="B2072" t="str">
        <f>"06/02/2007 00:00"</f>
        <v>06/02/2007 00:00</v>
      </c>
      <c r="C2072">
        <v>2.17</v>
      </c>
      <c r="D2072" t="s">
        <v>7</v>
      </c>
      <c r="E2072" s="2" t="s">
        <v>12</v>
      </c>
      <c r="F2072">
        <f t="shared" si="32"/>
        <v>4.3031100000000002</v>
      </c>
      <c r="G2072" t="s">
        <v>16</v>
      </c>
      <c r="J2072" t="str">
        <f>"06/02/2007 23:45"</f>
        <v>06/02/2007 23:45</v>
      </c>
    </row>
    <row r="2073" spans="1:10" x14ac:dyDescent="0.3">
      <c r="A2073" t="s">
        <v>6</v>
      </c>
      <c r="B2073" t="str">
        <f>"06/03/2007 00:00"</f>
        <v>06/03/2007 00:00</v>
      </c>
      <c r="C2073">
        <v>1.97</v>
      </c>
      <c r="D2073" t="s">
        <v>7</v>
      </c>
      <c r="E2073" s="2" t="s">
        <v>12</v>
      </c>
      <c r="F2073">
        <f t="shared" si="32"/>
        <v>3.9065099999999999</v>
      </c>
      <c r="G2073" t="s">
        <v>16</v>
      </c>
      <c r="J2073" t="str">
        <f>"06/03/2007 23:45"</f>
        <v>06/03/2007 23:45</v>
      </c>
    </row>
    <row r="2074" spans="1:10" x14ac:dyDescent="0.3">
      <c r="A2074" t="s">
        <v>6</v>
      </c>
      <c r="B2074" t="str">
        <f>"06/04/2007 00:00"</f>
        <v>06/04/2007 00:00</v>
      </c>
      <c r="C2074">
        <v>2.19</v>
      </c>
      <c r="D2074" t="s">
        <v>7</v>
      </c>
      <c r="E2074" s="2" t="s">
        <v>12</v>
      </c>
      <c r="F2074">
        <f t="shared" si="32"/>
        <v>4.3427699999999998</v>
      </c>
      <c r="G2074" t="s">
        <v>16</v>
      </c>
      <c r="J2074" t="str">
        <f>"06/04/2007 23:45"</f>
        <v>06/04/2007 23:45</v>
      </c>
    </row>
    <row r="2075" spans="1:10" x14ac:dyDescent="0.3">
      <c r="A2075" t="s">
        <v>6</v>
      </c>
      <c r="B2075" t="str">
        <f>"06/05/2007 00:00"</f>
        <v>06/05/2007 00:00</v>
      </c>
      <c r="C2075">
        <v>1.85</v>
      </c>
      <c r="D2075" t="s">
        <v>7</v>
      </c>
      <c r="E2075" s="2" t="s">
        <v>12</v>
      </c>
      <c r="F2075">
        <f t="shared" si="32"/>
        <v>3.6685500000000002</v>
      </c>
      <c r="G2075" t="s">
        <v>16</v>
      </c>
      <c r="J2075" t="str">
        <f>"06/05/2007 23:45"</f>
        <v>06/05/2007 23:45</v>
      </c>
    </row>
    <row r="2076" spans="1:10" x14ac:dyDescent="0.3">
      <c r="A2076" t="s">
        <v>6</v>
      </c>
      <c r="B2076" t="str">
        <f>"06/06/2007 00:00"</f>
        <v>06/06/2007 00:00</v>
      </c>
      <c r="C2076">
        <v>2.38</v>
      </c>
      <c r="D2076" t="s">
        <v>7</v>
      </c>
      <c r="E2076" s="2" t="s">
        <v>12</v>
      </c>
      <c r="F2076">
        <f t="shared" si="32"/>
        <v>4.7195400000000003</v>
      </c>
      <c r="G2076" t="s">
        <v>16</v>
      </c>
      <c r="J2076" t="str">
        <f>"06/06/2007 23:45"</f>
        <v>06/06/2007 23:45</v>
      </c>
    </row>
    <row r="2077" spans="1:10" x14ac:dyDescent="0.3">
      <c r="A2077" t="s">
        <v>6</v>
      </c>
      <c r="B2077" t="str">
        <f>"06/07/2007 00:00"</f>
        <v>06/07/2007 00:00</v>
      </c>
      <c r="C2077">
        <v>2.29</v>
      </c>
      <c r="D2077" t="s">
        <v>7</v>
      </c>
      <c r="E2077" s="2" t="s">
        <v>12</v>
      </c>
      <c r="F2077">
        <f t="shared" si="32"/>
        <v>4.5410700000000004</v>
      </c>
      <c r="G2077" t="s">
        <v>16</v>
      </c>
      <c r="J2077" t="str">
        <f>"06/07/2007 23:45"</f>
        <v>06/07/2007 23:45</v>
      </c>
    </row>
    <row r="2078" spans="1:10" x14ac:dyDescent="0.3">
      <c r="A2078" t="s">
        <v>6</v>
      </c>
      <c r="B2078" t="str">
        <f>"06/08/2007 00:00"</f>
        <v>06/08/2007 00:00</v>
      </c>
      <c r="C2078">
        <v>2.56</v>
      </c>
      <c r="D2078" t="s">
        <v>7</v>
      </c>
      <c r="E2078" s="2" t="s">
        <v>12</v>
      </c>
      <c r="F2078">
        <f t="shared" si="32"/>
        <v>5.0764800000000001</v>
      </c>
      <c r="G2078" t="s">
        <v>16</v>
      </c>
      <c r="J2078" t="str">
        <f>"06/08/2007 23:45"</f>
        <v>06/08/2007 23:45</v>
      </c>
    </row>
    <row r="2079" spans="1:10" x14ac:dyDescent="0.3">
      <c r="A2079" t="s">
        <v>6</v>
      </c>
      <c r="B2079" t="str">
        <f>"06/09/2007 00:00"</f>
        <v>06/09/2007 00:00</v>
      </c>
      <c r="C2079">
        <v>2.06</v>
      </c>
      <c r="D2079" t="s">
        <v>7</v>
      </c>
      <c r="E2079" s="2" t="s">
        <v>12</v>
      </c>
      <c r="F2079">
        <f t="shared" si="32"/>
        <v>4.0849800000000007</v>
      </c>
      <c r="G2079" t="s">
        <v>16</v>
      </c>
      <c r="J2079" t="str">
        <f>"06/09/2007 23:45"</f>
        <v>06/09/2007 23:45</v>
      </c>
    </row>
    <row r="2080" spans="1:10" x14ac:dyDescent="0.3">
      <c r="A2080" t="s">
        <v>6</v>
      </c>
      <c r="B2080" t="str">
        <f>"06/10/2007 00:00"</f>
        <v>06/10/2007 00:00</v>
      </c>
      <c r="C2080">
        <v>1.62</v>
      </c>
      <c r="D2080" t="s">
        <v>7</v>
      </c>
      <c r="E2080" s="2" t="s">
        <v>12</v>
      </c>
      <c r="F2080">
        <f t="shared" si="32"/>
        <v>3.2124600000000005</v>
      </c>
      <c r="G2080" t="s">
        <v>16</v>
      </c>
      <c r="J2080" t="str">
        <f>"06/10/2007 23:45"</f>
        <v>06/10/2007 23:45</v>
      </c>
    </row>
    <row r="2081" spans="1:10" x14ac:dyDescent="0.3">
      <c r="A2081" t="s">
        <v>6</v>
      </c>
      <c r="B2081" t="str">
        <f>"06/11/2007 00:00"</f>
        <v>06/11/2007 00:00</v>
      </c>
      <c r="C2081">
        <v>1.62</v>
      </c>
      <c r="D2081" t="s">
        <v>7</v>
      </c>
      <c r="E2081" s="2" t="s">
        <v>12</v>
      </c>
      <c r="F2081">
        <f t="shared" si="32"/>
        <v>3.2124600000000005</v>
      </c>
      <c r="G2081" t="s">
        <v>16</v>
      </c>
      <c r="J2081" t="str">
        <f>"06/11/2007 23:45"</f>
        <v>06/11/2007 23:45</v>
      </c>
    </row>
    <row r="2082" spans="1:10" x14ac:dyDescent="0.3">
      <c r="A2082" t="s">
        <v>6</v>
      </c>
      <c r="B2082" t="str">
        <f>"06/12/2007 00:00"</f>
        <v>06/12/2007 00:00</v>
      </c>
      <c r="C2082">
        <v>1.65</v>
      </c>
      <c r="D2082" t="s">
        <v>7</v>
      </c>
      <c r="E2082" s="2" t="s">
        <v>12</v>
      </c>
      <c r="F2082">
        <f t="shared" si="32"/>
        <v>3.2719499999999999</v>
      </c>
      <c r="G2082" t="s">
        <v>16</v>
      </c>
      <c r="J2082" t="str">
        <f>"06/12/2007 23:45"</f>
        <v>06/12/2007 23:45</v>
      </c>
    </row>
    <row r="2083" spans="1:10" x14ac:dyDescent="0.3">
      <c r="A2083" t="s">
        <v>6</v>
      </c>
      <c r="B2083" t="str">
        <f>"06/13/2007 00:00"</f>
        <v>06/13/2007 00:00</v>
      </c>
      <c r="C2083">
        <v>1.96</v>
      </c>
      <c r="D2083" t="s">
        <v>7</v>
      </c>
      <c r="E2083" s="2" t="s">
        <v>12</v>
      </c>
      <c r="F2083">
        <f t="shared" si="32"/>
        <v>3.8866800000000001</v>
      </c>
      <c r="G2083" t="s">
        <v>16</v>
      </c>
      <c r="J2083" t="str">
        <f>"06/13/2007 23:45"</f>
        <v>06/13/2007 23:45</v>
      </c>
    </row>
    <row r="2084" spans="1:10" x14ac:dyDescent="0.3">
      <c r="A2084" t="s">
        <v>6</v>
      </c>
      <c r="B2084" t="str">
        <f>"06/14/2007 00:00"</f>
        <v>06/14/2007 00:00</v>
      </c>
      <c r="C2084">
        <v>2.23</v>
      </c>
      <c r="D2084" t="s">
        <v>7</v>
      </c>
      <c r="E2084" s="2" t="s">
        <v>12</v>
      </c>
      <c r="F2084">
        <f t="shared" si="32"/>
        <v>4.4220899999999999</v>
      </c>
      <c r="G2084" t="s">
        <v>16</v>
      </c>
      <c r="J2084" t="str">
        <f>"06/14/2007 23:45"</f>
        <v>06/14/2007 23:45</v>
      </c>
    </row>
    <row r="2085" spans="1:10" x14ac:dyDescent="0.3">
      <c r="A2085" t="s">
        <v>6</v>
      </c>
      <c r="B2085" t="str">
        <f>"06/15/2007 00:00"</f>
        <v>06/15/2007 00:00</v>
      </c>
      <c r="C2085">
        <v>2.23</v>
      </c>
      <c r="D2085" t="s">
        <v>7</v>
      </c>
      <c r="E2085" s="2" t="s">
        <v>12</v>
      </c>
      <c r="F2085">
        <f t="shared" si="32"/>
        <v>4.4220899999999999</v>
      </c>
      <c r="G2085" t="s">
        <v>16</v>
      </c>
      <c r="J2085" t="str">
        <f>"06/15/2007 23:45"</f>
        <v>06/15/2007 23:45</v>
      </c>
    </row>
    <row r="2086" spans="1:10" x14ac:dyDescent="0.3">
      <c r="A2086" t="s">
        <v>6</v>
      </c>
      <c r="B2086" t="str">
        <f>"06/16/2007 00:00"</f>
        <v>06/16/2007 00:00</v>
      </c>
      <c r="C2086">
        <v>1.97</v>
      </c>
      <c r="D2086" t="s">
        <v>7</v>
      </c>
      <c r="E2086" s="2" t="s">
        <v>12</v>
      </c>
      <c r="F2086">
        <f t="shared" si="32"/>
        <v>3.9065099999999999</v>
      </c>
      <c r="G2086" t="s">
        <v>16</v>
      </c>
      <c r="J2086" t="str">
        <f>"06/16/2007 23:45"</f>
        <v>06/16/2007 23:45</v>
      </c>
    </row>
    <row r="2087" spans="1:10" x14ac:dyDescent="0.3">
      <c r="A2087" t="s">
        <v>6</v>
      </c>
      <c r="B2087" t="str">
        <f>"06/17/2007 00:00"</f>
        <v>06/17/2007 00:00</v>
      </c>
      <c r="C2087">
        <v>1.92</v>
      </c>
      <c r="D2087" t="s">
        <v>7</v>
      </c>
      <c r="E2087" s="2" t="s">
        <v>12</v>
      </c>
      <c r="F2087">
        <f t="shared" si="32"/>
        <v>3.8073600000000001</v>
      </c>
      <c r="G2087" t="s">
        <v>16</v>
      </c>
      <c r="J2087" t="str">
        <f>"06/17/2007 23:45"</f>
        <v>06/17/2007 23:45</v>
      </c>
    </row>
    <row r="2088" spans="1:10" x14ac:dyDescent="0.3">
      <c r="A2088" t="s">
        <v>6</v>
      </c>
      <c r="B2088" t="str">
        <f>"06/18/2007 00:00"</f>
        <v>06/18/2007 00:00</v>
      </c>
      <c r="C2088">
        <v>1.92</v>
      </c>
      <c r="D2088" t="s">
        <v>7</v>
      </c>
      <c r="E2088" s="2" t="s">
        <v>12</v>
      </c>
      <c r="F2088">
        <f t="shared" si="32"/>
        <v>3.8073600000000001</v>
      </c>
      <c r="G2088" t="s">
        <v>16</v>
      </c>
      <c r="J2088" t="str">
        <f>"06/18/2007 23:45"</f>
        <v>06/18/2007 23:45</v>
      </c>
    </row>
    <row r="2089" spans="1:10" x14ac:dyDescent="0.3">
      <c r="A2089" t="s">
        <v>6</v>
      </c>
      <c r="B2089" t="str">
        <f>"06/19/2007 00:00"</f>
        <v>06/19/2007 00:00</v>
      </c>
      <c r="C2089">
        <v>2.1800000000000002</v>
      </c>
      <c r="D2089" t="s">
        <v>7</v>
      </c>
      <c r="E2089" s="2" t="s">
        <v>12</v>
      </c>
      <c r="F2089">
        <f t="shared" si="32"/>
        <v>4.3229400000000009</v>
      </c>
      <c r="G2089" t="s">
        <v>16</v>
      </c>
      <c r="J2089" t="str">
        <f>"06/19/2007 23:45"</f>
        <v>06/19/2007 23:45</v>
      </c>
    </row>
    <row r="2090" spans="1:10" x14ac:dyDescent="0.3">
      <c r="A2090" t="s">
        <v>6</v>
      </c>
      <c r="B2090" t="str">
        <f>"06/20/2007 00:00"</f>
        <v>06/20/2007 00:00</v>
      </c>
      <c r="C2090">
        <v>2.15</v>
      </c>
      <c r="D2090" t="s">
        <v>7</v>
      </c>
      <c r="E2090" s="2" t="s">
        <v>12</v>
      </c>
      <c r="F2090">
        <f t="shared" si="32"/>
        <v>4.2634499999999997</v>
      </c>
      <c r="G2090" t="s">
        <v>16</v>
      </c>
      <c r="J2090" t="str">
        <f>"06/20/2007 23:45"</f>
        <v>06/20/2007 23:45</v>
      </c>
    </row>
    <row r="2091" spans="1:10" x14ac:dyDescent="0.3">
      <c r="A2091" t="s">
        <v>6</v>
      </c>
      <c r="B2091" t="str">
        <f>"06/21/2007 00:00"</f>
        <v>06/21/2007 00:00</v>
      </c>
      <c r="C2091">
        <v>1.92</v>
      </c>
      <c r="D2091" t="s">
        <v>7</v>
      </c>
      <c r="E2091" s="2" t="s">
        <v>12</v>
      </c>
      <c r="F2091">
        <f t="shared" si="32"/>
        <v>3.8073600000000001</v>
      </c>
      <c r="G2091" t="s">
        <v>16</v>
      </c>
      <c r="J2091" t="str">
        <f>"06/21/2007 23:45"</f>
        <v>06/21/2007 23:45</v>
      </c>
    </row>
    <row r="2092" spans="1:10" x14ac:dyDescent="0.3">
      <c r="A2092" t="s">
        <v>6</v>
      </c>
      <c r="B2092" t="str">
        <f>"06/22/2007 00:00"</f>
        <v>06/22/2007 00:00</v>
      </c>
      <c r="C2092">
        <v>94.3</v>
      </c>
      <c r="D2092" t="s">
        <v>7</v>
      </c>
      <c r="E2092" s="2" t="s">
        <v>12</v>
      </c>
      <c r="F2092">
        <f t="shared" si="32"/>
        <v>186.99690000000001</v>
      </c>
      <c r="G2092" t="s">
        <v>16</v>
      </c>
      <c r="J2092" t="str">
        <f>"06/22/2007 23:45"</f>
        <v>06/22/2007 23:45</v>
      </c>
    </row>
    <row r="2093" spans="1:10" x14ac:dyDescent="0.3">
      <c r="A2093" t="s">
        <v>6</v>
      </c>
      <c r="B2093" t="str">
        <f>"06/23/2007 00:00"</f>
        <v>06/23/2007 00:00</v>
      </c>
      <c r="C2093">
        <v>187</v>
      </c>
      <c r="D2093" t="s">
        <v>7</v>
      </c>
      <c r="E2093" s="2" t="s">
        <v>12</v>
      </c>
      <c r="F2093">
        <f t="shared" si="32"/>
        <v>370.82100000000003</v>
      </c>
      <c r="G2093" t="s">
        <v>16</v>
      </c>
      <c r="J2093" t="str">
        <f>"06/23/2007 23:45"</f>
        <v>06/23/2007 23:45</v>
      </c>
    </row>
    <row r="2094" spans="1:10" x14ac:dyDescent="0.3">
      <c r="A2094" t="s">
        <v>6</v>
      </c>
      <c r="B2094" t="str">
        <f>"06/24/2007 00:00"</f>
        <v>06/24/2007 00:00</v>
      </c>
      <c r="C2094">
        <v>210</v>
      </c>
      <c r="D2094" t="s">
        <v>7</v>
      </c>
      <c r="E2094" s="2" t="s">
        <v>12</v>
      </c>
      <c r="F2094">
        <f t="shared" si="32"/>
        <v>416.43</v>
      </c>
      <c r="G2094" t="s">
        <v>16</v>
      </c>
      <c r="J2094" t="str">
        <f>"06/24/2007 23:45"</f>
        <v>06/24/2007 23:45</v>
      </c>
    </row>
    <row r="2095" spans="1:10" x14ac:dyDescent="0.3">
      <c r="A2095" t="s">
        <v>6</v>
      </c>
      <c r="B2095" t="str">
        <f>"06/25/2007 00:00"</f>
        <v>06/25/2007 00:00</v>
      </c>
      <c r="C2095">
        <v>265</v>
      </c>
      <c r="D2095" t="s">
        <v>7</v>
      </c>
      <c r="E2095" s="2" t="s">
        <v>12</v>
      </c>
      <c r="F2095">
        <f t="shared" si="32"/>
        <v>525.495</v>
      </c>
      <c r="G2095" t="s">
        <v>16</v>
      </c>
      <c r="J2095" t="str">
        <f>"06/25/2007 23:45"</f>
        <v>06/25/2007 23:45</v>
      </c>
    </row>
    <row r="2096" spans="1:10" x14ac:dyDescent="0.3">
      <c r="A2096" t="s">
        <v>6</v>
      </c>
      <c r="B2096" t="str">
        <f>"06/26/2007 00:00"</f>
        <v>06/26/2007 00:00</v>
      </c>
      <c r="C2096">
        <v>269</v>
      </c>
      <c r="D2096" t="s">
        <v>7</v>
      </c>
      <c r="E2096" s="2" t="s">
        <v>12</v>
      </c>
      <c r="F2096">
        <f t="shared" si="32"/>
        <v>533.42700000000002</v>
      </c>
      <c r="G2096" t="s">
        <v>16</v>
      </c>
      <c r="J2096" t="str">
        <f>"06/26/2007 23:45"</f>
        <v>06/26/2007 23:45</v>
      </c>
    </row>
    <row r="2097" spans="1:10" x14ac:dyDescent="0.3">
      <c r="A2097" t="s">
        <v>6</v>
      </c>
      <c r="B2097" t="str">
        <f>"06/27/2007 00:00"</f>
        <v>06/27/2007 00:00</v>
      </c>
      <c r="C2097">
        <v>243</v>
      </c>
      <c r="D2097" t="s">
        <v>7</v>
      </c>
      <c r="E2097" s="2" t="s">
        <v>12</v>
      </c>
      <c r="F2097">
        <f t="shared" si="32"/>
        <v>481.86900000000003</v>
      </c>
      <c r="G2097" t="s">
        <v>16</v>
      </c>
      <c r="J2097" t="str">
        <f>"06/27/2007 23:45"</f>
        <v>06/27/2007 23:45</v>
      </c>
    </row>
    <row r="2098" spans="1:10" x14ac:dyDescent="0.3">
      <c r="A2098" t="s">
        <v>6</v>
      </c>
      <c r="B2098" t="str">
        <f>"06/28/2007 00:00"</f>
        <v>06/28/2007 00:00</v>
      </c>
      <c r="C2098">
        <v>268</v>
      </c>
      <c r="D2098" t="s">
        <v>7</v>
      </c>
      <c r="E2098" s="2" t="s">
        <v>12</v>
      </c>
      <c r="F2098">
        <f t="shared" si="32"/>
        <v>531.44400000000007</v>
      </c>
      <c r="G2098" t="s">
        <v>16</v>
      </c>
      <c r="J2098" t="str">
        <f>"06/28/2007 23:45"</f>
        <v>06/28/2007 23:45</v>
      </c>
    </row>
    <row r="2099" spans="1:10" x14ac:dyDescent="0.3">
      <c r="A2099" t="s">
        <v>6</v>
      </c>
      <c r="B2099" t="str">
        <f>"06/29/2007 00:00"</f>
        <v>06/29/2007 00:00</v>
      </c>
      <c r="C2099">
        <v>408</v>
      </c>
      <c r="D2099" t="s">
        <v>7</v>
      </c>
      <c r="E2099" s="2" t="s">
        <v>12</v>
      </c>
      <c r="F2099">
        <f t="shared" si="32"/>
        <v>809.06400000000008</v>
      </c>
      <c r="G2099" t="s">
        <v>16</v>
      </c>
      <c r="J2099" t="str">
        <f>"06/29/2007 23:45"</f>
        <v>06/29/2007 23:45</v>
      </c>
    </row>
    <row r="2100" spans="1:10" x14ac:dyDescent="0.3">
      <c r="A2100" t="s">
        <v>6</v>
      </c>
      <c r="B2100" t="str">
        <f>"06/30/2007 00:00"</f>
        <v>06/30/2007 00:00</v>
      </c>
      <c r="C2100">
        <v>453</v>
      </c>
      <c r="D2100" t="s">
        <v>7</v>
      </c>
      <c r="E2100" s="2" t="s">
        <v>12</v>
      </c>
      <c r="F2100">
        <f t="shared" si="32"/>
        <v>898.29900000000009</v>
      </c>
      <c r="G2100" t="s">
        <v>16</v>
      </c>
      <c r="J2100" t="str">
        <f>"06/30/2007 23:45"</f>
        <v>06/30/2007 23:45</v>
      </c>
    </row>
    <row r="2101" spans="1:10" x14ac:dyDescent="0.3">
      <c r="A2101" t="s">
        <v>6</v>
      </c>
      <c r="B2101" t="str">
        <f>"07/01/2007 00:00"</f>
        <v>07/01/2007 00:00</v>
      </c>
      <c r="C2101">
        <v>453</v>
      </c>
      <c r="D2101" t="s">
        <v>7</v>
      </c>
      <c r="E2101" s="2" t="s">
        <v>12</v>
      </c>
      <c r="F2101">
        <f t="shared" si="32"/>
        <v>898.29900000000009</v>
      </c>
      <c r="G2101" t="s">
        <v>16</v>
      </c>
      <c r="J2101" t="str">
        <f>"07/01/2007 23:45"</f>
        <v>07/01/2007 23:45</v>
      </c>
    </row>
    <row r="2102" spans="1:10" x14ac:dyDescent="0.3">
      <c r="A2102" t="s">
        <v>6</v>
      </c>
      <c r="B2102" t="str">
        <f>"07/02/2007 00:00"</f>
        <v>07/02/2007 00:00</v>
      </c>
      <c r="C2102">
        <v>479</v>
      </c>
      <c r="D2102" t="s">
        <v>7</v>
      </c>
      <c r="E2102" s="2" t="s">
        <v>12</v>
      </c>
      <c r="F2102">
        <f t="shared" si="32"/>
        <v>949.85700000000008</v>
      </c>
      <c r="G2102" t="s">
        <v>16</v>
      </c>
      <c r="J2102" t="str">
        <f>"07/02/2007 23:45"</f>
        <v>07/02/2007 23:45</v>
      </c>
    </row>
    <row r="2103" spans="1:10" x14ac:dyDescent="0.3">
      <c r="A2103" t="s">
        <v>6</v>
      </c>
      <c r="B2103" t="str">
        <f>"07/03/2007 00:00"</f>
        <v>07/03/2007 00:00</v>
      </c>
      <c r="C2103">
        <v>451</v>
      </c>
      <c r="D2103" t="s">
        <v>7</v>
      </c>
      <c r="E2103" s="2" t="s">
        <v>12</v>
      </c>
      <c r="F2103">
        <f t="shared" si="32"/>
        <v>894.33300000000008</v>
      </c>
      <c r="G2103" t="s">
        <v>16</v>
      </c>
      <c r="J2103" t="str">
        <f>"07/03/2007 23:45"</f>
        <v>07/03/2007 23:45</v>
      </c>
    </row>
    <row r="2104" spans="1:10" x14ac:dyDescent="0.3">
      <c r="A2104" t="s">
        <v>6</v>
      </c>
      <c r="B2104" t="str">
        <f>"07/04/2007 00:00"</f>
        <v>07/04/2007 00:00</v>
      </c>
      <c r="C2104">
        <v>394</v>
      </c>
      <c r="D2104" t="s">
        <v>7</v>
      </c>
      <c r="E2104" s="2" t="s">
        <v>12</v>
      </c>
      <c r="F2104">
        <f t="shared" si="32"/>
        <v>781.30200000000002</v>
      </c>
      <c r="G2104" t="s">
        <v>16</v>
      </c>
      <c r="J2104" t="str">
        <f>"07/04/2007 23:45"</f>
        <v>07/04/2007 23:45</v>
      </c>
    </row>
    <row r="2105" spans="1:10" x14ac:dyDescent="0.3">
      <c r="A2105" t="s">
        <v>6</v>
      </c>
      <c r="B2105" t="str">
        <f>"07/05/2007 00:00"</f>
        <v>07/05/2007 00:00</v>
      </c>
      <c r="C2105">
        <v>347</v>
      </c>
      <c r="D2105" t="s">
        <v>7</v>
      </c>
      <c r="E2105" s="2" t="s">
        <v>12</v>
      </c>
      <c r="F2105">
        <f t="shared" si="32"/>
        <v>688.101</v>
      </c>
      <c r="G2105" t="s">
        <v>16</v>
      </c>
      <c r="J2105" t="str">
        <f>"07/05/2007 23:45"</f>
        <v>07/05/2007 23:45</v>
      </c>
    </row>
    <row r="2106" spans="1:10" x14ac:dyDescent="0.3">
      <c r="A2106" t="s">
        <v>6</v>
      </c>
      <c r="B2106" t="str">
        <f>"07/06/2007 00:00"</f>
        <v>07/06/2007 00:00</v>
      </c>
      <c r="C2106">
        <v>307</v>
      </c>
      <c r="D2106" t="s">
        <v>7</v>
      </c>
      <c r="E2106" s="2" t="s">
        <v>12</v>
      </c>
      <c r="F2106">
        <f t="shared" si="32"/>
        <v>608.78100000000006</v>
      </c>
      <c r="G2106" t="s">
        <v>16</v>
      </c>
      <c r="J2106" t="str">
        <f>"07/06/2007 23:45"</f>
        <v>07/06/2007 23:45</v>
      </c>
    </row>
    <row r="2107" spans="1:10" x14ac:dyDescent="0.3">
      <c r="A2107" t="s">
        <v>6</v>
      </c>
      <c r="B2107" t="str">
        <f>"07/07/2007 00:00"</f>
        <v>07/07/2007 00:00</v>
      </c>
      <c r="C2107">
        <v>307</v>
      </c>
      <c r="D2107" t="s">
        <v>7</v>
      </c>
      <c r="E2107" s="2" t="s">
        <v>12</v>
      </c>
      <c r="F2107">
        <f t="shared" si="32"/>
        <v>608.78100000000006</v>
      </c>
      <c r="G2107" t="s">
        <v>16</v>
      </c>
      <c r="J2107" t="str">
        <f>"07/07/2007 23:45"</f>
        <v>07/07/2007 23:45</v>
      </c>
    </row>
    <row r="2108" spans="1:10" x14ac:dyDescent="0.3">
      <c r="A2108" t="s">
        <v>6</v>
      </c>
      <c r="B2108" t="str">
        <f>"07/08/2007 00:00"</f>
        <v>07/08/2007 00:00</v>
      </c>
      <c r="C2108">
        <v>306</v>
      </c>
      <c r="D2108" t="s">
        <v>7</v>
      </c>
      <c r="E2108" s="2" t="s">
        <v>12</v>
      </c>
      <c r="F2108">
        <f t="shared" si="32"/>
        <v>606.798</v>
      </c>
      <c r="G2108" t="s">
        <v>16</v>
      </c>
      <c r="J2108" t="str">
        <f>"07/08/2007 23:45"</f>
        <v>07/08/2007 23:45</v>
      </c>
    </row>
    <row r="2109" spans="1:10" x14ac:dyDescent="0.3">
      <c r="A2109" t="s">
        <v>6</v>
      </c>
      <c r="B2109" t="str">
        <f>"07/09/2007 00:00"</f>
        <v>07/09/2007 00:00</v>
      </c>
      <c r="C2109">
        <v>304</v>
      </c>
      <c r="D2109" t="s">
        <v>7</v>
      </c>
      <c r="E2109" s="2" t="s">
        <v>12</v>
      </c>
      <c r="F2109">
        <f t="shared" si="32"/>
        <v>602.83199999999999</v>
      </c>
      <c r="G2109" t="s">
        <v>16</v>
      </c>
      <c r="J2109" t="str">
        <f>"07/09/2007 23:45"</f>
        <v>07/09/2007 23:45</v>
      </c>
    </row>
    <row r="2110" spans="1:10" x14ac:dyDescent="0.3">
      <c r="A2110" t="s">
        <v>6</v>
      </c>
      <c r="B2110" t="str">
        <f>"07/10/2007 00:00"</f>
        <v>07/10/2007 00:00</v>
      </c>
      <c r="C2110">
        <v>304</v>
      </c>
      <c r="D2110" t="s">
        <v>7</v>
      </c>
      <c r="E2110" s="2" t="s">
        <v>12</v>
      </c>
      <c r="F2110">
        <f t="shared" si="32"/>
        <v>602.83199999999999</v>
      </c>
      <c r="G2110" t="s">
        <v>16</v>
      </c>
      <c r="J2110" t="str">
        <f>"07/10/2007 23:45"</f>
        <v>07/10/2007 23:45</v>
      </c>
    </row>
    <row r="2111" spans="1:10" x14ac:dyDescent="0.3">
      <c r="A2111" t="s">
        <v>6</v>
      </c>
      <c r="B2111" t="str">
        <f>"07/11/2007 00:00"</f>
        <v>07/11/2007 00:00</v>
      </c>
      <c r="C2111">
        <v>321</v>
      </c>
      <c r="D2111" t="s">
        <v>7</v>
      </c>
      <c r="E2111" s="2" t="s">
        <v>12</v>
      </c>
      <c r="F2111">
        <f t="shared" si="32"/>
        <v>636.54300000000001</v>
      </c>
      <c r="G2111" t="s">
        <v>16</v>
      </c>
      <c r="J2111" t="str">
        <f>"07/11/2007 23:45"</f>
        <v>07/11/2007 23:45</v>
      </c>
    </row>
    <row r="2112" spans="1:10" x14ac:dyDescent="0.3">
      <c r="A2112" t="s">
        <v>6</v>
      </c>
      <c r="B2112" t="str">
        <f>"07/12/2007 00:00"</f>
        <v>07/12/2007 00:00</v>
      </c>
      <c r="C2112">
        <v>410</v>
      </c>
      <c r="D2112" t="s">
        <v>7</v>
      </c>
      <c r="E2112" s="2" t="s">
        <v>12</v>
      </c>
      <c r="F2112">
        <f t="shared" si="32"/>
        <v>813.03000000000009</v>
      </c>
      <c r="G2112" t="s">
        <v>16</v>
      </c>
      <c r="J2112" t="str">
        <f>"07/12/2007 23:45"</f>
        <v>07/12/2007 23:45</v>
      </c>
    </row>
    <row r="2113" spans="1:10" x14ac:dyDescent="0.3">
      <c r="A2113" t="s">
        <v>6</v>
      </c>
      <c r="B2113" t="str">
        <f>"07/13/2007 00:00"</f>
        <v>07/13/2007 00:00</v>
      </c>
      <c r="C2113">
        <v>457</v>
      </c>
      <c r="D2113" t="s">
        <v>7</v>
      </c>
      <c r="E2113" s="2" t="s">
        <v>12</v>
      </c>
      <c r="F2113">
        <f t="shared" si="32"/>
        <v>906.23099999999999</v>
      </c>
      <c r="G2113" t="s">
        <v>16</v>
      </c>
      <c r="J2113" t="str">
        <f>"07/13/2007 23:45"</f>
        <v>07/13/2007 23:45</v>
      </c>
    </row>
    <row r="2114" spans="1:10" x14ac:dyDescent="0.3">
      <c r="A2114" t="s">
        <v>6</v>
      </c>
      <c r="B2114" t="str">
        <f>"07/14/2007 00:00"</f>
        <v>07/14/2007 00:00</v>
      </c>
      <c r="C2114">
        <v>447</v>
      </c>
      <c r="D2114" t="s">
        <v>7</v>
      </c>
      <c r="E2114" s="2" t="s">
        <v>12</v>
      </c>
      <c r="F2114">
        <f t="shared" si="32"/>
        <v>886.40100000000007</v>
      </c>
      <c r="G2114" t="s">
        <v>16</v>
      </c>
      <c r="J2114" t="str">
        <f>"07/14/2007 23:45"</f>
        <v>07/14/2007 23:45</v>
      </c>
    </row>
    <row r="2115" spans="1:10" x14ac:dyDescent="0.3">
      <c r="A2115" t="s">
        <v>6</v>
      </c>
      <c r="B2115" t="str">
        <f>"07/15/2007 00:00"</f>
        <v>07/15/2007 00:00</v>
      </c>
      <c r="C2115">
        <v>447</v>
      </c>
      <c r="D2115" t="s">
        <v>7</v>
      </c>
      <c r="E2115" s="2" t="s">
        <v>12</v>
      </c>
      <c r="F2115">
        <f t="shared" si="32"/>
        <v>886.40100000000007</v>
      </c>
      <c r="G2115" t="s">
        <v>16</v>
      </c>
      <c r="J2115" t="str">
        <f>"07/15/2007 23:45"</f>
        <v>07/15/2007 23:45</v>
      </c>
    </row>
    <row r="2116" spans="1:10" x14ac:dyDescent="0.3">
      <c r="A2116" t="s">
        <v>6</v>
      </c>
      <c r="B2116" t="str">
        <f>"07/16/2007 00:00"</f>
        <v>07/16/2007 00:00</v>
      </c>
      <c r="C2116">
        <v>333</v>
      </c>
      <c r="D2116" t="s">
        <v>7</v>
      </c>
      <c r="E2116" s="2" t="s">
        <v>12</v>
      </c>
      <c r="F2116">
        <f t="shared" ref="F2116:F2179" si="33">C2116*1.983</f>
        <v>660.33900000000006</v>
      </c>
      <c r="G2116" t="s">
        <v>16</v>
      </c>
      <c r="J2116" t="str">
        <f>"07/16/2007 23:45"</f>
        <v>07/16/2007 23:45</v>
      </c>
    </row>
    <row r="2117" spans="1:10" x14ac:dyDescent="0.3">
      <c r="A2117" t="s">
        <v>6</v>
      </c>
      <c r="B2117" t="str">
        <f>"07/17/2007 00:00"</f>
        <v>07/17/2007 00:00</v>
      </c>
      <c r="C2117">
        <v>247</v>
      </c>
      <c r="D2117" t="s">
        <v>7</v>
      </c>
      <c r="E2117" s="2" t="s">
        <v>12</v>
      </c>
      <c r="F2117">
        <f t="shared" si="33"/>
        <v>489.80100000000004</v>
      </c>
      <c r="G2117" t="s">
        <v>16</v>
      </c>
      <c r="J2117" t="str">
        <f>"07/17/2007 23:45"</f>
        <v>07/17/2007 23:45</v>
      </c>
    </row>
    <row r="2118" spans="1:10" x14ac:dyDescent="0.3">
      <c r="A2118" t="s">
        <v>6</v>
      </c>
      <c r="B2118" t="str">
        <f>"07/18/2007 00:00"</f>
        <v>07/18/2007 00:00</v>
      </c>
      <c r="C2118">
        <v>224</v>
      </c>
      <c r="D2118" t="s">
        <v>7</v>
      </c>
      <c r="E2118" s="2" t="s">
        <v>12</v>
      </c>
      <c r="F2118">
        <f t="shared" si="33"/>
        <v>444.19200000000001</v>
      </c>
      <c r="G2118" t="s">
        <v>16</v>
      </c>
      <c r="J2118" t="str">
        <f>"07/18/2007 23:45"</f>
        <v>07/18/2007 23:45</v>
      </c>
    </row>
    <row r="2119" spans="1:10" x14ac:dyDescent="0.3">
      <c r="A2119" t="s">
        <v>6</v>
      </c>
      <c r="B2119" t="str">
        <f>"07/19/2007 00:00"</f>
        <v>07/19/2007 00:00</v>
      </c>
      <c r="C2119">
        <v>197</v>
      </c>
      <c r="D2119" t="s">
        <v>7</v>
      </c>
      <c r="E2119" s="2" t="s">
        <v>12</v>
      </c>
      <c r="F2119">
        <f t="shared" si="33"/>
        <v>390.65100000000001</v>
      </c>
      <c r="G2119" t="s">
        <v>16</v>
      </c>
      <c r="J2119" t="str">
        <f>"07/19/2007 23:45"</f>
        <v>07/19/2007 23:45</v>
      </c>
    </row>
    <row r="2120" spans="1:10" x14ac:dyDescent="0.3">
      <c r="A2120" t="s">
        <v>6</v>
      </c>
      <c r="B2120" t="str">
        <f>"07/20/2007 00:00"</f>
        <v>07/20/2007 00:00</v>
      </c>
      <c r="C2120">
        <v>232</v>
      </c>
      <c r="D2120" t="s">
        <v>7</v>
      </c>
      <c r="E2120" s="2" t="s">
        <v>12</v>
      </c>
      <c r="F2120">
        <f t="shared" si="33"/>
        <v>460.05600000000004</v>
      </c>
      <c r="G2120" t="s">
        <v>16</v>
      </c>
      <c r="J2120" t="str">
        <f>"07/20/2007 23:45"</f>
        <v>07/20/2007 23:45</v>
      </c>
    </row>
    <row r="2121" spans="1:10" x14ac:dyDescent="0.3">
      <c r="A2121" t="s">
        <v>6</v>
      </c>
      <c r="B2121" t="str">
        <f>"07/21/2007 00:00"</f>
        <v>07/21/2007 00:00</v>
      </c>
      <c r="C2121">
        <v>317</v>
      </c>
      <c r="D2121" t="s">
        <v>7</v>
      </c>
      <c r="E2121" s="2" t="s">
        <v>12</v>
      </c>
      <c r="F2121">
        <f t="shared" si="33"/>
        <v>628.61099999999999</v>
      </c>
      <c r="G2121" t="s">
        <v>16</v>
      </c>
      <c r="J2121" t="str">
        <f>"07/21/2007 23:45"</f>
        <v>07/21/2007 23:45</v>
      </c>
    </row>
    <row r="2122" spans="1:10" x14ac:dyDescent="0.3">
      <c r="A2122" t="s">
        <v>6</v>
      </c>
      <c r="B2122" t="str">
        <f>"07/22/2007 00:00"</f>
        <v>07/22/2007 00:00</v>
      </c>
      <c r="C2122">
        <v>355</v>
      </c>
      <c r="D2122" t="s">
        <v>7</v>
      </c>
      <c r="E2122" s="2" t="s">
        <v>12</v>
      </c>
      <c r="F2122">
        <f t="shared" si="33"/>
        <v>703.96500000000003</v>
      </c>
      <c r="G2122" t="s">
        <v>16</v>
      </c>
      <c r="J2122" t="str">
        <f>"07/22/2007 23:45"</f>
        <v>07/22/2007 23:45</v>
      </c>
    </row>
    <row r="2123" spans="1:10" x14ac:dyDescent="0.3">
      <c r="A2123" t="s">
        <v>6</v>
      </c>
      <c r="B2123" t="str">
        <f>"07/23/2007 00:00"</f>
        <v>07/23/2007 00:00</v>
      </c>
      <c r="C2123">
        <v>323</v>
      </c>
      <c r="D2123" t="s">
        <v>7</v>
      </c>
      <c r="E2123" s="2" t="s">
        <v>12</v>
      </c>
      <c r="F2123">
        <f t="shared" si="33"/>
        <v>640.50900000000001</v>
      </c>
      <c r="G2123" t="s">
        <v>16</v>
      </c>
      <c r="J2123" t="str">
        <f>"07/23/2007 23:45"</f>
        <v>07/23/2007 23:45</v>
      </c>
    </row>
    <row r="2124" spans="1:10" x14ac:dyDescent="0.3">
      <c r="A2124" t="s">
        <v>6</v>
      </c>
      <c r="B2124" t="str">
        <f>"07/24/2007 00:00"</f>
        <v>07/24/2007 00:00</v>
      </c>
      <c r="C2124">
        <v>300</v>
      </c>
      <c r="D2124" t="s">
        <v>7</v>
      </c>
      <c r="E2124" s="2" t="s">
        <v>12</v>
      </c>
      <c r="F2124">
        <f t="shared" si="33"/>
        <v>594.9</v>
      </c>
      <c r="G2124" t="s">
        <v>16</v>
      </c>
      <c r="J2124" t="str">
        <f>"07/24/2007 23:45"</f>
        <v>07/24/2007 23:45</v>
      </c>
    </row>
    <row r="2125" spans="1:10" x14ac:dyDescent="0.3">
      <c r="A2125" t="s">
        <v>6</v>
      </c>
      <c r="B2125" t="str">
        <f>"07/25/2007 00:00"</f>
        <v>07/25/2007 00:00</v>
      </c>
      <c r="C2125">
        <v>301</v>
      </c>
      <c r="D2125" t="s">
        <v>7</v>
      </c>
      <c r="E2125" s="2" t="s">
        <v>12</v>
      </c>
      <c r="F2125">
        <f t="shared" si="33"/>
        <v>596.88300000000004</v>
      </c>
      <c r="G2125" t="s">
        <v>16</v>
      </c>
      <c r="J2125" t="str">
        <f>"07/25/2007 23:45"</f>
        <v>07/25/2007 23:45</v>
      </c>
    </row>
    <row r="2126" spans="1:10" x14ac:dyDescent="0.3">
      <c r="A2126" t="s">
        <v>6</v>
      </c>
      <c r="B2126" t="str">
        <f>"07/26/2007 00:00"</f>
        <v>07/26/2007 00:00</v>
      </c>
      <c r="C2126">
        <v>301</v>
      </c>
      <c r="D2126" t="s">
        <v>7</v>
      </c>
      <c r="E2126" s="2" t="s">
        <v>12</v>
      </c>
      <c r="F2126">
        <f t="shared" si="33"/>
        <v>596.88300000000004</v>
      </c>
      <c r="G2126" t="s">
        <v>16</v>
      </c>
      <c r="J2126" t="str">
        <f>"07/26/2007 23:45"</f>
        <v>07/26/2007 23:45</v>
      </c>
    </row>
    <row r="2127" spans="1:10" x14ac:dyDescent="0.3">
      <c r="A2127" t="s">
        <v>6</v>
      </c>
      <c r="B2127" t="str">
        <f>"07/27/2007 00:00"</f>
        <v>07/27/2007 00:00</v>
      </c>
      <c r="C2127">
        <v>244</v>
      </c>
      <c r="D2127" t="s">
        <v>7</v>
      </c>
      <c r="E2127" s="2" t="s">
        <v>12</v>
      </c>
      <c r="F2127">
        <f t="shared" si="33"/>
        <v>483.85200000000003</v>
      </c>
      <c r="G2127" t="s">
        <v>16</v>
      </c>
      <c r="J2127" t="str">
        <f>"07/27/2007 23:45"</f>
        <v>07/27/2007 23:45</v>
      </c>
    </row>
    <row r="2128" spans="1:10" x14ac:dyDescent="0.3">
      <c r="A2128" t="s">
        <v>6</v>
      </c>
      <c r="B2128" t="str">
        <f>"07/28/2007 00:00"</f>
        <v>07/28/2007 00:00</v>
      </c>
      <c r="C2128">
        <v>145</v>
      </c>
      <c r="D2128" t="s">
        <v>7</v>
      </c>
      <c r="E2128" s="2" t="s">
        <v>12</v>
      </c>
      <c r="F2128">
        <f t="shared" si="33"/>
        <v>287.53500000000003</v>
      </c>
      <c r="G2128" t="s">
        <v>16</v>
      </c>
      <c r="J2128" t="str">
        <f>"07/28/2007 23:45"</f>
        <v>07/28/2007 23:45</v>
      </c>
    </row>
    <row r="2129" spans="1:10" x14ac:dyDescent="0.3">
      <c r="A2129" t="s">
        <v>6</v>
      </c>
      <c r="B2129" t="str">
        <f>"07/29/2007 00:00"</f>
        <v>07/29/2007 00:00</v>
      </c>
      <c r="C2129">
        <v>104</v>
      </c>
      <c r="D2129" t="s">
        <v>7</v>
      </c>
      <c r="E2129" s="2" t="s">
        <v>12</v>
      </c>
      <c r="F2129">
        <f t="shared" si="33"/>
        <v>206.232</v>
      </c>
      <c r="G2129" t="s">
        <v>16</v>
      </c>
      <c r="J2129" t="str">
        <f>"07/29/2007 23:45"</f>
        <v>07/29/2007 23:45</v>
      </c>
    </row>
    <row r="2130" spans="1:10" x14ac:dyDescent="0.3">
      <c r="A2130" t="s">
        <v>6</v>
      </c>
      <c r="B2130" t="str">
        <f>"07/30/2007 00:00"</f>
        <v>07/30/2007 00:00</v>
      </c>
      <c r="C2130">
        <v>101</v>
      </c>
      <c r="D2130" t="s">
        <v>7</v>
      </c>
      <c r="E2130" s="2" t="s">
        <v>12</v>
      </c>
      <c r="F2130">
        <f t="shared" si="33"/>
        <v>200.28300000000002</v>
      </c>
      <c r="G2130" t="s">
        <v>16</v>
      </c>
      <c r="J2130" t="str">
        <f>"07/30/2007 23:45"</f>
        <v>07/30/2007 23:45</v>
      </c>
    </row>
    <row r="2131" spans="1:10" x14ac:dyDescent="0.3">
      <c r="A2131" t="s">
        <v>6</v>
      </c>
      <c r="B2131" t="str">
        <f>"07/31/2007 00:00"</f>
        <v>07/31/2007 00:00</v>
      </c>
      <c r="C2131">
        <v>130</v>
      </c>
      <c r="D2131" t="s">
        <v>7</v>
      </c>
      <c r="E2131" s="2" t="s">
        <v>12</v>
      </c>
      <c r="F2131">
        <f t="shared" si="33"/>
        <v>257.79000000000002</v>
      </c>
      <c r="G2131" t="s">
        <v>16</v>
      </c>
      <c r="J2131" t="str">
        <f>"07/31/2007 23:45"</f>
        <v>07/31/2007 23:45</v>
      </c>
    </row>
    <row r="2132" spans="1:10" x14ac:dyDescent="0.3">
      <c r="A2132" t="s">
        <v>6</v>
      </c>
      <c r="B2132" t="str">
        <f>"08/01/2007 00:00"</f>
        <v>08/01/2007 00:00</v>
      </c>
      <c r="C2132">
        <v>149</v>
      </c>
      <c r="D2132" t="s">
        <v>7</v>
      </c>
      <c r="E2132" s="2" t="s">
        <v>12</v>
      </c>
      <c r="F2132">
        <f t="shared" si="33"/>
        <v>295.46700000000004</v>
      </c>
      <c r="G2132" t="s">
        <v>16</v>
      </c>
      <c r="J2132" t="str">
        <f>"08/01/2007 23:45"</f>
        <v>08/01/2007 23:45</v>
      </c>
    </row>
    <row r="2133" spans="1:10" x14ac:dyDescent="0.3">
      <c r="A2133" t="s">
        <v>6</v>
      </c>
      <c r="B2133" t="str">
        <f>"08/02/2007 00:00"</f>
        <v>08/02/2007 00:00</v>
      </c>
      <c r="C2133">
        <v>151</v>
      </c>
      <c r="D2133" t="s">
        <v>7</v>
      </c>
      <c r="E2133" s="2" t="s">
        <v>12</v>
      </c>
      <c r="F2133">
        <f t="shared" si="33"/>
        <v>299.43299999999999</v>
      </c>
      <c r="G2133" t="s">
        <v>16</v>
      </c>
      <c r="J2133" t="str">
        <f>"08/02/2007 23:45"</f>
        <v>08/02/2007 23:45</v>
      </c>
    </row>
    <row r="2134" spans="1:10" x14ac:dyDescent="0.3">
      <c r="A2134" t="s">
        <v>6</v>
      </c>
      <c r="B2134" t="str">
        <f>"08/03/2007 00:00"</f>
        <v>08/03/2007 00:00</v>
      </c>
      <c r="C2134">
        <v>148</v>
      </c>
      <c r="D2134" t="s">
        <v>7</v>
      </c>
      <c r="E2134" s="2" t="s">
        <v>12</v>
      </c>
      <c r="F2134">
        <f t="shared" si="33"/>
        <v>293.48400000000004</v>
      </c>
      <c r="G2134" t="s">
        <v>16</v>
      </c>
      <c r="J2134" t="str">
        <f>"08/03/2007 23:45"</f>
        <v>08/03/2007 23:45</v>
      </c>
    </row>
    <row r="2135" spans="1:10" x14ac:dyDescent="0.3">
      <c r="A2135" t="s">
        <v>6</v>
      </c>
      <c r="B2135" t="str">
        <f>"08/04/2007 00:00"</f>
        <v>08/04/2007 00:00</v>
      </c>
      <c r="C2135">
        <v>148</v>
      </c>
      <c r="D2135" t="s">
        <v>7</v>
      </c>
      <c r="E2135" s="2" t="s">
        <v>12</v>
      </c>
      <c r="F2135">
        <f t="shared" si="33"/>
        <v>293.48400000000004</v>
      </c>
      <c r="G2135" t="s">
        <v>16</v>
      </c>
      <c r="J2135" t="str">
        <f>"08/04/2007 23:45"</f>
        <v>08/04/2007 23:45</v>
      </c>
    </row>
    <row r="2136" spans="1:10" x14ac:dyDescent="0.3">
      <c r="A2136" t="s">
        <v>6</v>
      </c>
      <c r="B2136" t="str">
        <f>"08/05/2007 00:00"</f>
        <v>08/05/2007 00:00</v>
      </c>
      <c r="C2136">
        <v>151</v>
      </c>
      <c r="D2136" t="s">
        <v>7</v>
      </c>
      <c r="E2136" s="2" t="s">
        <v>12</v>
      </c>
      <c r="F2136">
        <f t="shared" si="33"/>
        <v>299.43299999999999</v>
      </c>
      <c r="G2136" t="s">
        <v>16</v>
      </c>
      <c r="J2136" t="str">
        <f>"08/05/2007 23:45"</f>
        <v>08/05/2007 23:45</v>
      </c>
    </row>
    <row r="2137" spans="1:10" x14ac:dyDescent="0.3">
      <c r="A2137" t="s">
        <v>6</v>
      </c>
      <c r="B2137" t="str">
        <f>"08/06/2007 00:00"</f>
        <v>08/06/2007 00:00</v>
      </c>
      <c r="C2137">
        <v>173</v>
      </c>
      <c r="D2137" t="s">
        <v>7</v>
      </c>
      <c r="E2137" s="2" t="s">
        <v>12</v>
      </c>
      <c r="F2137">
        <f t="shared" si="33"/>
        <v>343.05900000000003</v>
      </c>
      <c r="G2137" t="s">
        <v>16</v>
      </c>
      <c r="J2137" t="str">
        <f>"08/06/2007 23:45"</f>
        <v>08/06/2007 23:45</v>
      </c>
    </row>
    <row r="2138" spans="1:10" x14ac:dyDescent="0.3">
      <c r="A2138" t="s">
        <v>6</v>
      </c>
      <c r="B2138" t="str">
        <f>"08/07/2007 00:00"</f>
        <v>08/07/2007 00:00</v>
      </c>
      <c r="C2138">
        <v>242</v>
      </c>
      <c r="D2138" t="s">
        <v>7</v>
      </c>
      <c r="E2138" s="2" t="s">
        <v>12</v>
      </c>
      <c r="F2138">
        <f t="shared" si="33"/>
        <v>479.88600000000002</v>
      </c>
      <c r="G2138" t="s">
        <v>16</v>
      </c>
      <c r="J2138" t="str">
        <f>"08/07/2007 23:45"</f>
        <v>08/07/2007 23:45</v>
      </c>
    </row>
    <row r="2139" spans="1:10" x14ac:dyDescent="0.3">
      <c r="A2139" t="s">
        <v>6</v>
      </c>
      <c r="B2139" t="str">
        <f>"08/08/2007 00:00"</f>
        <v>08/08/2007 00:00</v>
      </c>
      <c r="C2139">
        <v>326</v>
      </c>
      <c r="D2139" t="s">
        <v>7</v>
      </c>
      <c r="E2139" s="2" t="s">
        <v>12</v>
      </c>
      <c r="F2139">
        <f t="shared" si="33"/>
        <v>646.45800000000008</v>
      </c>
      <c r="G2139" t="s">
        <v>16</v>
      </c>
      <c r="J2139" t="str">
        <f>"08/08/2007 23:45"</f>
        <v>08/08/2007 23:45</v>
      </c>
    </row>
    <row r="2140" spans="1:10" x14ac:dyDescent="0.3">
      <c r="A2140" t="s">
        <v>6</v>
      </c>
      <c r="B2140" t="str">
        <f>"08/09/2007 00:00"</f>
        <v>08/09/2007 00:00</v>
      </c>
      <c r="C2140">
        <v>361</v>
      </c>
      <c r="D2140" t="s">
        <v>7</v>
      </c>
      <c r="E2140" s="2" t="s">
        <v>12</v>
      </c>
      <c r="F2140">
        <f t="shared" si="33"/>
        <v>715.86300000000006</v>
      </c>
      <c r="G2140" t="s">
        <v>16</v>
      </c>
      <c r="J2140" t="str">
        <f>"08/09/2007 23:45"</f>
        <v>08/09/2007 23:45</v>
      </c>
    </row>
    <row r="2141" spans="1:10" x14ac:dyDescent="0.3">
      <c r="A2141" t="s">
        <v>6</v>
      </c>
      <c r="B2141" t="str">
        <f>"08/10/2007 00:00"</f>
        <v>08/10/2007 00:00</v>
      </c>
      <c r="C2141">
        <v>375</v>
      </c>
      <c r="D2141" t="s">
        <v>7</v>
      </c>
      <c r="E2141" s="2" t="s">
        <v>12</v>
      </c>
      <c r="F2141">
        <f t="shared" si="33"/>
        <v>743.625</v>
      </c>
      <c r="G2141" t="s">
        <v>16</v>
      </c>
      <c r="J2141" t="str">
        <f>"08/10/2007 23:45"</f>
        <v>08/10/2007 23:45</v>
      </c>
    </row>
    <row r="2142" spans="1:10" x14ac:dyDescent="0.3">
      <c r="A2142" t="s">
        <v>6</v>
      </c>
      <c r="B2142" t="str">
        <f>"08/11/2007 00:00"</f>
        <v>08/11/2007 00:00</v>
      </c>
      <c r="C2142">
        <v>375</v>
      </c>
      <c r="D2142" t="s">
        <v>7</v>
      </c>
      <c r="E2142" s="2" t="s">
        <v>12</v>
      </c>
      <c r="F2142">
        <f t="shared" si="33"/>
        <v>743.625</v>
      </c>
      <c r="G2142" t="s">
        <v>16</v>
      </c>
      <c r="J2142" t="str">
        <f>"08/11/2007 23:45"</f>
        <v>08/11/2007 23:45</v>
      </c>
    </row>
    <row r="2143" spans="1:10" x14ac:dyDescent="0.3">
      <c r="A2143" t="s">
        <v>6</v>
      </c>
      <c r="B2143" t="str">
        <f>"08/12/2007 00:00"</f>
        <v>08/12/2007 00:00</v>
      </c>
      <c r="C2143">
        <v>300</v>
      </c>
      <c r="D2143" t="s">
        <v>7</v>
      </c>
      <c r="E2143" s="2" t="s">
        <v>12</v>
      </c>
      <c r="F2143">
        <f t="shared" si="33"/>
        <v>594.9</v>
      </c>
      <c r="G2143" t="s">
        <v>16</v>
      </c>
      <c r="J2143" t="str">
        <f>"08/12/2007 23:45"</f>
        <v>08/12/2007 23:45</v>
      </c>
    </row>
    <row r="2144" spans="1:10" x14ac:dyDescent="0.3">
      <c r="A2144" t="s">
        <v>6</v>
      </c>
      <c r="B2144" t="str">
        <f>"08/13/2007 00:00"</f>
        <v>08/13/2007 00:00</v>
      </c>
      <c r="C2144">
        <v>196</v>
      </c>
      <c r="D2144" t="s">
        <v>7</v>
      </c>
      <c r="E2144" s="2" t="s">
        <v>12</v>
      </c>
      <c r="F2144">
        <f t="shared" si="33"/>
        <v>388.66800000000001</v>
      </c>
      <c r="G2144" t="s">
        <v>16</v>
      </c>
      <c r="J2144" t="str">
        <f>"08/13/2007 23:45"</f>
        <v>08/13/2007 23:45</v>
      </c>
    </row>
    <row r="2145" spans="1:10" x14ac:dyDescent="0.3">
      <c r="A2145" t="s">
        <v>6</v>
      </c>
      <c r="B2145" t="str">
        <f>"08/14/2007 00:00"</f>
        <v>08/14/2007 00:00</v>
      </c>
      <c r="C2145">
        <v>149</v>
      </c>
      <c r="D2145" t="s">
        <v>7</v>
      </c>
      <c r="E2145" s="2" t="s">
        <v>12</v>
      </c>
      <c r="F2145">
        <f t="shared" si="33"/>
        <v>295.46700000000004</v>
      </c>
      <c r="G2145" t="s">
        <v>16</v>
      </c>
      <c r="J2145" t="str">
        <f>"08/14/2007 23:45"</f>
        <v>08/14/2007 23:45</v>
      </c>
    </row>
    <row r="2146" spans="1:10" x14ac:dyDescent="0.3">
      <c r="A2146" t="s">
        <v>6</v>
      </c>
      <c r="B2146" t="str">
        <f>"08/15/2007 00:00"</f>
        <v>08/15/2007 00:00</v>
      </c>
      <c r="C2146">
        <v>149</v>
      </c>
      <c r="D2146" t="s">
        <v>7</v>
      </c>
      <c r="E2146" s="2" t="s">
        <v>12</v>
      </c>
      <c r="F2146">
        <f t="shared" si="33"/>
        <v>295.46700000000004</v>
      </c>
      <c r="G2146" t="s">
        <v>16</v>
      </c>
      <c r="J2146" t="str">
        <f>"08/15/2007 23:45"</f>
        <v>08/15/2007 23:45</v>
      </c>
    </row>
    <row r="2147" spans="1:10" x14ac:dyDescent="0.3">
      <c r="A2147" t="s">
        <v>6</v>
      </c>
      <c r="B2147" t="str">
        <f>"08/16/2007 00:00"</f>
        <v>08/16/2007 00:00</v>
      </c>
      <c r="C2147">
        <v>118</v>
      </c>
      <c r="D2147" t="s">
        <v>7</v>
      </c>
      <c r="E2147" s="2" t="s">
        <v>12</v>
      </c>
      <c r="F2147">
        <f t="shared" si="33"/>
        <v>233.994</v>
      </c>
      <c r="G2147" t="s">
        <v>16</v>
      </c>
      <c r="J2147" t="str">
        <f>"08/16/2007 23:45"</f>
        <v>08/16/2007 23:45</v>
      </c>
    </row>
    <row r="2148" spans="1:10" x14ac:dyDescent="0.3">
      <c r="A2148" t="s">
        <v>6</v>
      </c>
      <c r="B2148" t="str">
        <f>"08/17/2007 00:00"</f>
        <v>08/17/2007 00:00</v>
      </c>
      <c r="C2148">
        <v>98</v>
      </c>
      <c r="D2148" t="s">
        <v>7</v>
      </c>
      <c r="E2148" s="2" t="s">
        <v>12</v>
      </c>
      <c r="F2148">
        <f t="shared" si="33"/>
        <v>194.334</v>
      </c>
      <c r="G2148" t="s">
        <v>16</v>
      </c>
      <c r="J2148" t="str">
        <f>"08/17/2007 23:45"</f>
        <v>08/17/2007 23:45</v>
      </c>
    </row>
    <row r="2149" spans="1:10" x14ac:dyDescent="0.3">
      <c r="A2149" t="s">
        <v>6</v>
      </c>
      <c r="B2149" t="str">
        <f>"08/18/2007 00:00"</f>
        <v>08/18/2007 00:00</v>
      </c>
      <c r="C2149">
        <v>97.9</v>
      </c>
      <c r="D2149" t="s">
        <v>7</v>
      </c>
      <c r="E2149" s="2" t="s">
        <v>12</v>
      </c>
      <c r="F2149">
        <f t="shared" si="33"/>
        <v>194.13570000000001</v>
      </c>
      <c r="G2149" t="s">
        <v>16</v>
      </c>
      <c r="J2149" t="str">
        <f>"08/18/2007 23:45"</f>
        <v>08/18/2007 23:45</v>
      </c>
    </row>
    <row r="2150" spans="1:10" x14ac:dyDescent="0.3">
      <c r="A2150" t="s">
        <v>6</v>
      </c>
      <c r="B2150" t="str">
        <f>"08/19/2007 00:00"</f>
        <v>08/19/2007 00:00</v>
      </c>
      <c r="C2150">
        <v>98.9</v>
      </c>
      <c r="D2150" t="s">
        <v>7</v>
      </c>
      <c r="E2150" s="2" t="s">
        <v>12</v>
      </c>
      <c r="F2150">
        <f t="shared" si="33"/>
        <v>196.11870000000002</v>
      </c>
      <c r="G2150" t="s">
        <v>16</v>
      </c>
      <c r="J2150" t="str">
        <f>"08/19/2007 23:45"</f>
        <v>08/19/2007 23:45</v>
      </c>
    </row>
    <row r="2151" spans="1:10" x14ac:dyDescent="0.3">
      <c r="A2151" t="s">
        <v>6</v>
      </c>
      <c r="B2151" t="str">
        <f>"08/20/2007 00:00"</f>
        <v>08/20/2007 00:00</v>
      </c>
      <c r="C2151">
        <v>101</v>
      </c>
      <c r="D2151" t="s">
        <v>7</v>
      </c>
      <c r="E2151" s="2" t="s">
        <v>12</v>
      </c>
      <c r="F2151">
        <f t="shared" si="33"/>
        <v>200.28300000000002</v>
      </c>
      <c r="G2151" t="s">
        <v>16</v>
      </c>
      <c r="J2151" t="str">
        <f>"08/20/2007 23:45"</f>
        <v>08/20/2007 23:45</v>
      </c>
    </row>
    <row r="2152" spans="1:10" x14ac:dyDescent="0.3">
      <c r="A2152" t="s">
        <v>6</v>
      </c>
      <c r="B2152" t="str">
        <f>"08/21/2007 00:00"</f>
        <v>08/21/2007 00:00</v>
      </c>
      <c r="C2152">
        <v>101</v>
      </c>
      <c r="D2152" t="s">
        <v>7</v>
      </c>
      <c r="E2152" s="2" t="s">
        <v>12</v>
      </c>
      <c r="F2152">
        <f t="shared" si="33"/>
        <v>200.28300000000002</v>
      </c>
      <c r="G2152" t="s">
        <v>16</v>
      </c>
      <c r="J2152" t="str">
        <f>"08/21/2007 23:45"</f>
        <v>08/21/2007 23:45</v>
      </c>
    </row>
    <row r="2153" spans="1:10" x14ac:dyDescent="0.3">
      <c r="A2153" t="s">
        <v>6</v>
      </c>
      <c r="B2153" t="str">
        <f>"08/22/2007 00:00"</f>
        <v>08/22/2007 00:00</v>
      </c>
      <c r="C2153">
        <v>101</v>
      </c>
      <c r="D2153" t="s">
        <v>7</v>
      </c>
      <c r="E2153" s="2" t="s">
        <v>12</v>
      </c>
      <c r="F2153">
        <f t="shared" si="33"/>
        <v>200.28300000000002</v>
      </c>
      <c r="G2153" t="s">
        <v>16</v>
      </c>
      <c r="J2153" t="str">
        <f>"08/22/2007 23:45"</f>
        <v>08/22/2007 23:45</v>
      </c>
    </row>
    <row r="2154" spans="1:10" x14ac:dyDescent="0.3">
      <c r="A2154" t="s">
        <v>6</v>
      </c>
      <c r="B2154" t="str">
        <f>"08/23/2007 00:00"</f>
        <v>08/23/2007 00:00</v>
      </c>
      <c r="C2154">
        <v>102</v>
      </c>
      <c r="D2154" t="s">
        <v>7</v>
      </c>
      <c r="E2154" s="2" t="s">
        <v>12</v>
      </c>
      <c r="F2154">
        <f t="shared" si="33"/>
        <v>202.26600000000002</v>
      </c>
      <c r="G2154" t="s">
        <v>16</v>
      </c>
      <c r="J2154" t="str">
        <f>"08/23/2007 23:45"</f>
        <v>08/23/2007 23:45</v>
      </c>
    </row>
    <row r="2155" spans="1:10" x14ac:dyDescent="0.3">
      <c r="A2155" t="s">
        <v>6</v>
      </c>
      <c r="B2155" t="str">
        <f>"08/24/2007 00:00"</f>
        <v>08/24/2007 00:00</v>
      </c>
      <c r="C2155">
        <v>102</v>
      </c>
      <c r="D2155" t="s">
        <v>7</v>
      </c>
      <c r="E2155" s="2" t="s">
        <v>12</v>
      </c>
      <c r="F2155">
        <f t="shared" si="33"/>
        <v>202.26600000000002</v>
      </c>
      <c r="G2155" t="s">
        <v>16</v>
      </c>
      <c r="J2155" t="str">
        <f>"08/24/2007 23:45"</f>
        <v>08/24/2007 23:45</v>
      </c>
    </row>
    <row r="2156" spans="1:10" x14ac:dyDescent="0.3">
      <c r="A2156" t="s">
        <v>6</v>
      </c>
      <c r="B2156" t="str">
        <f>"08/25/2007 00:00"</f>
        <v>08/25/2007 00:00</v>
      </c>
      <c r="C2156">
        <v>102</v>
      </c>
      <c r="D2156" t="s">
        <v>7</v>
      </c>
      <c r="E2156" s="2" t="s">
        <v>12</v>
      </c>
      <c r="F2156">
        <f t="shared" si="33"/>
        <v>202.26600000000002</v>
      </c>
      <c r="G2156" t="s">
        <v>16</v>
      </c>
      <c r="J2156" t="str">
        <f>"08/25/2007 23:45"</f>
        <v>08/25/2007 23:45</v>
      </c>
    </row>
    <row r="2157" spans="1:10" x14ac:dyDescent="0.3">
      <c r="A2157" t="s">
        <v>6</v>
      </c>
      <c r="B2157" t="str">
        <f>"08/26/2007 00:00"</f>
        <v>08/26/2007 00:00</v>
      </c>
      <c r="C2157">
        <v>102</v>
      </c>
      <c r="D2157" t="s">
        <v>7</v>
      </c>
      <c r="E2157" s="2" t="s">
        <v>12</v>
      </c>
      <c r="F2157">
        <f t="shared" si="33"/>
        <v>202.26600000000002</v>
      </c>
      <c r="G2157" t="s">
        <v>16</v>
      </c>
      <c r="J2157" t="str">
        <f>"08/26/2007 23:45"</f>
        <v>08/26/2007 23:45</v>
      </c>
    </row>
    <row r="2158" spans="1:10" x14ac:dyDescent="0.3">
      <c r="A2158" t="s">
        <v>6</v>
      </c>
      <c r="B2158" t="str">
        <f>"08/27/2007 00:00"</f>
        <v>08/27/2007 00:00</v>
      </c>
      <c r="C2158">
        <v>80</v>
      </c>
      <c r="D2158" t="s">
        <v>7</v>
      </c>
      <c r="E2158" s="2" t="s">
        <v>12</v>
      </c>
      <c r="F2158">
        <f t="shared" si="33"/>
        <v>158.64000000000001</v>
      </c>
      <c r="G2158" t="s">
        <v>16</v>
      </c>
      <c r="J2158" t="str">
        <f>"08/27/2007 23:45"</f>
        <v>08/27/2007 23:45</v>
      </c>
    </row>
    <row r="2159" spans="1:10" x14ac:dyDescent="0.3">
      <c r="A2159" t="s">
        <v>6</v>
      </c>
      <c r="B2159" t="str">
        <f>"08/28/2007 00:00"</f>
        <v>08/28/2007 00:00</v>
      </c>
      <c r="C2159">
        <v>59.9</v>
      </c>
      <c r="D2159" t="s">
        <v>7</v>
      </c>
      <c r="E2159" s="2" t="s">
        <v>12</v>
      </c>
      <c r="F2159">
        <f t="shared" si="33"/>
        <v>118.7817</v>
      </c>
      <c r="G2159" t="s">
        <v>16</v>
      </c>
      <c r="J2159" t="str">
        <f>"08/28/2007 23:45"</f>
        <v>08/28/2007 23:45</v>
      </c>
    </row>
    <row r="2160" spans="1:10" x14ac:dyDescent="0.3">
      <c r="A2160" t="s">
        <v>6</v>
      </c>
      <c r="B2160" t="str">
        <f>"08/29/2007 00:00"</f>
        <v>08/29/2007 00:00</v>
      </c>
      <c r="C2160">
        <v>60.1</v>
      </c>
      <c r="D2160" t="s">
        <v>7</v>
      </c>
      <c r="E2160" s="2" t="s">
        <v>12</v>
      </c>
      <c r="F2160">
        <f t="shared" si="33"/>
        <v>119.17830000000001</v>
      </c>
      <c r="G2160" t="s">
        <v>16</v>
      </c>
      <c r="J2160" t="str">
        <f>"08/29/2007 23:45"</f>
        <v>08/29/2007 23:45</v>
      </c>
    </row>
    <row r="2161" spans="1:10" x14ac:dyDescent="0.3">
      <c r="A2161" t="s">
        <v>6</v>
      </c>
      <c r="B2161" t="str">
        <f>"08/30/2007 00:00"</f>
        <v>08/30/2007 00:00</v>
      </c>
      <c r="C2161">
        <v>59.8</v>
      </c>
      <c r="D2161" t="s">
        <v>7</v>
      </c>
      <c r="E2161" s="2" t="s">
        <v>12</v>
      </c>
      <c r="F2161">
        <f t="shared" si="33"/>
        <v>118.5834</v>
      </c>
      <c r="G2161" t="s">
        <v>16</v>
      </c>
      <c r="J2161" t="str">
        <f>"08/30/2007 23:45"</f>
        <v>08/30/2007 23:45</v>
      </c>
    </row>
    <row r="2162" spans="1:10" x14ac:dyDescent="0.3">
      <c r="A2162" t="s">
        <v>6</v>
      </c>
      <c r="B2162" t="str">
        <f>"08/31/2007 00:00"</f>
        <v>08/31/2007 00:00</v>
      </c>
      <c r="C2162">
        <v>27.4</v>
      </c>
      <c r="D2162" t="s">
        <v>7</v>
      </c>
      <c r="E2162" s="2" t="s">
        <v>12</v>
      </c>
      <c r="F2162">
        <f t="shared" si="33"/>
        <v>54.334200000000003</v>
      </c>
      <c r="G2162" t="s">
        <v>16</v>
      </c>
      <c r="J2162" t="str">
        <f>"08/31/2007 23:45"</f>
        <v>08/31/2007 23:45</v>
      </c>
    </row>
    <row r="2163" spans="1:10" x14ac:dyDescent="0.3">
      <c r="A2163" t="s">
        <v>6</v>
      </c>
      <c r="B2163" t="str">
        <f>"09/01/2007 00:00"</f>
        <v>09/01/2007 00:00</v>
      </c>
      <c r="C2163">
        <v>3.88</v>
      </c>
      <c r="D2163" t="s">
        <v>7</v>
      </c>
      <c r="E2163" s="2" t="s">
        <v>12</v>
      </c>
      <c r="F2163">
        <f t="shared" si="33"/>
        <v>7.6940400000000002</v>
      </c>
      <c r="G2163" t="s">
        <v>16</v>
      </c>
      <c r="J2163" t="str">
        <f>"09/01/2007 23:45"</f>
        <v>09/01/2007 23:45</v>
      </c>
    </row>
    <row r="2164" spans="1:10" x14ac:dyDescent="0.3">
      <c r="A2164" t="s">
        <v>6</v>
      </c>
      <c r="B2164" t="str">
        <f>"09/02/2007 00:00"</f>
        <v>09/02/2007 00:00</v>
      </c>
      <c r="C2164">
        <v>4.05</v>
      </c>
      <c r="D2164" t="s">
        <v>7</v>
      </c>
      <c r="E2164" s="2" t="s">
        <v>12</v>
      </c>
      <c r="F2164">
        <f t="shared" si="33"/>
        <v>8.0311500000000002</v>
      </c>
      <c r="G2164" t="s">
        <v>16</v>
      </c>
      <c r="J2164" t="str">
        <f>"09/02/2007 23:45"</f>
        <v>09/02/2007 23:45</v>
      </c>
    </row>
    <row r="2165" spans="1:10" x14ac:dyDescent="0.3">
      <c r="A2165" t="s">
        <v>6</v>
      </c>
      <c r="B2165" t="str">
        <f>"09/03/2007 00:00"</f>
        <v>09/03/2007 00:00</v>
      </c>
      <c r="C2165">
        <v>4.0599999999999996</v>
      </c>
      <c r="D2165" t="s">
        <v>7</v>
      </c>
      <c r="E2165" s="2" t="s">
        <v>12</v>
      </c>
      <c r="F2165">
        <f t="shared" si="33"/>
        <v>8.0509799999999991</v>
      </c>
      <c r="G2165" t="s">
        <v>16</v>
      </c>
      <c r="J2165" t="str">
        <f>"09/03/2007 23:45"</f>
        <v>09/03/2007 23:45</v>
      </c>
    </row>
    <row r="2166" spans="1:10" x14ac:dyDescent="0.3">
      <c r="A2166" t="s">
        <v>6</v>
      </c>
      <c r="B2166" t="str">
        <f>"09/04/2007 00:00"</f>
        <v>09/04/2007 00:00</v>
      </c>
      <c r="C2166">
        <v>31.3</v>
      </c>
      <c r="D2166" t="s">
        <v>7</v>
      </c>
      <c r="E2166" s="2" t="s">
        <v>12</v>
      </c>
      <c r="F2166">
        <f t="shared" si="33"/>
        <v>62.067900000000002</v>
      </c>
      <c r="G2166" t="s">
        <v>16</v>
      </c>
      <c r="J2166" t="str">
        <f>"09/04/2007 23:45"</f>
        <v>09/04/2007 23:45</v>
      </c>
    </row>
    <row r="2167" spans="1:10" x14ac:dyDescent="0.3">
      <c r="A2167" t="s">
        <v>6</v>
      </c>
      <c r="B2167" t="str">
        <f>"09/05/2007 00:00"</f>
        <v>09/05/2007 00:00</v>
      </c>
      <c r="C2167">
        <v>38.9</v>
      </c>
      <c r="D2167" t="s">
        <v>7</v>
      </c>
      <c r="E2167" s="2" t="s">
        <v>12</v>
      </c>
      <c r="F2167">
        <f t="shared" si="33"/>
        <v>77.1387</v>
      </c>
      <c r="G2167" t="s">
        <v>16</v>
      </c>
      <c r="J2167" t="str">
        <f>"09/05/2007 23:45"</f>
        <v>09/05/2007 23:45</v>
      </c>
    </row>
    <row r="2168" spans="1:10" x14ac:dyDescent="0.3">
      <c r="A2168" t="s">
        <v>6</v>
      </c>
      <c r="B2168" t="str">
        <f>"09/06/2007 00:00"</f>
        <v>09/06/2007 00:00</v>
      </c>
      <c r="C2168">
        <v>37.6</v>
      </c>
      <c r="D2168" t="s">
        <v>7</v>
      </c>
      <c r="E2168" s="2" t="s">
        <v>12</v>
      </c>
      <c r="F2168">
        <f t="shared" si="33"/>
        <v>74.5608</v>
      </c>
      <c r="G2168" t="s">
        <v>16</v>
      </c>
      <c r="J2168" t="str">
        <f>"09/06/2007 23:45"</f>
        <v>09/06/2007 23:45</v>
      </c>
    </row>
    <row r="2169" spans="1:10" x14ac:dyDescent="0.3">
      <c r="A2169" t="s">
        <v>6</v>
      </c>
      <c r="B2169" t="str">
        <f>"09/07/2007 00:00"</f>
        <v>09/07/2007 00:00</v>
      </c>
      <c r="C2169">
        <v>36.6</v>
      </c>
      <c r="D2169" t="s">
        <v>7</v>
      </c>
      <c r="E2169" s="2" t="s">
        <v>12</v>
      </c>
      <c r="F2169">
        <f t="shared" si="33"/>
        <v>72.577800000000011</v>
      </c>
      <c r="G2169" t="s">
        <v>16</v>
      </c>
      <c r="J2169" t="str">
        <f>"09/07/2007 23:45"</f>
        <v>09/07/2007 23:45</v>
      </c>
    </row>
    <row r="2170" spans="1:10" x14ac:dyDescent="0.3">
      <c r="A2170" t="s">
        <v>6</v>
      </c>
      <c r="B2170" t="str">
        <f>"09/08/2007 00:00"</f>
        <v>09/08/2007 00:00</v>
      </c>
      <c r="C2170">
        <v>31.9</v>
      </c>
      <c r="D2170" t="s">
        <v>7</v>
      </c>
      <c r="E2170" s="2" t="s">
        <v>12</v>
      </c>
      <c r="F2170">
        <f t="shared" si="33"/>
        <v>63.2577</v>
      </c>
      <c r="G2170" t="s">
        <v>16</v>
      </c>
      <c r="J2170" t="str">
        <f>"09/08/2007 23:45"</f>
        <v>09/08/2007 23:45</v>
      </c>
    </row>
    <row r="2171" spans="1:10" x14ac:dyDescent="0.3">
      <c r="A2171" t="s">
        <v>6</v>
      </c>
      <c r="B2171" t="str">
        <f>"09/09/2007 00:00"</f>
        <v>09/09/2007 00:00</v>
      </c>
      <c r="C2171">
        <v>11.1</v>
      </c>
      <c r="D2171" t="s">
        <v>7</v>
      </c>
      <c r="E2171" s="2" t="s">
        <v>12</v>
      </c>
      <c r="F2171">
        <f t="shared" si="33"/>
        <v>22.011300000000002</v>
      </c>
      <c r="G2171" t="s">
        <v>16</v>
      </c>
      <c r="J2171" t="str">
        <f>"09/09/2007 23:45"</f>
        <v>09/09/2007 23:45</v>
      </c>
    </row>
    <row r="2172" spans="1:10" x14ac:dyDescent="0.3">
      <c r="A2172" t="s">
        <v>6</v>
      </c>
      <c r="B2172" t="str">
        <f>"09/10/2007 00:00"</f>
        <v>09/10/2007 00:00</v>
      </c>
      <c r="C2172">
        <v>10.6</v>
      </c>
      <c r="D2172" t="s">
        <v>7</v>
      </c>
      <c r="E2172" s="2" t="s">
        <v>12</v>
      </c>
      <c r="F2172">
        <f t="shared" si="33"/>
        <v>21.0198</v>
      </c>
      <c r="G2172" t="s">
        <v>16</v>
      </c>
      <c r="J2172" t="str">
        <f>"09/10/2007 23:45"</f>
        <v>09/10/2007 23:45</v>
      </c>
    </row>
    <row r="2173" spans="1:10" x14ac:dyDescent="0.3">
      <c r="A2173" t="s">
        <v>6</v>
      </c>
      <c r="B2173" t="str">
        <f>"09/11/2007 00:00"</f>
        <v>09/11/2007 00:00</v>
      </c>
      <c r="C2173">
        <v>10</v>
      </c>
      <c r="D2173" t="s">
        <v>7</v>
      </c>
      <c r="E2173" s="2" t="s">
        <v>12</v>
      </c>
      <c r="F2173">
        <f t="shared" si="33"/>
        <v>19.830000000000002</v>
      </c>
      <c r="G2173" t="s">
        <v>16</v>
      </c>
      <c r="J2173" t="str">
        <f>"09/11/2007 23:45"</f>
        <v>09/11/2007 23:45</v>
      </c>
    </row>
    <row r="2174" spans="1:10" x14ac:dyDescent="0.3">
      <c r="A2174" t="s">
        <v>6</v>
      </c>
      <c r="B2174" t="str">
        <f>"09/12/2007 00:00"</f>
        <v>09/12/2007 00:00</v>
      </c>
      <c r="C2174">
        <v>6.86</v>
      </c>
      <c r="D2174" t="s">
        <v>7</v>
      </c>
      <c r="E2174" s="2" t="s">
        <v>12</v>
      </c>
      <c r="F2174">
        <f t="shared" si="33"/>
        <v>13.603380000000001</v>
      </c>
      <c r="G2174" t="s">
        <v>16</v>
      </c>
      <c r="J2174" t="str">
        <f>"09/12/2007 23:45"</f>
        <v>09/12/2007 23:45</v>
      </c>
    </row>
    <row r="2175" spans="1:10" x14ac:dyDescent="0.3">
      <c r="A2175" t="s">
        <v>6</v>
      </c>
      <c r="B2175" t="str">
        <f>"09/13/2007 00:00"</f>
        <v>09/13/2007 00:00</v>
      </c>
      <c r="C2175">
        <v>4.8499999999999996</v>
      </c>
      <c r="D2175" t="s">
        <v>7</v>
      </c>
      <c r="E2175" s="2" t="s">
        <v>12</v>
      </c>
      <c r="F2175">
        <f t="shared" si="33"/>
        <v>9.6175499999999996</v>
      </c>
      <c r="G2175" t="s">
        <v>16</v>
      </c>
      <c r="J2175" t="str">
        <f>"09/13/2007 23:45"</f>
        <v>09/13/2007 23:45</v>
      </c>
    </row>
    <row r="2176" spans="1:10" x14ac:dyDescent="0.3">
      <c r="A2176" t="s">
        <v>6</v>
      </c>
      <c r="B2176" t="str">
        <f>"09/14/2007 00:00"</f>
        <v>09/14/2007 00:00</v>
      </c>
      <c r="C2176">
        <v>8.9499999999999993</v>
      </c>
      <c r="D2176" t="s">
        <v>7</v>
      </c>
      <c r="E2176" s="2" t="s">
        <v>12</v>
      </c>
      <c r="F2176">
        <f t="shared" si="33"/>
        <v>17.74785</v>
      </c>
      <c r="G2176" t="s">
        <v>16</v>
      </c>
      <c r="J2176" t="str">
        <f>"09/14/2007 23:45"</f>
        <v>09/14/2007 23:45</v>
      </c>
    </row>
    <row r="2177" spans="1:10" x14ac:dyDescent="0.3">
      <c r="A2177" t="s">
        <v>6</v>
      </c>
      <c r="B2177" t="str">
        <f>"09/15/2007 00:00"</f>
        <v>09/15/2007 00:00</v>
      </c>
      <c r="C2177">
        <v>8.83</v>
      </c>
      <c r="D2177" t="s">
        <v>7</v>
      </c>
      <c r="E2177" s="2" t="s">
        <v>12</v>
      </c>
      <c r="F2177">
        <f t="shared" si="33"/>
        <v>17.509890000000002</v>
      </c>
      <c r="G2177" t="s">
        <v>16</v>
      </c>
      <c r="J2177" t="str">
        <f>"09/15/2007 23:45"</f>
        <v>09/15/2007 23:45</v>
      </c>
    </row>
    <row r="2178" spans="1:10" x14ac:dyDescent="0.3">
      <c r="A2178" t="s">
        <v>6</v>
      </c>
      <c r="B2178" t="str">
        <f>"09/16/2007 00:00"</f>
        <v>09/16/2007 00:00</v>
      </c>
      <c r="C2178">
        <v>8.82</v>
      </c>
      <c r="D2178" t="s">
        <v>7</v>
      </c>
      <c r="E2178" s="2" t="s">
        <v>12</v>
      </c>
      <c r="F2178">
        <f t="shared" si="33"/>
        <v>17.49006</v>
      </c>
      <c r="G2178" t="s">
        <v>16</v>
      </c>
      <c r="J2178" t="str">
        <f>"09/16/2007 23:45"</f>
        <v>09/16/2007 23:45</v>
      </c>
    </row>
    <row r="2179" spans="1:10" x14ac:dyDescent="0.3">
      <c r="A2179" t="s">
        <v>6</v>
      </c>
      <c r="B2179" t="str">
        <f>"09/17/2007 00:00"</f>
        <v>09/17/2007 00:00</v>
      </c>
      <c r="C2179">
        <v>8.5299999999999994</v>
      </c>
      <c r="D2179" t="s">
        <v>7</v>
      </c>
      <c r="E2179" s="2" t="s">
        <v>12</v>
      </c>
      <c r="F2179">
        <f t="shared" si="33"/>
        <v>16.91499</v>
      </c>
      <c r="G2179" t="s">
        <v>16</v>
      </c>
      <c r="J2179" t="str">
        <f>"09/17/2007 23:45"</f>
        <v>09/17/2007 23:45</v>
      </c>
    </row>
    <row r="2180" spans="1:10" x14ac:dyDescent="0.3">
      <c r="A2180" t="s">
        <v>6</v>
      </c>
      <c r="B2180" t="str">
        <f>"09/18/2007 00:00"</f>
        <v>09/18/2007 00:00</v>
      </c>
      <c r="C2180">
        <v>8.3800000000000008</v>
      </c>
      <c r="D2180" t="s">
        <v>7</v>
      </c>
      <c r="E2180" s="2" t="s">
        <v>12</v>
      </c>
      <c r="F2180">
        <f t="shared" ref="F2180:F2243" si="34">C2180*1.983</f>
        <v>16.617540000000002</v>
      </c>
      <c r="G2180" t="s">
        <v>16</v>
      </c>
      <c r="J2180" t="str">
        <f>"09/18/2007 23:45"</f>
        <v>09/18/2007 23:45</v>
      </c>
    </row>
    <row r="2181" spans="1:10" x14ac:dyDescent="0.3">
      <c r="A2181" t="s">
        <v>6</v>
      </c>
      <c r="B2181" t="str">
        <f>"09/19/2007 00:00"</f>
        <v>09/19/2007 00:00</v>
      </c>
      <c r="C2181">
        <v>8.3000000000000007</v>
      </c>
      <c r="D2181" t="s">
        <v>7</v>
      </c>
      <c r="E2181" s="2" t="s">
        <v>12</v>
      </c>
      <c r="F2181">
        <f t="shared" si="34"/>
        <v>16.458900000000003</v>
      </c>
      <c r="G2181" t="s">
        <v>16</v>
      </c>
      <c r="J2181" t="str">
        <f>"09/19/2007 23:45"</f>
        <v>09/19/2007 23:45</v>
      </c>
    </row>
    <row r="2182" spans="1:10" x14ac:dyDescent="0.3">
      <c r="A2182" t="s">
        <v>6</v>
      </c>
      <c r="B2182" t="str">
        <f>"09/20/2007 00:00"</f>
        <v>09/20/2007 00:00</v>
      </c>
      <c r="C2182">
        <v>6.08</v>
      </c>
      <c r="D2182" t="s">
        <v>7</v>
      </c>
      <c r="E2182" s="2" t="s">
        <v>12</v>
      </c>
      <c r="F2182">
        <f t="shared" si="34"/>
        <v>12.056640000000002</v>
      </c>
      <c r="G2182" t="s">
        <v>16</v>
      </c>
      <c r="J2182" t="str">
        <f>"09/20/2007 23:45"</f>
        <v>09/20/2007 23:45</v>
      </c>
    </row>
    <row r="2183" spans="1:10" x14ac:dyDescent="0.3">
      <c r="A2183" t="s">
        <v>6</v>
      </c>
      <c r="B2183" t="str">
        <f>"09/21/2007 00:00"</f>
        <v>09/21/2007 00:00</v>
      </c>
      <c r="C2183">
        <v>2.23</v>
      </c>
      <c r="D2183" t="s">
        <v>7</v>
      </c>
      <c r="E2183" s="2" t="s">
        <v>12</v>
      </c>
      <c r="F2183">
        <f t="shared" si="34"/>
        <v>4.4220899999999999</v>
      </c>
      <c r="G2183" t="s">
        <v>16</v>
      </c>
      <c r="J2183" t="str">
        <f>"09/21/2007 23:45"</f>
        <v>09/21/2007 23:45</v>
      </c>
    </row>
    <row r="2184" spans="1:10" x14ac:dyDescent="0.3">
      <c r="A2184" t="s">
        <v>6</v>
      </c>
      <c r="B2184" t="str">
        <f>"09/22/2007 00:00"</f>
        <v>09/22/2007 00:00</v>
      </c>
      <c r="C2184">
        <v>2.23</v>
      </c>
      <c r="D2184" t="s">
        <v>7</v>
      </c>
      <c r="E2184" s="2" t="s">
        <v>12</v>
      </c>
      <c r="F2184">
        <f t="shared" si="34"/>
        <v>4.4220899999999999</v>
      </c>
      <c r="G2184" t="s">
        <v>16</v>
      </c>
      <c r="J2184" t="str">
        <f>"09/22/2007 23:45"</f>
        <v>09/22/2007 23:45</v>
      </c>
    </row>
    <row r="2185" spans="1:10" x14ac:dyDescent="0.3">
      <c r="A2185" t="s">
        <v>6</v>
      </c>
      <c r="B2185" t="str">
        <f>"09/23/2007 00:00"</f>
        <v>09/23/2007 00:00</v>
      </c>
      <c r="C2185">
        <v>2.0699999999999998</v>
      </c>
      <c r="D2185" t="s">
        <v>7</v>
      </c>
      <c r="E2185" s="2" t="s">
        <v>12</v>
      </c>
      <c r="F2185">
        <f t="shared" si="34"/>
        <v>4.1048099999999996</v>
      </c>
      <c r="G2185" t="s">
        <v>16</v>
      </c>
      <c r="J2185" t="str">
        <f>"09/23/2007 23:45"</f>
        <v>09/23/2007 23:45</v>
      </c>
    </row>
    <row r="2186" spans="1:10" x14ac:dyDescent="0.3">
      <c r="A2186" t="s">
        <v>6</v>
      </c>
      <c r="B2186" t="str">
        <f>"09/24/2007 00:00"</f>
        <v>09/24/2007 00:00</v>
      </c>
      <c r="C2186">
        <v>1.92</v>
      </c>
      <c r="D2186" t="s">
        <v>7</v>
      </c>
      <c r="E2186" s="2" t="s">
        <v>12</v>
      </c>
      <c r="F2186">
        <f t="shared" si="34"/>
        <v>3.8073600000000001</v>
      </c>
      <c r="G2186" t="s">
        <v>16</v>
      </c>
      <c r="J2186" t="str">
        <f>"09/24/2007 23:45"</f>
        <v>09/24/2007 23:45</v>
      </c>
    </row>
    <row r="2187" spans="1:10" x14ac:dyDescent="0.3">
      <c r="A2187" t="s">
        <v>6</v>
      </c>
      <c r="B2187" t="str">
        <f>"09/25/2007 00:00"</f>
        <v>09/25/2007 00:00</v>
      </c>
      <c r="C2187">
        <v>1.92</v>
      </c>
      <c r="D2187" t="s">
        <v>7</v>
      </c>
      <c r="E2187" s="2" t="s">
        <v>12</v>
      </c>
      <c r="F2187">
        <f t="shared" si="34"/>
        <v>3.8073600000000001</v>
      </c>
      <c r="G2187" t="s">
        <v>16</v>
      </c>
      <c r="J2187" t="str">
        <f>"09/25/2007 23:45"</f>
        <v>09/25/2007 23:45</v>
      </c>
    </row>
    <row r="2188" spans="1:10" x14ac:dyDescent="0.3">
      <c r="A2188" t="s">
        <v>6</v>
      </c>
      <c r="B2188" t="str">
        <f>"09/26/2007 00:00"</f>
        <v>09/26/2007 00:00</v>
      </c>
      <c r="C2188">
        <v>1.92</v>
      </c>
      <c r="D2188" t="s">
        <v>7</v>
      </c>
      <c r="E2188" s="2" t="s">
        <v>12</v>
      </c>
      <c r="F2188">
        <f t="shared" si="34"/>
        <v>3.8073600000000001</v>
      </c>
      <c r="G2188" t="s">
        <v>16</v>
      </c>
      <c r="J2188" t="str">
        <f>"09/26/2007 23:45"</f>
        <v>09/26/2007 23:45</v>
      </c>
    </row>
    <row r="2189" spans="1:10" x14ac:dyDescent="0.3">
      <c r="A2189" t="s">
        <v>6</v>
      </c>
      <c r="B2189" t="str">
        <f>"09/27/2007 00:00"</f>
        <v>09/27/2007 00:00</v>
      </c>
      <c r="C2189">
        <v>1.92</v>
      </c>
      <c r="D2189" t="s">
        <v>7</v>
      </c>
      <c r="E2189" s="2" t="s">
        <v>12</v>
      </c>
      <c r="F2189">
        <f t="shared" si="34"/>
        <v>3.8073600000000001</v>
      </c>
      <c r="G2189" t="s">
        <v>16</v>
      </c>
      <c r="J2189" t="str">
        <f>"09/27/2007 23:45"</f>
        <v>09/27/2007 23:45</v>
      </c>
    </row>
    <row r="2190" spans="1:10" x14ac:dyDescent="0.3">
      <c r="A2190" t="s">
        <v>6</v>
      </c>
      <c r="B2190" t="str">
        <f>"09/28/2007 00:00"</f>
        <v>09/28/2007 00:00</v>
      </c>
      <c r="C2190">
        <v>1.92</v>
      </c>
      <c r="D2190" t="s">
        <v>7</v>
      </c>
      <c r="E2190" s="2" t="s">
        <v>12</v>
      </c>
      <c r="F2190">
        <f t="shared" si="34"/>
        <v>3.8073600000000001</v>
      </c>
      <c r="G2190" t="s">
        <v>16</v>
      </c>
      <c r="J2190" t="str">
        <f>"09/28/2007 23:45"</f>
        <v>09/28/2007 23:45</v>
      </c>
    </row>
    <row r="2191" spans="1:10" x14ac:dyDescent="0.3">
      <c r="A2191" t="s">
        <v>6</v>
      </c>
      <c r="B2191" t="str">
        <f>"09/29/2007 00:00"</f>
        <v>09/29/2007 00:00</v>
      </c>
      <c r="C2191">
        <v>1.92</v>
      </c>
      <c r="D2191" t="s">
        <v>7</v>
      </c>
      <c r="E2191" s="2" t="s">
        <v>12</v>
      </c>
      <c r="F2191">
        <f t="shared" si="34"/>
        <v>3.8073600000000001</v>
      </c>
      <c r="G2191" t="s">
        <v>16</v>
      </c>
      <c r="J2191" t="str">
        <f>"09/29/2007 23:45"</f>
        <v>09/29/2007 23:45</v>
      </c>
    </row>
    <row r="2192" spans="1:10" x14ac:dyDescent="0.3">
      <c r="A2192" t="s">
        <v>6</v>
      </c>
      <c r="B2192" t="str">
        <f>"09/30/2007 00:00"</f>
        <v>09/30/2007 00:00</v>
      </c>
      <c r="C2192">
        <v>1.92</v>
      </c>
      <c r="D2192" t="s">
        <v>7</v>
      </c>
      <c r="E2192" s="2" t="s">
        <v>12</v>
      </c>
      <c r="F2192">
        <f t="shared" si="34"/>
        <v>3.8073600000000001</v>
      </c>
      <c r="G2192" t="s">
        <v>16</v>
      </c>
      <c r="J2192" t="str">
        <f>"09/30/2007 23:45"</f>
        <v>09/30/2007 23:45</v>
      </c>
    </row>
    <row r="2193" spans="1:10" x14ac:dyDescent="0.3">
      <c r="A2193" t="s">
        <v>6</v>
      </c>
      <c r="B2193" t="str">
        <f>"10/01/2007 00:00"</f>
        <v>10/01/2007 00:00</v>
      </c>
      <c r="C2193">
        <v>1.92</v>
      </c>
      <c r="D2193" t="s">
        <v>7</v>
      </c>
      <c r="E2193" s="2" t="s">
        <v>12</v>
      </c>
      <c r="F2193">
        <f t="shared" si="34"/>
        <v>3.8073600000000001</v>
      </c>
      <c r="G2193" t="s">
        <v>16</v>
      </c>
      <c r="J2193" t="str">
        <f>"10/01/2007 23:45"</f>
        <v>10/01/2007 23:45</v>
      </c>
    </row>
    <row r="2194" spans="1:10" x14ac:dyDescent="0.3">
      <c r="A2194" t="s">
        <v>6</v>
      </c>
      <c r="B2194" t="str">
        <f>"10/02/2007 00:00"</f>
        <v>10/02/2007 00:00</v>
      </c>
      <c r="C2194">
        <v>1.92</v>
      </c>
      <c r="D2194" t="s">
        <v>7</v>
      </c>
      <c r="E2194" s="2" t="s">
        <v>12</v>
      </c>
      <c r="F2194">
        <f t="shared" si="34"/>
        <v>3.8073600000000001</v>
      </c>
      <c r="G2194" t="s">
        <v>16</v>
      </c>
      <c r="J2194" t="str">
        <f>"10/02/2007 23:45"</f>
        <v>10/02/2007 23:45</v>
      </c>
    </row>
    <row r="2195" spans="1:10" x14ac:dyDescent="0.3">
      <c r="A2195" t="s">
        <v>6</v>
      </c>
      <c r="B2195" t="str">
        <f>"10/03/2007 00:00"</f>
        <v>10/03/2007 00:00</v>
      </c>
      <c r="C2195">
        <v>3.99</v>
      </c>
      <c r="D2195" t="s">
        <v>7</v>
      </c>
      <c r="E2195" s="2" t="s">
        <v>12</v>
      </c>
      <c r="F2195">
        <f t="shared" si="34"/>
        <v>7.9121700000000006</v>
      </c>
      <c r="G2195" t="s">
        <v>16</v>
      </c>
      <c r="J2195" t="str">
        <f>"10/03/2007 23:45"</f>
        <v>10/03/2007 23:45</v>
      </c>
    </row>
    <row r="2196" spans="1:10" x14ac:dyDescent="0.3">
      <c r="A2196" t="s">
        <v>6</v>
      </c>
      <c r="B2196" t="str">
        <f>"10/04/2007 00:00"</f>
        <v>10/04/2007 00:00</v>
      </c>
      <c r="C2196">
        <v>7.26</v>
      </c>
      <c r="D2196" t="s">
        <v>7</v>
      </c>
      <c r="E2196" s="2" t="s">
        <v>12</v>
      </c>
      <c r="F2196">
        <f t="shared" si="34"/>
        <v>14.39658</v>
      </c>
      <c r="G2196" t="s">
        <v>16</v>
      </c>
      <c r="J2196" t="str">
        <f>"10/04/2007 23:45"</f>
        <v>10/04/2007 23:45</v>
      </c>
    </row>
    <row r="2197" spans="1:10" x14ac:dyDescent="0.3">
      <c r="A2197" t="s">
        <v>6</v>
      </c>
      <c r="B2197" t="str">
        <f>"10/05/2007 00:00"</f>
        <v>10/05/2007 00:00</v>
      </c>
      <c r="C2197">
        <v>7.26</v>
      </c>
      <c r="D2197" t="s">
        <v>7</v>
      </c>
      <c r="E2197" s="2" t="s">
        <v>12</v>
      </c>
      <c r="F2197">
        <f t="shared" si="34"/>
        <v>14.39658</v>
      </c>
      <c r="G2197" t="s">
        <v>16</v>
      </c>
      <c r="J2197" t="str">
        <f>"10/05/2007 23:45"</f>
        <v>10/05/2007 23:45</v>
      </c>
    </row>
    <row r="2198" spans="1:10" x14ac:dyDescent="0.3">
      <c r="A2198" t="s">
        <v>6</v>
      </c>
      <c r="B2198" t="str">
        <f>"10/06/2007 00:00"</f>
        <v>10/06/2007 00:00</v>
      </c>
      <c r="C2198">
        <v>7.26</v>
      </c>
      <c r="D2198" t="s">
        <v>7</v>
      </c>
      <c r="E2198" s="2" t="s">
        <v>12</v>
      </c>
      <c r="F2198">
        <f t="shared" si="34"/>
        <v>14.39658</v>
      </c>
      <c r="G2198" t="s">
        <v>16</v>
      </c>
      <c r="J2198" t="str">
        <f>"10/06/2007 23:45"</f>
        <v>10/06/2007 23:45</v>
      </c>
    </row>
    <row r="2199" spans="1:10" x14ac:dyDescent="0.3">
      <c r="A2199" t="s">
        <v>6</v>
      </c>
      <c r="B2199" t="str">
        <f>"10/07/2007 00:00"</f>
        <v>10/07/2007 00:00</v>
      </c>
      <c r="C2199">
        <v>7.26</v>
      </c>
      <c r="D2199" t="s">
        <v>7</v>
      </c>
      <c r="E2199" s="2" t="s">
        <v>12</v>
      </c>
      <c r="F2199">
        <f t="shared" si="34"/>
        <v>14.39658</v>
      </c>
      <c r="G2199" t="s">
        <v>16</v>
      </c>
      <c r="J2199" t="str">
        <f>"10/07/2007 23:45"</f>
        <v>10/07/2007 23:45</v>
      </c>
    </row>
    <row r="2200" spans="1:10" x14ac:dyDescent="0.3">
      <c r="A2200" t="s">
        <v>6</v>
      </c>
      <c r="B2200" t="str">
        <f>"10/08/2007 00:00"</f>
        <v>10/08/2007 00:00</v>
      </c>
      <c r="C2200">
        <v>7.26</v>
      </c>
      <c r="D2200" t="s">
        <v>7</v>
      </c>
      <c r="E2200" s="2" t="s">
        <v>12</v>
      </c>
      <c r="F2200">
        <f t="shared" si="34"/>
        <v>14.39658</v>
      </c>
      <c r="G2200" t="s">
        <v>16</v>
      </c>
      <c r="J2200" t="str">
        <f>"10/08/2007 23:45"</f>
        <v>10/08/2007 23:45</v>
      </c>
    </row>
    <row r="2201" spans="1:10" x14ac:dyDescent="0.3">
      <c r="A2201" t="s">
        <v>6</v>
      </c>
      <c r="B2201" t="str">
        <f>"10/09/2007 00:00"</f>
        <v>10/09/2007 00:00</v>
      </c>
      <c r="C2201">
        <v>7.26</v>
      </c>
      <c r="D2201" t="s">
        <v>7</v>
      </c>
      <c r="E2201" s="2" t="s">
        <v>12</v>
      </c>
      <c r="F2201">
        <f t="shared" si="34"/>
        <v>14.39658</v>
      </c>
      <c r="G2201" t="s">
        <v>16</v>
      </c>
      <c r="J2201" t="str">
        <f>"10/09/2007 23:45"</f>
        <v>10/09/2007 23:45</v>
      </c>
    </row>
    <row r="2202" spans="1:10" x14ac:dyDescent="0.3">
      <c r="A2202" t="s">
        <v>6</v>
      </c>
      <c r="B2202" t="str">
        <f>"10/10/2007 00:00"</f>
        <v>10/10/2007 00:00</v>
      </c>
      <c r="C2202">
        <v>7.26</v>
      </c>
      <c r="D2202" t="s">
        <v>7</v>
      </c>
      <c r="E2202" s="2" t="s">
        <v>12</v>
      </c>
      <c r="F2202">
        <f t="shared" si="34"/>
        <v>14.39658</v>
      </c>
      <c r="G2202" t="s">
        <v>16</v>
      </c>
      <c r="J2202" t="str">
        <f>"10/10/2007 23:45"</f>
        <v>10/10/2007 23:45</v>
      </c>
    </row>
    <row r="2203" spans="1:10" x14ac:dyDescent="0.3">
      <c r="A2203" t="s">
        <v>6</v>
      </c>
      <c r="B2203" t="str">
        <f>"10/11/2007 00:00"</f>
        <v>10/11/2007 00:00</v>
      </c>
      <c r="C2203">
        <v>7.26</v>
      </c>
      <c r="D2203" t="s">
        <v>7</v>
      </c>
      <c r="E2203" s="2" t="s">
        <v>12</v>
      </c>
      <c r="F2203">
        <f t="shared" si="34"/>
        <v>14.39658</v>
      </c>
      <c r="G2203" t="s">
        <v>16</v>
      </c>
      <c r="J2203" t="str">
        <f>"10/11/2007 23:45"</f>
        <v>10/11/2007 23:45</v>
      </c>
    </row>
    <row r="2204" spans="1:10" x14ac:dyDescent="0.3">
      <c r="A2204" t="s">
        <v>6</v>
      </c>
      <c r="B2204" t="str">
        <f>"10/12/2007 00:00"</f>
        <v>10/12/2007 00:00</v>
      </c>
      <c r="C2204">
        <v>7.25</v>
      </c>
      <c r="D2204" t="s">
        <v>7</v>
      </c>
      <c r="E2204" s="2" t="s">
        <v>12</v>
      </c>
      <c r="F2204">
        <f t="shared" si="34"/>
        <v>14.376750000000001</v>
      </c>
      <c r="G2204" t="s">
        <v>16</v>
      </c>
      <c r="J2204" t="str">
        <f>"10/12/2007 23:45"</f>
        <v>10/12/2007 23:45</v>
      </c>
    </row>
    <row r="2205" spans="1:10" x14ac:dyDescent="0.3">
      <c r="A2205" t="s">
        <v>6</v>
      </c>
      <c r="B2205" t="str">
        <f>"10/13/2007 00:00"</f>
        <v>10/13/2007 00:00</v>
      </c>
      <c r="C2205">
        <v>7.26</v>
      </c>
      <c r="D2205" t="s">
        <v>7</v>
      </c>
      <c r="E2205" s="2" t="s">
        <v>12</v>
      </c>
      <c r="F2205">
        <f t="shared" si="34"/>
        <v>14.39658</v>
      </c>
      <c r="G2205" t="s">
        <v>16</v>
      </c>
      <c r="J2205" t="str">
        <f>"10/13/2007 23:45"</f>
        <v>10/13/2007 23:45</v>
      </c>
    </row>
    <row r="2206" spans="1:10" x14ac:dyDescent="0.3">
      <c r="A2206" t="s">
        <v>6</v>
      </c>
      <c r="B2206" t="str">
        <f>"10/14/2007 00:00"</f>
        <v>10/14/2007 00:00</v>
      </c>
      <c r="C2206">
        <v>7.26</v>
      </c>
      <c r="D2206" t="s">
        <v>7</v>
      </c>
      <c r="E2206" s="2" t="s">
        <v>12</v>
      </c>
      <c r="F2206">
        <f t="shared" si="34"/>
        <v>14.39658</v>
      </c>
      <c r="G2206" t="s">
        <v>16</v>
      </c>
      <c r="J2206" t="str">
        <f>"10/14/2007 23:45"</f>
        <v>10/14/2007 23:45</v>
      </c>
    </row>
    <row r="2207" spans="1:10" x14ac:dyDescent="0.3">
      <c r="A2207" t="s">
        <v>6</v>
      </c>
      <c r="B2207" t="str">
        <f>"10/15/2007 00:00"</f>
        <v>10/15/2007 00:00</v>
      </c>
      <c r="C2207">
        <v>7.05</v>
      </c>
      <c r="D2207" t="s">
        <v>7</v>
      </c>
      <c r="E2207" s="2" t="s">
        <v>12</v>
      </c>
      <c r="F2207">
        <f t="shared" si="34"/>
        <v>13.98015</v>
      </c>
      <c r="G2207" t="s">
        <v>16</v>
      </c>
      <c r="J2207" t="str">
        <f>"10/15/2007 23:45"</f>
        <v>10/15/2007 23:45</v>
      </c>
    </row>
    <row r="2208" spans="1:10" x14ac:dyDescent="0.3">
      <c r="A2208" t="s">
        <v>6</v>
      </c>
      <c r="B2208" t="str">
        <f>"10/16/2007 00:00"</f>
        <v>10/16/2007 00:00</v>
      </c>
      <c r="C2208">
        <v>5.78</v>
      </c>
      <c r="D2208" t="s">
        <v>7</v>
      </c>
      <c r="E2208" s="2" t="s">
        <v>12</v>
      </c>
      <c r="F2208">
        <f t="shared" si="34"/>
        <v>11.461740000000001</v>
      </c>
      <c r="G2208" t="s">
        <v>16</v>
      </c>
      <c r="J2208" t="str">
        <f>"10/16/2007 23:45"</f>
        <v>10/16/2007 23:45</v>
      </c>
    </row>
    <row r="2209" spans="1:10" x14ac:dyDescent="0.3">
      <c r="A2209" t="s">
        <v>6</v>
      </c>
      <c r="B2209" t="str">
        <f>"10/17/2007 00:00"</f>
        <v>10/17/2007 00:00</v>
      </c>
      <c r="C2209">
        <v>2.91</v>
      </c>
      <c r="D2209" t="s">
        <v>7</v>
      </c>
      <c r="E2209" s="2" t="s">
        <v>12</v>
      </c>
      <c r="F2209">
        <f t="shared" si="34"/>
        <v>5.7705300000000008</v>
      </c>
      <c r="G2209" t="s">
        <v>16</v>
      </c>
      <c r="J2209" t="str">
        <f>"10/17/2007 23:45"</f>
        <v>10/17/2007 23:45</v>
      </c>
    </row>
    <row r="2210" spans="1:10" x14ac:dyDescent="0.3">
      <c r="A2210" t="s">
        <v>6</v>
      </c>
      <c r="B2210" t="str">
        <f>"10/18/2007 00:00"</f>
        <v>10/18/2007 00:00</v>
      </c>
      <c r="C2210">
        <v>2.91</v>
      </c>
      <c r="D2210" t="s">
        <v>7</v>
      </c>
      <c r="E2210" s="2" t="s">
        <v>12</v>
      </c>
      <c r="F2210">
        <f t="shared" si="34"/>
        <v>5.7705300000000008</v>
      </c>
      <c r="G2210" t="s">
        <v>16</v>
      </c>
      <c r="J2210" t="str">
        <f>"10/18/2007 23:45"</f>
        <v>10/18/2007 23:45</v>
      </c>
    </row>
    <row r="2211" spans="1:10" x14ac:dyDescent="0.3">
      <c r="A2211" t="s">
        <v>6</v>
      </c>
      <c r="B2211" t="str">
        <f>"10/19/2007 00:00"</f>
        <v>10/19/2007 00:00</v>
      </c>
      <c r="C2211">
        <v>2.91</v>
      </c>
      <c r="D2211" t="s">
        <v>7</v>
      </c>
      <c r="E2211" s="2" t="s">
        <v>12</v>
      </c>
      <c r="F2211">
        <f t="shared" si="34"/>
        <v>5.7705300000000008</v>
      </c>
      <c r="G2211" t="s">
        <v>16</v>
      </c>
      <c r="J2211" t="str">
        <f>"10/19/2007 23:45"</f>
        <v>10/19/2007 23:45</v>
      </c>
    </row>
    <row r="2212" spans="1:10" x14ac:dyDescent="0.3">
      <c r="A2212" t="s">
        <v>6</v>
      </c>
      <c r="B2212" t="str">
        <f>"10/20/2007 00:00"</f>
        <v>10/20/2007 00:00</v>
      </c>
      <c r="C2212">
        <v>2.91</v>
      </c>
      <c r="D2212" t="s">
        <v>7</v>
      </c>
      <c r="E2212" s="2" t="s">
        <v>12</v>
      </c>
      <c r="F2212">
        <f t="shared" si="34"/>
        <v>5.7705300000000008</v>
      </c>
      <c r="G2212" t="s">
        <v>16</v>
      </c>
      <c r="J2212" t="str">
        <f>"10/20/2007 23:45"</f>
        <v>10/20/2007 23:45</v>
      </c>
    </row>
    <row r="2213" spans="1:10" x14ac:dyDescent="0.3">
      <c r="A2213" t="s">
        <v>6</v>
      </c>
      <c r="B2213" t="str">
        <f>"10/21/2007 00:00"</f>
        <v>10/21/2007 00:00</v>
      </c>
      <c r="C2213">
        <v>2.91</v>
      </c>
      <c r="D2213" t="s">
        <v>7</v>
      </c>
      <c r="E2213" s="2" t="s">
        <v>12</v>
      </c>
      <c r="F2213">
        <f t="shared" si="34"/>
        <v>5.7705300000000008</v>
      </c>
      <c r="G2213" t="s">
        <v>16</v>
      </c>
      <c r="J2213" t="str">
        <f>"10/21/2007 23:45"</f>
        <v>10/21/2007 23:45</v>
      </c>
    </row>
    <row r="2214" spans="1:10" x14ac:dyDescent="0.3">
      <c r="A2214" t="s">
        <v>6</v>
      </c>
      <c r="B2214" t="str">
        <f>"10/22/2007 00:00"</f>
        <v>10/22/2007 00:00</v>
      </c>
      <c r="C2214">
        <v>2.91</v>
      </c>
      <c r="D2214" t="s">
        <v>7</v>
      </c>
      <c r="E2214" s="2" t="s">
        <v>12</v>
      </c>
      <c r="F2214">
        <f t="shared" si="34"/>
        <v>5.7705300000000008</v>
      </c>
      <c r="G2214" t="s">
        <v>16</v>
      </c>
      <c r="J2214" t="str">
        <f>"10/22/2007 23:45"</f>
        <v>10/22/2007 23:45</v>
      </c>
    </row>
    <row r="2215" spans="1:10" x14ac:dyDescent="0.3">
      <c r="A2215" t="s">
        <v>6</v>
      </c>
      <c r="B2215" t="str">
        <f>"10/23/2007 00:00"</f>
        <v>10/23/2007 00:00</v>
      </c>
      <c r="C2215">
        <v>2.91</v>
      </c>
      <c r="D2215" t="s">
        <v>7</v>
      </c>
      <c r="E2215" s="2" t="s">
        <v>12</v>
      </c>
      <c r="F2215">
        <f t="shared" si="34"/>
        <v>5.7705300000000008</v>
      </c>
      <c r="G2215" t="s">
        <v>16</v>
      </c>
      <c r="J2215" t="str">
        <f>"10/23/2007 23:45"</f>
        <v>10/23/2007 23:45</v>
      </c>
    </row>
    <row r="2216" spans="1:10" x14ac:dyDescent="0.3">
      <c r="A2216" t="s">
        <v>6</v>
      </c>
      <c r="B2216" t="str">
        <f>"10/24/2007 00:00"</f>
        <v>10/24/2007 00:00</v>
      </c>
      <c r="C2216">
        <v>1.49</v>
      </c>
      <c r="D2216" t="s">
        <v>7</v>
      </c>
      <c r="E2216" s="2" t="s">
        <v>12</v>
      </c>
      <c r="F2216">
        <f t="shared" si="34"/>
        <v>2.9546700000000001</v>
      </c>
      <c r="G2216" t="s">
        <v>16</v>
      </c>
      <c r="J2216" t="str">
        <f>"10/24/2007 23:45"</f>
        <v>10/24/2007 23:45</v>
      </c>
    </row>
    <row r="2217" spans="1:10" x14ac:dyDescent="0.3">
      <c r="A2217" t="s">
        <v>6</v>
      </c>
      <c r="B2217" t="str">
        <f>"10/25/2007 00:00"</f>
        <v>10/25/2007 00:00</v>
      </c>
      <c r="C2217">
        <v>7.8600000000000003E-2</v>
      </c>
      <c r="D2217" t="s">
        <v>7</v>
      </c>
      <c r="E2217" s="2" t="s">
        <v>12</v>
      </c>
      <c r="F2217">
        <f t="shared" si="34"/>
        <v>0.15586380000000002</v>
      </c>
      <c r="G2217" t="s">
        <v>16</v>
      </c>
      <c r="J2217" t="str">
        <f>"10/25/2007 23:45"</f>
        <v>10/25/2007 23:45</v>
      </c>
    </row>
    <row r="2218" spans="1:10" x14ac:dyDescent="0.3">
      <c r="A2218" t="s">
        <v>6</v>
      </c>
      <c r="B2218" t="str">
        <f>"10/26/2007 00:00"</f>
        <v>10/26/2007 00:00</v>
      </c>
      <c r="C2218">
        <v>0.14599999999999999</v>
      </c>
      <c r="D2218" t="s">
        <v>7</v>
      </c>
      <c r="E2218" s="2" t="s">
        <v>12</v>
      </c>
      <c r="F2218">
        <f t="shared" si="34"/>
        <v>0.289518</v>
      </c>
      <c r="G2218" t="s">
        <v>16</v>
      </c>
      <c r="J2218" t="str">
        <f>"10/26/2007 23:45"</f>
        <v>10/26/2007 23:45</v>
      </c>
    </row>
    <row r="2219" spans="1:10" x14ac:dyDescent="0.3">
      <c r="A2219" t="s">
        <v>6</v>
      </c>
      <c r="B2219" t="str">
        <f>"10/27/2007 00:00"</f>
        <v>10/27/2007 00:00</v>
      </c>
      <c r="C2219">
        <v>8.5800000000000001E-2</v>
      </c>
      <c r="D2219" t="s">
        <v>7</v>
      </c>
      <c r="E2219" s="2" t="s">
        <v>12</v>
      </c>
      <c r="F2219">
        <f t="shared" si="34"/>
        <v>0.1701414</v>
      </c>
      <c r="G2219" t="s">
        <v>16</v>
      </c>
      <c r="J2219" t="str">
        <f>"10/27/2007 23:45"</f>
        <v>10/27/2007 23:45</v>
      </c>
    </row>
    <row r="2220" spans="1:10" x14ac:dyDescent="0.3">
      <c r="A2220" t="s">
        <v>6</v>
      </c>
      <c r="B2220" t="str">
        <f>"10/28/2007 00:00"</f>
        <v>10/28/2007 00:00</v>
      </c>
      <c r="C2220">
        <v>4.8000000000000001E-2</v>
      </c>
      <c r="D2220" t="s">
        <v>7</v>
      </c>
      <c r="E2220" s="2" t="s">
        <v>12</v>
      </c>
      <c r="F2220">
        <f t="shared" si="34"/>
        <v>9.5184000000000005E-2</v>
      </c>
      <c r="G2220" t="s">
        <v>16</v>
      </c>
      <c r="J2220" t="str">
        <f>"10/28/2007 23:45"</f>
        <v>10/28/2007 23:45</v>
      </c>
    </row>
    <row r="2221" spans="1:10" x14ac:dyDescent="0.3">
      <c r="A2221" t="s">
        <v>6</v>
      </c>
      <c r="B2221" t="str">
        <f>"10/29/2007 00:00"</f>
        <v>10/29/2007 00:00</v>
      </c>
      <c r="C2221">
        <v>4.8000000000000001E-2</v>
      </c>
      <c r="D2221" t="s">
        <v>7</v>
      </c>
      <c r="E2221" s="2" t="s">
        <v>12</v>
      </c>
      <c r="F2221">
        <f t="shared" si="34"/>
        <v>9.5184000000000005E-2</v>
      </c>
      <c r="G2221" t="s">
        <v>16</v>
      </c>
      <c r="J2221" t="str">
        <f>"10/29/2007 23:45"</f>
        <v>10/29/2007 23:45</v>
      </c>
    </row>
    <row r="2222" spans="1:10" x14ac:dyDescent="0.3">
      <c r="A2222" t="s">
        <v>6</v>
      </c>
      <c r="B2222" t="str">
        <f>"10/30/2007 00:00"</f>
        <v>10/30/2007 00:00</v>
      </c>
      <c r="C2222">
        <v>4.8000000000000001E-2</v>
      </c>
      <c r="D2222" t="s">
        <v>7</v>
      </c>
      <c r="E2222" s="2" t="s">
        <v>12</v>
      </c>
      <c r="F2222">
        <f t="shared" si="34"/>
        <v>9.5184000000000005E-2</v>
      </c>
      <c r="G2222" t="s">
        <v>16</v>
      </c>
      <c r="J2222" t="str">
        <f>"10/30/2007 23:45"</f>
        <v>10/30/2007 23:45</v>
      </c>
    </row>
    <row r="2223" spans="1:10" x14ac:dyDescent="0.3">
      <c r="A2223" t="s">
        <v>6</v>
      </c>
      <c r="B2223" t="str">
        <f>"10/31/2007 00:00"</f>
        <v>10/31/2007 00:00</v>
      </c>
      <c r="C2223">
        <v>4.8000000000000001E-2</v>
      </c>
      <c r="D2223" t="s">
        <v>7</v>
      </c>
      <c r="E2223" s="2" t="s">
        <v>12</v>
      </c>
      <c r="F2223">
        <f t="shared" si="34"/>
        <v>9.5184000000000005E-2</v>
      </c>
      <c r="G2223" t="s">
        <v>16</v>
      </c>
      <c r="J2223" t="str">
        <f>"10/31/2007 23:45"</f>
        <v>10/31/2007 23:45</v>
      </c>
    </row>
    <row r="2224" spans="1:10" x14ac:dyDescent="0.3">
      <c r="A2224" t="s">
        <v>6</v>
      </c>
      <c r="B2224" t="str">
        <f>"11/01/2007 00:00"</f>
        <v>11/01/2007 00:00</v>
      </c>
      <c r="C2224">
        <v>0.02</v>
      </c>
      <c r="D2224" t="s">
        <v>7</v>
      </c>
      <c r="E2224" s="2" t="s">
        <v>12</v>
      </c>
      <c r="F2224">
        <f t="shared" si="34"/>
        <v>3.9660000000000001E-2</v>
      </c>
      <c r="G2224" t="s">
        <v>16</v>
      </c>
      <c r="J2224" t="str">
        <f>"11/01/2007 23:45"</f>
        <v>11/01/2007 23:45</v>
      </c>
    </row>
    <row r="2225" spans="1:10" x14ac:dyDescent="0.3">
      <c r="A2225" t="s">
        <v>6</v>
      </c>
      <c r="B2225" t="str">
        <f>"11/02/2007 00:00"</f>
        <v>11/02/2007 00:00</v>
      </c>
      <c r="C2225">
        <v>0</v>
      </c>
      <c r="D2225" t="s">
        <v>7</v>
      </c>
      <c r="E2225" s="2" t="s">
        <v>12</v>
      </c>
      <c r="F2225">
        <f t="shared" si="34"/>
        <v>0</v>
      </c>
      <c r="G2225" t="s">
        <v>16</v>
      </c>
      <c r="J2225" t="str">
        <f>"11/02/2007 23:45"</f>
        <v>11/02/2007 23:45</v>
      </c>
    </row>
    <row r="2226" spans="1:10" x14ac:dyDescent="0.3">
      <c r="A2226" t="s">
        <v>6</v>
      </c>
      <c r="B2226" t="str">
        <f>"11/03/2007 00:00"</f>
        <v>11/03/2007 00:00</v>
      </c>
      <c r="C2226">
        <v>3.15E-2</v>
      </c>
      <c r="D2226" t="s">
        <v>7</v>
      </c>
      <c r="E2226" s="2" t="s">
        <v>12</v>
      </c>
      <c r="F2226">
        <f t="shared" si="34"/>
        <v>6.2464500000000006E-2</v>
      </c>
      <c r="G2226" t="s">
        <v>16</v>
      </c>
      <c r="J2226" t="str">
        <f>"11/03/2007 23:45"</f>
        <v>11/03/2007 23:45</v>
      </c>
    </row>
    <row r="2227" spans="1:10" x14ac:dyDescent="0.3">
      <c r="A2227" t="s">
        <v>6</v>
      </c>
      <c r="B2227" t="str">
        <f>"11/04/2007 00:00"</f>
        <v>11/04/2007 00:00</v>
      </c>
      <c r="C2227">
        <v>13.5</v>
      </c>
      <c r="D2227" t="s">
        <v>7</v>
      </c>
      <c r="E2227" s="2" t="s">
        <v>12</v>
      </c>
      <c r="F2227">
        <f t="shared" si="34"/>
        <v>26.770500000000002</v>
      </c>
      <c r="G2227" t="s">
        <v>16</v>
      </c>
      <c r="J2227" t="str">
        <f>"11/04/2007 23:45"</f>
        <v>11/04/2007 23:45</v>
      </c>
    </row>
    <row r="2228" spans="1:10" x14ac:dyDescent="0.3">
      <c r="A2228" t="s">
        <v>6</v>
      </c>
      <c r="B2228" t="str">
        <f>"11/05/2007 00:00"</f>
        <v>11/05/2007 00:00</v>
      </c>
      <c r="C2228">
        <v>9.7100000000000009</v>
      </c>
      <c r="D2228" t="s">
        <v>7</v>
      </c>
      <c r="E2228" s="2" t="s">
        <v>12</v>
      </c>
      <c r="F2228">
        <f t="shared" si="34"/>
        <v>19.254930000000002</v>
      </c>
      <c r="G2228" t="s">
        <v>16</v>
      </c>
      <c r="J2228" t="str">
        <f>"11/05/2007 23:45"</f>
        <v>11/05/2007 23:45</v>
      </c>
    </row>
    <row r="2229" spans="1:10" x14ac:dyDescent="0.3">
      <c r="A2229" t="s">
        <v>6</v>
      </c>
      <c r="B2229" t="str">
        <f>"11/06/2007 00:00"</f>
        <v>11/06/2007 00:00</v>
      </c>
      <c r="C2229">
        <v>4.8000000000000001E-2</v>
      </c>
      <c r="D2229" t="s">
        <v>7</v>
      </c>
      <c r="E2229" s="2" t="s">
        <v>12</v>
      </c>
      <c r="F2229">
        <f t="shared" si="34"/>
        <v>9.5184000000000005E-2</v>
      </c>
      <c r="G2229" t="s">
        <v>16</v>
      </c>
      <c r="J2229" t="str">
        <f>"11/06/2007 23:45"</f>
        <v>11/06/2007 23:45</v>
      </c>
    </row>
    <row r="2230" spans="1:10" x14ac:dyDescent="0.3">
      <c r="A2230" t="s">
        <v>6</v>
      </c>
      <c r="B2230" t="str">
        <f>"11/07/2007 00:00"</f>
        <v>11/07/2007 00:00</v>
      </c>
      <c r="C2230">
        <v>4.8000000000000001E-2</v>
      </c>
      <c r="D2230" t="s">
        <v>7</v>
      </c>
      <c r="E2230" s="2" t="s">
        <v>12</v>
      </c>
      <c r="F2230">
        <f t="shared" si="34"/>
        <v>9.5184000000000005E-2</v>
      </c>
      <c r="G2230" t="s">
        <v>16</v>
      </c>
      <c r="J2230" t="str">
        <f>"11/07/2007 23:45"</f>
        <v>11/07/2007 23:45</v>
      </c>
    </row>
    <row r="2231" spans="1:10" x14ac:dyDescent="0.3">
      <c r="A2231" t="s">
        <v>6</v>
      </c>
      <c r="B2231" t="str">
        <f>"11/08/2007 00:00"</f>
        <v>11/08/2007 00:00</v>
      </c>
      <c r="C2231">
        <v>4.8000000000000001E-2</v>
      </c>
      <c r="D2231" t="s">
        <v>7</v>
      </c>
      <c r="E2231" s="2" t="s">
        <v>12</v>
      </c>
      <c r="F2231">
        <f t="shared" si="34"/>
        <v>9.5184000000000005E-2</v>
      </c>
      <c r="G2231" t="s">
        <v>16</v>
      </c>
      <c r="J2231" t="str">
        <f>"11/08/2007 23:45"</f>
        <v>11/08/2007 23:45</v>
      </c>
    </row>
    <row r="2232" spans="1:10" x14ac:dyDescent="0.3">
      <c r="A2232" t="s">
        <v>6</v>
      </c>
      <c r="B2232" t="str">
        <f>"11/09/2007 00:00"</f>
        <v>11/09/2007 00:00</v>
      </c>
      <c r="C2232">
        <v>2.6499999999999999E-2</v>
      </c>
      <c r="D2232" t="s">
        <v>7</v>
      </c>
      <c r="E2232" s="2" t="s">
        <v>12</v>
      </c>
      <c r="F2232">
        <f t="shared" si="34"/>
        <v>5.2549499999999999E-2</v>
      </c>
      <c r="G2232" t="s">
        <v>16</v>
      </c>
      <c r="J2232" t="str">
        <f>"11/09/2007 23:45"</f>
        <v>11/09/2007 23:45</v>
      </c>
    </row>
    <row r="2233" spans="1:10" x14ac:dyDescent="0.3">
      <c r="A2233" t="s">
        <v>6</v>
      </c>
      <c r="B2233" t="str">
        <f>"11/10/2007 00:00"</f>
        <v>11/10/2007 00:00</v>
      </c>
      <c r="C2233">
        <v>0</v>
      </c>
      <c r="D2233" t="s">
        <v>7</v>
      </c>
      <c r="E2233" s="2" t="s">
        <v>12</v>
      </c>
      <c r="F2233">
        <f t="shared" si="34"/>
        <v>0</v>
      </c>
      <c r="G2233" t="s">
        <v>16</v>
      </c>
      <c r="J2233" t="str">
        <f>"11/10/2007 23:45"</f>
        <v>11/10/2007 23:45</v>
      </c>
    </row>
    <row r="2234" spans="1:10" x14ac:dyDescent="0.3">
      <c r="A2234" t="s">
        <v>6</v>
      </c>
      <c r="B2234" t="str">
        <f>"11/11/2007 00:00"</f>
        <v>11/11/2007 00:00</v>
      </c>
      <c r="C2234">
        <v>0</v>
      </c>
      <c r="D2234" t="s">
        <v>7</v>
      </c>
      <c r="E2234" s="2" t="s">
        <v>12</v>
      </c>
      <c r="F2234">
        <f t="shared" si="34"/>
        <v>0</v>
      </c>
      <c r="G2234" t="s">
        <v>16</v>
      </c>
      <c r="J2234" t="str">
        <f>"11/11/2007 23:45"</f>
        <v>11/11/2007 23:45</v>
      </c>
    </row>
    <row r="2235" spans="1:10" x14ac:dyDescent="0.3">
      <c r="A2235" t="s">
        <v>6</v>
      </c>
      <c r="B2235" t="str">
        <f>"11/12/2007 00:00"</f>
        <v>11/12/2007 00:00</v>
      </c>
      <c r="C2235">
        <v>0</v>
      </c>
      <c r="D2235" t="s">
        <v>7</v>
      </c>
      <c r="E2235" s="2" t="s">
        <v>12</v>
      </c>
      <c r="F2235">
        <f t="shared" si="34"/>
        <v>0</v>
      </c>
      <c r="G2235" t="s">
        <v>16</v>
      </c>
      <c r="J2235" t="str">
        <f>"11/12/2007 23:45"</f>
        <v>11/12/2007 23:45</v>
      </c>
    </row>
    <row r="2236" spans="1:10" x14ac:dyDescent="0.3">
      <c r="A2236" t="s">
        <v>6</v>
      </c>
      <c r="B2236" t="str">
        <f>"11/13/2007 00:00"</f>
        <v>11/13/2007 00:00</v>
      </c>
      <c r="C2236">
        <v>0</v>
      </c>
      <c r="D2236" t="s">
        <v>7</v>
      </c>
      <c r="E2236" s="2" t="s">
        <v>12</v>
      </c>
      <c r="F2236">
        <f t="shared" si="34"/>
        <v>0</v>
      </c>
      <c r="G2236" t="s">
        <v>16</v>
      </c>
      <c r="J2236" t="str">
        <f>"11/13/2007 23:45"</f>
        <v>11/13/2007 23:45</v>
      </c>
    </row>
    <row r="2237" spans="1:10" x14ac:dyDescent="0.3">
      <c r="A2237" t="s">
        <v>6</v>
      </c>
      <c r="B2237" t="str">
        <f>"11/14/2007 00:00"</f>
        <v>11/14/2007 00:00</v>
      </c>
      <c r="C2237">
        <v>7.5499999999999998E-2</v>
      </c>
      <c r="D2237" t="s">
        <v>7</v>
      </c>
      <c r="E2237" s="2" t="s">
        <v>12</v>
      </c>
      <c r="F2237">
        <f t="shared" si="34"/>
        <v>0.1497165</v>
      </c>
      <c r="G2237" t="s">
        <v>16</v>
      </c>
      <c r="J2237" t="str">
        <f>"11/14/2007 23:45"</f>
        <v>11/14/2007 23:45</v>
      </c>
    </row>
    <row r="2238" spans="1:10" x14ac:dyDescent="0.3">
      <c r="A2238" t="s">
        <v>6</v>
      </c>
      <c r="B2238" t="str">
        <f>"11/15/2007 00:00"</f>
        <v>11/15/2007 00:00</v>
      </c>
      <c r="C2238">
        <v>9.0899999999999995E-2</v>
      </c>
      <c r="D2238" t="s">
        <v>7</v>
      </c>
      <c r="E2238" s="2" t="s">
        <v>12</v>
      </c>
      <c r="F2238">
        <f t="shared" si="34"/>
        <v>0.18025469999999999</v>
      </c>
      <c r="G2238" t="s">
        <v>16</v>
      </c>
      <c r="J2238" t="str">
        <f>"11/15/2007 23:45"</f>
        <v>11/15/2007 23:45</v>
      </c>
    </row>
    <row r="2239" spans="1:10" x14ac:dyDescent="0.3">
      <c r="A2239" t="s">
        <v>6</v>
      </c>
      <c r="B2239" t="str">
        <f>"11/16/2007 00:00"</f>
        <v>11/16/2007 00:00</v>
      </c>
      <c r="C2239">
        <v>4.8000000000000001E-2</v>
      </c>
      <c r="D2239" t="s">
        <v>7</v>
      </c>
      <c r="E2239" s="2" t="s">
        <v>12</v>
      </c>
      <c r="F2239">
        <f t="shared" si="34"/>
        <v>9.5184000000000005E-2</v>
      </c>
      <c r="G2239" t="s">
        <v>16</v>
      </c>
      <c r="J2239" t="str">
        <f>"11/16/2007 23:45"</f>
        <v>11/16/2007 23:45</v>
      </c>
    </row>
    <row r="2240" spans="1:10" x14ac:dyDescent="0.3">
      <c r="A2240" t="s">
        <v>6</v>
      </c>
      <c r="B2240" t="str">
        <f>"11/17/2007 00:00"</f>
        <v>11/17/2007 00:00</v>
      </c>
      <c r="C2240">
        <v>4.8000000000000001E-2</v>
      </c>
      <c r="D2240" t="s">
        <v>7</v>
      </c>
      <c r="E2240" s="2" t="s">
        <v>12</v>
      </c>
      <c r="F2240">
        <f t="shared" si="34"/>
        <v>9.5184000000000005E-2</v>
      </c>
      <c r="G2240" t="s">
        <v>16</v>
      </c>
      <c r="J2240" t="str">
        <f>"11/17/2007 23:45"</f>
        <v>11/17/2007 23:45</v>
      </c>
    </row>
    <row r="2241" spans="1:10" x14ac:dyDescent="0.3">
      <c r="A2241" t="s">
        <v>6</v>
      </c>
      <c r="B2241" t="str">
        <f>"11/18/2007 00:00"</f>
        <v>11/18/2007 00:00</v>
      </c>
      <c r="C2241">
        <v>1.7999999999999999E-2</v>
      </c>
      <c r="D2241" t="s">
        <v>7</v>
      </c>
      <c r="E2241" s="2" t="s">
        <v>12</v>
      </c>
      <c r="F2241">
        <f t="shared" si="34"/>
        <v>3.5693999999999997E-2</v>
      </c>
      <c r="G2241" t="s">
        <v>16</v>
      </c>
      <c r="J2241" t="str">
        <f>"11/18/2007 23:45"</f>
        <v>11/18/2007 23:45</v>
      </c>
    </row>
    <row r="2242" spans="1:10" x14ac:dyDescent="0.3">
      <c r="A2242" t="s">
        <v>6</v>
      </c>
      <c r="B2242" t="str">
        <f>"11/19/2007 00:00"</f>
        <v>11/19/2007 00:00</v>
      </c>
      <c r="C2242">
        <v>0</v>
      </c>
      <c r="D2242" t="s">
        <v>7</v>
      </c>
      <c r="E2242" s="2" t="s">
        <v>12</v>
      </c>
      <c r="F2242">
        <f t="shared" si="34"/>
        <v>0</v>
      </c>
      <c r="G2242" t="s">
        <v>16</v>
      </c>
      <c r="J2242" t="str">
        <f>"11/19/2007 23:45"</f>
        <v>11/19/2007 23:45</v>
      </c>
    </row>
    <row r="2243" spans="1:10" x14ac:dyDescent="0.3">
      <c r="A2243" t="s">
        <v>6</v>
      </c>
      <c r="B2243" t="str">
        <f>"11/20/2007 00:00"</f>
        <v>11/20/2007 00:00</v>
      </c>
      <c r="C2243">
        <v>0</v>
      </c>
      <c r="D2243" t="s">
        <v>7</v>
      </c>
      <c r="E2243" s="2" t="s">
        <v>12</v>
      </c>
      <c r="F2243">
        <f t="shared" si="34"/>
        <v>0</v>
      </c>
      <c r="G2243" t="s">
        <v>16</v>
      </c>
      <c r="J2243" t="str">
        <f>"11/20/2007 23:45"</f>
        <v>11/20/2007 23:45</v>
      </c>
    </row>
    <row r="2244" spans="1:10" x14ac:dyDescent="0.3">
      <c r="A2244" t="s">
        <v>6</v>
      </c>
      <c r="B2244" t="str">
        <f>"11/21/2007 00:00"</f>
        <v>11/21/2007 00:00</v>
      </c>
      <c r="C2244">
        <v>7.1999999999999995E-2</v>
      </c>
      <c r="D2244" t="s">
        <v>7</v>
      </c>
      <c r="E2244" s="2" t="s">
        <v>12</v>
      </c>
      <c r="F2244">
        <f t="shared" ref="F2244:F2307" si="35">C2244*1.983</f>
        <v>0.14277599999999999</v>
      </c>
      <c r="G2244" t="s">
        <v>16</v>
      </c>
      <c r="J2244" t="str">
        <f>"11/21/2007 23:45"</f>
        <v>11/21/2007 23:45</v>
      </c>
    </row>
    <row r="2245" spans="1:10" x14ac:dyDescent="0.3">
      <c r="A2245" t="s">
        <v>6</v>
      </c>
      <c r="B2245" t="str">
        <f>"11/22/2007 00:00"</f>
        <v>11/22/2007 00:00</v>
      </c>
      <c r="C2245">
        <v>0.442</v>
      </c>
      <c r="D2245" t="s">
        <v>7</v>
      </c>
      <c r="E2245" s="2" t="s">
        <v>12</v>
      </c>
      <c r="F2245">
        <f t="shared" si="35"/>
        <v>0.8764860000000001</v>
      </c>
      <c r="G2245" t="s">
        <v>16</v>
      </c>
      <c r="J2245" t="str">
        <f>"11/22/2007 23:45"</f>
        <v>11/22/2007 23:45</v>
      </c>
    </row>
    <row r="2246" spans="1:10" x14ac:dyDescent="0.3">
      <c r="A2246" t="s">
        <v>6</v>
      </c>
      <c r="B2246" t="str">
        <f>"11/23/2007 00:00"</f>
        <v>11/23/2007 00:00</v>
      </c>
      <c r="C2246">
        <v>0.442</v>
      </c>
      <c r="D2246" t="s">
        <v>7</v>
      </c>
      <c r="E2246" s="2" t="s">
        <v>12</v>
      </c>
      <c r="F2246">
        <f t="shared" si="35"/>
        <v>0.8764860000000001</v>
      </c>
      <c r="G2246" t="s">
        <v>16</v>
      </c>
      <c r="J2246" t="str">
        <f>"11/23/2007 23:45"</f>
        <v>11/23/2007 23:45</v>
      </c>
    </row>
    <row r="2247" spans="1:10" x14ac:dyDescent="0.3">
      <c r="A2247" t="s">
        <v>6</v>
      </c>
      <c r="B2247" t="str">
        <f>"11/24/2007 00:00"</f>
        <v>11/24/2007 00:00</v>
      </c>
      <c r="C2247">
        <v>0.442</v>
      </c>
      <c r="D2247" t="s">
        <v>7</v>
      </c>
      <c r="E2247" s="2" t="s">
        <v>12</v>
      </c>
      <c r="F2247">
        <f t="shared" si="35"/>
        <v>0.8764860000000001</v>
      </c>
      <c r="G2247" t="s">
        <v>16</v>
      </c>
      <c r="J2247" t="str">
        <f>"11/24/2007 23:45"</f>
        <v>11/24/2007 23:45</v>
      </c>
    </row>
    <row r="2248" spans="1:10" x14ac:dyDescent="0.3">
      <c r="A2248" t="s">
        <v>6</v>
      </c>
      <c r="B2248" t="str">
        <f>"11/25/2007 00:00"</f>
        <v>11/25/2007 00:00</v>
      </c>
      <c r="C2248">
        <v>0.32800000000000001</v>
      </c>
      <c r="D2248" t="s">
        <v>7</v>
      </c>
      <c r="E2248" s="2" t="s">
        <v>12</v>
      </c>
      <c r="F2248">
        <f t="shared" si="35"/>
        <v>0.65042400000000011</v>
      </c>
      <c r="G2248" t="s">
        <v>16</v>
      </c>
      <c r="J2248" t="str">
        <f>"11/25/2007 23:45"</f>
        <v>11/25/2007 23:45</v>
      </c>
    </row>
    <row r="2249" spans="1:10" x14ac:dyDescent="0.3">
      <c r="A2249" t="s">
        <v>6</v>
      </c>
      <c r="B2249" t="str">
        <f>"11/26/2007 00:00"</f>
        <v>11/26/2007 00:00</v>
      </c>
      <c r="C2249">
        <v>0.14599999999999999</v>
      </c>
      <c r="D2249" t="s">
        <v>7</v>
      </c>
      <c r="E2249" s="2" t="s">
        <v>12</v>
      </c>
      <c r="F2249">
        <f t="shared" si="35"/>
        <v>0.289518</v>
      </c>
      <c r="G2249" t="s">
        <v>16</v>
      </c>
      <c r="J2249" t="str">
        <f>"11/26/2007 23:45"</f>
        <v>11/26/2007 23:45</v>
      </c>
    </row>
    <row r="2250" spans="1:10" x14ac:dyDescent="0.3">
      <c r="A2250" t="s">
        <v>6</v>
      </c>
      <c r="B2250" t="str">
        <f>"11/27/2007 00:00"</f>
        <v>11/27/2007 00:00</v>
      </c>
      <c r="C2250">
        <v>0.14599999999999999</v>
      </c>
      <c r="D2250" t="s">
        <v>7</v>
      </c>
      <c r="E2250" s="2" t="s">
        <v>12</v>
      </c>
      <c r="F2250">
        <f t="shared" si="35"/>
        <v>0.289518</v>
      </c>
      <c r="G2250" t="s">
        <v>16</v>
      </c>
      <c r="J2250" t="str">
        <f>"11/27/2007 23:45"</f>
        <v>11/27/2007 23:45</v>
      </c>
    </row>
    <row r="2251" spans="1:10" x14ac:dyDescent="0.3">
      <c r="A2251" t="s">
        <v>6</v>
      </c>
      <c r="B2251" t="str">
        <f>"11/28/2007 00:00"</f>
        <v>11/28/2007 00:00</v>
      </c>
      <c r="C2251">
        <v>4.54</v>
      </c>
      <c r="D2251" t="s">
        <v>7</v>
      </c>
      <c r="E2251" s="2" t="s">
        <v>12</v>
      </c>
      <c r="F2251">
        <f t="shared" si="35"/>
        <v>9.0028199999999998</v>
      </c>
      <c r="G2251" t="s">
        <v>16</v>
      </c>
      <c r="J2251" t="str">
        <f>"11/28/2007 23:45"</f>
        <v>11/28/2007 23:45</v>
      </c>
    </row>
    <row r="2252" spans="1:10" x14ac:dyDescent="0.3">
      <c r="A2252" t="s">
        <v>6</v>
      </c>
      <c r="B2252" t="str">
        <f>"11/29/2007 00:00"</f>
        <v>11/29/2007 00:00</v>
      </c>
      <c r="C2252">
        <v>9.91</v>
      </c>
      <c r="D2252" t="s">
        <v>7</v>
      </c>
      <c r="E2252" s="2" t="s">
        <v>12</v>
      </c>
      <c r="F2252">
        <f t="shared" si="35"/>
        <v>19.651530000000001</v>
      </c>
      <c r="G2252" t="s">
        <v>16</v>
      </c>
      <c r="J2252" t="str">
        <f>"11/29/2007 23:45"</f>
        <v>11/29/2007 23:45</v>
      </c>
    </row>
    <row r="2253" spans="1:10" x14ac:dyDescent="0.3">
      <c r="A2253" t="s">
        <v>6</v>
      </c>
      <c r="B2253" t="str">
        <f>"11/30/2007 00:00"</f>
        <v>11/30/2007 00:00</v>
      </c>
      <c r="C2253">
        <v>17.7</v>
      </c>
      <c r="D2253" t="s">
        <v>7</v>
      </c>
      <c r="E2253" s="2" t="s">
        <v>12</v>
      </c>
      <c r="F2253">
        <f t="shared" si="35"/>
        <v>35.0991</v>
      </c>
      <c r="G2253" t="s">
        <v>16</v>
      </c>
      <c r="J2253" t="str">
        <f>"11/30/2007 23:45"</f>
        <v>11/30/2007 23:45</v>
      </c>
    </row>
    <row r="2254" spans="1:10" x14ac:dyDescent="0.3">
      <c r="A2254" t="s">
        <v>6</v>
      </c>
      <c r="B2254" t="str">
        <f>"12/01/2007 00:00"</f>
        <v>12/01/2007 00:00</v>
      </c>
      <c r="C2254">
        <v>27.5</v>
      </c>
      <c r="D2254" t="s">
        <v>7</v>
      </c>
      <c r="E2254" s="2" t="s">
        <v>12</v>
      </c>
      <c r="F2254">
        <f t="shared" si="35"/>
        <v>54.532500000000006</v>
      </c>
      <c r="G2254" t="s">
        <v>16</v>
      </c>
      <c r="J2254" t="str">
        <f>"12/01/2007 23:45"</f>
        <v>12/01/2007 23:45</v>
      </c>
    </row>
    <row r="2255" spans="1:10" x14ac:dyDescent="0.3">
      <c r="A2255" t="s">
        <v>6</v>
      </c>
      <c r="B2255" t="str">
        <f>"12/02/2007 00:00"</f>
        <v>12/02/2007 00:00</v>
      </c>
      <c r="C2255">
        <v>38</v>
      </c>
      <c r="D2255" t="s">
        <v>7</v>
      </c>
      <c r="E2255" s="2" t="s">
        <v>12</v>
      </c>
      <c r="F2255">
        <f t="shared" si="35"/>
        <v>75.353999999999999</v>
      </c>
      <c r="G2255" t="s">
        <v>16</v>
      </c>
      <c r="J2255" t="str">
        <f>"12/02/2007 23:45"</f>
        <v>12/02/2007 23:45</v>
      </c>
    </row>
    <row r="2256" spans="1:10" x14ac:dyDescent="0.3">
      <c r="A2256" t="s">
        <v>6</v>
      </c>
      <c r="B2256" t="str">
        <f>"12/03/2007 00:00"</f>
        <v>12/03/2007 00:00</v>
      </c>
      <c r="C2256">
        <v>49</v>
      </c>
      <c r="D2256" t="s">
        <v>7</v>
      </c>
      <c r="E2256" s="2" t="s">
        <v>12</v>
      </c>
      <c r="F2256">
        <f t="shared" si="35"/>
        <v>97.167000000000002</v>
      </c>
      <c r="G2256" t="s">
        <v>16</v>
      </c>
      <c r="J2256" t="str">
        <f>"12/03/2007 23:45"</f>
        <v>12/03/2007 23:45</v>
      </c>
    </row>
    <row r="2257" spans="1:10" x14ac:dyDescent="0.3">
      <c r="A2257" t="s">
        <v>6</v>
      </c>
      <c r="B2257" t="str">
        <f>"12/04/2007 00:00"</f>
        <v>12/04/2007 00:00</v>
      </c>
      <c r="C2257">
        <v>66.099999999999994</v>
      </c>
      <c r="D2257" t="s">
        <v>7</v>
      </c>
      <c r="E2257" s="2" t="s">
        <v>12</v>
      </c>
      <c r="F2257">
        <f t="shared" si="35"/>
        <v>131.0763</v>
      </c>
      <c r="G2257" t="s">
        <v>16</v>
      </c>
      <c r="J2257" t="str">
        <f>"12/04/2007 23:45"</f>
        <v>12/04/2007 23:45</v>
      </c>
    </row>
    <row r="2258" spans="1:10" x14ac:dyDescent="0.3">
      <c r="A2258" t="s">
        <v>6</v>
      </c>
      <c r="B2258" t="str">
        <f>"12/05/2007 00:00"</f>
        <v>12/05/2007 00:00</v>
      </c>
      <c r="C2258">
        <v>76.3</v>
      </c>
      <c r="D2258" t="s">
        <v>7</v>
      </c>
      <c r="E2258" s="2" t="s">
        <v>12</v>
      </c>
      <c r="F2258">
        <f t="shared" si="35"/>
        <v>151.30289999999999</v>
      </c>
      <c r="G2258" t="s">
        <v>16</v>
      </c>
      <c r="J2258" t="str">
        <f>"12/05/2007 23:45"</f>
        <v>12/05/2007 23:45</v>
      </c>
    </row>
    <row r="2259" spans="1:10" x14ac:dyDescent="0.3">
      <c r="A2259" t="s">
        <v>6</v>
      </c>
      <c r="B2259" t="str">
        <f>"12/06/2007 00:00"</f>
        <v>12/06/2007 00:00</v>
      </c>
      <c r="C2259">
        <v>76.3</v>
      </c>
      <c r="D2259" t="s">
        <v>7</v>
      </c>
      <c r="E2259" s="2" t="s">
        <v>12</v>
      </c>
      <c r="F2259">
        <f t="shared" si="35"/>
        <v>151.30289999999999</v>
      </c>
      <c r="G2259" t="s">
        <v>16</v>
      </c>
      <c r="J2259" t="str">
        <f>"12/06/2007 23:45"</f>
        <v>12/06/2007 23:45</v>
      </c>
    </row>
    <row r="2260" spans="1:10" x14ac:dyDescent="0.3">
      <c r="A2260" t="s">
        <v>6</v>
      </c>
      <c r="B2260" t="str">
        <f>"12/07/2007 00:00"</f>
        <v>12/07/2007 00:00</v>
      </c>
      <c r="C2260">
        <v>76.3</v>
      </c>
      <c r="D2260" t="s">
        <v>7</v>
      </c>
      <c r="E2260" s="2" t="s">
        <v>12</v>
      </c>
      <c r="F2260">
        <f t="shared" si="35"/>
        <v>151.30289999999999</v>
      </c>
      <c r="G2260" t="s">
        <v>16</v>
      </c>
      <c r="J2260" t="str">
        <f>"12/07/2007 23:45"</f>
        <v>12/07/2007 23:45</v>
      </c>
    </row>
    <row r="2261" spans="1:10" x14ac:dyDescent="0.3">
      <c r="A2261" t="s">
        <v>6</v>
      </c>
      <c r="B2261" t="str">
        <f>"12/08/2007 00:00"</f>
        <v>12/08/2007 00:00</v>
      </c>
      <c r="C2261">
        <v>76.3</v>
      </c>
      <c r="D2261" t="s">
        <v>7</v>
      </c>
      <c r="E2261" s="2" t="s">
        <v>12</v>
      </c>
      <c r="F2261">
        <f t="shared" si="35"/>
        <v>151.30289999999999</v>
      </c>
      <c r="G2261" t="s">
        <v>16</v>
      </c>
      <c r="J2261" t="str">
        <f>"12/08/2007 23:45"</f>
        <v>12/08/2007 23:45</v>
      </c>
    </row>
    <row r="2262" spans="1:10" x14ac:dyDescent="0.3">
      <c r="A2262" t="s">
        <v>6</v>
      </c>
      <c r="B2262" t="str">
        <f>"12/09/2007 00:00"</f>
        <v>12/09/2007 00:00</v>
      </c>
      <c r="C2262">
        <v>76.7</v>
      </c>
      <c r="D2262" t="s">
        <v>7</v>
      </c>
      <c r="E2262" s="2" t="s">
        <v>12</v>
      </c>
      <c r="F2262">
        <f t="shared" si="35"/>
        <v>152.09610000000001</v>
      </c>
      <c r="G2262" t="s">
        <v>16</v>
      </c>
      <c r="J2262" t="str">
        <f>"12/09/2007 23:45"</f>
        <v>12/09/2007 23:45</v>
      </c>
    </row>
    <row r="2263" spans="1:10" x14ac:dyDescent="0.3">
      <c r="A2263" t="s">
        <v>6</v>
      </c>
      <c r="B2263" t="str">
        <f>"12/10/2007 00:00"</f>
        <v>12/10/2007 00:00</v>
      </c>
      <c r="C2263">
        <v>77.5</v>
      </c>
      <c r="D2263" t="s">
        <v>7</v>
      </c>
      <c r="E2263" s="2" t="s">
        <v>12</v>
      </c>
      <c r="F2263">
        <f t="shared" si="35"/>
        <v>153.6825</v>
      </c>
      <c r="G2263" t="s">
        <v>16</v>
      </c>
      <c r="J2263" t="str">
        <f>"12/10/2007 23:45"</f>
        <v>12/10/2007 23:45</v>
      </c>
    </row>
    <row r="2264" spans="1:10" x14ac:dyDescent="0.3">
      <c r="A2264" t="s">
        <v>6</v>
      </c>
      <c r="B2264" t="str">
        <f>"12/11/2007 00:00"</f>
        <v>12/11/2007 00:00</v>
      </c>
      <c r="C2264">
        <v>77.400000000000006</v>
      </c>
      <c r="D2264" t="s">
        <v>7</v>
      </c>
      <c r="E2264" s="2" t="s">
        <v>12</v>
      </c>
      <c r="F2264">
        <f t="shared" si="35"/>
        <v>153.48420000000002</v>
      </c>
      <c r="G2264" t="s">
        <v>16</v>
      </c>
      <c r="J2264" t="str">
        <f>"12/11/2007 23:45"</f>
        <v>12/11/2007 23:45</v>
      </c>
    </row>
    <row r="2265" spans="1:10" x14ac:dyDescent="0.3">
      <c r="A2265" t="s">
        <v>6</v>
      </c>
      <c r="B2265" t="str">
        <f>"12/12/2007 00:00"</f>
        <v>12/12/2007 00:00</v>
      </c>
      <c r="C2265">
        <v>76.900000000000006</v>
      </c>
      <c r="D2265" t="s">
        <v>7</v>
      </c>
      <c r="E2265" s="2" t="s">
        <v>12</v>
      </c>
      <c r="F2265">
        <f t="shared" si="35"/>
        <v>152.49270000000001</v>
      </c>
      <c r="G2265" t="s">
        <v>16</v>
      </c>
      <c r="J2265" t="str">
        <f>"12/12/2007 23:45"</f>
        <v>12/12/2007 23:45</v>
      </c>
    </row>
    <row r="2266" spans="1:10" x14ac:dyDescent="0.3">
      <c r="A2266" t="s">
        <v>6</v>
      </c>
      <c r="B2266" t="str">
        <f>"12/13/2007 00:00"</f>
        <v>12/13/2007 00:00</v>
      </c>
      <c r="C2266">
        <v>76.599999999999994</v>
      </c>
      <c r="D2266" t="s">
        <v>7</v>
      </c>
      <c r="E2266" s="2" t="s">
        <v>12</v>
      </c>
      <c r="F2266">
        <f t="shared" si="35"/>
        <v>151.89779999999999</v>
      </c>
      <c r="G2266" t="s">
        <v>16</v>
      </c>
      <c r="J2266" t="str">
        <f>"12/13/2007 23:45"</f>
        <v>12/13/2007 23:45</v>
      </c>
    </row>
    <row r="2267" spans="1:10" x14ac:dyDescent="0.3">
      <c r="A2267" t="s">
        <v>6</v>
      </c>
      <c r="B2267" t="str">
        <f>"12/14/2007 00:00"</f>
        <v>12/14/2007 00:00</v>
      </c>
      <c r="C2267">
        <v>77</v>
      </c>
      <c r="D2267" t="s">
        <v>7</v>
      </c>
      <c r="E2267" s="2" t="s">
        <v>12</v>
      </c>
      <c r="F2267">
        <f t="shared" si="35"/>
        <v>152.691</v>
      </c>
      <c r="G2267" t="s">
        <v>16</v>
      </c>
      <c r="J2267" t="str">
        <f>"12/14/2007 23:45"</f>
        <v>12/14/2007 23:45</v>
      </c>
    </row>
    <row r="2268" spans="1:10" x14ac:dyDescent="0.3">
      <c r="A2268" t="s">
        <v>6</v>
      </c>
      <c r="B2268" t="str">
        <f>"12/15/2007 00:00"</f>
        <v>12/15/2007 00:00</v>
      </c>
      <c r="C2268">
        <v>76.599999999999994</v>
      </c>
      <c r="D2268" t="s">
        <v>7</v>
      </c>
      <c r="E2268" s="2" t="s">
        <v>12</v>
      </c>
      <c r="F2268">
        <f t="shared" si="35"/>
        <v>151.89779999999999</v>
      </c>
      <c r="G2268" t="s">
        <v>16</v>
      </c>
      <c r="J2268" t="str">
        <f>"12/15/2007 23:45"</f>
        <v>12/15/2007 23:45</v>
      </c>
    </row>
    <row r="2269" spans="1:10" x14ac:dyDescent="0.3">
      <c r="A2269" t="s">
        <v>6</v>
      </c>
      <c r="B2269" t="str">
        <f>"12/16/2007 00:00"</f>
        <v>12/16/2007 00:00</v>
      </c>
      <c r="C2269">
        <v>77.3</v>
      </c>
      <c r="D2269" t="s">
        <v>7</v>
      </c>
      <c r="E2269" s="2" t="s">
        <v>12</v>
      </c>
      <c r="F2269">
        <f t="shared" si="35"/>
        <v>153.2859</v>
      </c>
      <c r="G2269" t="s">
        <v>16</v>
      </c>
      <c r="J2269" t="str">
        <f>"12/16/2007 23:45"</f>
        <v>12/16/2007 23:45</v>
      </c>
    </row>
    <row r="2270" spans="1:10" x14ac:dyDescent="0.3">
      <c r="A2270" t="s">
        <v>6</v>
      </c>
      <c r="B2270" t="str">
        <f>"12/17/2007 00:00"</f>
        <v>12/17/2007 00:00</v>
      </c>
      <c r="C2270">
        <v>76.5</v>
      </c>
      <c r="D2270" t="s">
        <v>7</v>
      </c>
      <c r="E2270" s="2" t="s">
        <v>12</v>
      </c>
      <c r="F2270">
        <f t="shared" si="35"/>
        <v>151.6995</v>
      </c>
      <c r="G2270" t="s">
        <v>16</v>
      </c>
      <c r="J2270" t="str">
        <f>"12/17/2007 23:45"</f>
        <v>12/17/2007 23:45</v>
      </c>
    </row>
    <row r="2271" spans="1:10" x14ac:dyDescent="0.3">
      <c r="A2271" t="s">
        <v>6</v>
      </c>
      <c r="B2271" t="str">
        <f>"12/18/2007 00:00"</f>
        <v>12/18/2007 00:00</v>
      </c>
      <c r="C2271">
        <v>76.7</v>
      </c>
      <c r="D2271" t="s">
        <v>7</v>
      </c>
      <c r="E2271" s="2" t="s">
        <v>12</v>
      </c>
      <c r="F2271">
        <f t="shared" si="35"/>
        <v>152.09610000000001</v>
      </c>
      <c r="G2271" t="s">
        <v>16</v>
      </c>
      <c r="J2271" t="str">
        <f>"12/18/2007 23:45"</f>
        <v>12/18/2007 23:45</v>
      </c>
    </row>
    <row r="2272" spans="1:10" x14ac:dyDescent="0.3">
      <c r="A2272" t="s">
        <v>6</v>
      </c>
      <c r="B2272" t="str">
        <f>"12/19/2007 00:00"</f>
        <v>12/19/2007 00:00</v>
      </c>
      <c r="C2272">
        <v>76.3</v>
      </c>
      <c r="D2272" t="s">
        <v>7</v>
      </c>
      <c r="E2272" s="2" t="s">
        <v>12</v>
      </c>
      <c r="F2272">
        <f t="shared" si="35"/>
        <v>151.30289999999999</v>
      </c>
      <c r="G2272" t="s">
        <v>16</v>
      </c>
      <c r="J2272" t="str">
        <f>"12/19/2007 23:45"</f>
        <v>12/19/2007 23:45</v>
      </c>
    </row>
    <row r="2273" spans="1:10" x14ac:dyDescent="0.3">
      <c r="A2273" t="s">
        <v>6</v>
      </c>
      <c r="B2273" t="str">
        <f>"12/20/2007 00:00"</f>
        <v>12/20/2007 00:00</v>
      </c>
      <c r="C2273">
        <v>76.3</v>
      </c>
      <c r="D2273" t="s">
        <v>7</v>
      </c>
      <c r="E2273" s="2" t="s">
        <v>12</v>
      </c>
      <c r="F2273">
        <f t="shared" si="35"/>
        <v>151.30289999999999</v>
      </c>
      <c r="G2273" t="s">
        <v>16</v>
      </c>
      <c r="J2273" t="str">
        <f>"12/20/2007 23:45"</f>
        <v>12/20/2007 23:45</v>
      </c>
    </row>
    <row r="2274" spans="1:10" x14ac:dyDescent="0.3">
      <c r="A2274" t="s">
        <v>6</v>
      </c>
      <c r="B2274" t="str">
        <f>"12/21/2007 00:00"</f>
        <v>12/21/2007 00:00</v>
      </c>
      <c r="C2274">
        <v>76.3</v>
      </c>
      <c r="D2274" t="s">
        <v>7</v>
      </c>
      <c r="E2274" s="2" t="s">
        <v>12</v>
      </c>
      <c r="F2274">
        <f t="shared" si="35"/>
        <v>151.30289999999999</v>
      </c>
      <c r="G2274" t="s">
        <v>16</v>
      </c>
      <c r="J2274" t="str">
        <f>"12/21/2007 23:45"</f>
        <v>12/21/2007 23:45</v>
      </c>
    </row>
    <row r="2275" spans="1:10" x14ac:dyDescent="0.3">
      <c r="A2275" t="s">
        <v>6</v>
      </c>
      <c r="B2275" t="str">
        <f>"12/22/2007 00:00"</f>
        <v>12/22/2007 00:00</v>
      </c>
      <c r="C2275">
        <v>76.3</v>
      </c>
      <c r="D2275" t="s">
        <v>7</v>
      </c>
      <c r="E2275" s="2" t="s">
        <v>12</v>
      </c>
      <c r="F2275">
        <f t="shared" si="35"/>
        <v>151.30289999999999</v>
      </c>
      <c r="G2275" t="s">
        <v>16</v>
      </c>
      <c r="J2275" t="str">
        <f>"12/22/2007 23:45"</f>
        <v>12/22/2007 23:45</v>
      </c>
    </row>
    <row r="2276" spans="1:10" x14ac:dyDescent="0.3">
      <c r="A2276" t="s">
        <v>6</v>
      </c>
      <c r="B2276" t="str">
        <f>"12/23/2007 00:00"</f>
        <v>12/23/2007 00:00</v>
      </c>
      <c r="C2276">
        <v>76.3</v>
      </c>
      <c r="D2276" t="s">
        <v>7</v>
      </c>
      <c r="E2276" s="2" t="s">
        <v>12</v>
      </c>
      <c r="F2276">
        <f t="shared" si="35"/>
        <v>151.30289999999999</v>
      </c>
      <c r="G2276" t="s">
        <v>16</v>
      </c>
      <c r="J2276" t="str">
        <f>"12/23/2007 23:45"</f>
        <v>12/23/2007 23:45</v>
      </c>
    </row>
    <row r="2277" spans="1:10" x14ac:dyDescent="0.3">
      <c r="A2277" t="s">
        <v>6</v>
      </c>
      <c r="B2277" t="str">
        <f>"12/24/2007 00:00"</f>
        <v>12/24/2007 00:00</v>
      </c>
      <c r="C2277">
        <v>76.3</v>
      </c>
      <c r="D2277" t="s">
        <v>7</v>
      </c>
      <c r="E2277" s="2" t="s">
        <v>12</v>
      </c>
      <c r="F2277">
        <f t="shared" si="35"/>
        <v>151.30289999999999</v>
      </c>
      <c r="G2277" t="s">
        <v>16</v>
      </c>
      <c r="J2277" t="str">
        <f>"12/24/2007 23:45"</f>
        <v>12/24/2007 23:45</v>
      </c>
    </row>
    <row r="2278" spans="1:10" x14ac:dyDescent="0.3">
      <c r="A2278" t="s">
        <v>6</v>
      </c>
      <c r="B2278" t="str">
        <f>"12/25/2007 00:00"</f>
        <v>12/25/2007 00:00</v>
      </c>
      <c r="C2278">
        <v>76.3</v>
      </c>
      <c r="D2278" t="s">
        <v>7</v>
      </c>
      <c r="E2278" s="2" t="s">
        <v>12</v>
      </c>
      <c r="F2278">
        <f t="shared" si="35"/>
        <v>151.30289999999999</v>
      </c>
      <c r="G2278" t="s">
        <v>16</v>
      </c>
      <c r="J2278" t="str">
        <f>"12/25/2007 23:45"</f>
        <v>12/25/2007 23:45</v>
      </c>
    </row>
    <row r="2279" spans="1:10" x14ac:dyDescent="0.3">
      <c r="A2279" t="s">
        <v>6</v>
      </c>
      <c r="B2279" t="str">
        <f>"12/26/2007 00:00"</f>
        <v>12/26/2007 00:00</v>
      </c>
      <c r="C2279">
        <v>76.3</v>
      </c>
      <c r="D2279" t="s">
        <v>7</v>
      </c>
      <c r="E2279" s="2" t="s">
        <v>12</v>
      </c>
      <c r="F2279">
        <f t="shared" si="35"/>
        <v>151.30289999999999</v>
      </c>
      <c r="G2279" t="s">
        <v>16</v>
      </c>
      <c r="J2279" t="str">
        <f>"12/26/2007 23:45"</f>
        <v>12/26/2007 23:45</v>
      </c>
    </row>
    <row r="2280" spans="1:10" x14ac:dyDescent="0.3">
      <c r="A2280" t="s">
        <v>6</v>
      </c>
      <c r="B2280" t="str">
        <f>"12/27/2007 00:00"</f>
        <v>12/27/2007 00:00</v>
      </c>
      <c r="C2280">
        <v>76.3</v>
      </c>
      <c r="D2280" t="s">
        <v>7</v>
      </c>
      <c r="E2280" s="2" t="s">
        <v>12</v>
      </c>
      <c r="F2280">
        <f t="shared" si="35"/>
        <v>151.30289999999999</v>
      </c>
      <c r="G2280" t="s">
        <v>16</v>
      </c>
      <c r="J2280" t="str">
        <f>"12/27/2007 23:45"</f>
        <v>12/27/2007 23:45</v>
      </c>
    </row>
    <row r="2281" spans="1:10" x14ac:dyDescent="0.3">
      <c r="A2281" t="s">
        <v>6</v>
      </c>
      <c r="B2281" t="str">
        <f>"12/28/2007 00:00"</f>
        <v>12/28/2007 00:00</v>
      </c>
      <c r="C2281">
        <v>76.3</v>
      </c>
      <c r="D2281" t="s">
        <v>7</v>
      </c>
      <c r="E2281" s="2" t="s">
        <v>12</v>
      </c>
      <c r="F2281">
        <f t="shared" si="35"/>
        <v>151.30289999999999</v>
      </c>
      <c r="G2281" t="s">
        <v>16</v>
      </c>
      <c r="J2281" t="str">
        <f>"12/28/2007 23:45"</f>
        <v>12/28/2007 23:45</v>
      </c>
    </row>
    <row r="2282" spans="1:10" x14ac:dyDescent="0.3">
      <c r="A2282" t="s">
        <v>6</v>
      </c>
      <c r="B2282" t="str">
        <f>"12/29/2007 00:00"</f>
        <v>12/29/2007 00:00</v>
      </c>
      <c r="C2282">
        <v>76.3</v>
      </c>
      <c r="D2282" t="s">
        <v>7</v>
      </c>
      <c r="E2282" s="2" t="s">
        <v>12</v>
      </c>
      <c r="F2282">
        <f t="shared" si="35"/>
        <v>151.30289999999999</v>
      </c>
      <c r="G2282" t="s">
        <v>16</v>
      </c>
      <c r="J2282" t="str">
        <f>"12/29/2007 23:45"</f>
        <v>12/29/2007 23:45</v>
      </c>
    </row>
    <row r="2283" spans="1:10" x14ac:dyDescent="0.3">
      <c r="A2283" t="s">
        <v>6</v>
      </c>
      <c r="B2283" t="str">
        <f>"12/30/2007 00:00"</f>
        <v>12/30/2007 00:00</v>
      </c>
      <c r="C2283">
        <v>76.3</v>
      </c>
      <c r="D2283" t="s">
        <v>7</v>
      </c>
      <c r="E2283" s="2" t="s">
        <v>12</v>
      </c>
      <c r="F2283">
        <f t="shared" si="35"/>
        <v>151.30289999999999</v>
      </c>
      <c r="G2283" t="s">
        <v>16</v>
      </c>
      <c r="J2283" t="str">
        <f>"12/30/2007 23:45"</f>
        <v>12/30/2007 23:45</v>
      </c>
    </row>
    <row r="2284" spans="1:10" x14ac:dyDescent="0.3">
      <c r="A2284" t="s">
        <v>6</v>
      </c>
      <c r="B2284" t="str">
        <f>"12/31/2007 00:00"</f>
        <v>12/31/2007 00:00</v>
      </c>
      <c r="C2284">
        <v>76.3</v>
      </c>
      <c r="D2284" t="s">
        <v>7</v>
      </c>
      <c r="E2284" s="2" t="s">
        <v>12</v>
      </c>
      <c r="F2284">
        <f t="shared" si="35"/>
        <v>151.30289999999999</v>
      </c>
      <c r="G2284" t="s">
        <v>16</v>
      </c>
      <c r="J2284" t="str">
        <f>"12/31/2007 23:45"</f>
        <v>12/31/2007 23:45</v>
      </c>
    </row>
    <row r="2285" spans="1:10" x14ac:dyDescent="0.3">
      <c r="A2285" t="s">
        <v>6</v>
      </c>
      <c r="B2285" t="str">
        <f>"01/01/2008 00:00"</f>
        <v>01/01/2008 00:00</v>
      </c>
      <c r="C2285">
        <v>76.3</v>
      </c>
      <c r="D2285" t="s">
        <v>7</v>
      </c>
      <c r="E2285" s="2" t="s">
        <v>12</v>
      </c>
      <c r="F2285">
        <f t="shared" si="35"/>
        <v>151.30289999999999</v>
      </c>
      <c r="G2285" t="s">
        <v>16</v>
      </c>
      <c r="J2285" t="str">
        <f>"01/01/2008 23:45"</f>
        <v>01/01/2008 23:45</v>
      </c>
    </row>
    <row r="2286" spans="1:10" x14ac:dyDescent="0.3">
      <c r="A2286" t="s">
        <v>6</v>
      </c>
      <c r="B2286" t="str">
        <f>"01/02/2008 00:00"</f>
        <v>01/02/2008 00:00</v>
      </c>
      <c r="C2286">
        <v>76.3</v>
      </c>
      <c r="D2286" t="s">
        <v>7</v>
      </c>
      <c r="E2286" s="2" t="s">
        <v>12</v>
      </c>
      <c r="F2286">
        <f t="shared" si="35"/>
        <v>151.30289999999999</v>
      </c>
      <c r="G2286" t="s">
        <v>16</v>
      </c>
      <c r="J2286" t="str">
        <f>"01/02/2008 23:45"</f>
        <v>01/02/2008 23:45</v>
      </c>
    </row>
    <row r="2287" spans="1:10" x14ac:dyDescent="0.3">
      <c r="A2287" t="s">
        <v>6</v>
      </c>
      <c r="B2287" t="str">
        <f>"01/03/2008 00:00"</f>
        <v>01/03/2008 00:00</v>
      </c>
      <c r="C2287">
        <v>78</v>
      </c>
      <c r="D2287" t="s">
        <v>7</v>
      </c>
      <c r="E2287" s="2" t="s">
        <v>12</v>
      </c>
      <c r="F2287">
        <f t="shared" si="35"/>
        <v>154.67400000000001</v>
      </c>
      <c r="G2287" t="s">
        <v>16</v>
      </c>
      <c r="J2287" t="str">
        <f>"01/03/2008 23:45"</f>
        <v>01/03/2008 23:45</v>
      </c>
    </row>
    <row r="2288" spans="1:10" x14ac:dyDescent="0.3">
      <c r="A2288" t="s">
        <v>6</v>
      </c>
      <c r="B2288" t="str">
        <f>"01/04/2008 00:00"</f>
        <v>01/04/2008 00:00</v>
      </c>
      <c r="C2288">
        <v>81</v>
      </c>
      <c r="D2288" t="s">
        <v>7</v>
      </c>
      <c r="E2288" s="2" t="s">
        <v>12</v>
      </c>
      <c r="F2288">
        <f t="shared" si="35"/>
        <v>160.62300000000002</v>
      </c>
      <c r="G2288" t="s">
        <v>16</v>
      </c>
      <c r="J2288" t="str">
        <f>"01/04/2008 23:45"</f>
        <v>01/04/2008 23:45</v>
      </c>
    </row>
    <row r="2289" spans="1:10" x14ac:dyDescent="0.3">
      <c r="A2289" t="s">
        <v>6</v>
      </c>
      <c r="B2289" t="str">
        <f>"01/05/2008 00:00"</f>
        <v>01/05/2008 00:00</v>
      </c>
      <c r="C2289">
        <v>81.2</v>
      </c>
      <c r="D2289" t="s">
        <v>7</v>
      </c>
      <c r="E2289" s="2" t="s">
        <v>12</v>
      </c>
      <c r="F2289">
        <f t="shared" si="35"/>
        <v>161.01960000000003</v>
      </c>
      <c r="G2289" t="s">
        <v>16</v>
      </c>
      <c r="J2289" t="str">
        <f>"01/05/2008 23:45"</f>
        <v>01/05/2008 23:45</v>
      </c>
    </row>
    <row r="2290" spans="1:10" x14ac:dyDescent="0.3">
      <c r="A2290" t="s">
        <v>6</v>
      </c>
      <c r="B2290" t="str">
        <f>"01/06/2008 00:00"</f>
        <v>01/06/2008 00:00</v>
      </c>
      <c r="C2290">
        <v>81.2</v>
      </c>
      <c r="D2290" t="s">
        <v>7</v>
      </c>
      <c r="E2290" s="2" t="s">
        <v>12</v>
      </c>
      <c r="F2290">
        <f t="shared" si="35"/>
        <v>161.01960000000003</v>
      </c>
      <c r="G2290" t="s">
        <v>16</v>
      </c>
      <c r="J2290" t="str">
        <f>"01/06/2008 23:45"</f>
        <v>01/06/2008 23:45</v>
      </c>
    </row>
    <row r="2291" spans="1:10" x14ac:dyDescent="0.3">
      <c r="A2291" t="s">
        <v>6</v>
      </c>
      <c r="B2291" t="str">
        <f>"01/07/2008 00:00"</f>
        <v>01/07/2008 00:00</v>
      </c>
      <c r="C2291">
        <v>81.2</v>
      </c>
      <c r="D2291" t="s">
        <v>7</v>
      </c>
      <c r="E2291" s="2" t="s">
        <v>12</v>
      </c>
      <c r="F2291">
        <f t="shared" si="35"/>
        <v>161.01960000000003</v>
      </c>
      <c r="G2291" t="s">
        <v>16</v>
      </c>
      <c r="J2291" t="str">
        <f>"01/07/2008 23:45"</f>
        <v>01/07/2008 23:45</v>
      </c>
    </row>
    <row r="2292" spans="1:10" x14ac:dyDescent="0.3">
      <c r="A2292" t="s">
        <v>6</v>
      </c>
      <c r="B2292" t="str">
        <f>"01/08/2008 00:00"</f>
        <v>01/08/2008 00:00</v>
      </c>
      <c r="C2292">
        <v>81</v>
      </c>
      <c r="D2292" t="s">
        <v>7</v>
      </c>
      <c r="E2292" s="2" t="s">
        <v>12</v>
      </c>
      <c r="F2292">
        <f t="shared" si="35"/>
        <v>160.62300000000002</v>
      </c>
      <c r="G2292" t="s">
        <v>16</v>
      </c>
      <c r="J2292" t="str">
        <f>"01/08/2008 23:45"</f>
        <v>01/08/2008 23:45</v>
      </c>
    </row>
    <row r="2293" spans="1:10" x14ac:dyDescent="0.3">
      <c r="A2293" t="s">
        <v>6</v>
      </c>
      <c r="B2293" t="str">
        <f>"01/09/2008 00:00"</f>
        <v>01/09/2008 00:00</v>
      </c>
      <c r="C2293">
        <v>73.3</v>
      </c>
      <c r="D2293" t="s">
        <v>7</v>
      </c>
      <c r="E2293" s="2" t="s">
        <v>12</v>
      </c>
      <c r="F2293">
        <f t="shared" si="35"/>
        <v>145.35390000000001</v>
      </c>
      <c r="G2293" t="s">
        <v>16</v>
      </c>
      <c r="J2293" t="str">
        <f>"01/09/2008 23:45"</f>
        <v>01/09/2008 23:45</v>
      </c>
    </row>
    <row r="2294" spans="1:10" x14ac:dyDescent="0.3">
      <c r="A2294" t="s">
        <v>6</v>
      </c>
      <c r="B2294" t="str">
        <f>"01/10/2008 00:00"</f>
        <v>01/10/2008 00:00</v>
      </c>
      <c r="C2294">
        <v>64.900000000000006</v>
      </c>
      <c r="D2294" t="s">
        <v>7</v>
      </c>
      <c r="E2294" s="2" t="s">
        <v>12</v>
      </c>
      <c r="F2294">
        <f t="shared" si="35"/>
        <v>128.69670000000002</v>
      </c>
      <c r="G2294" t="s">
        <v>16</v>
      </c>
      <c r="J2294" t="str">
        <f>"01/10/2008 23:45"</f>
        <v>01/10/2008 23:45</v>
      </c>
    </row>
    <row r="2295" spans="1:10" x14ac:dyDescent="0.3">
      <c r="A2295" t="s">
        <v>6</v>
      </c>
      <c r="B2295" t="str">
        <f>"01/11/2008 00:00"</f>
        <v>01/11/2008 00:00</v>
      </c>
      <c r="C2295">
        <v>64.7</v>
      </c>
      <c r="D2295" t="s">
        <v>7</v>
      </c>
      <c r="E2295" s="2" t="s">
        <v>12</v>
      </c>
      <c r="F2295">
        <f t="shared" si="35"/>
        <v>128.30010000000001</v>
      </c>
      <c r="G2295" t="s">
        <v>16</v>
      </c>
      <c r="J2295" t="str">
        <f>"01/11/2008 23:45"</f>
        <v>01/11/2008 23:45</v>
      </c>
    </row>
    <row r="2296" spans="1:10" x14ac:dyDescent="0.3">
      <c r="A2296" t="s">
        <v>6</v>
      </c>
      <c r="B2296" t="str">
        <f>"01/12/2008 00:00"</f>
        <v>01/12/2008 00:00</v>
      </c>
      <c r="C2296">
        <v>64.7</v>
      </c>
      <c r="D2296" t="s">
        <v>7</v>
      </c>
      <c r="E2296" s="2" t="s">
        <v>12</v>
      </c>
      <c r="F2296">
        <f t="shared" si="35"/>
        <v>128.30010000000001</v>
      </c>
      <c r="G2296" t="s">
        <v>16</v>
      </c>
      <c r="J2296" t="str">
        <f>"01/12/2008 23:45"</f>
        <v>01/12/2008 23:45</v>
      </c>
    </row>
    <row r="2297" spans="1:10" x14ac:dyDescent="0.3">
      <c r="A2297" t="s">
        <v>6</v>
      </c>
      <c r="B2297" t="str">
        <f>"01/13/2008 00:00"</f>
        <v>01/13/2008 00:00</v>
      </c>
      <c r="C2297">
        <v>65.2</v>
      </c>
      <c r="D2297" t="s">
        <v>7</v>
      </c>
      <c r="E2297" s="2" t="s">
        <v>12</v>
      </c>
      <c r="F2297">
        <f t="shared" si="35"/>
        <v>129.29160000000002</v>
      </c>
      <c r="G2297" t="s">
        <v>16</v>
      </c>
      <c r="J2297" t="str">
        <f>"01/13/2008 23:45"</f>
        <v>01/13/2008 23:45</v>
      </c>
    </row>
    <row r="2298" spans="1:10" x14ac:dyDescent="0.3">
      <c r="A2298" t="s">
        <v>6</v>
      </c>
      <c r="B2298" t="str">
        <f>"01/14/2008 00:00"</f>
        <v>01/14/2008 00:00</v>
      </c>
      <c r="C2298">
        <v>65.5</v>
      </c>
      <c r="D2298" t="s">
        <v>7</v>
      </c>
      <c r="E2298" s="2" t="s">
        <v>12</v>
      </c>
      <c r="F2298">
        <f t="shared" si="35"/>
        <v>129.88650000000001</v>
      </c>
      <c r="G2298" t="s">
        <v>16</v>
      </c>
      <c r="J2298" t="str">
        <f>"01/14/2008 23:45"</f>
        <v>01/14/2008 23:45</v>
      </c>
    </row>
    <row r="2299" spans="1:10" x14ac:dyDescent="0.3">
      <c r="A2299" t="s">
        <v>6</v>
      </c>
      <c r="B2299" t="str">
        <f>"01/15/2008 00:00"</f>
        <v>01/15/2008 00:00</v>
      </c>
      <c r="C2299">
        <v>64.599999999999994</v>
      </c>
      <c r="D2299" t="s">
        <v>7</v>
      </c>
      <c r="E2299" s="2" t="s">
        <v>12</v>
      </c>
      <c r="F2299">
        <f t="shared" si="35"/>
        <v>128.1018</v>
      </c>
      <c r="G2299" t="s">
        <v>16</v>
      </c>
      <c r="J2299" t="str">
        <f>"01/15/2008 23:45"</f>
        <v>01/15/2008 23:45</v>
      </c>
    </row>
    <row r="2300" spans="1:10" x14ac:dyDescent="0.3">
      <c r="A2300" t="s">
        <v>6</v>
      </c>
      <c r="B2300" t="str">
        <f>"01/16/2008 00:00"</f>
        <v>01/16/2008 00:00</v>
      </c>
      <c r="C2300">
        <v>64.599999999999994</v>
      </c>
      <c r="D2300" t="s">
        <v>7</v>
      </c>
      <c r="E2300" s="2" t="s">
        <v>12</v>
      </c>
      <c r="F2300">
        <f t="shared" si="35"/>
        <v>128.1018</v>
      </c>
      <c r="G2300" t="s">
        <v>16</v>
      </c>
      <c r="J2300" t="str">
        <f>"01/16/2008 23:45"</f>
        <v>01/16/2008 23:45</v>
      </c>
    </row>
    <row r="2301" spans="1:10" x14ac:dyDescent="0.3">
      <c r="A2301" t="s">
        <v>6</v>
      </c>
      <c r="B2301" t="str">
        <f>"01/17/2008 00:00"</f>
        <v>01/17/2008 00:00</v>
      </c>
      <c r="C2301">
        <v>64.400000000000006</v>
      </c>
      <c r="D2301" t="s">
        <v>7</v>
      </c>
      <c r="E2301" s="2" t="s">
        <v>12</v>
      </c>
      <c r="F2301">
        <f t="shared" si="35"/>
        <v>127.70520000000002</v>
      </c>
      <c r="G2301" t="s">
        <v>16</v>
      </c>
      <c r="J2301" t="str">
        <f>"01/17/2008 23:45"</f>
        <v>01/17/2008 23:45</v>
      </c>
    </row>
    <row r="2302" spans="1:10" x14ac:dyDescent="0.3">
      <c r="A2302" t="s">
        <v>6</v>
      </c>
      <c r="B2302" t="str">
        <f>"01/18/2008 00:00"</f>
        <v>01/18/2008 00:00</v>
      </c>
      <c r="C2302">
        <v>65</v>
      </c>
      <c r="D2302" t="s">
        <v>7</v>
      </c>
      <c r="E2302" s="2" t="s">
        <v>12</v>
      </c>
      <c r="F2302">
        <f t="shared" si="35"/>
        <v>128.89500000000001</v>
      </c>
      <c r="G2302" t="s">
        <v>16</v>
      </c>
      <c r="J2302" t="str">
        <f>"01/18/2008 23:45"</f>
        <v>01/18/2008 23:45</v>
      </c>
    </row>
    <row r="2303" spans="1:10" x14ac:dyDescent="0.3">
      <c r="A2303" t="s">
        <v>6</v>
      </c>
      <c r="B2303" t="str">
        <f>"01/19/2008 00:00"</f>
        <v>01/19/2008 00:00</v>
      </c>
      <c r="C2303">
        <v>64.400000000000006</v>
      </c>
      <c r="D2303" t="s">
        <v>7</v>
      </c>
      <c r="E2303" s="2" t="s">
        <v>12</v>
      </c>
      <c r="F2303">
        <f t="shared" si="35"/>
        <v>127.70520000000002</v>
      </c>
      <c r="G2303" t="s">
        <v>16</v>
      </c>
      <c r="J2303" t="str">
        <f>"01/19/2008 23:45"</f>
        <v>01/19/2008 23:45</v>
      </c>
    </row>
    <row r="2304" spans="1:10" x14ac:dyDescent="0.3">
      <c r="A2304" t="s">
        <v>6</v>
      </c>
      <c r="B2304" t="str">
        <f>"01/20/2008 00:00"</f>
        <v>01/20/2008 00:00</v>
      </c>
      <c r="C2304">
        <v>64.5</v>
      </c>
      <c r="D2304" t="s">
        <v>7</v>
      </c>
      <c r="E2304" s="2" t="s">
        <v>12</v>
      </c>
      <c r="F2304">
        <f t="shared" si="35"/>
        <v>127.90350000000001</v>
      </c>
      <c r="G2304" t="s">
        <v>16</v>
      </c>
      <c r="J2304" t="str">
        <f>"01/20/2008 23:45"</f>
        <v>01/20/2008 23:45</v>
      </c>
    </row>
    <row r="2305" spans="1:10" x14ac:dyDescent="0.3">
      <c r="A2305" t="s">
        <v>6</v>
      </c>
      <c r="B2305" t="str">
        <f>"01/21/2008 00:00"</f>
        <v>01/21/2008 00:00</v>
      </c>
      <c r="C2305">
        <v>64.7</v>
      </c>
      <c r="D2305" t="s">
        <v>7</v>
      </c>
      <c r="E2305" s="2" t="s">
        <v>12</v>
      </c>
      <c r="F2305">
        <f t="shared" si="35"/>
        <v>128.30010000000001</v>
      </c>
      <c r="G2305" t="s">
        <v>16</v>
      </c>
      <c r="J2305" t="str">
        <f>"01/21/2008 23:45"</f>
        <v>01/21/2008 23:45</v>
      </c>
    </row>
    <row r="2306" spans="1:10" x14ac:dyDescent="0.3">
      <c r="A2306" t="s">
        <v>6</v>
      </c>
      <c r="B2306" t="str">
        <f>"01/22/2008 00:00"</f>
        <v>01/22/2008 00:00</v>
      </c>
      <c r="C2306">
        <v>64.8</v>
      </c>
      <c r="D2306" t="s">
        <v>7</v>
      </c>
      <c r="E2306" s="2" t="s">
        <v>12</v>
      </c>
      <c r="F2306">
        <f t="shared" si="35"/>
        <v>128.4984</v>
      </c>
      <c r="G2306" t="s">
        <v>16</v>
      </c>
      <c r="J2306" t="str">
        <f>"01/22/2008 23:45"</f>
        <v>01/22/2008 23:45</v>
      </c>
    </row>
    <row r="2307" spans="1:10" x14ac:dyDescent="0.3">
      <c r="A2307" t="s">
        <v>6</v>
      </c>
      <c r="B2307" t="str">
        <f>"01/23/2008 00:00"</f>
        <v>01/23/2008 00:00</v>
      </c>
      <c r="C2307">
        <v>64.5</v>
      </c>
      <c r="D2307" t="s">
        <v>7</v>
      </c>
      <c r="E2307" s="2" t="s">
        <v>12</v>
      </c>
      <c r="F2307">
        <f t="shared" si="35"/>
        <v>127.90350000000001</v>
      </c>
      <c r="G2307" t="s">
        <v>16</v>
      </c>
      <c r="J2307" t="str">
        <f>"01/23/2008 23:45"</f>
        <v>01/23/2008 23:45</v>
      </c>
    </row>
    <row r="2308" spans="1:10" x14ac:dyDescent="0.3">
      <c r="A2308" t="s">
        <v>6</v>
      </c>
      <c r="B2308" t="str">
        <f>"01/24/2008 00:00"</f>
        <v>01/24/2008 00:00</v>
      </c>
      <c r="C2308">
        <v>64.400000000000006</v>
      </c>
      <c r="D2308" t="s">
        <v>7</v>
      </c>
      <c r="E2308" s="2" t="s">
        <v>12</v>
      </c>
      <c r="F2308">
        <f t="shared" ref="F2308:F2371" si="36">C2308*1.983</f>
        <v>127.70520000000002</v>
      </c>
      <c r="G2308" t="s">
        <v>16</v>
      </c>
      <c r="J2308" t="str">
        <f>"01/24/2008 23:45"</f>
        <v>01/24/2008 23:45</v>
      </c>
    </row>
    <row r="2309" spans="1:10" x14ac:dyDescent="0.3">
      <c r="A2309" t="s">
        <v>6</v>
      </c>
      <c r="B2309" t="str">
        <f>"01/25/2008 00:00"</f>
        <v>01/25/2008 00:00</v>
      </c>
      <c r="C2309">
        <v>65.3</v>
      </c>
      <c r="D2309" t="s">
        <v>7</v>
      </c>
      <c r="E2309" s="2" t="s">
        <v>12</v>
      </c>
      <c r="F2309">
        <f t="shared" si="36"/>
        <v>129.48990000000001</v>
      </c>
      <c r="G2309" t="s">
        <v>16</v>
      </c>
      <c r="J2309" t="str">
        <f>"01/25/2008 23:45"</f>
        <v>01/25/2008 23:45</v>
      </c>
    </row>
    <row r="2310" spans="1:10" x14ac:dyDescent="0.3">
      <c r="A2310" t="s">
        <v>6</v>
      </c>
      <c r="B2310" t="str">
        <f>"01/26/2008 00:00"</f>
        <v>01/26/2008 00:00</v>
      </c>
      <c r="C2310">
        <v>66.400000000000006</v>
      </c>
      <c r="D2310" t="s">
        <v>7</v>
      </c>
      <c r="E2310" s="2" t="s">
        <v>12</v>
      </c>
      <c r="F2310">
        <f t="shared" si="36"/>
        <v>131.67120000000003</v>
      </c>
      <c r="G2310" t="s">
        <v>16</v>
      </c>
      <c r="J2310" t="str">
        <f>"01/26/2008 23:45"</f>
        <v>01/26/2008 23:45</v>
      </c>
    </row>
    <row r="2311" spans="1:10" x14ac:dyDescent="0.3">
      <c r="A2311" t="s">
        <v>6</v>
      </c>
      <c r="B2311" t="str">
        <f>"01/27/2008 00:00"</f>
        <v>01/27/2008 00:00</v>
      </c>
      <c r="C2311">
        <v>66.599999999999994</v>
      </c>
      <c r="D2311" t="s">
        <v>7</v>
      </c>
      <c r="E2311" s="2" t="s">
        <v>12</v>
      </c>
      <c r="F2311">
        <f t="shared" si="36"/>
        <v>132.06780000000001</v>
      </c>
      <c r="G2311" t="s">
        <v>16</v>
      </c>
      <c r="J2311" t="str">
        <f>"01/27/2008 23:45"</f>
        <v>01/27/2008 23:45</v>
      </c>
    </row>
    <row r="2312" spans="1:10" x14ac:dyDescent="0.3">
      <c r="A2312" t="s">
        <v>6</v>
      </c>
      <c r="B2312" t="str">
        <f>"01/28/2008 00:00"</f>
        <v>01/28/2008 00:00</v>
      </c>
      <c r="C2312">
        <v>66.3</v>
      </c>
      <c r="D2312" t="s">
        <v>7</v>
      </c>
      <c r="E2312" s="2" t="s">
        <v>12</v>
      </c>
      <c r="F2312">
        <f t="shared" si="36"/>
        <v>131.47290000000001</v>
      </c>
      <c r="G2312" t="s">
        <v>16</v>
      </c>
      <c r="J2312" t="str">
        <f>"01/28/2008 23:45"</f>
        <v>01/28/2008 23:45</v>
      </c>
    </row>
    <row r="2313" spans="1:10" x14ac:dyDescent="0.3">
      <c r="A2313" t="s">
        <v>6</v>
      </c>
      <c r="B2313" t="str">
        <f>"01/29/2008 00:00"</f>
        <v>01/29/2008 00:00</v>
      </c>
      <c r="C2313">
        <v>66.599999999999994</v>
      </c>
      <c r="D2313" t="s">
        <v>7</v>
      </c>
      <c r="E2313" s="2" t="s">
        <v>12</v>
      </c>
      <c r="F2313">
        <f t="shared" si="36"/>
        <v>132.06780000000001</v>
      </c>
      <c r="G2313" t="s">
        <v>16</v>
      </c>
      <c r="J2313" t="str">
        <f>"01/29/2008 23:45"</f>
        <v>01/29/2008 23:45</v>
      </c>
    </row>
    <row r="2314" spans="1:10" x14ac:dyDescent="0.3">
      <c r="A2314" t="s">
        <v>6</v>
      </c>
      <c r="B2314" t="str">
        <f>"01/30/2008 00:00"</f>
        <v>01/30/2008 00:00</v>
      </c>
      <c r="C2314">
        <v>66.7</v>
      </c>
      <c r="D2314" t="s">
        <v>7</v>
      </c>
      <c r="E2314" s="2" t="s">
        <v>12</v>
      </c>
      <c r="F2314">
        <f t="shared" si="36"/>
        <v>132.26610000000002</v>
      </c>
      <c r="G2314" t="s">
        <v>16</v>
      </c>
      <c r="J2314" t="str">
        <f>"01/30/2008 23:45"</f>
        <v>01/30/2008 23:45</v>
      </c>
    </row>
    <row r="2315" spans="1:10" x14ac:dyDescent="0.3">
      <c r="A2315" t="s">
        <v>6</v>
      </c>
      <c r="B2315" t="str">
        <f>"01/31/2008 00:00"</f>
        <v>01/31/2008 00:00</v>
      </c>
      <c r="C2315">
        <v>66.7</v>
      </c>
      <c r="D2315" t="s">
        <v>7</v>
      </c>
      <c r="E2315" s="2" t="s">
        <v>12</v>
      </c>
      <c r="F2315">
        <f t="shared" si="36"/>
        <v>132.26610000000002</v>
      </c>
      <c r="G2315" t="s">
        <v>16</v>
      </c>
      <c r="J2315" t="str">
        <f>"01/31/2008 23:45"</f>
        <v>01/31/2008 23:45</v>
      </c>
    </row>
    <row r="2316" spans="1:10" x14ac:dyDescent="0.3">
      <c r="A2316" t="s">
        <v>6</v>
      </c>
      <c r="B2316" t="str">
        <f>"02/01/2008 00:00"</f>
        <v>02/01/2008 00:00</v>
      </c>
      <c r="C2316">
        <v>66.7</v>
      </c>
      <c r="D2316" t="s">
        <v>7</v>
      </c>
      <c r="E2316" s="2" t="s">
        <v>12</v>
      </c>
      <c r="F2316">
        <f t="shared" si="36"/>
        <v>132.26610000000002</v>
      </c>
      <c r="G2316" t="s">
        <v>16</v>
      </c>
      <c r="J2316" t="str">
        <f>"02/01/2008 23:45"</f>
        <v>02/01/2008 23:45</v>
      </c>
    </row>
    <row r="2317" spans="1:10" x14ac:dyDescent="0.3">
      <c r="A2317" t="s">
        <v>6</v>
      </c>
      <c r="B2317" t="str">
        <f>"02/02/2008 00:00"</f>
        <v>02/02/2008 00:00</v>
      </c>
      <c r="C2317">
        <v>66.7</v>
      </c>
      <c r="D2317" t="s">
        <v>7</v>
      </c>
      <c r="E2317" s="2" t="s">
        <v>12</v>
      </c>
      <c r="F2317">
        <f t="shared" si="36"/>
        <v>132.26610000000002</v>
      </c>
      <c r="G2317" t="s">
        <v>16</v>
      </c>
      <c r="J2317" t="str">
        <f>"02/02/2008 23:45"</f>
        <v>02/02/2008 23:45</v>
      </c>
    </row>
    <row r="2318" spans="1:10" x14ac:dyDescent="0.3">
      <c r="A2318" t="s">
        <v>6</v>
      </c>
      <c r="B2318" t="str">
        <f>"02/03/2008 00:00"</f>
        <v>02/03/2008 00:00</v>
      </c>
      <c r="C2318">
        <v>66.7</v>
      </c>
      <c r="D2318" t="s">
        <v>7</v>
      </c>
      <c r="E2318" s="2" t="s">
        <v>12</v>
      </c>
      <c r="F2318">
        <f t="shared" si="36"/>
        <v>132.26610000000002</v>
      </c>
      <c r="G2318" t="s">
        <v>16</v>
      </c>
      <c r="J2318" t="str">
        <f>"02/03/2008 23:45"</f>
        <v>02/03/2008 23:45</v>
      </c>
    </row>
    <row r="2319" spans="1:10" x14ac:dyDescent="0.3">
      <c r="A2319" t="s">
        <v>6</v>
      </c>
      <c r="B2319" t="str">
        <f>"02/04/2008 00:00"</f>
        <v>02/04/2008 00:00</v>
      </c>
      <c r="C2319">
        <v>66.7</v>
      </c>
      <c r="D2319" t="s">
        <v>7</v>
      </c>
      <c r="E2319" s="2" t="s">
        <v>12</v>
      </c>
      <c r="F2319">
        <f t="shared" si="36"/>
        <v>132.26610000000002</v>
      </c>
      <c r="G2319" t="s">
        <v>16</v>
      </c>
      <c r="J2319" t="str">
        <f>"02/04/2008 23:45"</f>
        <v>02/04/2008 23:45</v>
      </c>
    </row>
    <row r="2320" spans="1:10" x14ac:dyDescent="0.3">
      <c r="A2320" t="s">
        <v>6</v>
      </c>
      <c r="B2320" t="str">
        <f>"02/05/2008 00:00"</f>
        <v>02/05/2008 00:00</v>
      </c>
      <c r="C2320">
        <v>66.7</v>
      </c>
      <c r="D2320" t="s">
        <v>7</v>
      </c>
      <c r="E2320" s="2" t="s">
        <v>12</v>
      </c>
      <c r="F2320">
        <f t="shared" si="36"/>
        <v>132.26610000000002</v>
      </c>
      <c r="G2320" t="s">
        <v>16</v>
      </c>
      <c r="J2320" t="str">
        <f>"02/05/2008 23:45"</f>
        <v>02/05/2008 23:45</v>
      </c>
    </row>
    <row r="2321" spans="1:10" x14ac:dyDescent="0.3">
      <c r="A2321" t="s">
        <v>6</v>
      </c>
      <c r="B2321" t="str">
        <f>"02/06/2008 00:00"</f>
        <v>02/06/2008 00:00</v>
      </c>
      <c r="C2321">
        <v>66.400000000000006</v>
      </c>
      <c r="D2321" t="s">
        <v>7</v>
      </c>
      <c r="E2321" s="2" t="s">
        <v>12</v>
      </c>
      <c r="F2321">
        <f t="shared" si="36"/>
        <v>131.67120000000003</v>
      </c>
      <c r="G2321" t="s">
        <v>16</v>
      </c>
      <c r="J2321" t="str">
        <f>"02/06/2008 23:45"</f>
        <v>02/06/2008 23:45</v>
      </c>
    </row>
    <row r="2322" spans="1:10" x14ac:dyDescent="0.3">
      <c r="A2322" t="s">
        <v>6</v>
      </c>
      <c r="B2322" t="str">
        <f>"02/07/2008 00:00"</f>
        <v>02/07/2008 00:00</v>
      </c>
      <c r="C2322">
        <v>66.599999999999994</v>
      </c>
      <c r="D2322" t="s">
        <v>7</v>
      </c>
      <c r="E2322" s="2" t="s">
        <v>12</v>
      </c>
      <c r="F2322">
        <f t="shared" si="36"/>
        <v>132.06780000000001</v>
      </c>
      <c r="G2322" t="s">
        <v>16</v>
      </c>
      <c r="J2322" t="str">
        <f>"02/07/2008 23:45"</f>
        <v>02/07/2008 23:45</v>
      </c>
    </row>
    <row r="2323" spans="1:10" x14ac:dyDescent="0.3">
      <c r="A2323" t="s">
        <v>6</v>
      </c>
      <c r="B2323" t="str">
        <f>"02/08/2008 00:00"</f>
        <v>02/08/2008 00:00</v>
      </c>
      <c r="C2323">
        <v>66.7</v>
      </c>
      <c r="D2323" t="s">
        <v>7</v>
      </c>
      <c r="E2323" s="2" t="s">
        <v>12</v>
      </c>
      <c r="F2323">
        <f t="shared" si="36"/>
        <v>132.26610000000002</v>
      </c>
      <c r="G2323" t="s">
        <v>16</v>
      </c>
      <c r="J2323" t="str">
        <f>"02/08/2008 23:45"</f>
        <v>02/08/2008 23:45</v>
      </c>
    </row>
    <row r="2324" spans="1:10" x14ac:dyDescent="0.3">
      <c r="A2324" t="s">
        <v>6</v>
      </c>
      <c r="B2324" t="str">
        <f>"02/09/2008 00:00"</f>
        <v>02/09/2008 00:00</v>
      </c>
      <c r="C2324">
        <v>66.5</v>
      </c>
      <c r="D2324" t="s">
        <v>7</v>
      </c>
      <c r="E2324" s="2" t="s">
        <v>12</v>
      </c>
      <c r="F2324">
        <f t="shared" si="36"/>
        <v>131.86950000000002</v>
      </c>
      <c r="G2324" t="s">
        <v>16</v>
      </c>
      <c r="J2324" t="str">
        <f>"02/09/2008 23:45"</f>
        <v>02/09/2008 23:45</v>
      </c>
    </row>
    <row r="2325" spans="1:10" x14ac:dyDescent="0.3">
      <c r="A2325" t="s">
        <v>6</v>
      </c>
      <c r="B2325" t="str">
        <f>"02/10/2008 00:00"</f>
        <v>02/10/2008 00:00</v>
      </c>
      <c r="C2325">
        <v>66.7</v>
      </c>
      <c r="D2325" t="s">
        <v>7</v>
      </c>
      <c r="E2325" s="2" t="s">
        <v>12</v>
      </c>
      <c r="F2325">
        <f t="shared" si="36"/>
        <v>132.26610000000002</v>
      </c>
      <c r="G2325" t="s">
        <v>16</v>
      </c>
      <c r="J2325" t="str">
        <f>"02/10/2008 23:45"</f>
        <v>02/10/2008 23:45</v>
      </c>
    </row>
    <row r="2326" spans="1:10" x14ac:dyDescent="0.3">
      <c r="A2326" t="s">
        <v>6</v>
      </c>
      <c r="B2326" t="str">
        <f>"02/11/2008 00:00"</f>
        <v>02/11/2008 00:00</v>
      </c>
      <c r="C2326">
        <v>66.3</v>
      </c>
      <c r="D2326" t="s">
        <v>7</v>
      </c>
      <c r="E2326" s="2" t="s">
        <v>12</v>
      </c>
      <c r="F2326">
        <f t="shared" si="36"/>
        <v>131.47290000000001</v>
      </c>
      <c r="G2326" t="s">
        <v>16</v>
      </c>
      <c r="J2326" t="str">
        <f>"02/11/2008 23:45"</f>
        <v>02/11/2008 23:45</v>
      </c>
    </row>
    <row r="2327" spans="1:10" x14ac:dyDescent="0.3">
      <c r="A2327" t="s">
        <v>6</v>
      </c>
      <c r="B2327" t="str">
        <f>"02/12/2008 00:00"</f>
        <v>02/12/2008 00:00</v>
      </c>
      <c r="C2327">
        <v>66.400000000000006</v>
      </c>
      <c r="D2327" t="s">
        <v>7</v>
      </c>
      <c r="E2327" s="2" t="s">
        <v>12</v>
      </c>
      <c r="F2327">
        <f t="shared" si="36"/>
        <v>131.67120000000003</v>
      </c>
      <c r="G2327" t="s">
        <v>16</v>
      </c>
      <c r="J2327" t="str">
        <f>"02/12/2008 23:45"</f>
        <v>02/12/2008 23:45</v>
      </c>
    </row>
    <row r="2328" spans="1:10" x14ac:dyDescent="0.3">
      <c r="A2328" t="s">
        <v>6</v>
      </c>
      <c r="B2328" t="str">
        <f>"02/13/2008 00:00"</f>
        <v>02/13/2008 00:00</v>
      </c>
      <c r="C2328">
        <v>66.099999999999994</v>
      </c>
      <c r="D2328" t="s">
        <v>7</v>
      </c>
      <c r="E2328" s="2" t="s">
        <v>12</v>
      </c>
      <c r="F2328">
        <f t="shared" si="36"/>
        <v>131.0763</v>
      </c>
      <c r="G2328" t="s">
        <v>16</v>
      </c>
      <c r="J2328" t="str">
        <f>"02/13/2008 23:45"</f>
        <v>02/13/2008 23:45</v>
      </c>
    </row>
    <row r="2329" spans="1:10" x14ac:dyDescent="0.3">
      <c r="A2329" t="s">
        <v>6</v>
      </c>
      <c r="B2329" t="str">
        <f>"02/14/2008 00:00"</f>
        <v>02/14/2008 00:00</v>
      </c>
      <c r="C2329">
        <v>66.599999999999994</v>
      </c>
      <c r="D2329" t="s">
        <v>7</v>
      </c>
      <c r="E2329" s="2" t="s">
        <v>12</v>
      </c>
      <c r="F2329">
        <f t="shared" si="36"/>
        <v>132.06780000000001</v>
      </c>
      <c r="G2329" t="s">
        <v>16</v>
      </c>
      <c r="J2329" t="str">
        <f>"02/14/2008 23:45"</f>
        <v>02/14/2008 23:45</v>
      </c>
    </row>
    <row r="2330" spans="1:10" x14ac:dyDescent="0.3">
      <c r="A2330" t="s">
        <v>6</v>
      </c>
      <c r="B2330" t="str">
        <f>"02/15/2008 00:00"</f>
        <v>02/15/2008 00:00</v>
      </c>
      <c r="C2330">
        <v>66.8</v>
      </c>
      <c r="D2330" t="s">
        <v>7</v>
      </c>
      <c r="E2330" s="2" t="s">
        <v>12</v>
      </c>
      <c r="F2330">
        <f t="shared" si="36"/>
        <v>132.46440000000001</v>
      </c>
      <c r="G2330" t="s">
        <v>16</v>
      </c>
      <c r="J2330" t="str">
        <f>"02/15/2008 23:45"</f>
        <v>02/15/2008 23:45</v>
      </c>
    </row>
    <row r="2331" spans="1:10" x14ac:dyDescent="0.3">
      <c r="A2331" t="s">
        <v>6</v>
      </c>
      <c r="B2331" t="str">
        <f>"02/16/2008 00:00"</f>
        <v>02/16/2008 00:00</v>
      </c>
      <c r="C2331">
        <v>66.7</v>
      </c>
      <c r="D2331" t="s">
        <v>7</v>
      </c>
      <c r="E2331" s="2" t="s">
        <v>12</v>
      </c>
      <c r="F2331">
        <f t="shared" si="36"/>
        <v>132.26610000000002</v>
      </c>
      <c r="G2331" t="s">
        <v>16</v>
      </c>
      <c r="J2331" t="str">
        <f>"02/16/2008 23:45"</f>
        <v>02/16/2008 23:45</v>
      </c>
    </row>
    <row r="2332" spans="1:10" x14ac:dyDescent="0.3">
      <c r="A2332" t="s">
        <v>6</v>
      </c>
      <c r="B2332" t="str">
        <f>"02/17/2008 00:00"</f>
        <v>02/17/2008 00:00</v>
      </c>
      <c r="C2332">
        <v>66.7</v>
      </c>
      <c r="D2332" t="s">
        <v>7</v>
      </c>
      <c r="E2332" s="2" t="s">
        <v>12</v>
      </c>
      <c r="F2332">
        <f t="shared" si="36"/>
        <v>132.26610000000002</v>
      </c>
      <c r="G2332" t="s">
        <v>16</v>
      </c>
      <c r="J2332" t="str">
        <f>"02/17/2008 23:45"</f>
        <v>02/17/2008 23:45</v>
      </c>
    </row>
    <row r="2333" spans="1:10" x14ac:dyDescent="0.3">
      <c r="A2333" t="s">
        <v>6</v>
      </c>
      <c r="B2333" t="str">
        <f>"02/18/2008 00:00"</f>
        <v>02/18/2008 00:00</v>
      </c>
      <c r="C2333">
        <v>66.599999999999994</v>
      </c>
      <c r="D2333" t="s">
        <v>7</v>
      </c>
      <c r="E2333" s="2" t="s">
        <v>12</v>
      </c>
      <c r="F2333">
        <f t="shared" si="36"/>
        <v>132.06780000000001</v>
      </c>
      <c r="G2333" t="s">
        <v>16</v>
      </c>
      <c r="J2333" t="str">
        <f>"02/18/2008 23:45"</f>
        <v>02/18/2008 23:45</v>
      </c>
    </row>
    <row r="2334" spans="1:10" x14ac:dyDescent="0.3">
      <c r="A2334" t="s">
        <v>6</v>
      </c>
      <c r="B2334" t="str">
        <f>"02/19/2008 00:00"</f>
        <v>02/19/2008 00:00</v>
      </c>
      <c r="C2334">
        <v>66.7</v>
      </c>
      <c r="D2334" t="s">
        <v>7</v>
      </c>
      <c r="E2334" s="2" t="s">
        <v>12</v>
      </c>
      <c r="F2334">
        <f t="shared" si="36"/>
        <v>132.26610000000002</v>
      </c>
      <c r="G2334" t="s">
        <v>16</v>
      </c>
      <c r="J2334" t="str">
        <f>"02/19/2008 23:45"</f>
        <v>02/19/2008 23:45</v>
      </c>
    </row>
    <row r="2335" spans="1:10" x14ac:dyDescent="0.3">
      <c r="A2335" t="s">
        <v>6</v>
      </c>
      <c r="B2335" t="str">
        <f>"02/20/2008 00:00"</f>
        <v>02/20/2008 00:00</v>
      </c>
      <c r="C2335">
        <v>66.099999999999994</v>
      </c>
      <c r="D2335" t="s">
        <v>7</v>
      </c>
      <c r="E2335" s="2" t="s">
        <v>12</v>
      </c>
      <c r="F2335">
        <f t="shared" si="36"/>
        <v>131.0763</v>
      </c>
      <c r="G2335" t="s">
        <v>16</v>
      </c>
      <c r="J2335" t="str">
        <f>"02/20/2008 23:45"</f>
        <v>02/20/2008 23:45</v>
      </c>
    </row>
    <row r="2336" spans="1:10" x14ac:dyDescent="0.3">
      <c r="A2336" t="s">
        <v>6</v>
      </c>
      <c r="B2336" t="str">
        <f>"02/21/2008 00:00"</f>
        <v>02/21/2008 00:00</v>
      </c>
      <c r="C2336">
        <v>63.2</v>
      </c>
      <c r="D2336" t="s">
        <v>7</v>
      </c>
      <c r="E2336" s="2" t="s">
        <v>12</v>
      </c>
      <c r="F2336">
        <f t="shared" si="36"/>
        <v>125.32560000000001</v>
      </c>
      <c r="G2336" t="s">
        <v>16</v>
      </c>
      <c r="J2336" t="str">
        <f>"02/21/2008 23:45"</f>
        <v>02/21/2008 23:45</v>
      </c>
    </row>
    <row r="2337" spans="1:10" x14ac:dyDescent="0.3">
      <c r="A2337" t="s">
        <v>6</v>
      </c>
      <c r="B2337" t="str">
        <f>"02/22/2008 00:00"</f>
        <v>02/22/2008 00:00</v>
      </c>
      <c r="C2337">
        <v>57.4</v>
      </c>
      <c r="D2337" t="s">
        <v>7</v>
      </c>
      <c r="E2337" s="2" t="s">
        <v>12</v>
      </c>
      <c r="F2337">
        <f t="shared" si="36"/>
        <v>113.8242</v>
      </c>
      <c r="G2337" t="s">
        <v>16</v>
      </c>
      <c r="J2337" t="str">
        <f>"02/22/2008 23:45"</f>
        <v>02/22/2008 23:45</v>
      </c>
    </row>
    <row r="2338" spans="1:10" x14ac:dyDescent="0.3">
      <c r="A2338" t="s">
        <v>6</v>
      </c>
      <c r="B2338" t="str">
        <f>"02/23/2008 00:00"</f>
        <v>02/23/2008 00:00</v>
      </c>
      <c r="C2338">
        <v>52.5</v>
      </c>
      <c r="D2338" t="s">
        <v>7</v>
      </c>
      <c r="E2338" s="2" t="s">
        <v>12</v>
      </c>
      <c r="F2338">
        <f t="shared" si="36"/>
        <v>104.1075</v>
      </c>
      <c r="G2338" t="s">
        <v>16</v>
      </c>
      <c r="J2338" t="str">
        <f>"02/23/2008 23:45"</f>
        <v>02/23/2008 23:45</v>
      </c>
    </row>
    <row r="2339" spans="1:10" x14ac:dyDescent="0.3">
      <c r="A2339" t="s">
        <v>6</v>
      </c>
      <c r="B2339" t="str">
        <f>"02/24/2008 00:00"</f>
        <v>02/24/2008 00:00</v>
      </c>
      <c r="C2339">
        <v>51.2</v>
      </c>
      <c r="D2339" t="s">
        <v>7</v>
      </c>
      <c r="E2339" s="2" t="s">
        <v>12</v>
      </c>
      <c r="F2339">
        <f t="shared" si="36"/>
        <v>101.52960000000002</v>
      </c>
      <c r="G2339" t="s">
        <v>16</v>
      </c>
      <c r="J2339" t="str">
        <f>"02/24/2008 23:45"</f>
        <v>02/24/2008 23:45</v>
      </c>
    </row>
    <row r="2340" spans="1:10" x14ac:dyDescent="0.3">
      <c r="A2340" t="s">
        <v>6</v>
      </c>
      <c r="B2340" t="str">
        <f>"02/25/2008 00:00"</f>
        <v>02/25/2008 00:00</v>
      </c>
      <c r="C2340">
        <v>51.2</v>
      </c>
      <c r="D2340" t="s">
        <v>7</v>
      </c>
      <c r="E2340" s="2" t="s">
        <v>12</v>
      </c>
      <c r="F2340">
        <f t="shared" si="36"/>
        <v>101.52960000000002</v>
      </c>
      <c r="G2340" t="s">
        <v>16</v>
      </c>
      <c r="J2340" t="str">
        <f>"02/25/2008 23:45"</f>
        <v>02/25/2008 23:45</v>
      </c>
    </row>
    <row r="2341" spans="1:10" x14ac:dyDescent="0.3">
      <c r="A2341" t="s">
        <v>6</v>
      </c>
      <c r="B2341" t="str">
        <f>"02/26/2008 00:00"</f>
        <v>02/26/2008 00:00</v>
      </c>
      <c r="C2341">
        <v>51.1</v>
      </c>
      <c r="D2341" t="s">
        <v>7</v>
      </c>
      <c r="E2341" s="2" t="s">
        <v>12</v>
      </c>
      <c r="F2341">
        <f t="shared" si="36"/>
        <v>101.33130000000001</v>
      </c>
      <c r="G2341" t="s">
        <v>16</v>
      </c>
      <c r="J2341" t="str">
        <f>"02/26/2008 23:45"</f>
        <v>02/26/2008 23:45</v>
      </c>
    </row>
    <row r="2342" spans="1:10" x14ac:dyDescent="0.3">
      <c r="A2342" t="s">
        <v>6</v>
      </c>
      <c r="B2342" t="str">
        <f>"02/27/2008 00:00"</f>
        <v>02/27/2008 00:00</v>
      </c>
      <c r="C2342">
        <v>51</v>
      </c>
      <c r="D2342" t="s">
        <v>7</v>
      </c>
      <c r="E2342" s="2" t="s">
        <v>12</v>
      </c>
      <c r="F2342">
        <f t="shared" si="36"/>
        <v>101.13300000000001</v>
      </c>
      <c r="G2342" t="s">
        <v>16</v>
      </c>
      <c r="J2342" t="str">
        <f>"02/27/2008 23:45"</f>
        <v>02/27/2008 23:45</v>
      </c>
    </row>
    <row r="2343" spans="1:10" x14ac:dyDescent="0.3">
      <c r="A2343" t="s">
        <v>6</v>
      </c>
      <c r="B2343" t="str">
        <f>"02/28/2008 00:00"</f>
        <v>02/28/2008 00:00</v>
      </c>
      <c r="C2343">
        <v>51</v>
      </c>
      <c r="D2343" t="s">
        <v>7</v>
      </c>
      <c r="E2343" s="2" t="s">
        <v>12</v>
      </c>
      <c r="F2343">
        <f t="shared" si="36"/>
        <v>101.13300000000001</v>
      </c>
      <c r="G2343" t="s">
        <v>16</v>
      </c>
      <c r="J2343" t="str">
        <f>"02/28/2008 23:45"</f>
        <v>02/28/2008 23:45</v>
      </c>
    </row>
    <row r="2344" spans="1:10" x14ac:dyDescent="0.3">
      <c r="A2344" t="s">
        <v>6</v>
      </c>
      <c r="B2344" t="str">
        <f>"02/29/2008 00:00"</f>
        <v>02/29/2008 00:00</v>
      </c>
      <c r="C2344">
        <v>50.9</v>
      </c>
      <c r="D2344" t="s">
        <v>7</v>
      </c>
      <c r="E2344" s="2" t="s">
        <v>12</v>
      </c>
      <c r="F2344">
        <f t="shared" si="36"/>
        <v>100.93470000000001</v>
      </c>
      <c r="G2344" t="s">
        <v>16</v>
      </c>
      <c r="J2344" t="str">
        <f>"02/29/2008 23:45"</f>
        <v>02/29/2008 23:45</v>
      </c>
    </row>
    <row r="2345" spans="1:10" x14ac:dyDescent="0.3">
      <c r="A2345" t="s">
        <v>6</v>
      </c>
      <c r="B2345" t="str">
        <f>"03/01/2008 00:00"</f>
        <v>03/01/2008 00:00</v>
      </c>
      <c r="C2345">
        <v>50.3</v>
      </c>
      <c r="D2345" t="s">
        <v>7</v>
      </c>
      <c r="E2345" s="2" t="s">
        <v>12</v>
      </c>
      <c r="F2345">
        <f t="shared" si="36"/>
        <v>99.744900000000001</v>
      </c>
      <c r="G2345" t="s">
        <v>16</v>
      </c>
      <c r="J2345" t="str">
        <f>"03/01/2008 23:45"</f>
        <v>03/01/2008 23:45</v>
      </c>
    </row>
    <row r="2346" spans="1:10" x14ac:dyDescent="0.3">
      <c r="A2346" t="s">
        <v>6</v>
      </c>
      <c r="B2346" t="str">
        <f>"03/02/2008 00:00"</f>
        <v>03/02/2008 00:00</v>
      </c>
      <c r="C2346">
        <v>50.7</v>
      </c>
      <c r="D2346" t="s">
        <v>7</v>
      </c>
      <c r="E2346" s="2" t="s">
        <v>12</v>
      </c>
      <c r="F2346">
        <f t="shared" si="36"/>
        <v>100.53810000000001</v>
      </c>
      <c r="G2346" t="s">
        <v>16</v>
      </c>
      <c r="J2346" t="str">
        <f>"03/02/2008 23:45"</f>
        <v>03/02/2008 23:45</v>
      </c>
    </row>
    <row r="2347" spans="1:10" x14ac:dyDescent="0.3">
      <c r="A2347" t="s">
        <v>6</v>
      </c>
      <c r="B2347" t="str">
        <f>"03/03/2008 00:00"</f>
        <v>03/03/2008 00:00</v>
      </c>
      <c r="C2347">
        <v>50.8</v>
      </c>
      <c r="D2347" t="s">
        <v>7</v>
      </c>
      <c r="E2347" s="2" t="s">
        <v>12</v>
      </c>
      <c r="F2347">
        <f t="shared" si="36"/>
        <v>100.7364</v>
      </c>
      <c r="G2347" t="s">
        <v>16</v>
      </c>
      <c r="J2347" t="str">
        <f>"03/03/2008 23:45"</f>
        <v>03/03/2008 23:45</v>
      </c>
    </row>
    <row r="2348" spans="1:10" x14ac:dyDescent="0.3">
      <c r="A2348" t="s">
        <v>6</v>
      </c>
      <c r="B2348" t="str">
        <f>"03/04/2008 00:00"</f>
        <v>03/04/2008 00:00</v>
      </c>
      <c r="C2348">
        <v>50.3</v>
      </c>
      <c r="D2348" t="s">
        <v>7</v>
      </c>
      <c r="E2348" s="2" t="s">
        <v>12</v>
      </c>
      <c r="F2348">
        <f t="shared" si="36"/>
        <v>99.744900000000001</v>
      </c>
      <c r="G2348" t="s">
        <v>16</v>
      </c>
      <c r="J2348" t="str">
        <f>"03/04/2008 23:45"</f>
        <v>03/04/2008 23:45</v>
      </c>
    </row>
    <row r="2349" spans="1:10" x14ac:dyDescent="0.3">
      <c r="A2349" t="s">
        <v>6</v>
      </c>
      <c r="B2349" t="str">
        <f>"03/05/2008 00:00"</f>
        <v>03/05/2008 00:00</v>
      </c>
      <c r="C2349">
        <v>50.8</v>
      </c>
      <c r="D2349" t="s">
        <v>7</v>
      </c>
      <c r="E2349" s="2" t="s">
        <v>12</v>
      </c>
      <c r="F2349">
        <f t="shared" si="36"/>
        <v>100.7364</v>
      </c>
      <c r="G2349" t="s">
        <v>16</v>
      </c>
      <c r="J2349" t="str">
        <f>"03/05/2008 23:45"</f>
        <v>03/05/2008 23:45</v>
      </c>
    </row>
    <row r="2350" spans="1:10" x14ac:dyDescent="0.3">
      <c r="A2350" t="s">
        <v>6</v>
      </c>
      <c r="B2350" t="str">
        <f>"03/06/2008 00:00"</f>
        <v>03/06/2008 00:00</v>
      </c>
      <c r="C2350">
        <v>51</v>
      </c>
      <c r="D2350" t="s">
        <v>7</v>
      </c>
      <c r="E2350" s="2" t="s">
        <v>12</v>
      </c>
      <c r="F2350">
        <f t="shared" si="36"/>
        <v>101.13300000000001</v>
      </c>
      <c r="G2350" t="s">
        <v>16</v>
      </c>
      <c r="J2350" t="str">
        <f>"03/06/2008 23:45"</f>
        <v>03/06/2008 23:45</v>
      </c>
    </row>
    <row r="2351" spans="1:10" x14ac:dyDescent="0.3">
      <c r="A2351" t="s">
        <v>6</v>
      </c>
      <c r="B2351" t="str">
        <f>"03/07/2008 00:00"</f>
        <v>03/07/2008 00:00</v>
      </c>
      <c r="C2351">
        <v>51.1</v>
      </c>
      <c r="D2351" t="s">
        <v>7</v>
      </c>
      <c r="E2351" s="2" t="s">
        <v>12</v>
      </c>
      <c r="F2351">
        <f t="shared" si="36"/>
        <v>101.33130000000001</v>
      </c>
      <c r="G2351" t="s">
        <v>16</v>
      </c>
      <c r="J2351" t="str">
        <f>"03/07/2008 23:45"</f>
        <v>03/07/2008 23:45</v>
      </c>
    </row>
    <row r="2352" spans="1:10" x14ac:dyDescent="0.3">
      <c r="A2352" t="s">
        <v>6</v>
      </c>
      <c r="B2352" t="str">
        <f>"03/08/2008 00:00"</f>
        <v>03/08/2008 00:00</v>
      </c>
      <c r="C2352">
        <v>50.9</v>
      </c>
      <c r="D2352" t="s">
        <v>7</v>
      </c>
      <c r="E2352" s="2" t="s">
        <v>12</v>
      </c>
      <c r="F2352">
        <f t="shared" si="36"/>
        <v>100.93470000000001</v>
      </c>
      <c r="G2352" t="s">
        <v>16</v>
      </c>
      <c r="J2352" t="str">
        <f>"03/08/2008 23:45"</f>
        <v>03/08/2008 23:45</v>
      </c>
    </row>
    <row r="2353" spans="1:10" x14ac:dyDescent="0.3">
      <c r="A2353" t="s">
        <v>6</v>
      </c>
      <c r="B2353" t="str">
        <f>"03/09/2008 00:00"</f>
        <v>03/09/2008 00:00</v>
      </c>
      <c r="C2353">
        <v>51.1</v>
      </c>
      <c r="D2353" t="s">
        <v>7</v>
      </c>
      <c r="E2353" s="2" t="s">
        <v>12</v>
      </c>
      <c r="F2353">
        <f t="shared" si="36"/>
        <v>101.33130000000001</v>
      </c>
      <c r="G2353" t="s">
        <v>16</v>
      </c>
      <c r="J2353" t="str">
        <f>"03/09/2008 23:45"</f>
        <v>03/09/2008 23:45</v>
      </c>
    </row>
    <row r="2354" spans="1:10" x14ac:dyDescent="0.3">
      <c r="A2354" t="s">
        <v>6</v>
      </c>
      <c r="B2354" t="str">
        <f>"03/10/2008 00:00"</f>
        <v>03/10/2008 00:00</v>
      </c>
      <c r="C2354">
        <v>51.1</v>
      </c>
      <c r="D2354" t="s">
        <v>7</v>
      </c>
      <c r="E2354" s="2" t="s">
        <v>12</v>
      </c>
      <c r="F2354">
        <f t="shared" si="36"/>
        <v>101.33130000000001</v>
      </c>
      <c r="G2354" t="s">
        <v>16</v>
      </c>
      <c r="J2354" t="str">
        <f>"03/10/2008 23:45"</f>
        <v>03/10/2008 23:45</v>
      </c>
    </row>
    <row r="2355" spans="1:10" x14ac:dyDescent="0.3">
      <c r="A2355" t="s">
        <v>6</v>
      </c>
      <c r="B2355" t="str">
        <f>"03/11/2008 00:00"</f>
        <v>03/11/2008 00:00</v>
      </c>
      <c r="C2355">
        <v>50.7</v>
      </c>
      <c r="D2355" t="s">
        <v>7</v>
      </c>
      <c r="E2355" s="2" t="s">
        <v>12</v>
      </c>
      <c r="F2355">
        <f t="shared" si="36"/>
        <v>100.53810000000001</v>
      </c>
      <c r="G2355" t="s">
        <v>16</v>
      </c>
      <c r="J2355" t="str">
        <f>"03/11/2008 23:45"</f>
        <v>03/11/2008 23:45</v>
      </c>
    </row>
    <row r="2356" spans="1:10" x14ac:dyDescent="0.3">
      <c r="A2356" t="s">
        <v>6</v>
      </c>
      <c r="B2356" t="str">
        <f>"03/12/2008 00:00"</f>
        <v>03/12/2008 00:00</v>
      </c>
      <c r="C2356">
        <v>50.3</v>
      </c>
      <c r="D2356" t="s">
        <v>7</v>
      </c>
      <c r="E2356" s="2" t="s">
        <v>12</v>
      </c>
      <c r="F2356">
        <f t="shared" si="36"/>
        <v>99.744900000000001</v>
      </c>
      <c r="G2356" t="s">
        <v>16</v>
      </c>
      <c r="J2356" t="str">
        <f>"03/12/2008 23:45"</f>
        <v>03/12/2008 23:45</v>
      </c>
    </row>
    <row r="2357" spans="1:10" x14ac:dyDescent="0.3">
      <c r="A2357" t="s">
        <v>6</v>
      </c>
      <c r="B2357" t="str">
        <f>"03/13/2008 00:00"</f>
        <v>03/13/2008 00:00</v>
      </c>
      <c r="C2357">
        <v>50.5</v>
      </c>
      <c r="D2357" t="s">
        <v>7</v>
      </c>
      <c r="E2357" s="2" t="s">
        <v>12</v>
      </c>
      <c r="F2357">
        <f t="shared" si="36"/>
        <v>100.14150000000001</v>
      </c>
      <c r="G2357" t="s">
        <v>16</v>
      </c>
      <c r="J2357" t="str">
        <f>"03/13/2008 23:45"</f>
        <v>03/13/2008 23:45</v>
      </c>
    </row>
    <row r="2358" spans="1:10" x14ac:dyDescent="0.3">
      <c r="A2358" t="s">
        <v>6</v>
      </c>
      <c r="B2358" t="str">
        <f>"03/14/2008 00:00"</f>
        <v>03/14/2008 00:00</v>
      </c>
      <c r="C2358">
        <v>37</v>
      </c>
      <c r="D2358" t="s">
        <v>7</v>
      </c>
      <c r="E2358" s="2" t="s">
        <v>12</v>
      </c>
      <c r="F2358">
        <f t="shared" si="36"/>
        <v>73.371000000000009</v>
      </c>
      <c r="G2358" t="s">
        <v>16</v>
      </c>
      <c r="J2358" t="str">
        <f>"03/14/2008 23:45"</f>
        <v>03/14/2008 23:45</v>
      </c>
    </row>
    <row r="2359" spans="1:10" x14ac:dyDescent="0.3">
      <c r="A2359" t="s">
        <v>6</v>
      </c>
      <c r="B2359" t="str">
        <f>"03/15/2008 00:00"</f>
        <v>03/15/2008 00:00</v>
      </c>
      <c r="C2359">
        <v>24.9</v>
      </c>
      <c r="D2359" t="s">
        <v>7</v>
      </c>
      <c r="E2359" s="2" t="s">
        <v>12</v>
      </c>
      <c r="F2359">
        <f t="shared" si="36"/>
        <v>49.3767</v>
      </c>
      <c r="G2359" t="s">
        <v>16</v>
      </c>
      <c r="J2359" t="str">
        <f>"03/15/2008 23:45"</f>
        <v>03/15/2008 23:45</v>
      </c>
    </row>
    <row r="2360" spans="1:10" x14ac:dyDescent="0.3">
      <c r="A2360" t="s">
        <v>6</v>
      </c>
      <c r="B2360" t="str">
        <f>"03/16/2008 00:00"</f>
        <v>03/16/2008 00:00</v>
      </c>
      <c r="C2360">
        <v>25</v>
      </c>
      <c r="D2360" t="s">
        <v>7</v>
      </c>
      <c r="E2360" s="2" t="s">
        <v>12</v>
      </c>
      <c r="F2360">
        <f t="shared" si="36"/>
        <v>49.575000000000003</v>
      </c>
      <c r="G2360" t="s">
        <v>16</v>
      </c>
      <c r="J2360" t="str">
        <f>"03/16/2008 23:45"</f>
        <v>03/16/2008 23:45</v>
      </c>
    </row>
    <row r="2361" spans="1:10" x14ac:dyDescent="0.3">
      <c r="A2361" t="s">
        <v>6</v>
      </c>
      <c r="B2361" t="str">
        <f>"03/17/2008 00:00"</f>
        <v>03/17/2008 00:00</v>
      </c>
      <c r="C2361">
        <v>10.4</v>
      </c>
      <c r="D2361" t="s">
        <v>7</v>
      </c>
      <c r="E2361" s="2" t="s">
        <v>12</v>
      </c>
      <c r="F2361">
        <f t="shared" si="36"/>
        <v>20.623200000000001</v>
      </c>
      <c r="G2361" t="s">
        <v>16</v>
      </c>
      <c r="J2361" t="str">
        <f>"03/17/2008 23:45"</f>
        <v>03/17/2008 23:45</v>
      </c>
    </row>
    <row r="2362" spans="1:10" x14ac:dyDescent="0.3">
      <c r="A2362" t="s">
        <v>6</v>
      </c>
      <c r="B2362" t="str">
        <f>"03/18/2008 00:00"</f>
        <v>03/18/2008 00:00</v>
      </c>
      <c r="C2362">
        <v>1.34</v>
      </c>
      <c r="D2362" t="s">
        <v>7</v>
      </c>
      <c r="E2362" s="2" t="s">
        <v>12</v>
      </c>
      <c r="F2362">
        <f t="shared" si="36"/>
        <v>2.6572200000000001</v>
      </c>
      <c r="G2362" t="s">
        <v>16</v>
      </c>
      <c r="J2362" t="str">
        <f>"03/18/2008 23:45"</f>
        <v>03/18/2008 23:45</v>
      </c>
    </row>
    <row r="2363" spans="1:10" x14ac:dyDescent="0.3">
      <c r="A2363" t="s">
        <v>6</v>
      </c>
      <c r="B2363" t="str">
        <f>"03/19/2008 00:00"</f>
        <v>03/19/2008 00:00</v>
      </c>
      <c r="C2363">
        <v>1.34</v>
      </c>
      <c r="D2363" t="s">
        <v>7</v>
      </c>
      <c r="E2363" s="2" t="s">
        <v>12</v>
      </c>
      <c r="F2363">
        <f t="shared" si="36"/>
        <v>2.6572200000000001</v>
      </c>
      <c r="G2363" t="s">
        <v>16</v>
      </c>
      <c r="J2363" t="str">
        <f>"03/19/2008 23:45"</f>
        <v>03/19/2008 23:45</v>
      </c>
    </row>
    <row r="2364" spans="1:10" x14ac:dyDescent="0.3">
      <c r="A2364" t="s">
        <v>6</v>
      </c>
      <c r="B2364" t="str">
        <f>"03/20/2008 00:00"</f>
        <v>03/20/2008 00:00</v>
      </c>
      <c r="C2364">
        <v>1.34</v>
      </c>
      <c r="D2364" t="s">
        <v>7</v>
      </c>
      <c r="E2364" s="2" t="s">
        <v>12</v>
      </c>
      <c r="F2364">
        <f t="shared" si="36"/>
        <v>2.6572200000000001</v>
      </c>
      <c r="G2364" t="s">
        <v>16</v>
      </c>
      <c r="J2364" t="str">
        <f>"03/20/2008 23:45"</f>
        <v>03/20/2008 23:45</v>
      </c>
    </row>
    <row r="2365" spans="1:10" x14ac:dyDescent="0.3">
      <c r="A2365" t="s">
        <v>6</v>
      </c>
      <c r="B2365" t="str">
        <f>"03/21/2008 00:00"</f>
        <v>03/21/2008 00:00</v>
      </c>
      <c r="C2365">
        <v>1.34</v>
      </c>
      <c r="D2365" t="s">
        <v>7</v>
      </c>
      <c r="E2365" s="2" t="s">
        <v>12</v>
      </c>
      <c r="F2365">
        <f t="shared" si="36"/>
        <v>2.6572200000000001</v>
      </c>
      <c r="G2365" t="s">
        <v>16</v>
      </c>
      <c r="J2365" t="str">
        <f>"03/21/2008 23:45"</f>
        <v>03/21/2008 23:45</v>
      </c>
    </row>
    <row r="2366" spans="1:10" x14ac:dyDescent="0.3">
      <c r="A2366" t="s">
        <v>6</v>
      </c>
      <c r="B2366" t="str">
        <f>"03/22/2008 00:00"</f>
        <v>03/22/2008 00:00</v>
      </c>
      <c r="C2366">
        <v>1.34</v>
      </c>
      <c r="D2366" t="s">
        <v>7</v>
      </c>
      <c r="E2366" s="2" t="s">
        <v>12</v>
      </c>
      <c r="F2366">
        <f t="shared" si="36"/>
        <v>2.6572200000000001</v>
      </c>
      <c r="G2366" t="s">
        <v>16</v>
      </c>
      <c r="J2366" t="str">
        <f>"03/22/2008 23:45"</f>
        <v>03/22/2008 23:45</v>
      </c>
    </row>
    <row r="2367" spans="1:10" x14ac:dyDescent="0.3">
      <c r="A2367" t="s">
        <v>6</v>
      </c>
      <c r="B2367" t="str">
        <f>"03/23/2008 00:00"</f>
        <v>03/23/2008 00:00</v>
      </c>
      <c r="C2367">
        <v>1.37</v>
      </c>
      <c r="D2367" t="s">
        <v>7</v>
      </c>
      <c r="E2367" s="2" t="s">
        <v>12</v>
      </c>
      <c r="F2367">
        <f t="shared" si="36"/>
        <v>2.7167100000000004</v>
      </c>
      <c r="G2367" t="s">
        <v>16</v>
      </c>
      <c r="J2367" t="str">
        <f>"03/23/2008 23:45"</f>
        <v>03/23/2008 23:45</v>
      </c>
    </row>
    <row r="2368" spans="1:10" x14ac:dyDescent="0.3">
      <c r="A2368" t="s">
        <v>6</v>
      </c>
      <c r="B2368" t="str">
        <f>"03/24/2008 00:00"</f>
        <v>03/24/2008 00:00</v>
      </c>
      <c r="C2368">
        <v>1.34</v>
      </c>
      <c r="D2368" t="s">
        <v>7</v>
      </c>
      <c r="E2368" s="2" t="s">
        <v>12</v>
      </c>
      <c r="F2368">
        <f t="shared" si="36"/>
        <v>2.6572200000000001</v>
      </c>
      <c r="G2368" t="s">
        <v>16</v>
      </c>
      <c r="J2368" t="str">
        <f>"03/24/2008 23:45"</f>
        <v>03/24/2008 23:45</v>
      </c>
    </row>
    <row r="2369" spans="1:10" x14ac:dyDescent="0.3">
      <c r="A2369" t="s">
        <v>6</v>
      </c>
      <c r="B2369" t="str">
        <f>"03/25/2008 00:00"</f>
        <v>03/25/2008 00:00</v>
      </c>
      <c r="C2369">
        <v>1.34</v>
      </c>
      <c r="D2369" t="s">
        <v>7</v>
      </c>
      <c r="E2369" s="2" t="s">
        <v>12</v>
      </c>
      <c r="F2369">
        <f t="shared" si="36"/>
        <v>2.6572200000000001</v>
      </c>
      <c r="G2369" t="s">
        <v>16</v>
      </c>
      <c r="J2369" t="str">
        <f>"03/25/2008 23:45"</f>
        <v>03/25/2008 23:45</v>
      </c>
    </row>
    <row r="2370" spans="1:10" x14ac:dyDescent="0.3">
      <c r="A2370" t="s">
        <v>6</v>
      </c>
      <c r="B2370" t="str">
        <f>"03/26/2008 00:00"</f>
        <v>03/26/2008 00:00</v>
      </c>
      <c r="C2370">
        <v>1.33</v>
      </c>
      <c r="D2370" t="s">
        <v>7</v>
      </c>
      <c r="E2370" s="2" t="s">
        <v>12</v>
      </c>
      <c r="F2370">
        <f t="shared" si="36"/>
        <v>2.6373900000000003</v>
      </c>
      <c r="G2370" t="s">
        <v>16</v>
      </c>
      <c r="J2370" t="str">
        <f>"03/26/2008 23:45"</f>
        <v>03/26/2008 23:45</v>
      </c>
    </row>
    <row r="2371" spans="1:10" x14ac:dyDescent="0.3">
      <c r="A2371" t="s">
        <v>6</v>
      </c>
      <c r="B2371" t="str">
        <f>"03/27/2008 00:00"</f>
        <v>03/27/2008 00:00</v>
      </c>
      <c r="C2371">
        <v>1.23</v>
      </c>
      <c r="D2371" t="s">
        <v>7</v>
      </c>
      <c r="E2371" s="2" t="s">
        <v>12</v>
      </c>
      <c r="F2371">
        <f t="shared" si="36"/>
        <v>2.4390900000000002</v>
      </c>
      <c r="G2371" t="s">
        <v>16</v>
      </c>
      <c r="J2371" t="str">
        <f>"03/27/2008 23:45"</f>
        <v>03/27/2008 23:45</v>
      </c>
    </row>
    <row r="2372" spans="1:10" x14ac:dyDescent="0.3">
      <c r="A2372" t="s">
        <v>6</v>
      </c>
      <c r="B2372" t="str">
        <f>"03/28/2008 00:00"</f>
        <v>03/28/2008 00:00</v>
      </c>
      <c r="C2372">
        <v>1.2</v>
      </c>
      <c r="D2372" t="s">
        <v>7</v>
      </c>
      <c r="E2372" s="2" t="s">
        <v>12</v>
      </c>
      <c r="F2372">
        <f t="shared" ref="F2372:F2435" si="37">C2372*1.983</f>
        <v>2.3795999999999999</v>
      </c>
      <c r="G2372" t="s">
        <v>16</v>
      </c>
      <c r="J2372" t="str">
        <f>"03/28/2008 23:45"</f>
        <v>03/28/2008 23:45</v>
      </c>
    </row>
    <row r="2373" spans="1:10" x14ac:dyDescent="0.3">
      <c r="A2373" t="s">
        <v>6</v>
      </c>
      <c r="B2373" t="str">
        <f>"03/29/2008 00:00"</f>
        <v>03/29/2008 00:00</v>
      </c>
      <c r="C2373">
        <v>1.25</v>
      </c>
      <c r="D2373" t="s">
        <v>7</v>
      </c>
      <c r="E2373" s="2" t="s">
        <v>12</v>
      </c>
      <c r="F2373">
        <f t="shared" si="37"/>
        <v>2.4787500000000002</v>
      </c>
      <c r="G2373" t="s">
        <v>16</v>
      </c>
      <c r="J2373" t="str">
        <f>"03/29/2008 23:45"</f>
        <v>03/29/2008 23:45</v>
      </c>
    </row>
    <row r="2374" spans="1:10" x14ac:dyDescent="0.3">
      <c r="A2374" t="s">
        <v>6</v>
      </c>
      <c r="B2374" t="str">
        <f>"03/30/2008 00:00"</f>
        <v>03/30/2008 00:00</v>
      </c>
      <c r="C2374">
        <v>1.34</v>
      </c>
      <c r="D2374" t="s">
        <v>7</v>
      </c>
      <c r="E2374" s="2" t="s">
        <v>12</v>
      </c>
      <c r="F2374">
        <f t="shared" si="37"/>
        <v>2.6572200000000001</v>
      </c>
      <c r="G2374" t="s">
        <v>16</v>
      </c>
      <c r="J2374" t="str">
        <f>"03/30/2008 23:45"</f>
        <v>03/30/2008 23:45</v>
      </c>
    </row>
    <row r="2375" spans="1:10" x14ac:dyDescent="0.3">
      <c r="A2375" t="s">
        <v>6</v>
      </c>
      <c r="B2375" t="str">
        <f>"03/31/2008 00:00"</f>
        <v>03/31/2008 00:00</v>
      </c>
      <c r="C2375">
        <v>1.33</v>
      </c>
      <c r="D2375" t="s">
        <v>7</v>
      </c>
      <c r="E2375" s="2" t="s">
        <v>12</v>
      </c>
      <c r="F2375">
        <f t="shared" si="37"/>
        <v>2.6373900000000003</v>
      </c>
      <c r="G2375" t="s">
        <v>16</v>
      </c>
      <c r="J2375" t="str">
        <f>"03/31/2008 23:45"</f>
        <v>03/31/2008 23:45</v>
      </c>
    </row>
    <row r="2376" spans="1:10" x14ac:dyDescent="0.3">
      <c r="A2376" t="s">
        <v>6</v>
      </c>
      <c r="B2376" t="str">
        <f>"04/01/2008 00:00"</f>
        <v>04/01/2008 00:00</v>
      </c>
      <c r="C2376">
        <v>1.39</v>
      </c>
      <c r="D2376" t="s">
        <v>7</v>
      </c>
      <c r="E2376" s="2" t="s">
        <v>12</v>
      </c>
      <c r="F2376">
        <f t="shared" si="37"/>
        <v>2.75637</v>
      </c>
      <c r="G2376" t="s">
        <v>16</v>
      </c>
      <c r="J2376" t="str">
        <f>"04/01/2008 23:45"</f>
        <v>04/01/2008 23:45</v>
      </c>
    </row>
    <row r="2377" spans="1:10" x14ac:dyDescent="0.3">
      <c r="A2377" t="s">
        <v>6</v>
      </c>
      <c r="B2377" t="str">
        <f>"04/02/2008 00:00"</f>
        <v>04/02/2008 00:00</v>
      </c>
      <c r="C2377">
        <v>1.34</v>
      </c>
      <c r="D2377" t="s">
        <v>7</v>
      </c>
      <c r="E2377" s="2" t="s">
        <v>12</v>
      </c>
      <c r="F2377">
        <f t="shared" si="37"/>
        <v>2.6572200000000001</v>
      </c>
      <c r="G2377" t="s">
        <v>16</v>
      </c>
      <c r="J2377" t="str">
        <f>"04/02/2008 23:45"</f>
        <v>04/02/2008 23:45</v>
      </c>
    </row>
    <row r="2378" spans="1:10" x14ac:dyDescent="0.3">
      <c r="A2378" t="s">
        <v>6</v>
      </c>
      <c r="B2378" t="str">
        <f>"04/03/2008 00:00"</f>
        <v>04/03/2008 00:00</v>
      </c>
      <c r="C2378">
        <v>1.34</v>
      </c>
      <c r="D2378" t="s">
        <v>7</v>
      </c>
      <c r="E2378" s="2" t="s">
        <v>12</v>
      </c>
      <c r="F2378">
        <f t="shared" si="37"/>
        <v>2.6572200000000001</v>
      </c>
      <c r="G2378" t="s">
        <v>16</v>
      </c>
      <c r="J2378" t="str">
        <f>"04/03/2008 23:45"</f>
        <v>04/03/2008 23:45</v>
      </c>
    </row>
    <row r="2379" spans="1:10" x14ac:dyDescent="0.3">
      <c r="A2379" t="s">
        <v>6</v>
      </c>
      <c r="B2379" t="str">
        <f>"04/04/2008 00:00"</f>
        <v>04/04/2008 00:00</v>
      </c>
      <c r="C2379">
        <v>1.31</v>
      </c>
      <c r="D2379" t="s">
        <v>7</v>
      </c>
      <c r="E2379" s="2" t="s">
        <v>12</v>
      </c>
      <c r="F2379">
        <f t="shared" si="37"/>
        <v>2.5977300000000003</v>
      </c>
      <c r="G2379" t="s">
        <v>16</v>
      </c>
      <c r="J2379" t="str">
        <f>"04/04/2008 23:45"</f>
        <v>04/04/2008 23:45</v>
      </c>
    </row>
    <row r="2380" spans="1:10" x14ac:dyDescent="0.3">
      <c r="A2380" t="s">
        <v>6</v>
      </c>
      <c r="B2380" t="str">
        <f>"04/05/2008 00:00"</f>
        <v>04/05/2008 00:00</v>
      </c>
      <c r="C2380">
        <v>1.26</v>
      </c>
      <c r="D2380" t="s">
        <v>7</v>
      </c>
      <c r="E2380" s="2" t="s">
        <v>12</v>
      </c>
      <c r="F2380">
        <f t="shared" si="37"/>
        <v>2.49858</v>
      </c>
      <c r="G2380" t="s">
        <v>16</v>
      </c>
      <c r="J2380" t="str">
        <f>"04/05/2008 23:45"</f>
        <v>04/05/2008 23:45</v>
      </c>
    </row>
    <row r="2381" spans="1:10" x14ac:dyDescent="0.3">
      <c r="A2381" t="s">
        <v>6</v>
      </c>
      <c r="B2381" t="str">
        <f>"04/06/2008 00:00"</f>
        <v>04/06/2008 00:00</v>
      </c>
      <c r="C2381">
        <v>1.17</v>
      </c>
      <c r="D2381" t="s">
        <v>7</v>
      </c>
      <c r="E2381" s="2" t="s">
        <v>12</v>
      </c>
      <c r="F2381">
        <f t="shared" si="37"/>
        <v>2.3201100000000001</v>
      </c>
      <c r="G2381" t="s">
        <v>16</v>
      </c>
      <c r="J2381" t="str">
        <f>"04/06/2008 23:45"</f>
        <v>04/06/2008 23:45</v>
      </c>
    </row>
    <row r="2382" spans="1:10" x14ac:dyDescent="0.3">
      <c r="A2382" t="s">
        <v>6</v>
      </c>
      <c r="B2382" t="str">
        <f>"04/07/2008 00:00"</f>
        <v>04/07/2008 00:00</v>
      </c>
      <c r="C2382">
        <v>1.27</v>
      </c>
      <c r="D2382" t="s">
        <v>7</v>
      </c>
      <c r="E2382" s="2" t="s">
        <v>12</v>
      </c>
      <c r="F2382">
        <f t="shared" si="37"/>
        <v>2.5184100000000003</v>
      </c>
      <c r="G2382" t="s">
        <v>16</v>
      </c>
      <c r="J2382" t="str">
        <f>"04/07/2008 23:45"</f>
        <v>04/07/2008 23:45</v>
      </c>
    </row>
    <row r="2383" spans="1:10" x14ac:dyDescent="0.3">
      <c r="A2383" t="s">
        <v>6</v>
      </c>
      <c r="B2383" t="str">
        <f>"04/08/2008 00:00"</f>
        <v>04/08/2008 00:00</v>
      </c>
      <c r="C2383">
        <v>1.34</v>
      </c>
      <c r="D2383" t="s">
        <v>7</v>
      </c>
      <c r="E2383" s="2" t="s">
        <v>12</v>
      </c>
      <c r="F2383">
        <f t="shared" si="37"/>
        <v>2.6572200000000001</v>
      </c>
      <c r="G2383" t="s">
        <v>16</v>
      </c>
      <c r="J2383" t="str">
        <f>"04/08/2008 23:45"</f>
        <v>04/08/2008 23:45</v>
      </c>
    </row>
    <row r="2384" spans="1:10" x14ac:dyDescent="0.3">
      <c r="A2384" t="s">
        <v>6</v>
      </c>
      <c r="B2384" t="str">
        <f>"04/09/2008 00:00"</f>
        <v>04/09/2008 00:00</v>
      </c>
      <c r="C2384">
        <v>1.34</v>
      </c>
      <c r="D2384" t="s">
        <v>7</v>
      </c>
      <c r="E2384" s="2" t="s">
        <v>12</v>
      </c>
      <c r="F2384">
        <f t="shared" si="37"/>
        <v>2.6572200000000001</v>
      </c>
      <c r="G2384" t="s">
        <v>16</v>
      </c>
      <c r="J2384" t="str">
        <f>"04/09/2008 23:45"</f>
        <v>04/09/2008 23:45</v>
      </c>
    </row>
    <row r="2385" spans="1:10" x14ac:dyDescent="0.3">
      <c r="A2385" t="s">
        <v>6</v>
      </c>
      <c r="B2385" t="str">
        <f>"04/10/2008 00:00"</f>
        <v>04/10/2008 00:00</v>
      </c>
      <c r="C2385">
        <v>1.28</v>
      </c>
      <c r="D2385" t="s">
        <v>7</v>
      </c>
      <c r="E2385" s="2" t="s">
        <v>12</v>
      </c>
      <c r="F2385">
        <f t="shared" si="37"/>
        <v>2.5382400000000001</v>
      </c>
      <c r="G2385" t="s">
        <v>16</v>
      </c>
      <c r="J2385" t="str">
        <f>"04/10/2008 23:45"</f>
        <v>04/10/2008 23:45</v>
      </c>
    </row>
    <row r="2386" spans="1:10" x14ac:dyDescent="0.3">
      <c r="A2386" t="s">
        <v>6</v>
      </c>
      <c r="B2386" t="str">
        <f>"04/11/2008 00:00"</f>
        <v>04/11/2008 00:00</v>
      </c>
      <c r="C2386">
        <v>1.1200000000000001</v>
      </c>
      <c r="D2386" t="s">
        <v>7</v>
      </c>
      <c r="E2386" s="2" t="s">
        <v>12</v>
      </c>
      <c r="F2386">
        <f t="shared" si="37"/>
        <v>2.2209600000000003</v>
      </c>
      <c r="G2386" t="s">
        <v>16</v>
      </c>
      <c r="J2386" t="str">
        <f>"04/11/2008 23:45"</f>
        <v>04/11/2008 23:45</v>
      </c>
    </row>
    <row r="2387" spans="1:10" x14ac:dyDescent="0.3">
      <c r="A2387" t="s">
        <v>6</v>
      </c>
      <c r="B2387" t="str">
        <f>"04/12/2008 00:00"</f>
        <v>04/12/2008 00:00</v>
      </c>
      <c r="C2387">
        <v>1.08</v>
      </c>
      <c r="D2387" t="s">
        <v>7</v>
      </c>
      <c r="E2387" s="2" t="s">
        <v>12</v>
      </c>
      <c r="F2387">
        <f t="shared" si="37"/>
        <v>2.1416400000000002</v>
      </c>
      <c r="G2387" t="s">
        <v>16</v>
      </c>
      <c r="J2387" t="str">
        <f>"04/12/2008 23:45"</f>
        <v>04/12/2008 23:45</v>
      </c>
    </row>
    <row r="2388" spans="1:10" x14ac:dyDescent="0.3">
      <c r="A2388" t="s">
        <v>6</v>
      </c>
      <c r="B2388" t="str">
        <f>"04/13/2008 00:00"</f>
        <v>04/13/2008 00:00</v>
      </c>
      <c r="C2388">
        <v>1.08</v>
      </c>
      <c r="D2388" t="s">
        <v>7</v>
      </c>
      <c r="E2388" s="2" t="s">
        <v>12</v>
      </c>
      <c r="F2388">
        <f t="shared" si="37"/>
        <v>2.1416400000000002</v>
      </c>
      <c r="G2388" t="s">
        <v>16</v>
      </c>
      <c r="J2388" t="str">
        <f>"04/13/2008 23:45"</f>
        <v>04/13/2008 23:45</v>
      </c>
    </row>
    <row r="2389" spans="1:10" x14ac:dyDescent="0.3">
      <c r="A2389" t="s">
        <v>6</v>
      </c>
      <c r="B2389" t="str">
        <f>"04/14/2008 00:00"</f>
        <v>04/14/2008 00:00</v>
      </c>
      <c r="C2389">
        <v>1.08</v>
      </c>
      <c r="D2389" t="s">
        <v>7</v>
      </c>
      <c r="E2389" s="2" t="s">
        <v>12</v>
      </c>
      <c r="F2389">
        <f t="shared" si="37"/>
        <v>2.1416400000000002</v>
      </c>
      <c r="G2389" t="s">
        <v>16</v>
      </c>
      <c r="J2389" t="str">
        <f>"04/14/2008 23:45"</f>
        <v>04/14/2008 23:45</v>
      </c>
    </row>
    <row r="2390" spans="1:10" x14ac:dyDescent="0.3">
      <c r="A2390" t="s">
        <v>6</v>
      </c>
      <c r="B2390" t="str">
        <f>"04/15/2008 00:00"</f>
        <v>04/15/2008 00:00</v>
      </c>
      <c r="C2390">
        <v>1.08</v>
      </c>
      <c r="D2390" t="s">
        <v>7</v>
      </c>
      <c r="E2390" s="2" t="s">
        <v>12</v>
      </c>
      <c r="F2390">
        <f t="shared" si="37"/>
        <v>2.1416400000000002</v>
      </c>
      <c r="G2390" t="s">
        <v>16</v>
      </c>
      <c r="J2390" t="str">
        <f>"04/15/2008 23:45"</f>
        <v>04/15/2008 23:45</v>
      </c>
    </row>
    <row r="2391" spans="1:10" x14ac:dyDescent="0.3">
      <c r="A2391" t="s">
        <v>6</v>
      </c>
      <c r="B2391" t="str">
        <f>"04/16/2008 00:00"</f>
        <v>04/16/2008 00:00</v>
      </c>
      <c r="C2391">
        <v>1.08</v>
      </c>
      <c r="D2391" t="s">
        <v>7</v>
      </c>
      <c r="E2391" s="2" t="s">
        <v>12</v>
      </c>
      <c r="F2391">
        <f t="shared" si="37"/>
        <v>2.1416400000000002</v>
      </c>
      <c r="G2391" t="s">
        <v>16</v>
      </c>
      <c r="J2391" t="str">
        <f>"04/16/2008 23:45"</f>
        <v>04/16/2008 23:45</v>
      </c>
    </row>
    <row r="2392" spans="1:10" x14ac:dyDescent="0.3">
      <c r="A2392" t="s">
        <v>6</v>
      </c>
      <c r="B2392" t="str">
        <f>"04/17/2008 00:00"</f>
        <v>04/17/2008 00:00</v>
      </c>
      <c r="C2392">
        <v>1.08</v>
      </c>
      <c r="D2392" t="s">
        <v>7</v>
      </c>
      <c r="E2392" s="2" t="s">
        <v>12</v>
      </c>
      <c r="F2392">
        <f t="shared" si="37"/>
        <v>2.1416400000000002</v>
      </c>
      <c r="G2392" t="s">
        <v>16</v>
      </c>
      <c r="J2392" t="str">
        <f>"04/17/2008 23:45"</f>
        <v>04/17/2008 23:45</v>
      </c>
    </row>
    <row r="2393" spans="1:10" x14ac:dyDescent="0.3">
      <c r="A2393" t="s">
        <v>6</v>
      </c>
      <c r="B2393" t="str">
        <f>"04/18/2008 00:00"</f>
        <v>04/18/2008 00:00</v>
      </c>
      <c r="C2393">
        <v>1.08</v>
      </c>
      <c r="D2393" t="s">
        <v>7</v>
      </c>
      <c r="E2393" s="2" t="s">
        <v>12</v>
      </c>
      <c r="F2393">
        <f t="shared" si="37"/>
        <v>2.1416400000000002</v>
      </c>
      <c r="G2393" t="s">
        <v>16</v>
      </c>
      <c r="J2393" t="str">
        <f>"04/18/2008 23:45"</f>
        <v>04/18/2008 23:45</v>
      </c>
    </row>
    <row r="2394" spans="1:10" x14ac:dyDescent="0.3">
      <c r="A2394" t="s">
        <v>6</v>
      </c>
      <c r="B2394" t="str">
        <f>"04/19/2008 00:00"</f>
        <v>04/19/2008 00:00</v>
      </c>
      <c r="C2394">
        <v>1.08</v>
      </c>
      <c r="D2394" t="s">
        <v>7</v>
      </c>
      <c r="E2394" s="2" t="s">
        <v>12</v>
      </c>
      <c r="F2394">
        <f t="shared" si="37"/>
        <v>2.1416400000000002</v>
      </c>
      <c r="G2394" t="s">
        <v>16</v>
      </c>
      <c r="J2394" t="str">
        <f>"04/19/2008 23:45"</f>
        <v>04/19/2008 23:45</v>
      </c>
    </row>
    <row r="2395" spans="1:10" x14ac:dyDescent="0.3">
      <c r="A2395" t="s">
        <v>6</v>
      </c>
      <c r="B2395" t="str">
        <f>"04/20/2008 00:00"</f>
        <v>04/20/2008 00:00</v>
      </c>
      <c r="C2395">
        <v>1.08</v>
      </c>
      <c r="D2395" t="s">
        <v>7</v>
      </c>
      <c r="E2395" s="2" t="s">
        <v>12</v>
      </c>
      <c r="F2395">
        <f t="shared" si="37"/>
        <v>2.1416400000000002</v>
      </c>
      <c r="G2395" t="s">
        <v>16</v>
      </c>
      <c r="J2395" t="str">
        <f>"04/20/2008 23:45"</f>
        <v>04/20/2008 23:45</v>
      </c>
    </row>
    <row r="2396" spans="1:10" x14ac:dyDescent="0.3">
      <c r="A2396" t="s">
        <v>6</v>
      </c>
      <c r="B2396" t="str">
        <f>"04/21/2008 00:00"</f>
        <v>04/21/2008 00:00</v>
      </c>
      <c r="C2396">
        <v>1.08</v>
      </c>
      <c r="D2396" t="s">
        <v>7</v>
      </c>
      <c r="E2396" s="2" t="s">
        <v>12</v>
      </c>
      <c r="F2396">
        <f t="shared" si="37"/>
        <v>2.1416400000000002</v>
      </c>
      <c r="G2396" t="s">
        <v>16</v>
      </c>
      <c r="J2396" t="str">
        <f>"04/21/2008 23:45"</f>
        <v>04/21/2008 23:45</v>
      </c>
    </row>
    <row r="2397" spans="1:10" x14ac:dyDescent="0.3">
      <c r="A2397" t="s">
        <v>6</v>
      </c>
      <c r="B2397" t="str">
        <f>"04/22/2008 00:00"</f>
        <v>04/22/2008 00:00</v>
      </c>
      <c r="C2397">
        <v>1.08</v>
      </c>
      <c r="D2397" t="s">
        <v>7</v>
      </c>
      <c r="E2397" s="2" t="s">
        <v>12</v>
      </c>
      <c r="F2397">
        <f t="shared" si="37"/>
        <v>2.1416400000000002</v>
      </c>
      <c r="G2397" t="s">
        <v>16</v>
      </c>
      <c r="J2397" t="str">
        <f>"04/22/2008 23:45"</f>
        <v>04/22/2008 23:45</v>
      </c>
    </row>
    <row r="2398" spans="1:10" x14ac:dyDescent="0.3">
      <c r="A2398" t="s">
        <v>6</v>
      </c>
      <c r="B2398" t="str">
        <f>"04/23/2008 00:00"</f>
        <v>04/23/2008 00:00</v>
      </c>
      <c r="C2398">
        <v>1.03</v>
      </c>
      <c r="D2398" t="s">
        <v>7</v>
      </c>
      <c r="E2398" s="2" t="s">
        <v>12</v>
      </c>
      <c r="F2398">
        <f t="shared" si="37"/>
        <v>2.0424900000000004</v>
      </c>
      <c r="G2398" t="s">
        <v>16</v>
      </c>
      <c r="J2398" t="str">
        <f>"04/23/2008 23:45"</f>
        <v>04/23/2008 23:45</v>
      </c>
    </row>
    <row r="2399" spans="1:10" x14ac:dyDescent="0.3">
      <c r="A2399" t="s">
        <v>6</v>
      </c>
      <c r="B2399" t="str">
        <f>"04/24/2008 00:00"</f>
        <v>04/24/2008 00:00</v>
      </c>
      <c r="C2399">
        <v>1.06</v>
      </c>
      <c r="D2399" t="s">
        <v>7</v>
      </c>
      <c r="E2399" s="2" t="s">
        <v>12</v>
      </c>
      <c r="F2399">
        <f t="shared" si="37"/>
        <v>2.1019800000000002</v>
      </c>
      <c r="G2399" t="s">
        <v>16</v>
      </c>
      <c r="J2399" t="str">
        <f>"04/24/2008 23:45"</f>
        <v>04/24/2008 23:45</v>
      </c>
    </row>
    <row r="2400" spans="1:10" x14ac:dyDescent="0.3">
      <c r="A2400" t="s">
        <v>6</v>
      </c>
      <c r="B2400" t="str">
        <f>"04/25/2008 00:00"</f>
        <v>04/25/2008 00:00</v>
      </c>
      <c r="C2400">
        <v>1.58</v>
      </c>
      <c r="D2400" t="s">
        <v>7</v>
      </c>
      <c r="E2400" s="2" t="s">
        <v>12</v>
      </c>
      <c r="F2400">
        <f t="shared" si="37"/>
        <v>3.1331400000000005</v>
      </c>
      <c r="G2400" t="s">
        <v>16</v>
      </c>
      <c r="J2400" t="str">
        <f>"04/25/2008 23:45"</f>
        <v>04/25/2008 23:45</v>
      </c>
    </row>
    <row r="2401" spans="1:10" x14ac:dyDescent="0.3">
      <c r="A2401" t="s">
        <v>6</v>
      </c>
      <c r="B2401" t="str">
        <f>"04/26/2008 00:00"</f>
        <v>04/26/2008 00:00</v>
      </c>
      <c r="C2401">
        <v>1.62</v>
      </c>
      <c r="D2401" t="s">
        <v>7</v>
      </c>
      <c r="E2401" s="2" t="s">
        <v>12</v>
      </c>
      <c r="F2401">
        <f t="shared" si="37"/>
        <v>3.2124600000000005</v>
      </c>
      <c r="G2401" t="s">
        <v>16</v>
      </c>
      <c r="J2401" t="str">
        <f>"04/26/2008 23:45"</f>
        <v>04/26/2008 23:45</v>
      </c>
    </row>
    <row r="2402" spans="1:10" x14ac:dyDescent="0.3">
      <c r="A2402" t="s">
        <v>6</v>
      </c>
      <c r="B2402" t="str">
        <f>"04/27/2008 00:00"</f>
        <v>04/27/2008 00:00</v>
      </c>
      <c r="C2402">
        <v>1.55</v>
      </c>
      <c r="D2402" t="s">
        <v>7</v>
      </c>
      <c r="E2402" s="2" t="s">
        <v>12</v>
      </c>
      <c r="F2402">
        <f t="shared" si="37"/>
        <v>3.0736500000000002</v>
      </c>
      <c r="G2402" t="s">
        <v>16</v>
      </c>
      <c r="J2402" t="str">
        <f>"04/27/2008 23:45"</f>
        <v>04/27/2008 23:45</v>
      </c>
    </row>
    <row r="2403" spans="1:10" x14ac:dyDescent="0.3">
      <c r="A2403" t="s">
        <v>6</v>
      </c>
      <c r="B2403" t="str">
        <f>"04/28/2008 00:00"</f>
        <v>04/28/2008 00:00</v>
      </c>
      <c r="C2403">
        <v>1.47</v>
      </c>
      <c r="D2403" t="s">
        <v>7</v>
      </c>
      <c r="E2403" s="2" t="s">
        <v>12</v>
      </c>
      <c r="F2403">
        <f t="shared" si="37"/>
        <v>2.9150100000000001</v>
      </c>
      <c r="G2403" t="s">
        <v>16</v>
      </c>
      <c r="J2403" t="str">
        <f>"04/28/2008 23:45"</f>
        <v>04/28/2008 23:45</v>
      </c>
    </row>
    <row r="2404" spans="1:10" x14ac:dyDescent="0.3">
      <c r="A2404" t="s">
        <v>6</v>
      </c>
      <c r="B2404" t="str">
        <f>"04/29/2008 00:00"</f>
        <v>04/29/2008 00:00</v>
      </c>
      <c r="C2404">
        <v>1.42</v>
      </c>
      <c r="D2404" t="s">
        <v>7</v>
      </c>
      <c r="E2404" s="2" t="s">
        <v>12</v>
      </c>
      <c r="F2404">
        <f t="shared" si="37"/>
        <v>2.8158599999999998</v>
      </c>
      <c r="G2404" t="s">
        <v>16</v>
      </c>
      <c r="J2404" t="str">
        <f>"04/29/2008 23:45"</f>
        <v>04/29/2008 23:45</v>
      </c>
    </row>
    <row r="2405" spans="1:10" x14ac:dyDescent="0.3">
      <c r="A2405" t="s">
        <v>6</v>
      </c>
      <c r="B2405" t="str">
        <f>"04/30/2008 00:00"</f>
        <v>04/30/2008 00:00</v>
      </c>
      <c r="C2405">
        <v>1.35</v>
      </c>
      <c r="D2405" t="s">
        <v>7</v>
      </c>
      <c r="E2405" s="2" t="s">
        <v>12</v>
      </c>
      <c r="F2405">
        <f t="shared" si="37"/>
        <v>2.6770500000000004</v>
      </c>
      <c r="G2405" t="s">
        <v>16</v>
      </c>
      <c r="J2405" t="str">
        <f>"04/30/2008 23:45"</f>
        <v>04/30/2008 23:45</v>
      </c>
    </row>
    <row r="2406" spans="1:10" x14ac:dyDescent="0.3">
      <c r="A2406" t="s">
        <v>6</v>
      </c>
      <c r="B2406" t="str">
        <f>"05/01/2008 00:00"</f>
        <v>05/01/2008 00:00</v>
      </c>
      <c r="C2406">
        <v>1.48</v>
      </c>
      <c r="D2406" t="s">
        <v>7</v>
      </c>
      <c r="E2406" s="2" t="s">
        <v>12</v>
      </c>
      <c r="F2406">
        <f t="shared" si="37"/>
        <v>2.9348399999999999</v>
      </c>
      <c r="G2406" t="s">
        <v>16</v>
      </c>
      <c r="J2406" t="str">
        <f>"05/01/2008 23:45"</f>
        <v>05/01/2008 23:45</v>
      </c>
    </row>
    <row r="2407" spans="1:10" x14ac:dyDescent="0.3">
      <c r="A2407" t="s">
        <v>6</v>
      </c>
      <c r="B2407" t="str">
        <f>"05/02/2008 00:00"</f>
        <v>05/02/2008 00:00</v>
      </c>
      <c r="C2407">
        <v>1.37</v>
      </c>
      <c r="D2407" t="s">
        <v>7</v>
      </c>
      <c r="E2407" s="2" t="s">
        <v>12</v>
      </c>
      <c r="F2407">
        <f t="shared" si="37"/>
        <v>2.7167100000000004</v>
      </c>
      <c r="G2407" t="s">
        <v>16</v>
      </c>
      <c r="J2407" t="str">
        <f>"05/02/2008 23:45"</f>
        <v>05/02/2008 23:45</v>
      </c>
    </row>
    <row r="2408" spans="1:10" x14ac:dyDescent="0.3">
      <c r="A2408" t="s">
        <v>6</v>
      </c>
      <c r="B2408" t="str">
        <f>"05/03/2008 00:00"</f>
        <v>05/03/2008 00:00</v>
      </c>
      <c r="C2408">
        <v>1.2</v>
      </c>
      <c r="D2408" t="s">
        <v>7</v>
      </c>
      <c r="E2408" s="2" t="s">
        <v>12</v>
      </c>
      <c r="F2408">
        <f t="shared" si="37"/>
        <v>2.3795999999999999</v>
      </c>
      <c r="G2408" t="s">
        <v>16</v>
      </c>
      <c r="J2408" t="str">
        <f>"05/03/2008 23:45"</f>
        <v>05/03/2008 23:45</v>
      </c>
    </row>
    <row r="2409" spans="1:10" x14ac:dyDescent="0.3">
      <c r="A2409" t="s">
        <v>6</v>
      </c>
      <c r="B2409" t="str">
        <f>"05/04/2008 00:00"</f>
        <v>05/04/2008 00:00</v>
      </c>
      <c r="C2409">
        <v>1.08</v>
      </c>
      <c r="D2409" t="s">
        <v>7</v>
      </c>
      <c r="E2409" s="2" t="s">
        <v>12</v>
      </c>
      <c r="F2409">
        <f t="shared" si="37"/>
        <v>2.1416400000000002</v>
      </c>
      <c r="G2409" t="s">
        <v>16</v>
      </c>
      <c r="J2409" t="str">
        <f>"05/04/2008 23:45"</f>
        <v>05/04/2008 23:45</v>
      </c>
    </row>
    <row r="2410" spans="1:10" x14ac:dyDescent="0.3">
      <c r="A2410" t="s">
        <v>6</v>
      </c>
      <c r="B2410" t="str">
        <f>"05/05/2008 00:00"</f>
        <v>05/05/2008 00:00</v>
      </c>
      <c r="C2410">
        <v>20.5</v>
      </c>
      <c r="D2410" t="s">
        <v>7</v>
      </c>
      <c r="E2410" s="2" t="s">
        <v>12</v>
      </c>
      <c r="F2410">
        <f t="shared" si="37"/>
        <v>40.651499999999999</v>
      </c>
      <c r="G2410" t="s">
        <v>16</v>
      </c>
      <c r="J2410" t="str">
        <f>"05/05/2008 23:45"</f>
        <v>05/05/2008 23:45</v>
      </c>
    </row>
    <row r="2411" spans="1:10" x14ac:dyDescent="0.3">
      <c r="A2411" t="s">
        <v>6</v>
      </c>
      <c r="B2411" t="str">
        <f>"05/06/2008 00:00"</f>
        <v>05/06/2008 00:00</v>
      </c>
      <c r="C2411">
        <v>83.6</v>
      </c>
      <c r="D2411" t="s">
        <v>7</v>
      </c>
      <c r="E2411" s="2" t="s">
        <v>12</v>
      </c>
      <c r="F2411">
        <f t="shared" si="37"/>
        <v>165.77879999999999</v>
      </c>
      <c r="G2411" t="s">
        <v>16</v>
      </c>
      <c r="J2411" t="str">
        <f>"05/06/2008 23:45"</f>
        <v>05/06/2008 23:45</v>
      </c>
    </row>
    <row r="2412" spans="1:10" x14ac:dyDescent="0.3">
      <c r="A2412" t="s">
        <v>6</v>
      </c>
      <c r="B2412" t="str">
        <f>"05/07/2008 00:00"</f>
        <v>05/07/2008 00:00</v>
      </c>
      <c r="C2412">
        <v>101</v>
      </c>
      <c r="D2412" t="s">
        <v>7</v>
      </c>
      <c r="E2412" s="2" t="s">
        <v>12</v>
      </c>
      <c r="F2412">
        <f t="shared" si="37"/>
        <v>200.28300000000002</v>
      </c>
      <c r="G2412" t="s">
        <v>16</v>
      </c>
      <c r="J2412" t="str">
        <f>"05/07/2008 23:45"</f>
        <v>05/07/2008 23:45</v>
      </c>
    </row>
    <row r="2413" spans="1:10" x14ac:dyDescent="0.3">
      <c r="A2413" t="s">
        <v>6</v>
      </c>
      <c r="B2413" t="str">
        <f>"05/08/2008 00:00"</f>
        <v>05/08/2008 00:00</v>
      </c>
      <c r="C2413">
        <v>160</v>
      </c>
      <c r="D2413" t="s">
        <v>7</v>
      </c>
      <c r="E2413" s="2" t="s">
        <v>12</v>
      </c>
      <c r="F2413">
        <f t="shared" si="37"/>
        <v>317.28000000000003</v>
      </c>
      <c r="G2413" t="s">
        <v>16</v>
      </c>
      <c r="J2413" t="str">
        <f>"05/08/2008 23:45"</f>
        <v>05/08/2008 23:45</v>
      </c>
    </row>
    <row r="2414" spans="1:10" x14ac:dyDescent="0.3">
      <c r="A2414" t="s">
        <v>6</v>
      </c>
      <c r="B2414" t="str">
        <f>"05/09/2008 00:00"</f>
        <v>05/09/2008 00:00</v>
      </c>
      <c r="C2414">
        <v>207</v>
      </c>
      <c r="D2414" t="s">
        <v>7</v>
      </c>
      <c r="E2414" s="2" t="s">
        <v>12</v>
      </c>
      <c r="F2414">
        <f t="shared" si="37"/>
        <v>410.48099999999999</v>
      </c>
      <c r="G2414" t="s">
        <v>16</v>
      </c>
      <c r="J2414" t="str">
        <f>"05/09/2008 23:45"</f>
        <v>05/09/2008 23:45</v>
      </c>
    </row>
    <row r="2415" spans="1:10" x14ac:dyDescent="0.3">
      <c r="A2415" t="s">
        <v>6</v>
      </c>
      <c r="B2415" t="str">
        <f>"05/10/2008 00:00"</f>
        <v>05/10/2008 00:00</v>
      </c>
      <c r="C2415">
        <v>205</v>
      </c>
      <c r="D2415" t="s">
        <v>7</v>
      </c>
      <c r="E2415" s="2" t="s">
        <v>12</v>
      </c>
      <c r="F2415">
        <f t="shared" si="37"/>
        <v>406.51500000000004</v>
      </c>
      <c r="G2415" t="s">
        <v>16</v>
      </c>
      <c r="J2415" t="str">
        <f>"05/10/2008 23:45"</f>
        <v>05/10/2008 23:45</v>
      </c>
    </row>
    <row r="2416" spans="1:10" x14ac:dyDescent="0.3">
      <c r="A2416" t="s">
        <v>6</v>
      </c>
      <c r="B2416" t="str">
        <f>"05/11/2008 00:00"</f>
        <v>05/11/2008 00:00</v>
      </c>
      <c r="C2416">
        <v>204</v>
      </c>
      <c r="D2416" t="s">
        <v>7</v>
      </c>
      <c r="E2416" s="2" t="s">
        <v>12</v>
      </c>
      <c r="F2416">
        <f t="shared" si="37"/>
        <v>404.53200000000004</v>
      </c>
      <c r="G2416" t="s">
        <v>16</v>
      </c>
      <c r="J2416" t="str">
        <f>"05/11/2008 23:45"</f>
        <v>05/11/2008 23:45</v>
      </c>
    </row>
    <row r="2417" spans="1:10" x14ac:dyDescent="0.3">
      <c r="A2417" t="s">
        <v>6</v>
      </c>
      <c r="B2417" t="str">
        <f>"05/12/2008 00:00"</f>
        <v>05/12/2008 00:00</v>
      </c>
      <c r="C2417">
        <v>203</v>
      </c>
      <c r="D2417" t="s">
        <v>7</v>
      </c>
      <c r="E2417" s="2" t="s">
        <v>12</v>
      </c>
      <c r="F2417">
        <f t="shared" si="37"/>
        <v>402.54900000000004</v>
      </c>
      <c r="G2417" t="s">
        <v>16</v>
      </c>
      <c r="J2417" t="str">
        <f>"05/12/2008 23:45"</f>
        <v>05/12/2008 23:45</v>
      </c>
    </row>
    <row r="2418" spans="1:10" x14ac:dyDescent="0.3">
      <c r="A2418" t="s">
        <v>6</v>
      </c>
      <c r="B2418" t="str">
        <f>"05/13/2008 00:00"</f>
        <v>05/13/2008 00:00</v>
      </c>
      <c r="C2418">
        <v>197</v>
      </c>
      <c r="D2418" t="s">
        <v>7</v>
      </c>
      <c r="E2418" s="2" t="s">
        <v>12</v>
      </c>
      <c r="F2418">
        <f t="shared" si="37"/>
        <v>390.65100000000001</v>
      </c>
      <c r="G2418" t="s">
        <v>16</v>
      </c>
      <c r="J2418" t="str">
        <f>"05/13/2008 23:45"</f>
        <v>05/13/2008 23:45</v>
      </c>
    </row>
    <row r="2419" spans="1:10" x14ac:dyDescent="0.3">
      <c r="A2419" t="s">
        <v>6</v>
      </c>
      <c r="B2419" t="str">
        <f>"05/14/2008 00:00"</f>
        <v>05/14/2008 00:00</v>
      </c>
      <c r="C2419">
        <v>198</v>
      </c>
      <c r="D2419" t="s">
        <v>7</v>
      </c>
      <c r="E2419" s="2" t="s">
        <v>12</v>
      </c>
      <c r="F2419">
        <f t="shared" si="37"/>
        <v>392.63400000000001</v>
      </c>
      <c r="G2419" t="s">
        <v>16</v>
      </c>
      <c r="J2419" t="str">
        <f>"05/14/2008 23:45"</f>
        <v>05/14/2008 23:45</v>
      </c>
    </row>
    <row r="2420" spans="1:10" x14ac:dyDescent="0.3">
      <c r="A2420" t="s">
        <v>6</v>
      </c>
      <c r="B2420" t="str">
        <f>"05/15/2008 00:00"</f>
        <v>05/15/2008 00:00</v>
      </c>
      <c r="C2420">
        <v>140</v>
      </c>
      <c r="D2420" t="s">
        <v>7</v>
      </c>
      <c r="E2420" s="2" t="s">
        <v>12</v>
      </c>
      <c r="F2420">
        <f t="shared" si="37"/>
        <v>277.62</v>
      </c>
      <c r="G2420" t="s">
        <v>16</v>
      </c>
      <c r="J2420" t="str">
        <f>"05/15/2008 23:45"</f>
        <v>05/15/2008 23:45</v>
      </c>
    </row>
    <row r="2421" spans="1:10" x14ac:dyDescent="0.3">
      <c r="A2421" t="s">
        <v>6</v>
      </c>
      <c r="B2421" t="str">
        <f>"05/16/2008 00:00"</f>
        <v>05/16/2008 00:00</v>
      </c>
      <c r="C2421">
        <v>101</v>
      </c>
      <c r="D2421" t="s">
        <v>7</v>
      </c>
      <c r="E2421" s="2" t="s">
        <v>12</v>
      </c>
      <c r="F2421">
        <f t="shared" si="37"/>
        <v>200.28300000000002</v>
      </c>
      <c r="G2421" t="s">
        <v>16</v>
      </c>
      <c r="J2421" t="str">
        <f>"05/16/2008 23:45"</f>
        <v>05/16/2008 23:45</v>
      </c>
    </row>
    <row r="2422" spans="1:10" x14ac:dyDescent="0.3">
      <c r="A2422" t="s">
        <v>6</v>
      </c>
      <c r="B2422" t="str">
        <f>"05/17/2008 00:00"</f>
        <v>05/17/2008 00:00</v>
      </c>
      <c r="C2422">
        <v>101</v>
      </c>
      <c r="D2422" t="s">
        <v>7</v>
      </c>
      <c r="E2422" s="2" t="s">
        <v>12</v>
      </c>
      <c r="F2422">
        <f t="shared" si="37"/>
        <v>200.28300000000002</v>
      </c>
      <c r="G2422" t="s">
        <v>16</v>
      </c>
      <c r="J2422" t="str">
        <f>"05/17/2008 23:45"</f>
        <v>05/17/2008 23:45</v>
      </c>
    </row>
    <row r="2423" spans="1:10" x14ac:dyDescent="0.3">
      <c r="A2423" t="s">
        <v>6</v>
      </c>
      <c r="B2423" t="str">
        <f>"05/18/2008 00:00"</f>
        <v>05/18/2008 00:00</v>
      </c>
      <c r="C2423">
        <v>99.8</v>
      </c>
      <c r="D2423" t="s">
        <v>7</v>
      </c>
      <c r="E2423" s="2" t="s">
        <v>12</v>
      </c>
      <c r="F2423">
        <f t="shared" si="37"/>
        <v>197.9034</v>
      </c>
      <c r="G2423" t="s">
        <v>16</v>
      </c>
      <c r="J2423" t="str">
        <f>"05/18/2008 23:45"</f>
        <v>05/18/2008 23:45</v>
      </c>
    </row>
    <row r="2424" spans="1:10" x14ac:dyDescent="0.3">
      <c r="A2424" t="s">
        <v>6</v>
      </c>
      <c r="B2424" t="str">
        <f>"05/19/2008 00:00"</f>
        <v>05/19/2008 00:00</v>
      </c>
      <c r="C2424">
        <v>98.6</v>
      </c>
      <c r="D2424" t="s">
        <v>7</v>
      </c>
      <c r="E2424" s="2" t="s">
        <v>12</v>
      </c>
      <c r="F2424">
        <f t="shared" si="37"/>
        <v>195.52379999999999</v>
      </c>
      <c r="G2424" t="s">
        <v>16</v>
      </c>
      <c r="J2424" t="str">
        <f>"05/19/2008 23:45"</f>
        <v>05/19/2008 23:45</v>
      </c>
    </row>
    <row r="2425" spans="1:10" x14ac:dyDescent="0.3">
      <c r="A2425" t="s">
        <v>6</v>
      </c>
      <c r="B2425" t="str">
        <f>"05/20/2008 00:00"</f>
        <v>05/20/2008 00:00</v>
      </c>
      <c r="C2425">
        <v>100</v>
      </c>
      <c r="D2425" t="s">
        <v>7</v>
      </c>
      <c r="E2425" s="2" t="s">
        <v>12</v>
      </c>
      <c r="F2425">
        <f t="shared" si="37"/>
        <v>198.3</v>
      </c>
      <c r="G2425" t="s">
        <v>16</v>
      </c>
      <c r="J2425" t="str">
        <f>"05/20/2008 23:45"</f>
        <v>05/20/2008 23:45</v>
      </c>
    </row>
    <row r="2426" spans="1:10" x14ac:dyDescent="0.3">
      <c r="A2426" t="s">
        <v>6</v>
      </c>
      <c r="B2426" t="str">
        <f>"05/21/2008 00:00"</f>
        <v>05/21/2008 00:00</v>
      </c>
      <c r="C2426">
        <v>102</v>
      </c>
      <c r="D2426" t="s">
        <v>7</v>
      </c>
      <c r="E2426" s="2" t="s">
        <v>12</v>
      </c>
      <c r="F2426">
        <f t="shared" si="37"/>
        <v>202.26600000000002</v>
      </c>
      <c r="G2426" t="s">
        <v>16</v>
      </c>
      <c r="J2426" t="str">
        <f>"05/21/2008 23:45"</f>
        <v>05/21/2008 23:45</v>
      </c>
    </row>
    <row r="2427" spans="1:10" x14ac:dyDescent="0.3">
      <c r="A2427" t="s">
        <v>6</v>
      </c>
      <c r="B2427" t="str">
        <f>"05/22/2008 00:00"</f>
        <v>05/22/2008 00:00</v>
      </c>
      <c r="C2427">
        <v>149</v>
      </c>
      <c r="D2427" t="s">
        <v>7</v>
      </c>
      <c r="E2427" s="2" t="s">
        <v>12</v>
      </c>
      <c r="F2427">
        <f t="shared" si="37"/>
        <v>295.46700000000004</v>
      </c>
      <c r="G2427" t="s">
        <v>16</v>
      </c>
      <c r="J2427" t="str">
        <f>"05/22/2008 23:45"</f>
        <v>05/22/2008 23:45</v>
      </c>
    </row>
    <row r="2428" spans="1:10" x14ac:dyDescent="0.3">
      <c r="A2428" t="s">
        <v>6</v>
      </c>
      <c r="B2428" t="str">
        <f>"05/23/2008 00:00"</f>
        <v>05/23/2008 00:00</v>
      </c>
      <c r="C2428">
        <v>247</v>
      </c>
      <c r="D2428" t="s">
        <v>7</v>
      </c>
      <c r="E2428" s="2" t="s">
        <v>12</v>
      </c>
      <c r="F2428">
        <f t="shared" si="37"/>
        <v>489.80100000000004</v>
      </c>
      <c r="G2428" t="s">
        <v>16</v>
      </c>
      <c r="J2428" t="str">
        <f>"05/23/2008 23:45"</f>
        <v>05/23/2008 23:45</v>
      </c>
    </row>
    <row r="2429" spans="1:10" x14ac:dyDescent="0.3">
      <c r="A2429" t="s">
        <v>6</v>
      </c>
      <c r="B2429" t="str">
        <f>"05/24/2008 00:00"</f>
        <v>05/24/2008 00:00</v>
      </c>
      <c r="C2429">
        <v>300</v>
      </c>
      <c r="D2429" t="s">
        <v>7</v>
      </c>
      <c r="E2429" s="2" t="s">
        <v>12</v>
      </c>
      <c r="F2429">
        <f t="shared" si="37"/>
        <v>594.9</v>
      </c>
      <c r="G2429" t="s">
        <v>16</v>
      </c>
      <c r="J2429" t="str">
        <f>"05/24/2008 23:45"</f>
        <v>05/24/2008 23:45</v>
      </c>
    </row>
    <row r="2430" spans="1:10" x14ac:dyDescent="0.3">
      <c r="A2430" t="s">
        <v>6</v>
      </c>
      <c r="B2430" t="str">
        <f>"05/25/2008 00:00"</f>
        <v>05/25/2008 00:00</v>
      </c>
      <c r="C2430">
        <v>300</v>
      </c>
      <c r="D2430" t="s">
        <v>7</v>
      </c>
      <c r="E2430" s="2" t="s">
        <v>12</v>
      </c>
      <c r="F2430">
        <f t="shared" si="37"/>
        <v>594.9</v>
      </c>
      <c r="G2430" t="s">
        <v>16</v>
      </c>
      <c r="J2430" t="str">
        <f>"05/25/2008 23:45"</f>
        <v>05/25/2008 23:45</v>
      </c>
    </row>
    <row r="2431" spans="1:10" x14ac:dyDescent="0.3">
      <c r="A2431" t="s">
        <v>6</v>
      </c>
      <c r="B2431" t="str">
        <f>"05/26/2008 00:00"</f>
        <v>05/26/2008 00:00</v>
      </c>
      <c r="C2431">
        <v>299</v>
      </c>
      <c r="D2431" t="s">
        <v>7</v>
      </c>
      <c r="E2431" s="2" t="s">
        <v>12</v>
      </c>
      <c r="F2431">
        <f t="shared" si="37"/>
        <v>592.91700000000003</v>
      </c>
      <c r="G2431" t="s">
        <v>16</v>
      </c>
      <c r="J2431" t="str">
        <f>"05/26/2008 23:45"</f>
        <v>05/26/2008 23:45</v>
      </c>
    </row>
    <row r="2432" spans="1:10" x14ac:dyDescent="0.3">
      <c r="A2432" t="s">
        <v>6</v>
      </c>
      <c r="B2432" t="str">
        <f>"05/27/2008 00:00"</f>
        <v>05/27/2008 00:00</v>
      </c>
      <c r="C2432">
        <v>245</v>
      </c>
      <c r="D2432" t="s">
        <v>7</v>
      </c>
      <c r="E2432" s="2" t="s">
        <v>12</v>
      </c>
      <c r="F2432">
        <f t="shared" si="37"/>
        <v>485.83500000000004</v>
      </c>
      <c r="G2432" t="s">
        <v>16</v>
      </c>
      <c r="J2432" t="str">
        <f>"05/27/2008 23:45"</f>
        <v>05/27/2008 23:45</v>
      </c>
    </row>
    <row r="2433" spans="1:10" x14ac:dyDescent="0.3">
      <c r="A2433" t="s">
        <v>6</v>
      </c>
      <c r="B2433" t="str">
        <f>"05/28/2008 00:00"</f>
        <v>05/28/2008 00:00</v>
      </c>
      <c r="C2433">
        <v>203</v>
      </c>
      <c r="D2433" t="s">
        <v>7</v>
      </c>
      <c r="E2433" s="2" t="s">
        <v>12</v>
      </c>
      <c r="F2433">
        <f t="shared" si="37"/>
        <v>402.54900000000004</v>
      </c>
      <c r="G2433" t="s">
        <v>16</v>
      </c>
      <c r="J2433" t="str">
        <f>"05/28/2008 23:45"</f>
        <v>05/28/2008 23:45</v>
      </c>
    </row>
    <row r="2434" spans="1:10" x14ac:dyDescent="0.3">
      <c r="A2434" t="s">
        <v>6</v>
      </c>
      <c r="B2434" t="str">
        <f>"05/29/2008 00:00"</f>
        <v>05/29/2008 00:00</v>
      </c>
      <c r="C2434">
        <v>203</v>
      </c>
      <c r="D2434" t="s">
        <v>7</v>
      </c>
      <c r="E2434" s="2" t="s">
        <v>12</v>
      </c>
      <c r="F2434">
        <f t="shared" si="37"/>
        <v>402.54900000000004</v>
      </c>
      <c r="G2434" t="s">
        <v>16</v>
      </c>
      <c r="J2434" t="str">
        <f>"05/29/2008 23:45"</f>
        <v>05/29/2008 23:45</v>
      </c>
    </row>
    <row r="2435" spans="1:10" x14ac:dyDescent="0.3">
      <c r="A2435" t="s">
        <v>6</v>
      </c>
      <c r="B2435" t="str">
        <f>"05/30/2008 00:00"</f>
        <v>05/30/2008 00:00</v>
      </c>
      <c r="C2435">
        <v>205</v>
      </c>
      <c r="D2435" t="s">
        <v>7</v>
      </c>
      <c r="E2435" s="2" t="s">
        <v>12</v>
      </c>
      <c r="F2435">
        <f t="shared" si="37"/>
        <v>406.51500000000004</v>
      </c>
      <c r="G2435" t="s">
        <v>16</v>
      </c>
      <c r="J2435" t="str">
        <f>"05/30/2008 23:45"</f>
        <v>05/30/2008 23:45</v>
      </c>
    </row>
    <row r="2436" spans="1:10" x14ac:dyDescent="0.3">
      <c r="A2436" t="s">
        <v>6</v>
      </c>
      <c r="B2436" t="str">
        <f>"05/31/2008 00:00"</f>
        <v>05/31/2008 00:00</v>
      </c>
      <c r="C2436">
        <v>204</v>
      </c>
      <c r="D2436" t="s">
        <v>7</v>
      </c>
      <c r="E2436" s="2" t="s">
        <v>12</v>
      </c>
      <c r="F2436">
        <f t="shared" ref="F2436:F2499" si="38">C2436*1.983</f>
        <v>404.53200000000004</v>
      </c>
      <c r="G2436" t="s">
        <v>16</v>
      </c>
      <c r="J2436" t="str">
        <f>"05/31/2008 23:45"</f>
        <v>05/31/2008 23:45</v>
      </c>
    </row>
    <row r="2437" spans="1:10" x14ac:dyDescent="0.3">
      <c r="A2437" t="s">
        <v>6</v>
      </c>
      <c r="B2437" t="str">
        <f>"06/01/2008 00:00"</f>
        <v>06/01/2008 00:00</v>
      </c>
      <c r="C2437">
        <v>204</v>
      </c>
      <c r="D2437" t="s">
        <v>7</v>
      </c>
      <c r="E2437" s="2" t="s">
        <v>12</v>
      </c>
      <c r="F2437">
        <f t="shared" si="38"/>
        <v>404.53200000000004</v>
      </c>
      <c r="G2437" t="s">
        <v>16</v>
      </c>
      <c r="J2437" t="str">
        <f>"06/01/2008 23:45"</f>
        <v>06/01/2008 23:45</v>
      </c>
    </row>
    <row r="2438" spans="1:10" x14ac:dyDescent="0.3">
      <c r="A2438" t="s">
        <v>6</v>
      </c>
      <c r="B2438" t="str">
        <f>"06/02/2008 00:00"</f>
        <v>06/02/2008 00:00</v>
      </c>
      <c r="C2438">
        <v>282</v>
      </c>
      <c r="D2438" t="s">
        <v>7</v>
      </c>
      <c r="E2438" s="2" t="s">
        <v>12</v>
      </c>
      <c r="F2438">
        <f t="shared" si="38"/>
        <v>559.20600000000002</v>
      </c>
      <c r="G2438" t="s">
        <v>16</v>
      </c>
      <c r="J2438" t="str">
        <f>"06/02/2008 23:45"</f>
        <v>06/02/2008 23:45</v>
      </c>
    </row>
    <row r="2439" spans="1:10" x14ac:dyDescent="0.3">
      <c r="A2439" t="s">
        <v>6</v>
      </c>
      <c r="B2439" t="str">
        <f>"06/03/2008 00:00"</f>
        <v>06/03/2008 00:00</v>
      </c>
      <c r="C2439">
        <v>352</v>
      </c>
      <c r="D2439" t="s">
        <v>7</v>
      </c>
      <c r="E2439" s="2" t="s">
        <v>12</v>
      </c>
      <c r="F2439">
        <f t="shared" si="38"/>
        <v>698.01600000000008</v>
      </c>
      <c r="G2439" t="s">
        <v>16</v>
      </c>
      <c r="J2439" t="str">
        <f>"06/03/2008 23:45"</f>
        <v>06/03/2008 23:45</v>
      </c>
    </row>
    <row r="2440" spans="1:10" x14ac:dyDescent="0.3">
      <c r="A2440" t="s">
        <v>6</v>
      </c>
      <c r="B2440" t="str">
        <f>"06/04/2008 00:00"</f>
        <v>06/04/2008 00:00</v>
      </c>
      <c r="C2440">
        <v>379</v>
      </c>
      <c r="D2440" t="s">
        <v>7</v>
      </c>
      <c r="E2440" s="2" t="s">
        <v>12</v>
      </c>
      <c r="F2440">
        <f t="shared" si="38"/>
        <v>751.55700000000002</v>
      </c>
      <c r="G2440" t="s">
        <v>16</v>
      </c>
      <c r="J2440" t="str">
        <f>"06/04/2008 23:45"</f>
        <v>06/04/2008 23:45</v>
      </c>
    </row>
    <row r="2441" spans="1:10" x14ac:dyDescent="0.3">
      <c r="A2441" t="s">
        <v>6</v>
      </c>
      <c r="B2441" t="str">
        <f>"06/05/2008 00:00"</f>
        <v>06/05/2008 00:00</v>
      </c>
      <c r="C2441">
        <v>396</v>
      </c>
      <c r="D2441" t="s">
        <v>7</v>
      </c>
      <c r="E2441" s="2" t="s">
        <v>12</v>
      </c>
      <c r="F2441">
        <f t="shared" si="38"/>
        <v>785.26800000000003</v>
      </c>
      <c r="G2441" t="s">
        <v>16</v>
      </c>
      <c r="J2441" t="str">
        <f>"06/05/2008 23:45"</f>
        <v>06/05/2008 23:45</v>
      </c>
    </row>
    <row r="2442" spans="1:10" x14ac:dyDescent="0.3">
      <c r="A2442" t="s">
        <v>6</v>
      </c>
      <c r="B2442" t="str">
        <f>"06/06/2008 00:00"</f>
        <v>06/06/2008 00:00</v>
      </c>
      <c r="C2442">
        <v>429</v>
      </c>
      <c r="D2442" t="s">
        <v>7</v>
      </c>
      <c r="E2442" s="2" t="s">
        <v>12</v>
      </c>
      <c r="F2442">
        <f t="shared" si="38"/>
        <v>850.70699999999999</v>
      </c>
      <c r="G2442" t="s">
        <v>16</v>
      </c>
      <c r="J2442" t="str">
        <f>"06/06/2008 23:45"</f>
        <v>06/06/2008 23:45</v>
      </c>
    </row>
    <row r="2443" spans="1:10" x14ac:dyDescent="0.3">
      <c r="A2443" t="s">
        <v>6</v>
      </c>
      <c r="B2443" t="str">
        <f>"06/07/2008 00:00"</f>
        <v>06/07/2008 00:00</v>
      </c>
      <c r="C2443">
        <v>449</v>
      </c>
      <c r="D2443" t="s">
        <v>7</v>
      </c>
      <c r="E2443" s="2" t="s">
        <v>12</v>
      </c>
      <c r="F2443">
        <f t="shared" si="38"/>
        <v>890.36700000000008</v>
      </c>
      <c r="G2443" t="s">
        <v>16</v>
      </c>
      <c r="J2443" t="str">
        <f>"06/07/2008 23:45"</f>
        <v>06/07/2008 23:45</v>
      </c>
    </row>
    <row r="2444" spans="1:10" x14ac:dyDescent="0.3">
      <c r="A2444" t="s">
        <v>6</v>
      </c>
      <c r="B2444" t="str">
        <f>"06/08/2008 00:00"</f>
        <v>06/08/2008 00:00</v>
      </c>
      <c r="C2444">
        <v>424</v>
      </c>
      <c r="D2444" t="s">
        <v>7</v>
      </c>
      <c r="E2444" s="2" t="s">
        <v>12</v>
      </c>
      <c r="F2444">
        <f t="shared" si="38"/>
        <v>840.79200000000003</v>
      </c>
      <c r="G2444" t="s">
        <v>16</v>
      </c>
      <c r="J2444" t="str">
        <f>"06/08/2008 23:45"</f>
        <v>06/08/2008 23:45</v>
      </c>
    </row>
    <row r="2445" spans="1:10" x14ac:dyDescent="0.3">
      <c r="A2445" t="s">
        <v>6</v>
      </c>
      <c r="B2445" t="str">
        <f>"06/09/2008 00:00"</f>
        <v>06/09/2008 00:00</v>
      </c>
      <c r="C2445">
        <v>424</v>
      </c>
      <c r="D2445" t="s">
        <v>7</v>
      </c>
      <c r="E2445" s="2" t="s">
        <v>12</v>
      </c>
      <c r="F2445">
        <f t="shared" si="38"/>
        <v>840.79200000000003</v>
      </c>
      <c r="G2445" t="s">
        <v>16</v>
      </c>
      <c r="J2445" t="str">
        <f>"06/09/2008 23:45"</f>
        <v>06/09/2008 23:45</v>
      </c>
    </row>
    <row r="2446" spans="1:10" x14ac:dyDescent="0.3">
      <c r="A2446" t="s">
        <v>6</v>
      </c>
      <c r="B2446" t="str">
        <f>"06/10/2008 00:00"</f>
        <v>06/10/2008 00:00</v>
      </c>
      <c r="C2446">
        <v>424</v>
      </c>
      <c r="D2446" t="s">
        <v>7</v>
      </c>
      <c r="E2446" s="2" t="s">
        <v>12</v>
      </c>
      <c r="F2446">
        <f t="shared" si="38"/>
        <v>840.79200000000003</v>
      </c>
      <c r="G2446" t="s">
        <v>16</v>
      </c>
      <c r="J2446" t="str">
        <f>"06/10/2008 23:45"</f>
        <v>06/10/2008 23:45</v>
      </c>
    </row>
    <row r="2447" spans="1:10" x14ac:dyDescent="0.3">
      <c r="A2447" t="s">
        <v>6</v>
      </c>
      <c r="B2447" t="str">
        <f>"06/11/2008 00:00"</f>
        <v>06/11/2008 00:00</v>
      </c>
      <c r="C2447">
        <v>425</v>
      </c>
      <c r="D2447" t="s">
        <v>7</v>
      </c>
      <c r="E2447" s="2" t="s">
        <v>12</v>
      </c>
      <c r="F2447">
        <f t="shared" si="38"/>
        <v>842.77500000000009</v>
      </c>
      <c r="G2447" t="s">
        <v>16</v>
      </c>
      <c r="J2447" t="str">
        <f>"06/11/2008 23:45"</f>
        <v>06/11/2008 23:45</v>
      </c>
    </row>
    <row r="2448" spans="1:10" x14ac:dyDescent="0.3">
      <c r="A2448" t="s">
        <v>6</v>
      </c>
      <c r="B2448" t="str">
        <f>"06/12/2008 00:00"</f>
        <v>06/12/2008 00:00</v>
      </c>
      <c r="C2448">
        <v>439</v>
      </c>
      <c r="D2448" t="s">
        <v>7</v>
      </c>
      <c r="E2448" s="2" t="s">
        <v>12</v>
      </c>
      <c r="F2448">
        <f t="shared" si="38"/>
        <v>870.53700000000003</v>
      </c>
      <c r="G2448" t="s">
        <v>16</v>
      </c>
      <c r="J2448" t="str">
        <f>"06/12/2008 23:45"</f>
        <v>06/12/2008 23:45</v>
      </c>
    </row>
    <row r="2449" spans="1:10" x14ac:dyDescent="0.3">
      <c r="A2449" t="s">
        <v>6</v>
      </c>
      <c r="B2449" t="str">
        <f>"06/13/2008 00:00"</f>
        <v>06/13/2008 00:00</v>
      </c>
      <c r="C2449">
        <v>453</v>
      </c>
      <c r="D2449" t="s">
        <v>7</v>
      </c>
      <c r="E2449" s="2" t="s">
        <v>12</v>
      </c>
      <c r="F2449">
        <f t="shared" si="38"/>
        <v>898.29900000000009</v>
      </c>
      <c r="G2449" t="s">
        <v>16</v>
      </c>
      <c r="J2449" t="str">
        <f>"06/13/2008 23:45"</f>
        <v>06/13/2008 23:45</v>
      </c>
    </row>
    <row r="2450" spans="1:10" x14ac:dyDescent="0.3">
      <c r="A2450" t="s">
        <v>6</v>
      </c>
      <c r="B2450" t="str">
        <f>"06/14/2008 00:00"</f>
        <v>06/14/2008 00:00</v>
      </c>
      <c r="C2450">
        <v>453</v>
      </c>
      <c r="D2450" t="s">
        <v>7</v>
      </c>
      <c r="E2450" s="2" t="s">
        <v>12</v>
      </c>
      <c r="F2450">
        <f t="shared" si="38"/>
        <v>898.29900000000009</v>
      </c>
      <c r="G2450" t="s">
        <v>16</v>
      </c>
      <c r="J2450" t="str">
        <f>"06/14/2008 23:45"</f>
        <v>06/14/2008 23:45</v>
      </c>
    </row>
    <row r="2451" spans="1:10" x14ac:dyDescent="0.3">
      <c r="A2451" t="s">
        <v>6</v>
      </c>
      <c r="B2451" t="str">
        <f>"06/15/2008 00:00"</f>
        <v>06/15/2008 00:00</v>
      </c>
      <c r="C2451">
        <v>453</v>
      </c>
      <c r="D2451" t="s">
        <v>7</v>
      </c>
      <c r="E2451" s="2" t="s">
        <v>12</v>
      </c>
      <c r="F2451">
        <f t="shared" si="38"/>
        <v>898.29900000000009</v>
      </c>
      <c r="G2451" t="s">
        <v>16</v>
      </c>
      <c r="J2451" t="str">
        <f>"06/15/2008 23:45"</f>
        <v>06/15/2008 23:45</v>
      </c>
    </row>
    <row r="2452" spans="1:10" x14ac:dyDescent="0.3">
      <c r="A2452" t="s">
        <v>6</v>
      </c>
      <c r="B2452" t="str">
        <f>"06/16/2008 00:00"</f>
        <v>06/16/2008 00:00</v>
      </c>
      <c r="C2452">
        <v>453</v>
      </c>
      <c r="D2452" t="s">
        <v>7</v>
      </c>
      <c r="E2452" s="2" t="s">
        <v>12</v>
      </c>
      <c r="F2452">
        <f t="shared" si="38"/>
        <v>898.29900000000009</v>
      </c>
      <c r="G2452" t="s">
        <v>16</v>
      </c>
      <c r="J2452" t="str">
        <f>"06/16/2008 23:45"</f>
        <v>06/16/2008 23:45</v>
      </c>
    </row>
    <row r="2453" spans="1:10" x14ac:dyDescent="0.3">
      <c r="A2453" t="s">
        <v>6</v>
      </c>
      <c r="B2453" t="str">
        <f>"06/17/2008 00:00"</f>
        <v>06/17/2008 00:00</v>
      </c>
      <c r="C2453">
        <v>469</v>
      </c>
      <c r="D2453" t="s">
        <v>7</v>
      </c>
      <c r="E2453" s="2" t="s">
        <v>12</v>
      </c>
      <c r="F2453">
        <f t="shared" si="38"/>
        <v>930.02700000000004</v>
      </c>
      <c r="G2453" t="s">
        <v>16</v>
      </c>
      <c r="J2453" t="str">
        <f>"06/17/2008 23:45"</f>
        <v>06/17/2008 23:45</v>
      </c>
    </row>
    <row r="2454" spans="1:10" x14ac:dyDescent="0.3">
      <c r="A2454" t="s">
        <v>6</v>
      </c>
      <c r="B2454" t="str">
        <f>"06/18/2008 00:00"</f>
        <v>06/18/2008 00:00</v>
      </c>
      <c r="C2454">
        <v>388</v>
      </c>
      <c r="D2454" t="s">
        <v>7</v>
      </c>
      <c r="E2454" s="2" t="s">
        <v>12</v>
      </c>
      <c r="F2454">
        <f t="shared" si="38"/>
        <v>769.404</v>
      </c>
      <c r="G2454" t="s">
        <v>16</v>
      </c>
      <c r="J2454" t="str">
        <f>"06/18/2008 23:45"</f>
        <v>06/18/2008 23:45</v>
      </c>
    </row>
    <row r="2455" spans="1:10" x14ac:dyDescent="0.3">
      <c r="A2455" t="s">
        <v>6</v>
      </c>
      <c r="B2455" t="str">
        <f>"06/19/2008 00:00"</f>
        <v>06/19/2008 00:00</v>
      </c>
      <c r="C2455">
        <v>426</v>
      </c>
      <c r="D2455" t="s">
        <v>7</v>
      </c>
      <c r="E2455" s="2" t="s">
        <v>12</v>
      </c>
      <c r="F2455">
        <f t="shared" si="38"/>
        <v>844.75800000000004</v>
      </c>
      <c r="G2455" t="s">
        <v>16</v>
      </c>
      <c r="J2455" t="str">
        <f>"06/19/2008 23:45"</f>
        <v>06/19/2008 23:45</v>
      </c>
    </row>
    <row r="2456" spans="1:10" x14ac:dyDescent="0.3">
      <c r="A2456" t="s">
        <v>6</v>
      </c>
      <c r="B2456" t="str">
        <f>"06/20/2008 00:00"</f>
        <v>06/20/2008 00:00</v>
      </c>
      <c r="C2456">
        <v>407</v>
      </c>
      <c r="D2456" t="s">
        <v>7</v>
      </c>
      <c r="E2456" s="2" t="s">
        <v>12</v>
      </c>
      <c r="F2456">
        <f t="shared" si="38"/>
        <v>807.08100000000002</v>
      </c>
      <c r="G2456" t="s">
        <v>16</v>
      </c>
      <c r="J2456" t="str">
        <f>"06/20/2008 23:45"</f>
        <v>06/20/2008 23:45</v>
      </c>
    </row>
    <row r="2457" spans="1:10" x14ac:dyDescent="0.3">
      <c r="A2457" t="s">
        <v>6</v>
      </c>
      <c r="B2457" t="str">
        <f>"06/21/2008 00:00"</f>
        <v>06/21/2008 00:00</v>
      </c>
      <c r="C2457">
        <v>407</v>
      </c>
      <c r="D2457" t="s">
        <v>7</v>
      </c>
      <c r="E2457" s="2" t="s">
        <v>12</v>
      </c>
      <c r="F2457">
        <f t="shared" si="38"/>
        <v>807.08100000000002</v>
      </c>
      <c r="G2457" t="s">
        <v>16</v>
      </c>
      <c r="J2457" t="str">
        <f>"06/21/2008 23:45"</f>
        <v>06/21/2008 23:45</v>
      </c>
    </row>
    <row r="2458" spans="1:10" x14ac:dyDescent="0.3">
      <c r="A2458" t="s">
        <v>6</v>
      </c>
      <c r="B2458" t="str">
        <f>"06/22/2008 00:00"</f>
        <v>06/22/2008 00:00</v>
      </c>
      <c r="C2458">
        <v>408</v>
      </c>
      <c r="D2458" t="s">
        <v>7</v>
      </c>
      <c r="E2458" s="2" t="s">
        <v>12</v>
      </c>
      <c r="F2458">
        <f t="shared" si="38"/>
        <v>809.06400000000008</v>
      </c>
      <c r="G2458" t="s">
        <v>16</v>
      </c>
      <c r="J2458" t="str">
        <f>"06/22/2008 23:45"</f>
        <v>06/22/2008 23:45</v>
      </c>
    </row>
    <row r="2459" spans="1:10" x14ac:dyDescent="0.3">
      <c r="A2459" t="s">
        <v>6</v>
      </c>
      <c r="B2459" t="str">
        <f>"06/23/2008 00:00"</f>
        <v>06/23/2008 00:00</v>
      </c>
      <c r="C2459">
        <v>408</v>
      </c>
      <c r="D2459" t="s">
        <v>7</v>
      </c>
      <c r="E2459" s="2" t="s">
        <v>12</v>
      </c>
      <c r="F2459">
        <f t="shared" si="38"/>
        <v>809.06400000000008</v>
      </c>
      <c r="G2459" t="s">
        <v>16</v>
      </c>
      <c r="J2459" t="str">
        <f>"06/23/2008 23:45"</f>
        <v>06/23/2008 23:45</v>
      </c>
    </row>
    <row r="2460" spans="1:10" x14ac:dyDescent="0.3">
      <c r="A2460" t="s">
        <v>6</v>
      </c>
      <c r="B2460" t="str">
        <f>"06/24/2008 00:00"</f>
        <v>06/24/2008 00:00</v>
      </c>
      <c r="C2460">
        <v>409</v>
      </c>
      <c r="D2460" t="s">
        <v>7</v>
      </c>
      <c r="E2460" s="2" t="s">
        <v>12</v>
      </c>
      <c r="F2460">
        <f t="shared" si="38"/>
        <v>811.04700000000003</v>
      </c>
      <c r="G2460" t="s">
        <v>16</v>
      </c>
      <c r="J2460" t="str">
        <f>"06/24/2008 23:45"</f>
        <v>06/24/2008 23:45</v>
      </c>
    </row>
    <row r="2461" spans="1:10" x14ac:dyDescent="0.3">
      <c r="A2461" t="s">
        <v>6</v>
      </c>
      <c r="B2461" t="str">
        <f>"06/25/2008 00:00"</f>
        <v>06/25/2008 00:00</v>
      </c>
      <c r="C2461">
        <v>408</v>
      </c>
      <c r="D2461" t="s">
        <v>7</v>
      </c>
      <c r="E2461" s="2" t="s">
        <v>12</v>
      </c>
      <c r="F2461">
        <f t="shared" si="38"/>
        <v>809.06400000000008</v>
      </c>
      <c r="G2461" t="s">
        <v>16</v>
      </c>
      <c r="J2461" t="str">
        <f>"06/25/2008 23:45"</f>
        <v>06/25/2008 23:45</v>
      </c>
    </row>
    <row r="2462" spans="1:10" x14ac:dyDescent="0.3">
      <c r="A2462" t="s">
        <v>6</v>
      </c>
      <c r="B2462" t="str">
        <f>"06/26/2008 00:00"</f>
        <v>06/26/2008 00:00</v>
      </c>
      <c r="C2462">
        <v>409</v>
      </c>
      <c r="D2462" t="s">
        <v>7</v>
      </c>
      <c r="E2462" s="2" t="s">
        <v>12</v>
      </c>
      <c r="F2462">
        <f t="shared" si="38"/>
        <v>811.04700000000003</v>
      </c>
      <c r="G2462" t="s">
        <v>16</v>
      </c>
      <c r="J2462" t="str">
        <f>"06/26/2008 23:45"</f>
        <v>06/26/2008 23:45</v>
      </c>
    </row>
    <row r="2463" spans="1:10" x14ac:dyDescent="0.3">
      <c r="A2463" t="s">
        <v>6</v>
      </c>
      <c r="B2463" t="str">
        <f>"06/27/2008 00:00"</f>
        <v>06/27/2008 00:00</v>
      </c>
      <c r="C2463">
        <v>410</v>
      </c>
      <c r="D2463" t="s">
        <v>7</v>
      </c>
      <c r="E2463" s="2" t="s">
        <v>12</v>
      </c>
      <c r="F2463">
        <f t="shared" si="38"/>
        <v>813.03000000000009</v>
      </c>
      <c r="G2463" t="s">
        <v>16</v>
      </c>
      <c r="J2463" t="str">
        <f>"06/27/2008 23:45"</f>
        <v>06/27/2008 23:45</v>
      </c>
    </row>
    <row r="2464" spans="1:10" x14ac:dyDescent="0.3">
      <c r="A2464" t="s">
        <v>6</v>
      </c>
      <c r="B2464" t="str">
        <f>"06/28/2008 00:00"</f>
        <v>06/28/2008 00:00</v>
      </c>
      <c r="C2464">
        <v>410</v>
      </c>
      <c r="D2464" t="s">
        <v>7</v>
      </c>
      <c r="E2464" s="2" t="s">
        <v>12</v>
      </c>
      <c r="F2464">
        <f t="shared" si="38"/>
        <v>813.03000000000009</v>
      </c>
      <c r="G2464" t="s">
        <v>16</v>
      </c>
      <c r="J2464" t="str">
        <f>"06/28/2008 23:45"</f>
        <v>06/28/2008 23:45</v>
      </c>
    </row>
    <row r="2465" spans="1:10" x14ac:dyDescent="0.3">
      <c r="A2465" t="s">
        <v>6</v>
      </c>
      <c r="B2465" t="str">
        <f>"06/29/2008 00:00"</f>
        <v>06/29/2008 00:00</v>
      </c>
      <c r="C2465">
        <v>410</v>
      </c>
      <c r="D2465" t="s">
        <v>7</v>
      </c>
      <c r="E2465" s="2" t="s">
        <v>12</v>
      </c>
      <c r="F2465">
        <f t="shared" si="38"/>
        <v>813.03000000000009</v>
      </c>
      <c r="G2465" t="s">
        <v>16</v>
      </c>
      <c r="J2465" t="str">
        <f>"06/29/2008 23:45"</f>
        <v>06/29/2008 23:45</v>
      </c>
    </row>
    <row r="2466" spans="1:10" x14ac:dyDescent="0.3">
      <c r="A2466" t="s">
        <v>6</v>
      </c>
      <c r="B2466" t="str">
        <f>"06/30/2008 00:00"</f>
        <v>06/30/2008 00:00</v>
      </c>
      <c r="C2466">
        <v>407</v>
      </c>
      <c r="D2466" t="s">
        <v>7</v>
      </c>
      <c r="E2466" s="2" t="s">
        <v>12</v>
      </c>
      <c r="F2466">
        <f t="shared" si="38"/>
        <v>807.08100000000002</v>
      </c>
      <c r="G2466" t="s">
        <v>16</v>
      </c>
      <c r="J2466" t="str">
        <f>"06/30/2008 23:45"</f>
        <v>06/30/2008 23:45</v>
      </c>
    </row>
    <row r="2467" spans="1:10" x14ac:dyDescent="0.3">
      <c r="A2467" t="s">
        <v>6</v>
      </c>
      <c r="B2467" t="str">
        <f>"07/01/2008 00:00"</f>
        <v>07/01/2008 00:00</v>
      </c>
      <c r="C2467">
        <v>402</v>
      </c>
      <c r="D2467" t="s">
        <v>7</v>
      </c>
      <c r="E2467" s="2" t="s">
        <v>12</v>
      </c>
      <c r="F2467">
        <f t="shared" si="38"/>
        <v>797.16600000000005</v>
      </c>
      <c r="G2467" t="s">
        <v>16</v>
      </c>
      <c r="J2467" t="str">
        <f>"07/01/2008 23:45"</f>
        <v>07/01/2008 23:45</v>
      </c>
    </row>
    <row r="2468" spans="1:10" x14ac:dyDescent="0.3">
      <c r="A2468" t="s">
        <v>6</v>
      </c>
      <c r="B2468" t="str">
        <f>"07/02/2008 00:00"</f>
        <v>07/02/2008 00:00</v>
      </c>
      <c r="C2468">
        <v>401</v>
      </c>
      <c r="D2468" t="s">
        <v>7</v>
      </c>
      <c r="E2468" s="2" t="s">
        <v>12</v>
      </c>
      <c r="F2468">
        <f t="shared" si="38"/>
        <v>795.18299999999999</v>
      </c>
      <c r="G2468" t="s">
        <v>16</v>
      </c>
      <c r="J2468" t="str">
        <f>"07/02/2008 23:45"</f>
        <v>07/02/2008 23:45</v>
      </c>
    </row>
    <row r="2469" spans="1:10" x14ac:dyDescent="0.3">
      <c r="A2469" t="s">
        <v>6</v>
      </c>
      <c r="B2469" t="str">
        <f>"07/03/2008 00:00"</f>
        <v>07/03/2008 00:00</v>
      </c>
      <c r="C2469">
        <v>401</v>
      </c>
      <c r="D2469" t="s">
        <v>7</v>
      </c>
      <c r="E2469" s="2" t="s">
        <v>12</v>
      </c>
      <c r="F2469">
        <f t="shared" si="38"/>
        <v>795.18299999999999</v>
      </c>
      <c r="G2469" t="s">
        <v>16</v>
      </c>
      <c r="J2469" t="str">
        <f>"07/03/2008 23:45"</f>
        <v>07/03/2008 23:45</v>
      </c>
    </row>
    <row r="2470" spans="1:10" x14ac:dyDescent="0.3">
      <c r="A2470" t="s">
        <v>6</v>
      </c>
      <c r="B2470" t="str">
        <f>"07/04/2008 00:00"</f>
        <v>07/04/2008 00:00</v>
      </c>
      <c r="C2470">
        <v>401</v>
      </c>
      <c r="D2470" t="s">
        <v>7</v>
      </c>
      <c r="E2470" s="2" t="s">
        <v>12</v>
      </c>
      <c r="F2470">
        <f t="shared" si="38"/>
        <v>795.18299999999999</v>
      </c>
      <c r="G2470" t="s">
        <v>16</v>
      </c>
      <c r="J2470" t="str">
        <f>"07/04/2008 23:45"</f>
        <v>07/04/2008 23:45</v>
      </c>
    </row>
    <row r="2471" spans="1:10" x14ac:dyDescent="0.3">
      <c r="A2471" t="s">
        <v>6</v>
      </c>
      <c r="B2471" t="str">
        <f>"07/05/2008 00:00"</f>
        <v>07/05/2008 00:00</v>
      </c>
      <c r="C2471">
        <v>401</v>
      </c>
      <c r="D2471" t="s">
        <v>7</v>
      </c>
      <c r="E2471" s="2" t="s">
        <v>12</v>
      </c>
      <c r="F2471">
        <f t="shared" si="38"/>
        <v>795.18299999999999</v>
      </c>
      <c r="G2471" t="s">
        <v>16</v>
      </c>
      <c r="J2471" t="str">
        <f>"07/05/2008 23:45"</f>
        <v>07/05/2008 23:45</v>
      </c>
    </row>
    <row r="2472" spans="1:10" x14ac:dyDescent="0.3">
      <c r="A2472" t="s">
        <v>6</v>
      </c>
      <c r="B2472" t="str">
        <f>"07/06/2008 00:00"</f>
        <v>07/06/2008 00:00</v>
      </c>
      <c r="C2472">
        <v>402</v>
      </c>
      <c r="D2472" t="s">
        <v>7</v>
      </c>
      <c r="E2472" s="2" t="s">
        <v>12</v>
      </c>
      <c r="F2472">
        <f t="shared" si="38"/>
        <v>797.16600000000005</v>
      </c>
      <c r="G2472" t="s">
        <v>16</v>
      </c>
      <c r="J2472" t="str">
        <f>"07/06/2008 23:45"</f>
        <v>07/06/2008 23:45</v>
      </c>
    </row>
    <row r="2473" spans="1:10" x14ac:dyDescent="0.3">
      <c r="A2473" t="s">
        <v>6</v>
      </c>
      <c r="B2473" t="str">
        <f>"07/07/2008 00:00"</f>
        <v>07/07/2008 00:00</v>
      </c>
      <c r="C2473">
        <v>328</v>
      </c>
      <c r="D2473" t="s">
        <v>7</v>
      </c>
      <c r="E2473" s="2" t="s">
        <v>12</v>
      </c>
      <c r="F2473">
        <f t="shared" si="38"/>
        <v>650.42399999999998</v>
      </c>
      <c r="G2473" t="s">
        <v>16</v>
      </c>
      <c r="J2473" t="str">
        <f>"07/07/2008 23:45"</f>
        <v>07/07/2008 23:45</v>
      </c>
    </row>
    <row r="2474" spans="1:10" x14ac:dyDescent="0.3">
      <c r="A2474" t="s">
        <v>6</v>
      </c>
      <c r="B2474" t="str">
        <f>"07/08/2008 00:00"</f>
        <v>07/08/2008 00:00</v>
      </c>
      <c r="C2474">
        <v>275</v>
      </c>
      <c r="D2474" t="s">
        <v>7</v>
      </c>
      <c r="E2474" s="2" t="s">
        <v>12</v>
      </c>
      <c r="F2474">
        <f t="shared" si="38"/>
        <v>545.32500000000005</v>
      </c>
      <c r="G2474" t="s">
        <v>16</v>
      </c>
      <c r="J2474" t="str">
        <f>"07/08/2008 23:45"</f>
        <v>07/08/2008 23:45</v>
      </c>
    </row>
    <row r="2475" spans="1:10" x14ac:dyDescent="0.3">
      <c r="A2475" t="s">
        <v>6</v>
      </c>
      <c r="B2475" t="str">
        <f>"07/09/2008 00:00"</f>
        <v>07/09/2008 00:00</v>
      </c>
      <c r="C2475">
        <v>273</v>
      </c>
      <c r="D2475" t="s">
        <v>7</v>
      </c>
      <c r="E2475" s="2" t="s">
        <v>12</v>
      </c>
      <c r="F2475">
        <f t="shared" si="38"/>
        <v>541.35900000000004</v>
      </c>
      <c r="G2475" t="s">
        <v>16</v>
      </c>
      <c r="J2475" t="str">
        <f>"07/09/2008 23:45"</f>
        <v>07/09/2008 23:45</v>
      </c>
    </row>
    <row r="2476" spans="1:10" x14ac:dyDescent="0.3">
      <c r="A2476" t="s">
        <v>6</v>
      </c>
      <c r="B2476" t="str">
        <f>"07/10/2008 00:00"</f>
        <v>07/10/2008 00:00</v>
      </c>
      <c r="C2476">
        <v>273</v>
      </c>
      <c r="D2476" t="s">
        <v>7</v>
      </c>
      <c r="E2476" s="2" t="s">
        <v>12</v>
      </c>
      <c r="F2476">
        <f t="shared" si="38"/>
        <v>541.35900000000004</v>
      </c>
      <c r="G2476" t="s">
        <v>16</v>
      </c>
      <c r="J2476" t="str">
        <f>"07/10/2008 23:45"</f>
        <v>07/10/2008 23:45</v>
      </c>
    </row>
    <row r="2477" spans="1:10" x14ac:dyDescent="0.3">
      <c r="A2477" t="s">
        <v>6</v>
      </c>
      <c r="B2477" t="str">
        <f>"07/11/2008 00:00"</f>
        <v>07/11/2008 00:00</v>
      </c>
      <c r="C2477">
        <v>272</v>
      </c>
      <c r="D2477" t="s">
        <v>7</v>
      </c>
      <c r="E2477" s="2" t="s">
        <v>12</v>
      </c>
      <c r="F2477">
        <f t="shared" si="38"/>
        <v>539.37599999999998</v>
      </c>
      <c r="G2477" t="s">
        <v>16</v>
      </c>
      <c r="J2477" t="str">
        <f>"07/11/2008 23:45"</f>
        <v>07/11/2008 23:45</v>
      </c>
    </row>
    <row r="2478" spans="1:10" x14ac:dyDescent="0.3">
      <c r="A2478" t="s">
        <v>6</v>
      </c>
      <c r="B2478" t="str">
        <f>"07/12/2008 00:00"</f>
        <v>07/12/2008 00:00</v>
      </c>
      <c r="C2478">
        <v>273</v>
      </c>
      <c r="D2478" t="s">
        <v>7</v>
      </c>
      <c r="E2478" s="2" t="s">
        <v>12</v>
      </c>
      <c r="F2478">
        <f t="shared" si="38"/>
        <v>541.35900000000004</v>
      </c>
      <c r="G2478" t="s">
        <v>16</v>
      </c>
      <c r="J2478" t="str">
        <f>"07/12/2008 23:45"</f>
        <v>07/12/2008 23:45</v>
      </c>
    </row>
    <row r="2479" spans="1:10" x14ac:dyDescent="0.3">
      <c r="A2479" t="s">
        <v>6</v>
      </c>
      <c r="B2479" t="str">
        <f>"07/13/2008 00:00"</f>
        <v>07/13/2008 00:00</v>
      </c>
      <c r="C2479">
        <v>273</v>
      </c>
      <c r="D2479" t="s">
        <v>7</v>
      </c>
      <c r="E2479" s="2" t="s">
        <v>12</v>
      </c>
      <c r="F2479">
        <f t="shared" si="38"/>
        <v>541.35900000000004</v>
      </c>
      <c r="G2479" t="s">
        <v>16</v>
      </c>
      <c r="J2479" t="str">
        <f>"07/13/2008 23:45"</f>
        <v>07/13/2008 23:45</v>
      </c>
    </row>
    <row r="2480" spans="1:10" x14ac:dyDescent="0.3">
      <c r="A2480" t="s">
        <v>6</v>
      </c>
      <c r="B2480" t="str">
        <f>"07/14/2008 00:00"</f>
        <v>07/14/2008 00:00</v>
      </c>
      <c r="C2480">
        <v>275</v>
      </c>
      <c r="D2480" t="s">
        <v>7</v>
      </c>
      <c r="E2480" s="2" t="s">
        <v>12</v>
      </c>
      <c r="F2480">
        <f t="shared" si="38"/>
        <v>545.32500000000005</v>
      </c>
      <c r="G2480" t="s">
        <v>16</v>
      </c>
      <c r="J2480" t="str">
        <f>"07/14/2008 23:45"</f>
        <v>07/14/2008 23:45</v>
      </c>
    </row>
    <row r="2481" spans="1:10" x14ac:dyDescent="0.3">
      <c r="A2481" t="s">
        <v>6</v>
      </c>
      <c r="B2481" t="str">
        <f>"07/15/2008 00:00"</f>
        <v>07/15/2008 00:00</v>
      </c>
      <c r="C2481">
        <v>281</v>
      </c>
      <c r="D2481" t="s">
        <v>7</v>
      </c>
      <c r="E2481" s="2" t="s">
        <v>12</v>
      </c>
      <c r="F2481">
        <f t="shared" si="38"/>
        <v>557.22300000000007</v>
      </c>
      <c r="G2481" t="s">
        <v>16</v>
      </c>
      <c r="J2481" t="str">
        <f>"07/15/2008 23:45"</f>
        <v>07/15/2008 23:45</v>
      </c>
    </row>
    <row r="2482" spans="1:10" x14ac:dyDescent="0.3">
      <c r="A2482" t="s">
        <v>6</v>
      </c>
      <c r="B2482" t="str">
        <f>"07/16/2008 00:00"</f>
        <v>07/16/2008 00:00</v>
      </c>
      <c r="C2482">
        <v>321</v>
      </c>
      <c r="D2482" t="s">
        <v>7</v>
      </c>
      <c r="E2482" s="2" t="s">
        <v>12</v>
      </c>
      <c r="F2482">
        <f t="shared" si="38"/>
        <v>636.54300000000001</v>
      </c>
      <c r="G2482" t="s">
        <v>16</v>
      </c>
      <c r="J2482" t="str">
        <f>"07/16/2008 23:45"</f>
        <v>07/16/2008 23:45</v>
      </c>
    </row>
    <row r="2483" spans="1:10" x14ac:dyDescent="0.3">
      <c r="A2483" t="s">
        <v>6</v>
      </c>
      <c r="B2483" t="str">
        <f>"07/17/2008 00:00"</f>
        <v>07/17/2008 00:00</v>
      </c>
      <c r="C2483">
        <v>354</v>
      </c>
      <c r="D2483" t="s">
        <v>7</v>
      </c>
      <c r="E2483" s="2" t="s">
        <v>12</v>
      </c>
      <c r="F2483">
        <f t="shared" si="38"/>
        <v>701.98200000000008</v>
      </c>
      <c r="G2483" t="s">
        <v>16</v>
      </c>
      <c r="J2483" t="str">
        <f>"07/17/2008 23:45"</f>
        <v>07/17/2008 23:45</v>
      </c>
    </row>
    <row r="2484" spans="1:10" x14ac:dyDescent="0.3">
      <c r="A2484" t="s">
        <v>6</v>
      </c>
      <c r="B2484" t="str">
        <f>"07/18/2008 00:00"</f>
        <v>07/18/2008 00:00</v>
      </c>
      <c r="C2484">
        <v>354</v>
      </c>
      <c r="D2484" t="s">
        <v>7</v>
      </c>
      <c r="E2484" s="2" t="s">
        <v>12</v>
      </c>
      <c r="F2484">
        <f t="shared" si="38"/>
        <v>701.98200000000008</v>
      </c>
      <c r="G2484" t="s">
        <v>16</v>
      </c>
      <c r="J2484" t="str">
        <f>"07/18/2008 23:45"</f>
        <v>07/18/2008 23:45</v>
      </c>
    </row>
    <row r="2485" spans="1:10" x14ac:dyDescent="0.3">
      <c r="A2485" t="s">
        <v>6</v>
      </c>
      <c r="B2485" t="str">
        <f>"07/19/2008 00:00"</f>
        <v>07/19/2008 00:00</v>
      </c>
      <c r="C2485">
        <v>301</v>
      </c>
      <c r="D2485" t="s">
        <v>7</v>
      </c>
      <c r="E2485" s="2" t="s">
        <v>12</v>
      </c>
      <c r="F2485">
        <f t="shared" si="38"/>
        <v>596.88300000000004</v>
      </c>
      <c r="G2485" t="s">
        <v>16</v>
      </c>
      <c r="J2485" t="str">
        <f>"07/19/2008 23:45"</f>
        <v>07/19/2008 23:45</v>
      </c>
    </row>
    <row r="2486" spans="1:10" x14ac:dyDescent="0.3">
      <c r="A2486" t="s">
        <v>6</v>
      </c>
      <c r="B2486" t="str">
        <f>"07/20/2008 00:00"</f>
        <v>07/20/2008 00:00</v>
      </c>
      <c r="C2486">
        <v>252</v>
      </c>
      <c r="D2486" t="s">
        <v>7</v>
      </c>
      <c r="E2486" s="2" t="s">
        <v>12</v>
      </c>
      <c r="F2486">
        <f t="shared" si="38"/>
        <v>499.71600000000001</v>
      </c>
      <c r="G2486" t="s">
        <v>16</v>
      </c>
      <c r="J2486" t="str">
        <f>"07/20/2008 23:45"</f>
        <v>07/20/2008 23:45</v>
      </c>
    </row>
    <row r="2487" spans="1:10" x14ac:dyDescent="0.3">
      <c r="A2487" t="s">
        <v>6</v>
      </c>
      <c r="B2487" t="str">
        <f>"07/21/2008 00:00"</f>
        <v>07/21/2008 00:00</v>
      </c>
      <c r="C2487">
        <v>256</v>
      </c>
      <c r="D2487" t="s">
        <v>7</v>
      </c>
      <c r="E2487" s="2" t="s">
        <v>12</v>
      </c>
      <c r="F2487">
        <f t="shared" si="38"/>
        <v>507.64800000000002</v>
      </c>
      <c r="G2487" t="s">
        <v>16</v>
      </c>
      <c r="J2487" t="str">
        <f>"07/21/2008 23:45"</f>
        <v>07/21/2008 23:45</v>
      </c>
    </row>
    <row r="2488" spans="1:10" x14ac:dyDescent="0.3">
      <c r="A2488" t="s">
        <v>6</v>
      </c>
      <c r="B2488" t="str">
        <f>"07/22/2008 00:00"</f>
        <v>07/22/2008 00:00</v>
      </c>
      <c r="C2488">
        <v>293</v>
      </c>
      <c r="D2488" t="s">
        <v>7</v>
      </c>
      <c r="E2488" s="2" t="s">
        <v>12</v>
      </c>
      <c r="F2488">
        <f t="shared" si="38"/>
        <v>581.01900000000001</v>
      </c>
      <c r="G2488" t="s">
        <v>16</v>
      </c>
      <c r="J2488" t="str">
        <f>"07/22/2008 23:45"</f>
        <v>07/22/2008 23:45</v>
      </c>
    </row>
    <row r="2489" spans="1:10" x14ac:dyDescent="0.3">
      <c r="A2489" t="s">
        <v>6</v>
      </c>
      <c r="B2489" t="str">
        <f>"07/23/2008 00:00"</f>
        <v>07/23/2008 00:00</v>
      </c>
      <c r="C2489">
        <v>330</v>
      </c>
      <c r="D2489" t="s">
        <v>7</v>
      </c>
      <c r="E2489" s="2" t="s">
        <v>12</v>
      </c>
      <c r="F2489">
        <f t="shared" si="38"/>
        <v>654.39</v>
      </c>
      <c r="G2489" t="s">
        <v>16</v>
      </c>
      <c r="J2489" t="str">
        <f>"07/23/2008 23:45"</f>
        <v>07/23/2008 23:45</v>
      </c>
    </row>
    <row r="2490" spans="1:10" x14ac:dyDescent="0.3">
      <c r="A2490" t="s">
        <v>6</v>
      </c>
      <c r="B2490" t="str">
        <f>"07/24/2008 00:00"</f>
        <v>07/24/2008 00:00</v>
      </c>
      <c r="C2490">
        <v>441</v>
      </c>
      <c r="D2490" t="s">
        <v>7</v>
      </c>
      <c r="E2490" s="2" t="s">
        <v>12</v>
      </c>
      <c r="F2490">
        <f t="shared" si="38"/>
        <v>874.50300000000004</v>
      </c>
      <c r="G2490" t="s">
        <v>16</v>
      </c>
      <c r="J2490" t="str">
        <f>"07/24/2008 23:45"</f>
        <v>07/24/2008 23:45</v>
      </c>
    </row>
    <row r="2491" spans="1:10" x14ac:dyDescent="0.3">
      <c r="A2491" t="s">
        <v>6</v>
      </c>
      <c r="B2491" t="str">
        <f>"07/25/2008 00:00"</f>
        <v>07/25/2008 00:00</v>
      </c>
      <c r="C2491">
        <v>525</v>
      </c>
      <c r="D2491" t="s">
        <v>7</v>
      </c>
      <c r="E2491" s="2" t="s">
        <v>12</v>
      </c>
      <c r="F2491">
        <f t="shared" si="38"/>
        <v>1041.075</v>
      </c>
      <c r="G2491" t="s">
        <v>16</v>
      </c>
      <c r="J2491" t="str">
        <f>"07/25/2008 23:45"</f>
        <v>07/25/2008 23:45</v>
      </c>
    </row>
    <row r="2492" spans="1:10" x14ac:dyDescent="0.3">
      <c r="A2492" t="s">
        <v>6</v>
      </c>
      <c r="B2492" t="str">
        <f>"07/26/2008 00:00"</f>
        <v>07/26/2008 00:00</v>
      </c>
      <c r="C2492">
        <v>525</v>
      </c>
      <c r="D2492" t="s">
        <v>7</v>
      </c>
      <c r="E2492" s="2" t="s">
        <v>12</v>
      </c>
      <c r="F2492">
        <f t="shared" si="38"/>
        <v>1041.075</v>
      </c>
      <c r="G2492" t="s">
        <v>16</v>
      </c>
      <c r="J2492" t="str">
        <f>"07/26/2008 23:45"</f>
        <v>07/26/2008 23:45</v>
      </c>
    </row>
    <row r="2493" spans="1:10" x14ac:dyDescent="0.3">
      <c r="A2493" t="s">
        <v>6</v>
      </c>
      <c r="B2493" t="str">
        <f>"07/27/2008 00:00"</f>
        <v>07/27/2008 00:00</v>
      </c>
      <c r="C2493">
        <v>524</v>
      </c>
      <c r="D2493" t="s">
        <v>7</v>
      </c>
      <c r="E2493" s="2" t="s">
        <v>12</v>
      </c>
      <c r="F2493">
        <f t="shared" si="38"/>
        <v>1039.0920000000001</v>
      </c>
      <c r="G2493" t="s">
        <v>16</v>
      </c>
      <c r="J2493" t="str">
        <f>"07/27/2008 23:45"</f>
        <v>07/27/2008 23:45</v>
      </c>
    </row>
    <row r="2494" spans="1:10" x14ac:dyDescent="0.3">
      <c r="A2494" t="s">
        <v>6</v>
      </c>
      <c r="B2494" t="str">
        <f>"07/28/2008 00:00"</f>
        <v>07/28/2008 00:00</v>
      </c>
      <c r="C2494">
        <v>423</v>
      </c>
      <c r="D2494" t="s">
        <v>7</v>
      </c>
      <c r="E2494" s="2" t="s">
        <v>12</v>
      </c>
      <c r="F2494">
        <f t="shared" si="38"/>
        <v>838.80900000000008</v>
      </c>
      <c r="G2494" t="s">
        <v>16</v>
      </c>
      <c r="J2494" t="str">
        <f>"07/28/2008 23:45"</f>
        <v>07/28/2008 23:45</v>
      </c>
    </row>
    <row r="2495" spans="1:10" x14ac:dyDescent="0.3">
      <c r="A2495" t="s">
        <v>6</v>
      </c>
      <c r="B2495" t="str">
        <f>"07/29/2008 00:00"</f>
        <v>07/29/2008 00:00</v>
      </c>
      <c r="C2495">
        <v>323</v>
      </c>
      <c r="D2495" t="s">
        <v>7</v>
      </c>
      <c r="E2495" s="2" t="s">
        <v>12</v>
      </c>
      <c r="F2495">
        <f t="shared" si="38"/>
        <v>640.50900000000001</v>
      </c>
      <c r="G2495" t="s">
        <v>16</v>
      </c>
      <c r="J2495" t="str">
        <f>"07/29/2008 23:45"</f>
        <v>07/29/2008 23:45</v>
      </c>
    </row>
    <row r="2496" spans="1:10" x14ac:dyDescent="0.3">
      <c r="A2496" t="s">
        <v>6</v>
      </c>
      <c r="B2496" t="str">
        <f>"07/30/2008 00:00"</f>
        <v>07/30/2008 00:00</v>
      </c>
      <c r="C2496">
        <v>322</v>
      </c>
      <c r="D2496" t="s">
        <v>7</v>
      </c>
      <c r="E2496" s="2" t="s">
        <v>12</v>
      </c>
      <c r="F2496">
        <f t="shared" si="38"/>
        <v>638.52600000000007</v>
      </c>
      <c r="G2496" t="s">
        <v>16</v>
      </c>
      <c r="J2496" t="str">
        <f>"07/30/2008 23:45"</f>
        <v>07/30/2008 23:45</v>
      </c>
    </row>
    <row r="2497" spans="1:10" x14ac:dyDescent="0.3">
      <c r="A2497" t="s">
        <v>6</v>
      </c>
      <c r="B2497" t="str">
        <f>"07/31/2008 00:00"</f>
        <v>07/31/2008 00:00</v>
      </c>
      <c r="C2497">
        <v>267</v>
      </c>
      <c r="D2497" t="s">
        <v>7</v>
      </c>
      <c r="E2497" s="2" t="s">
        <v>12</v>
      </c>
      <c r="F2497">
        <f t="shared" si="38"/>
        <v>529.46100000000001</v>
      </c>
      <c r="G2497" t="s">
        <v>16</v>
      </c>
      <c r="J2497" t="str">
        <f>"07/31/2008 23:45"</f>
        <v>07/31/2008 23:45</v>
      </c>
    </row>
    <row r="2498" spans="1:10" x14ac:dyDescent="0.3">
      <c r="A2498" t="s">
        <v>6</v>
      </c>
      <c r="B2498" t="str">
        <f>"08/01/2008 00:00"</f>
        <v>08/01/2008 00:00</v>
      </c>
      <c r="C2498">
        <v>220</v>
      </c>
      <c r="D2498" t="s">
        <v>7</v>
      </c>
      <c r="E2498" s="2" t="s">
        <v>12</v>
      </c>
      <c r="F2498">
        <f t="shared" si="38"/>
        <v>436.26000000000005</v>
      </c>
      <c r="G2498" t="s">
        <v>16</v>
      </c>
      <c r="J2498" t="str">
        <f>"08/01/2008 23:45"</f>
        <v>08/01/2008 23:45</v>
      </c>
    </row>
    <row r="2499" spans="1:10" x14ac:dyDescent="0.3">
      <c r="A2499" t="s">
        <v>6</v>
      </c>
      <c r="B2499" t="str">
        <f>"08/02/2008 00:00"</f>
        <v>08/02/2008 00:00</v>
      </c>
      <c r="C2499">
        <v>219</v>
      </c>
      <c r="D2499" t="s">
        <v>7</v>
      </c>
      <c r="E2499" s="2" t="s">
        <v>12</v>
      </c>
      <c r="F2499">
        <f t="shared" si="38"/>
        <v>434.27700000000004</v>
      </c>
      <c r="G2499" t="s">
        <v>16</v>
      </c>
      <c r="J2499" t="str">
        <f>"08/02/2008 23:45"</f>
        <v>08/02/2008 23:45</v>
      </c>
    </row>
    <row r="2500" spans="1:10" x14ac:dyDescent="0.3">
      <c r="A2500" t="s">
        <v>6</v>
      </c>
      <c r="B2500" t="str">
        <f>"08/03/2008 00:00"</f>
        <v>08/03/2008 00:00</v>
      </c>
      <c r="C2500">
        <v>218</v>
      </c>
      <c r="D2500" t="s">
        <v>7</v>
      </c>
      <c r="E2500" s="2" t="s">
        <v>12</v>
      </c>
      <c r="F2500">
        <f t="shared" ref="F2500:F2563" si="39">C2500*1.983</f>
        <v>432.29400000000004</v>
      </c>
      <c r="G2500" t="s">
        <v>16</v>
      </c>
      <c r="J2500" t="str">
        <f>"08/03/2008 23:45"</f>
        <v>08/03/2008 23:45</v>
      </c>
    </row>
    <row r="2501" spans="1:10" x14ac:dyDescent="0.3">
      <c r="A2501" t="s">
        <v>6</v>
      </c>
      <c r="B2501" t="str">
        <f>"08/04/2008 00:00"</f>
        <v>08/04/2008 00:00</v>
      </c>
      <c r="C2501">
        <v>218</v>
      </c>
      <c r="D2501" t="s">
        <v>7</v>
      </c>
      <c r="E2501" s="2" t="s">
        <v>12</v>
      </c>
      <c r="F2501">
        <f t="shared" si="39"/>
        <v>432.29400000000004</v>
      </c>
      <c r="G2501" t="s">
        <v>16</v>
      </c>
      <c r="J2501" t="str">
        <f>"08/04/2008 23:45"</f>
        <v>08/04/2008 23:45</v>
      </c>
    </row>
    <row r="2502" spans="1:10" x14ac:dyDescent="0.3">
      <c r="A2502" t="s">
        <v>6</v>
      </c>
      <c r="B2502" t="str">
        <f>"08/05/2008 00:00"</f>
        <v>08/05/2008 00:00</v>
      </c>
      <c r="C2502">
        <v>218</v>
      </c>
      <c r="D2502" t="s">
        <v>7</v>
      </c>
      <c r="E2502" s="2" t="s">
        <v>12</v>
      </c>
      <c r="F2502">
        <f t="shared" si="39"/>
        <v>432.29400000000004</v>
      </c>
      <c r="G2502" t="s">
        <v>16</v>
      </c>
      <c r="J2502" t="str">
        <f>"08/05/2008 23:45"</f>
        <v>08/05/2008 23:45</v>
      </c>
    </row>
    <row r="2503" spans="1:10" x14ac:dyDescent="0.3">
      <c r="A2503" t="s">
        <v>6</v>
      </c>
      <c r="B2503" t="str">
        <f>"08/06/2008 00:00"</f>
        <v>08/06/2008 00:00</v>
      </c>
      <c r="C2503">
        <v>220</v>
      </c>
      <c r="D2503" t="s">
        <v>7</v>
      </c>
      <c r="E2503" s="2" t="s">
        <v>12</v>
      </c>
      <c r="F2503">
        <f t="shared" si="39"/>
        <v>436.26000000000005</v>
      </c>
      <c r="G2503" t="s">
        <v>16</v>
      </c>
      <c r="J2503" t="str">
        <f>"08/06/2008 23:45"</f>
        <v>08/06/2008 23:45</v>
      </c>
    </row>
    <row r="2504" spans="1:10" x14ac:dyDescent="0.3">
      <c r="A2504" t="s">
        <v>6</v>
      </c>
      <c r="B2504" t="str">
        <f>"08/07/2008 00:00"</f>
        <v>08/07/2008 00:00</v>
      </c>
      <c r="C2504">
        <v>221</v>
      </c>
      <c r="D2504" t="s">
        <v>7</v>
      </c>
      <c r="E2504" s="2" t="s">
        <v>12</v>
      </c>
      <c r="F2504">
        <f t="shared" si="39"/>
        <v>438.24299999999999</v>
      </c>
      <c r="G2504" t="s">
        <v>16</v>
      </c>
      <c r="J2504" t="str">
        <f>"08/07/2008 23:45"</f>
        <v>08/07/2008 23:45</v>
      </c>
    </row>
    <row r="2505" spans="1:10" x14ac:dyDescent="0.3">
      <c r="A2505" t="s">
        <v>6</v>
      </c>
      <c r="B2505" t="str">
        <f>"08/08/2008 00:00"</f>
        <v>08/08/2008 00:00</v>
      </c>
      <c r="C2505">
        <v>200</v>
      </c>
      <c r="D2505" t="s">
        <v>7</v>
      </c>
      <c r="E2505" s="2" t="s">
        <v>12</v>
      </c>
      <c r="F2505">
        <f t="shared" si="39"/>
        <v>396.6</v>
      </c>
      <c r="G2505" t="s">
        <v>16</v>
      </c>
      <c r="J2505" t="str">
        <f>"08/08/2008 23:45"</f>
        <v>08/08/2008 23:45</v>
      </c>
    </row>
    <row r="2506" spans="1:10" x14ac:dyDescent="0.3">
      <c r="A2506" t="s">
        <v>6</v>
      </c>
      <c r="B2506" t="str">
        <f>"08/09/2008 00:00"</f>
        <v>08/09/2008 00:00</v>
      </c>
      <c r="C2506">
        <v>168</v>
      </c>
      <c r="D2506" t="s">
        <v>7</v>
      </c>
      <c r="E2506" s="2" t="s">
        <v>12</v>
      </c>
      <c r="F2506">
        <f t="shared" si="39"/>
        <v>333.14400000000001</v>
      </c>
      <c r="G2506" t="s">
        <v>16</v>
      </c>
      <c r="J2506" t="str">
        <f>"08/09/2008 23:45"</f>
        <v>08/09/2008 23:45</v>
      </c>
    </row>
    <row r="2507" spans="1:10" x14ac:dyDescent="0.3">
      <c r="A2507" t="s">
        <v>6</v>
      </c>
      <c r="B2507" t="str">
        <f>"08/10/2008 00:00"</f>
        <v>08/10/2008 00:00</v>
      </c>
      <c r="C2507">
        <v>169</v>
      </c>
      <c r="D2507" t="s">
        <v>7</v>
      </c>
      <c r="E2507" s="2" t="s">
        <v>12</v>
      </c>
      <c r="F2507">
        <f t="shared" si="39"/>
        <v>335.12700000000001</v>
      </c>
      <c r="G2507" t="s">
        <v>16</v>
      </c>
      <c r="J2507" t="str">
        <f>"08/10/2008 23:45"</f>
        <v>08/10/2008 23:45</v>
      </c>
    </row>
    <row r="2508" spans="1:10" x14ac:dyDescent="0.3">
      <c r="A2508" t="s">
        <v>6</v>
      </c>
      <c r="B2508" t="str">
        <f>"08/11/2008 00:00"</f>
        <v>08/11/2008 00:00</v>
      </c>
      <c r="C2508">
        <v>170</v>
      </c>
      <c r="D2508" t="s">
        <v>7</v>
      </c>
      <c r="E2508" s="2" t="s">
        <v>12</v>
      </c>
      <c r="F2508">
        <f t="shared" si="39"/>
        <v>337.11</v>
      </c>
      <c r="G2508" t="s">
        <v>16</v>
      </c>
      <c r="J2508" t="str">
        <f>"08/11/2008 23:45"</f>
        <v>08/11/2008 23:45</v>
      </c>
    </row>
    <row r="2509" spans="1:10" x14ac:dyDescent="0.3">
      <c r="A2509" t="s">
        <v>6</v>
      </c>
      <c r="B2509" t="str">
        <f>"08/12/2008 00:00"</f>
        <v>08/12/2008 00:00</v>
      </c>
      <c r="C2509">
        <v>228</v>
      </c>
      <c r="D2509" t="s">
        <v>7</v>
      </c>
      <c r="E2509" s="2" t="s">
        <v>12</v>
      </c>
      <c r="F2509">
        <f t="shared" si="39"/>
        <v>452.12400000000002</v>
      </c>
      <c r="G2509" t="s">
        <v>16</v>
      </c>
      <c r="J2509" t="str">
        <f>"08/12/2008 23:45"</f>
        <v>08/12/2008 23:45</v>
      </c>
    </row>
    <row r="2510" spans="1:10" x14ac:dyDescent="0.3">
      <c r="A2510" t="s">
        <v>6</v>
      </c>
      <c r="B2510" t="str">
        <f>"08/13/2008 00:00"</f>
        <v>08/13/2008 00:00</v>
      </c>
      <c r="C2510">
        <v>276</v>
      </c>
      <c r="D2510" t="s">
        <v>7</v>
      </c>
      <c r="E2510" s="2" t="s">
        <v>12</v>
      </c>
      <c r="F2510">
        <f t="shared" si="39"/>
        <v>547.30799999999999</v>
      </c>
      <c r="G2510" t="s">
        <v>16</v>
      </c>
      <c r="J2510" t="str">
        <f>"08/13/2008 23:45"</f>
        <v>08/13/2008 23:45</v>
      </c>
    </row>
    <row r="2511" spans="1:10" x14ac:dyDescent="0.3">
      <c r="A2511" t="s">
        <v>6</v>
      </c>
      <c r="B2511" t="str">
        <f>"08/14/2008 00:00"</f>
        <v>08/14/2008 00:00</v>
      </c>
      <c r="C2511">
        <v>275</v>
      </c>
      <c r="D2511" t="s">
        <v>7</v>
      </c>
      <c r="E2511" s="2" t="s">
        <v>12</v>
      </c>
      <c r="F2511">
        <f t="shared" si="39"/>
        <v>545.32500000000005</v>
      </c>
      <c r="G2511" t="s">
        <v>16</v>
      </c>
      <c r="J2511" t="str">
        <f>"08/14/2008 23:45"</f>
        <v>08/14/2008 23:45</v>
      </c>
    </row>
    <row r="2512" spans="1:10" x14ac:dyDescent="0.3">
      <c r="A2512" t="s">
        <v>6</v>
      </c>
      <c r="B2512" t="str">
        <f>"08/15/2008 00:00"</f>
        <v>08/15/2008 00:00</v>
      </c>
      <c r="C2512">
        <v>275</v>
      </c>
      <c r="D2512" t="s">
        <v>7</v>
      </c>
      <c r="E2512" s="2" t="s">
        <v>12</v>
      </c>
      <c r="F2512">
        <f t="shared" si="39"/>
        <v>545.32500000000005</v>
      </c>
      <c r="G2512" t="s">
        <v>16</v>
      </c>
      <c r="J2512" t="str">
        <f>"08/15/2008 23:45"</f>
        <v>08/15/2008 23:45</v>
      </c>
    </row>
    <row r="2513" spans="1:10" x14ac:dyDescent="0.3">
      <c r="A2513" t="s">
        <v>6</v>
      </c>
      <c r="B2513" t="str">
        <f>"08/16/2008 00:00"</f>
        <v>08/16/2008 00:00</v>
      </c>
      <c r="C2513">
        <v>231</v>
      </c>
      <c r="D2513" t="s">
        <v>7</v>
      </c>
      <c r="E2513" s="2" t="s">
        <v>12</v>
      </c>
      <c r="F2513">
        <f t="shared" si="39"/>
        <v>458.07300000000004</v>
      </c>
      <c r="G2513" t="s">
        <v>16</v>
      </c>
      <c r="J2513" t="str">
        <f>"08/16/2008 23:45"</f>
        <v>08/16/2008 23:45</v>
      </c>
    </row>
    <row r="2514" spans="1:10" x14ac:dyDescent="0.3">
      <c r="A2514" t="s">
        <v>6</v>
      </c>
      <c r="B2514" t="str">
        <f>"08/17/2008 00:00"</f>
        <v>08/17/2008 00:00</v>
      </c>
      <c r="C2514">
        <v>121</v>
      </c>
      <c r="D2514" t="s">
        <v>7</v>
      </c>
      <c r="E2514" s="2" t="s">
        <v>12</v>
      </c>
      <c r="F2514">
        <f t="shared" si="39"/>
        <v>239.94300000000001</v>
      </c>
      <c r="G2514" t="s">
        <v>16</v>
      </c>
      <c r="J2514" t="str">
        <f>"08/17/2008 23:45"</f>
        <v>08/17/2008 23:45</v>
      </c>
    </row>
    <row r="2515" spans="1:10" x14ac:dyDescent="0.3">
      <c r="A2515" t="s">
        <v>6</v>
      </c>
      <c r="B2515" t="str">
        <f>"08/18/2008 00:00"</f>
        <v>08/18/2008 00:00</v>
      </c>
      <c r="C2515">
        <v>28.3</v>
      </c>
      <c r="D2515" t="s">
        <v>7</v>
      </c>
      <c r="E2515" s="2" t="s">
        <v>12</v>
      </c>
      <c r="F2515">
        <f t="shared" si="39"/>
        <v>56.118900000000004</v>
      </c>
      <c r="G2515" t="s">
        <v>16</v>
      </c>
      <c r="J2515" t="str">
        <f>"08/18/2008 23:45"</f>
        <v>08/18/2008 23:45</v>
      </c>
    </row>
    <row r="2516" spans="1:10" x14ac:dyDescent="0.3">
      <c r="A2516" t="s">
        <v>6</v>
      </c>
      <c r="B2516" t="str">
        <f>"08/19/2008 00:00"</f>
        <v>08/19/2008 00:00</v>
      </c>
      <c r="C2516">
        <v>3.28</v>
      </c>
      <c r="D2516" t="s">
        <v>7</v>
      </c>
      <c r="E2516" s="2" t="s">
        <v>12</v>
      </c>
      <c r="F2516">
        <f t="shared" si="39"/>
        <v>6.5042400000000002</v>
      </c>
      <c r="G2516" t="s">
        <v>16</v>
      </c>
      <c r="J2516" t="str">
        <f>"08/19/2008 23:45"</f>
        <v>08/19/2008 23:45</v>
      </c>
    </row>
    <row r="2517" spans="1:10" x14ac:dyDescent="0.3">
      <c r="A2517" t="s">
        <v>6</v>
      </c>
      <c r="B2517" t="str">
        <f>"08/20/2008 00:00"</f>
        <v>08/20/2008 00:00</v>
      </c>
      <c r="C2517">
        <v>3.28</v>
      </c>
      <c r="D2517" t="s">
        <v>7</v>
      </c>
      <c r="E2517" s="2" t="s">
        <v>12</v>
      </c>
      <c r="F2517">
        <f t="shared" si="39"/>
        <v>6.5042400000000002</v>
      </c>
      <c r="G2517" t="s">
        <v>16</v>
      </c>
      <c r="J2517" t="str">
        <f>"08/20/2008 23:45"</f>
        <v>08/20/2008 23:45</v>
      </c>
    </row>
    <row r="2518" spans="1:10" x14ac:dyDescent="0.3">
      <c r="A2518" t="s">
        <v>6</v>
      </c>
      <c r="B2518" t="str">
        <f>"08/21/2008 00:00"</f>
        <v>08/21/2008 00:00</v>
      </c>
      <c r="C2518">
        <v>3.28</v>
      </c>
      <c r="D2518" t="s">
        <v>7</v>
      </c>
      <c r="E2518" s="2" t="s">
        <v>12</v>
      </c>
      <c r="F2518">
        <f t="shared" si="39"/>
        <v>6.5042400000000002</v>
      </c>
      <c r="G2518" t="s">
        <v>16</v>
      </c>
      <c r="J2518" t="str">
        <f>"08/21/2008 23:45"</f>
        <v>08/21/2008 23:45</v>
      </c>
    </row>
    <row r="2519" spans="1:10" x14ac:dyDescent="0.3">
      <c r="A2519" t="s">
        <v>6</v>
      </c>
      <c r="B2519" t="str">
        <f>"08/22/2008 00:00"</f>
        <v>08/22/2008 00:00</v>
      </c>
      <c r="C2519">
        <v>3.28</v>
      </c>
      <c r="D2519" t="s">
        <v>7</v>
      </c>
      <c r="E2519" s="2" t="s">
        <v>12</v>
      </c>
      <c r="F2519">
        <f t="shared" si="39"/>
        <v>6.5042400000000002</v>
      </c>
      <c r="G2519" t="s">
        <v>16</v>
      </c>
      <c r="J2519" t="str">
        <f>"08/22/2008 23:45"</f>
        <v>08/22/2008 23:45</v>
      </c>
    </row>
    <row r="2520" spans="1:10" x14ac:dyDescent="0.3">
      <c r="A2520" t="s">
        <v>6</v>
      </c>
      <c r="B2520" t="str">
        <f>"08/23/2008 00:00"</f>
        <v>08/23/2008 00:00</v>
      </c>
      <c r="C2520">
        <v>3.28</v>
      </c>
      <c r="D2520" t="s">
        <v>7</v>
      </c>
      <c r="E2520" s="2" t="s">
        <v>12</v>
      </c>
      <c r="F2520">
        <f t="shared" si="39"/>
        <v>6.5042400000000002</v>
      </c>
      <c r="G2520" t="s">
        <v>16</v>
      </c>
      <c r="J2520" t="str">
        <f>"08/23/2008 23:45"</f>
        <v>08/23/2008 23:45</v>
      </c>
    </row>
    <row r="2521" spans="1:10" x14ac:dyDescent="0.3">
      <c r="A2521" t="s">
        <v>6</v>
      </c>
      <c r="B2521" t="str">
        <f>"08/24/2008 00:00"</f>
        <v>08/24/2008 00:00</v>
      </c>
      <c r="C2521">
        <v>3.16</v>
      </c>
      <c r="D2521" t="s">
        <v>7</v>
      </c>
      <c r="E2521" s="2" t="s">
        <v>12</v>
      </c>
      <c r="F2521">
        <f t="shared" si="39"/>
        <v>6.266280000000001</v>
      </c>
      <c r="G2521" t="s">
        <v>16</v>
      </c>
      <c r="J2521" t="str">
        <f>"08/24/2008 23:45"</f>
        <v>08/24/2008 23:45</v>
      </c>
    </row>
    <row r="2522" spans="1:10" x14ac:dyDescent="0.3">
      <c r="A2522" t="s">
        <v>6</v>
      </c>
      <c r="B2522" t="str">
        <f>"08/25/2008 00:00"</f>
        <v>08/25/2008 00:00</v>
      </c>
      <c r="C2522">
        <v>3.19</v>
      </c>
      <c r="D2522" t="s">
        <v>7</v>
      </c>
      <c r="E2522" s="2" t="s">
        <v>12</v>
      </c>
      <c r="F2522">
        <f t="shared" si="39"/>
        <v>6.3257700000000003</v>
      </c>
      <c r="G2522" t="s">
        <v>16</v>
      </c>
      <c r="J2522" t="str">
        <f>"08/25/2008 23:45"</f>
        <v>08/25/2008 23:45</v>
      </c>
    </row>
    <row r="2523" spans="1:10" x14ac:dyDescent="0.3">
      <c r="A2523" t="s">
        <v>6</v>
      </c>
      <c r="B2523" t="str">
        <f>"08/26/2008 00:00"</f>
        <v>08/26/2008 00:00</v>
      </c>
      <c r="C2523">
        <v>5.12</v>
      </c>
      <c r="D2523" t="s">
        <v>7</v>
      </c>
      <c r="E2523" s="2" t="s">
        <v>12</v>
      </c>
      <c r="F2523">
        <f t="shared" si="39"/>
        <v>10.15296</v>
      </c>
      <c r="G2523" t="s">
        <v>16</v>
      </c>
      <c r="J2523" t="str">
        <f>"08/26/2008 23:45"</f>
        <v>08/26/2008 23:45</v>
      </c>
    </row>
    <row r="2524" spans="1:10" x14ac:dyDescent="0.3">
      <c r="A2524" t="s">
        <v>6</v>
      </c>
      <c r="B2524" t="str">
        <f>"08/27/2008 00:00"</f>
        <v>08/27/2008 00:00</v>
      </c>
      <c r="C2524">
        <v>5.47</v>
      </c>
      <c r="D2524" t="s">
        <v>7</v>
      </c>
      <c r="E2524" s="2" t="s">
        <v>12</v>
      </c>
      <c r="F2524">
        <f t="shared" si="39"/>
        <v>10.847009999999999</v>
      </c>
      <c r="G2524" t="s">
        <v>16</v>
      </c>
      <c r="J2524" t="str">
        <f>"08/27/2008 23:45"</f>
        <v>08/27/2008 23:45</v>
      </c>
    </row>
    <row r="2525" spans="1:10" x14ac:dyDescent="0.3">
      <c r="A2525" t="s">
        <v>6</v>
      </c>
      <c r="B2525" t="str">
        <f>"08/28/2008 00:00"</f>
        <v>08/28/2008 00:00</v>
      </c>
      <c r="C2525">
        <v>3.28</v>
      </c>
      <c r="D2525" t="s">
        <v>7</v>
      </c>
      <c r="E2525" s="2" t="s">
        <v>12</v>
      </c>
      <c r="F2525">
        <f t="shared" si="39"/>
        <v>6.5042400000000002</v>
      </c>
      <c r="G2525" t="s">
        <v>16</v>
      </c>
      <c r="J2525" t="str">
        <f>"08/28/2008 23:45"</f>
        <v>08/28/2008 23:45</v>
      </c>
    </row>
    <row r="2526" spans="1:10" x14ac:dyDescent="0.3">
      <c r="A2526" t="s">
        <v>6</v>
      </c>
      <c r="B2526" t="str">
        <f>"08/29/2008 00:00"</f>
        <v>08/29/2008 00:00</v>
      </c>
      <c r="C2526">
        <v>3.16</v>
      </c>
      <c r="D2526" t="s">
        <v>7</v>
      </c>
      <c r="E2526" s="2" t="s">
        <v>12</v>
      </c>
      <c r="F2526">
        <f t="shared" si="39"/>
        <v>6.266280000000001</v>
      </c>
      <c r="G2526" t="s">
        <v>16</v>
      </c>
      <c r="J2526" t="str">
        <f>"08/29/2008 23:45"</f>
        <v>08/29/2008 23:45</v>
      </c>
    </row>
    <row r="2527" spans="1:10" x14ac:dyDescent="0.3">
      <c r="A2527" t="s">
        <v>6</v>
      </c>
      <c r="B2527" t="str">
        <f>"08/30/2008 00:00"</f>
        <v>08/30/2008 00:00</v>
      </c>
      <c r="C2527">
        <v>2.91</v>
      </c>
      <c r="D2527" t="s">
        <v>7</v>
      </c>
      <c r="E2527" s="2" t="s">
        <v>12</v>
      </c>
      <c r="F2527">
        <f t="shared" si="39"/>
        <v>5.7705300000000008</v>
      </c>
      <c r="G2527" t="s">
        <v>16</v>
      </c>
      <c r="J2527" t="str">
        <f>"08/30/2008 23:45"</f>
        <v>08/30/2008 23:45</v>
      </c>
    </row>
    <row r="2528" spans="1:10" x14ac:dyDescent="0.3">
      <c r="A2528" t="s">
        <v>6</v>
      </c>
      <c r="B2528" t="str">
        <f>"08/31/2008 00:00"</f>
        <v>08/31/2008 00:00</v>
      </c>
      <c r="C2528">
        <v>2.91</v>
      </c>
      <c r="D2528" t="s">
        <v>7</v>
      </c>
      <c r="E2528" s="2" t="s">
        <v>12</v>
      </c>
      <c r="F2528">
        <f t="shared" si="39"/>
        <v>5.7705300000000008</v>
      </c>
      <c r="G2528" t="s">
        <v>16</v>
      </c>
      <c r="J2528" t="str">
        <f>"08/31/2008 23:45"</f>
        <v>08/31/2008 23:45</v>
      </c>
    </row>
    <row r="2529" spans="1:10" x14ac:dyDescent="0.3">
      <c r="A2529" t="s">
        <v>6</v>
      </c>
      <c r="B2529" t="str">
        <f>"09/01/2008 00:00"</f>
        <v>09/01/2008 00:00</v>
      </c>
      <c r="C2529">
        <v>2.91</v>
      </c>
      <c r="D2529" t="s">
        <v>7</v>
      </c>
      <c r="E2529" s="2" t="s">
        <v>12</v>
      </c>
      <c r="F2529">
        <f t="shared" si="39"/>
        <v>5.7705300000000008</v>
      </c>
      <c r="G2529" t="s">
        <v>16</v>
      </c>
      <c r="J2529" t="str">
        <f>"09/01/2008 23:45"</f>
        <v>09/01/2008 23:45</v>
      </c>
    </row>
    <row r="2530" spans="1:10" x14ac:dyDescent="0.3">
      <c r="A2530" t="s">
        <v>6</v>
      </c>
      <c r="B2530" t="str">
        <f>"09/02/2008 00:00"</f>
        <v>09/02/2008 00:00</v>
      </c>
      <c r="C2530">
        <v>2.91</v>
      </c>
      <c r="D2530" t="s">
        <v>7</v>
      </c>
      <c r="E2530" s="2" t="s">
        <v>12</v>
      </c>
      <c r="F2530">
        <f t="shared" si="39"/>
        <v>5.7705300000000008</v>
      </c>
      <c r="G2530" t="s">
        <v>16</v>
      </c>
      <c r="J2530" t="str">
        <f>"09/02/2008 23:45"</f>
        <v>09/02/2008 23:45</v>
      </c>
    </row>
    <row r="2531" spans="1:10" x14ac:dyDescent="0.3">
      <c r="A2531" t="s">
        <v>6</v>
      </c>
      <c r="B2531" t="str">
        <f>"09/03/2008 00:00"</f>
        <v>09/03/2008 00:00</v>
      </c>
      <c r="C2531">
        <v>26.3</v>
      </c>
      <c r="D2531" t="s">
        <v>7</v>
      </c>
      <c r="E2531" s="2" t="s">
        <v>12</v>
      </c>
      <c r="F2531">
        <f t="shared" si="39"/>
        <v>52.152900000000002</v>
      </c>
      <c r="G2531" t="s">
        <v>16</v>
      </c>
      <c r="J2531" t="str">
        <f>"09/03/2008 23:45"</f>
        <v>09/03/2008 23:45</v>
      </c>
    </row>
    <row r="2532" spans="1:10" x14ac:dyDescent="0.3">
      <c r="A2532" t="s">
        <v>6</v>
      </c>
      <c r="B2532" t="str">
        <f>"09/04/2008 00:00"</f>
        <v>09/04/2008 00:00</v>
      </c>
      <c r="C2532">
        <v>42.2</v>
      </c>
      <c r="D2532" t="s">
        <v>7</v>
      </c>
      <c r="E2532" s="2" t="s">
        <v>12</v>
      </c>
      <c r="F2532">
        <f t="shared" si="39"/>
        <v>83.682600000000008</v>
      </c>
      <c r="G2532" t="s">
        <v>16</v>
      </c>
      <c r="J2532" t="str">
        <f>"09/04/2008 23:45"</f>
        <v>09/04/2008 23:45</v>
      </c>
    </row>
    <row r="2533" spans="1:10" x14ac:dyDescent="0.3">
      <c r="A2533" t="s">
        <v>6</v>
      </c>
      <c r="B2533" t="str">
        <f>"09/05/2008 00:00"</f>
        <v>09/05/2008 00:00</v>
      </c>
      <c r="C2533">
        <v>35.4</v>
      </c>
      <c r="D2533" t="s">
        <v>7</v>
      </c>
      <c r="E2533" s="2" t="s">
        <v>12</v>
      </c>
      <c r="F2533">
        <f t="shared" si="39"/>
        <v>70.1982</v>
      </c>
      <c r="G2533" t="s">
        <v>16</v>
      </c>
      <c r="J2533" t="str">
        <f>"09/05/2008 23:45"</f>
        <v>09/05/2008 23:45</v>
      </c>
    </row>
    <row r="2534" spans="1:10" x14ac:dyDescent="0.3">
      <c r="A2534" t="s">
        <v>6</v>
      </c>
      <c r="B2534" t="str">
        <f>"09/06/2008 00:00"</f>
        <v>09/06/2008 00:00</v>
      </c>
      <c r="C2534">
        <v>15.3</v>
      </c>
      <c r="D2534" t="s">
        <v>7</v>
      </c>
      <c r="E2534" s="2" t="s">
        <v>12</v>
      </c>
      <c r="F2534">
        <f t="shared" si="39"/>
        <v>30.339900000000004</v>
      </c>
      <c r="G2534" t="s">
        <v>16</v>
      </c>
      <c r="J2534" t="str">
        <f>"09/06/2008 23:45"</f>
        <v>09/06/2008 23:45</v>
      </c>
    </row>
    <row r="2535" spans="1:10" x14ac:dyDescent="0.3">
      <c r="A2535" t="s">
        <v>6</v>
      </c>
      <c r="B2535" t="str">
        <f>"09/07/2008 00:00"</f>
        <v>09/07/2008 00:00</v>
      </c>
      <c r="C2535">
        <v>8.68</v>
      </c>
      <c r="D2535" t="s">
        <v>7</v>
      </c>
      <c r="E2535" s="2" t="s">
        <v>12</v>
      </c>
      <c r="F2535">
        <f t="shared" si="39"/>
        <v>17.212440000000001</v>
      </c>
      <c r="G2535" t="s">
        <v>16</v>
      </c>
      <c r="J2535" t="str">
        <f>"09/07/2008 23:45"</f>
        <v>09/07/2008 23:45</v>
      </c>
    </row>
    <row r="2536" spans="1:10" x14ac:dyDescent="0.3">
      <c r="A2536" t="s">
        <v>6</v>
      </c>
      <c r="B2536" t="str">
        <f>"09/08/2008 00:00"</f>
        <v>09/08/2008 00:00</v>
      </c>
      <c r="C2536">
        <v>14.3</v>
      </c>
      <c r="D2536" t="s">
        <v>7</v>
      </c>
      <c r="E2536" s="2" t="s">
        <v>12</v>
      </c>
      <c r="F2536">
        <f t="shared" si="39"/>
        <v>28.356900000000003</v>
      </c>
      <c r="G2536" t="s">
        <v>16</v>
      </c>
      <c r="J2536" t="str">
        <f>"09/08/2008 23:45"</f>
        <v>09/08/2008 23:45</v>
      </c>
    </row>
    <row r="2537" spans="1:10" x14ac:dyDescent="0.3">
      <c r="A2537" t="s">
        <v>6</v>
      </c>
      <c r="B2537" t="str">
        <f>"09/09/2008 00:00"</f>
        <v>09/09/2008 00:00</v>
      </c>
      <c r="C2537">
        <v>19</v>
      </c>
      <c r="D2537" t="s">
        <v>7</v>
      </c>
      <c r="E2537" s="2" t="s">
        <v>12</v>
      </c>
      <c r="F2537">
        <f t="shared" si="39"/>
        <v>37.677</v>
      </c>
      <c r="G2537" t="s">
        <v>16</v>
      </c>
      <c r="J2537" t="str">
        <f>"09/09/2008 23:45"</f>
        <v>09/09/2008 23:45</v>
      </c>
    </row>
    <row r="2538" spans="1:10" x14ac:dyDescent="0.3">
      <c r="A2538" t="s">
        <v>6</v>
      </c>
      <c r="B2538" t="str">
        <f>"09/10/2008 00:00"</f>
        <v>09/10/2008 00:00</v>
      </c>
      <c r="C2538">
        <v>19</v>
      </c>
      <c r="D2538" t="s">
        <v>7</v>
      </c>
      <c r="E2538" s="2" t="s">
        <v>12</v>
      </c>
      <c r="F2538">
        <f t="shared" si="39"/>
        <v>37.677</v>
      </c>
      <c r="G2538" t="s">
        <v>16</v>
      </c>
      <c r="J2538" t="str">
        <f>"09/10/2008 23:45"</f>
        <v>09/10/2008 23:45</v>
      </c>
    </row>
    <row r="2539" spans="1:10" x14ac:dyDescent="0.3">
      <c r="A2539" t="s">
        <v>6</v>
      </c>
      <c r="B2539" t="str">
        <f>"09/11/2008 00:00"</f>
        <v>09/11/2008 00:00</v>
      </c>
      <c r="C2539">
        <v>18.8</v>
      </c>
      <c r="D2539" t="s">
        <v>7</v>
      </c>
      <c r="E2539" s="2" t="s">
        <v>12</v>
      </c>
      <c r="F2539">
        <f t="shared" si="39"/>
        <v>37.2804</v>
      </c>
      <c r="G2539" t="s">
        <v>16</v>
      </c>
      <c r="J2539" t="str">
        <f>"09/11/2008 23:45"</f>
        <v>09/11/2008 23:45</v>
      </c>
    </row>
    <row r="2540" spans="1:10" x14ac:dyDescent="0.3">
      <c r="A2540" t="s">
        <v>6</v>
      </c>
      <c r="B2540" t="str">
        <f>"09/12/2008 00:00"</f>
        <v>09/12/2008 00:00</v>
      </c>
      <c r="C2540">
        <v>18.3</v>
      </c>
      <c r="D2540" t="s">
        <v>7</v>
      </c>
      <c r="E2540" s="2" t="s">
        <v>12</v>
      </c>
      <c r="F2540">
        <f t="shared" si="39"/>
        <v>36.288900000000005</v>
      </c>
      <c r="G2540" t="s">
        <v>16</v>
      </c>
      <c r="J2540" t="str">
        <f>"09/12/2008 23:45"</f>
        <v>09/12/2008 23:45</v>
      </c>
    </row>
    <row r="2541" spans="1:10" x14ac:dyDescent="0.3">
      <c r="A2541" t="s">
        <v>6</v>
      </c>
      <c r="B2541" t="str">
        <f>"09/13/2008 00:00"</f>
        <v>09/13/2008 00:00</v>
      </c>
      <c r="C2541">
        <v>18.3</v>
      </c>
      <c r="D2541" t="s">
        <v>7</v>
      </c>
      <c r="E2541" s="2" t="s">
        <v>12</v>
      </c>
      <c r="F2541">
        <f t="shared" si="39"/>
        <v>36.288900000000005</v>
      </c>
      <c r="G2541" t="s">
        <v>16</v>
      </c>
      <c r="J2541" t="str">
        <f>"09/13/2008 23:45"</f>
        <v>09/13/2008 23:45</v>
      </c>
    </row>
    <row r="2542" spans="1:10" x14ac:dyDescent="0.3">
      <c r="A2542" t="s">
        <v>6</v>
      </c>
      <c r="B2542" t="str">
        <f>"09/14/2008 00:00"</f>
        <v>09/14/2008 00:00</v>
      </c>
      <c r="C2542">
        <v>16</v>
      </c>
      <c r="D2542" t="s">
        <v>7</v>
      </c>
      <c r="E2542" s="2" t="s">
        <v>12</v>
      </c>
      <c r="F2542">
        <f t="shared" si="39"/>
        <v>31.728000000000002</v>
      </c>
      <c r="G2542" t="s">
        <v>16</v>
      </c>
      <c r="J2542" t="str">
        <f>"09/14/2008 23:45"</f>
        <v>09/14/2008 23:45</v>
      </c>
    </row>
    <row r="2543" spans="1:10" x14ac:dyDescent="0.3">
      <c r="A2543" t="s">
        <v>6</v>
      </c>
      <c r="B2543" t="str">
        <f>"09/15/2008 00:00"</f>
        <v>09/15/2008 00:00</v>
      </c>
      <c r="C2543">
        <v>13.8</v>
      </c>
      <c r="D2543" t="s">
        <v>7</v>
      </c>
      <c r="E2543" s="2" t="s">
        <v>12</v>
      </c>
      <c r="F2543">
        <f t="shared" si="39"/>
        <v>27.365400000000001</v>
      </c>
      <c r="G2543" t="s">
        <v>16</v>
      </c>
      <c r="J2543" t="str">
        <f>"09/15/2008 23:45"</f>
        <v>09/15/2008 23:45</v>
      </c>
    </row>
    <row r="2544" spans="1:10" x14ac:dyDescent="0.3">
      <c r="A2544" t="s">
        <v>6</v>
      </c>
      <c r="B2544" t="str">
        <f>"09/16/2008 00:00"</f>
        <v>09/16/2008 00:00</v>
      </c>
      <c r="C2544">
        <v>9.76</v>
      </c>
      <c r="D2544" t="s">
        <v>7</v>
      </c>
      <c r="E2544" s="2" t="s">
        <v>12</v>
      </c>
      <c r="F2544">
        <f t="shared" si="39"/>
        <v>19.35408</v>
      </c>
      <c r="G2544" t="s">
        <v>16</v>
      </c>
      <c r="J2544" t="str">
        <f>"09/16/2008 23:45"</f>
        <v>09/16/2008 23:45</v>
      </c>
    </row>
    <row r="2545" spans="1:10" x14ac:dyDescent="0.3">
      <c r="A2545" t="s">
        <v>6</v>
      </c>
      <c r="B2545" t="str">
        <f>"09/17/2008 00:00"</f>
        <v>09/17/2008 00:00</v>
      </c>
      <c r="C2545">
        <v>3.28</v>
      </c>
      <c r="D2545" t="s">
        <v>7</v>
      </c>
      <c r="E2545" s="2" t="s">
        <v>12</v>
      </c>
      <c r="F2545">
        <f t="shared" si="39"/>
        <v>6.5042400000000002</v>
      </c>
      <c r="G2545" t="s">
        <v>16</v>
      </c>
      <c r="J2545" t="str">
        <f>"09/17/2008 23:45"</f>
        <v>09/17/2008 23:45</v>
      </c>
    </row>
    <row r="2546" spans="1:10" x14ac:dyDescent="0.3">
      <c r="A2546" t="s">
        <v>6</v>
      </c>
      <c r="B2546" t="str">
        <f>"09/18/2008 00:00"</f>
        <v>09/18/2008 00:00</v>
      </c>
      <c r="C2546">
        <v>3.24</v>
      </c>
      <c r="D2546" t="s">
        <v>7</v>
      </c>
      <c r="E2546" s="2" t="s">
        <v>12</v>
      </c>
      <c r="F2546">
        <f t="shared" si="39"/>
        <v>6.4249200000000011</v>
      </c>
      <c r="G2546" t="s">
        <v>16</v>
      </c>
      <c r="J2546" t="str">
        <f>"09/18/2008 23:45"</f>
        <v>09/18/2008 23:45</v>
      </c>
    </row>
    <row r="2547" spans="1:10" x14ac:dyDescent="0.3">
      <c r="A2547" t="s">
        <v>6</v>
      </c>
      <c r="B2547" t="str">
        <f>"09/19/2008 00:00"</f>
        <v>09/19/2008 00:00</v>
      </c>
      <c r="C2547">
        <v>2.91</v>
      </c>
      <c r="D2547" t="s">
        <v>7</v>
      </c>
      <c r="E2547" s="2" t="s">
        <v>12</v>
      </c>
      <c r="F2547">
        <f t="shared" si="39"/>
        <v>5.7705300000000008</v>
      </c>
      <c r="G2547" t="s">
        <v>16</v>
      </c>
      <c r="J2547" t="str">
        <f>"09/19/2008 23:45"</f>
        <v>09/19/2008 23:45</v>
      </c>
    </row>
    <row r="2548" spans="1:10" x14ac:dyDescent="0.3">
      <c r="A2548" t="s">
        <v>6</v>
      </c>
      <c r="B2548" t="str">
        <f>"09/20/2008 00:00"</f>
        <v>09/20/2008 00:00</v>
      </c>
      <c r="C2548">
        <v>2.91</v>
      </c>
      <c r="D2548" t="s">
        <v>7</v>
      </c>
      <c r="E2548" s="2" t="s">
        <v>12</v>
      </c>
      <c r="F2548">
        <f t="shared" si="39"/>
        <v>5.7705300000000008</v>
      </c>
      <c r="G2548" t="s">
        <v>16</v>
      </c>
      <c r="J2548" t="str">
        <f>"09/20/2008 23:45"</f>
        <v>09/20/2008 23:45</v>
      </c>
    </row>
    <row r="2549" spans="1:10" x14ac:dyDescent="0.3">
      <c r="A2549" t="s">
        <v>6</v>
      </c>
      <c r="B2549" t="str">
        <f>"09/21/2008 00:00"</f>
        <v>09/21/2008 00:00</v>
      </c>
      <c r="C2549">
        <v>2.91</v>
      </c>
      <c r="D2549" t="s">
        <v>7</v>
      </c>
      <c r="E2549" s="2" t="s">
        <v>12</v>
      </c>
      <c r="F2549">
        <f t="shared" si="39"/>
        <v>5.7705300000000008</v>
      </c>
      <c r="G2549" t="s">
        <v>16</v>
      </c>
      <c r="J2549" t="str">
        <f>"09/21/2008 23:45"</f>
        <v>09/21/2008 23:45</v>
      </c>
    </row>
    <row r="2550" spans="1:10" x14ac:dyDescent="0.3">
      <c r="A2550" t="s">
        <v>6</v>
      </c>
      <c r="B2550" t="str">
        <f>"09/22/2008 00:00"</f>
        <v>09/22/2008 00:00</v>
      </c>
      <c r="C2550">
        <v>2.91</v>
      </c>
      <c r="D2550" t="s">
        <v>7</v>
      </c>
      <c r="E2550" s="2" t="s">
        <v>12</v>
      </c>
      <c r="F2550">
        <f t="shared" si="39"/>
        <v>5.7705300000000008</v>
      </c>
      <c r="G2550" t="s">
        <v>16</v>
      </c>
      <c r="J2550" t="str">
        <f>"09/22/2008 23:45"</f>
        <v>09/22/2008 23:45</v>
      </c>
    </row>
    <row r="2551" spans="1:10" x14ac:dyDescent="0.3">
      <c r="A2551" t="s">
        <v>6</v>
      </c>
      <c r="B2551" t="str">
        <f>"09/23/2008 00:00"</f>
        <v>09/23/2008 00:00</v>
      </c>
      <c r="C2551">
        <v>3.13</v>
      </c>
      <c r="D2551" t="s">
        <v>7</v>
      </c>
      <c r="E2551" s="2" t="s">
        <v>12</v>
      </c>
      <c r="F2551">
        <f t="shared" si="39"/>
        <v>6.2067899999999998</v>
      </c>
      <c r="G2551" t="s">
        <v>16</v>
      </c>
      <c r="J2551" t="str">
        <f>"09/23/2008 23:45"</f>
        <v>09/23/2008 23:45</v>
      </c>
    </row>
    <row r="2552" spans="1:10" x14ac:dyDescent="0.3">
      <c r="A2552" t="s">
        <v>6</v>
      </c>
      <c r="B2552" t="str">
        <f>"09/24/2008 00:00"</f>
        <v>09/24/2008 00:00</v>
      </c>
      <c r="C2552">
        <v>3.28</v>
      </c>
      <c r="D2552" t="s">
        <v>7</v>
      </c>
      <c r="E2552" s="2" t="s">
        <v>12</v>
      </c>
      <c r="F2552">
        <f t="shared" si="39"/>
        <v>6.5042400000000002</v>
      </c>
      <c r="G2552" t="s">
        <v>16</v>
      </c>
      <c r="J2552" t="str">
        <f>"09/24/2008 23:45"</f>
        <v>09/24/2008 23:45</v>
      </c>
    </row>
    <row r="2553" spans="1:10" x14ac:dyDescent="0.3">
      <c r="A2553" t="s">
        <v>6</v>
      </c>
      <c r="B2553" t="str">
        <f>"09/25/2008 00:00"</f>
        <v>09/25/2008 00:00</v>
      </c>
      <c r="C2553">
        <v>3.28</v>
      </c>
      <c r="D2553" t="s">
        <v>7</v>
      </c>
      <c r="E2553" s="2" t="s">
        <v>12</v>
      </c>
      <c r="F2553">
        <f t="shared" si="39"/>
        <v>6.5042400000000002</v>
      </c>
      <c r="G2553" t="s">
        <v>16</v>
      </c>
      <c r="J2553" t="str">
        <f>"09/25/2008 23:45"</f>
        <v>09/25/2008 23:45</v>
      </c>
    </row>
    <row r="2554" spans="1:10" x14ac:dyDescent="0.3">
      <c r="A2554" t="s">
        <v>6</v>
      </c>
      <c r="B2554" t="str">
        <f>"09/26/2008 00:00"</f>
        <v>09/26/2008 00:00</v>
      </c>
      <c r="C2554">
        <v>3.28</v>
      </c>
      <c r="D2554" t="s">
        <v>7</v>
      </c>
      <c r="E2554" s="2" t="s">
        <v>12</v>
      </c>
      <c r="F2554">
        <f t="shared" si="39"/>
        <v>6.5042400000000002</v>
      </c>
      <c r="G2554" t="s">
        <v>16</v>
      </c>
      <c r="J2554" t="str">
        <f>"09/26/2008 23:45"</f>
        <v>09/26/2008 23:45</v>
      </c>
    </row>
    <row r="2555" spans="1:10" x14ac:dyDescent="0.3">
      <c r="A2555" t="s">
        <v>6</v>
      </c>
      <c r="B2555" t="str">
        <f>"09/27/2008 00:00"</f>
        <v>09/27/2008 00:00</v>
      </c>
      <c r="C2555">
        <v>3.28</v>
      </c>
      <c r="D2555" t="s">
        <v>7</v>
      </c>
      <c r="E2555" s="2" t="s">
        <v>12</v>
      </c>
      <c r="F2555">
        <f t="shared" si="39"/>
        <v>6.5042400000000002</v>
      </c>
      <c r="G2555" t="s">
        <v>16</v>
      </c>
      <c r="J2555" t="str">
        <f>"09/27/2008 23:45"</f>
        <v>09/27/2008 23:45</v>
      </c>
    </row>
    <row r="2556" spans="1:10" x14ac:dyDescent="0.3">
      <c r="A2556" t="s">
        <v>6</v>
      </c>
      <c r="B2556" t="str">
        <f>"09/28/2008 00:00"</f>
        <v>09/28/2008 00:00</v>
      </c>
      <c r="C2556">
        <v>3.28</v>
      </c>
      <c r="D2556" t="s">
        <v>7</v>
      </c>
      <c r="E2556" s="2" t="s">
        <v>12</v>
      </c>
      <c r="F2556">
        <f t="shared" si="39"/>
        <v>6.5042400000000002</v>
      </c>
      <c r="G2556" t="s">
        <v>16</v>
      </c>
      <c r="J2556" t="str">
        <f>"09/28/2008 23:45"</f>
        <v>09/28/2008 23:45</v>
      </c>
    </row>
    <row r="2557" spans="1:10" x14ac:dyDescent="0.3">
      <c r="A2557" t="s">
        <v>6</v>
      </c>
      <c r="B2557" t="str">
        <f>"09/29/2008 00:00"</f>
        <v>09/29/2008 00:00</v>
      </c>
      <c r="C2557">
        <v>83</v>
      </c>
      <c r="D2557" t="s">
        <v>7</v>
      </c>
      <c r="E2557" s="2" t="s">
        <v>12</v>
      </c>
      <c r="F2557">
        <f t="shared" si="39"/>
        <v>164.589</v>
      </c>
      <c r="G2557" t="s">
        <v>16</v>
      </c>
      <c r="J2557" t="str">
        <f>"09/29/2008 23:45"</f>
        <v>09/29/2008 23:45</v>
      </c>
    </row>
    <row r="2558" spans="1:10" x14ac:dyDescent="0.3">
      <c r="A2558" t="s">
        <v>6</v>
      </c>
      <c r="B2558" t="str">
        <f>"09/30/2008 00:00"</f>
        <v>09/30/2008 00:00</v>
      </c>
      <c r="C2558">
        <v>145</v>
      </c>
      <c r="D2558" t="s">
        <v>7</v>
      </c>
      <c r="E2558" s="2" t="s">
        <v>12</v>
      </c>
      <c r="F2558">
        <f t="shared" si="39"/>
        <v>287.53500000000003</v>
      </c>
      <c r="G2558" t="s">
        <v>16</v>
      </c>
      <c r="J2558" t="str">
        <f>"09/30/2008 23:45"</f>
        <v>09/30/2008 23:45</v>
      </c>
    </row>
    <row r="2559" spans="1:10" x14ac:dyDescent="0.3">
      <c r="A2559" t="s">
        <v>6</v>
      </c>
      <c r="B2559" t="str">
        <f>"10/01/2008 00:00"</f>
        <v>10/01/2008 00:00</v>
      </c>
      <c r="C2559">
        <v>148</v>
      </c>
      <c r="D2559" t="s">
        <v>7</v>
      </c>
      <c r="E2559" s="2" t="s">
        <v>12</v>
      </c>
      <c r="F2559">
        <f t="shared" si="39"/>
        <v>293.48400000000004</v>
      </c>
      <c r="G2559" t="s">
        <v>16</v>
      </c>
      <c r="J2559" t="str">
        <f>"10/01/2008 23:45"</f>
        <v>10/01/2008 23:45</v>
      </c>
    </row>
    <row r="2560" spans="1:10" x14ac:dyDescent="0.3">
      <c r="A2560" t="s">
        <v>6</v>
      </c>
      <c r="B2560" t="str">
        <f>"10/02/2008 00:00"</f>
        <v>10/02/2008 00:00</v>
      </c>
      <c r="C2560">
        <v>150</v>
      </c>
      <c r="D2560" t="s">
        <v>7</v>
      </c>
      <c r="E2560" s="2" t="s">
        <v>12</v>
      </c>
      <c r="F2560">
        <f t="shared" si="39"/>
        <v>297.45</v>
      </c>
      <c r="G2560" t="s">
        <v>16</v>
      </c>
      <c r="J2560" t="str">
        <f>"10/02/2008 23:45"</f>
        <v>10/02/2008 23:45</v>
      </c>
    </row>
    <row r="2561" spans="1:10" x14ac:dyDescent="0.3">
      <c r="A2561" t="s">
        <v>6</v>
      </c>
      <c r="B2561" t="str">
        <f>"10/03/2008 00:00"</f>
        <v>10/03/2008 00:00</v>
      </c>
      <c r="C2561">
        <v>150</v>
      </c>
      <c r="D2561" t="s">
        <v>7</v>
      </c>
      <c r="E2561" s="2" t="s">
        <v>12</v>
      </c>
      <c r="F2561">
        <f t="shared" si="39"/>
        <v>297.45</v>
      </c>
      <c r="G2561" t="s">
        <v>16</v>
      </c>
      <c r="J2561" t="str">
        <f>"10/03/2008 23:45"</f>
        <v>10/03/2008 23:45</v>
      </c>
    </row>
    <row r="2562" spans="1:10" x14ac:dyDescent="0.3">
      <c r="A2562" t="s">
        <v>6</v>
      </c>
      <c r="B2562" t="str">
        <f>"10/04/2008 00:00"</f>
        <v>10/04/2008 00:00</v>
      </c>
      <c r="C2562">
        <v>151</v>
      </c>
      <c r="D2562" t="s">
        <v>7</v>
      </c>
      <c r="E2562" s="2" t="s">
        <v>12</v>
      </c>
      <c r="F2562">
        <f t="shared" si="39"/>
        <v>299.43299999999999</v>
      </c>
      <c r="G2562" t="s">
        <v>16</v>
      </c>
      <c r="J2562" t="str">
        <f>"10/04/2008 23:45"</f>
        <v>10/04/2008 23:45</v>
      </c>
    </row>
    <row r="2563" spans="1:10" x14ac:dyDescent="0.3">
      <c r="A2563" t="s">
        <v>6</v>
      </c>
      <c r="B2563" t="str">
        <f>"10/05/2008 00:00"</f>
        <v>10/05/2008 00:00</v>
      </c>
      <c r="C2563">
        <v>151</v>
      </c>
      <c r="D2563" t="s">
        <v>7</v>
      </c>
      <c r="E2563" s="2" t="s">
        <v>12</v>
      </c>
      <c r="F2563">
        <f t="shared" si="39"/>
        <v>299.43299999999999</v>
      </c>
      <c r="G2563" t="s">
        <v>16</v>
      </c>
      <c r="J2563" t="str">
        <f>"10/05/2008 23:45"</f>
        <v>10/05/2008 23:45</v>
      </c>
    </row>
    <row r="2564" spans="1:10" x14ac:dyDescent="0.3">
      <c r="A2564" t="s">
        <v>6</v>
      </c>
      <c r="B2564" t="str">
        <f>"10/06/2008 00:00"</f>
        <v>10/06/2008 00:00</v>
      </c>
      <c r="C2564">
        <v>151</v>
      </c>
      <c r="D2564" t="s">
        <v>7</v>
      </c>
      <c r="E2564" s="2" t="s">
        <v>12</v>
      </c>
      <c r="F2564">
        <f t="shared" ref="F2564:F2627" si="40">C2564*1.983</f>
        <v>299.43299999999999</v>
      </c>
      <c r="G2564" t="s">
        <v>16</v>
      </c>
      <c r="J2564" t="str">
        <f>"10/06/2008 23:45"</f>
        <v>10/06/2008 23:45</v>
      </c>
    </row>
    <row r="2565" spans="1:10" x14ac:dyDescent="0.3">
      <c r="A2565" t="s">
        <v>6</v>
      </c>
      <c r="B2565" t="str">
        <f>"10/07/2008 00:00"</f>
        <v>10/07/2008 00:00</v>
      </c>
      <c r="C2565">
        <v>151</v>
      </c>
      <c r="D2565" t="s">
        <v>7</v>
      </c>
      <c r="E2565" s="2" t="s">
        <v>12</v>
      </c>
      <c r="F2565">
        <f t="shared" si="40"/>
        <v>299.43299999999999</v>
      </c>
      <c r="G2565" t="s">
        <v>16</v>
      </c>
      <c r="J2565" t="str">
        <f>"10/07/2008 23:45"</f>
        <v>10/07/2008 23:45</v>
      </c>
    </row>
    <row r="2566" spans="1:10" x14ac:dyDescent="0.3">
      <c r="A2566" t="s">
        <v>6</v>
      </c>
      <c r="B2566" t="str">
        <f>"10/08/2008 00:00"</f>
        <v>10/08/2008 00:00</v>
      </c>
      <c r="C2566">
        <v>151</v>
      </c>
      <c r="D2566" t="s">
        <v>7</v>
      </c>
      <c r="E2566" s="2" t="s">
        <v>12</v>
      </c>
      <c r="F2566">
        <f t="shared" si="40"/>
        <v>299.43299999999999</v>
      </c>
      <c r="G2566" t="s">
        <v>16</v>
      </c>
      <c r="J2566" t="str">
        <f>"10/08/2008 23:45"</f>
        <v>10/08/2008 23:45</v>
      </c>
    </row>
    <row r="2567" spans="1:10" x14ac:dyDescent="0.3">
      <c r="A2567" t="s">
        <v>6</v>
      </c>
      <c r="B2567" t="str">
        <f>"10/09/2008 00:00"</f>
        <v>10/09/2008 00:00</v>
      </c>
      <c r="C2567">
        <v>151</v>
      </c>
      <c r="D2567" t="s">
        <v>7</v>
      </c>
      <c r="E2567" s="2" t="s">
        <v>12</v>
      </c>
      <c r="F2567">
        <f t="shared" si="40"/>
        <v>299.43299999999999</v>
      </c>
      <c r="G2567" t="s">
        <v>16</v>
      </c>
      <c r="J2567" t="str">
        <f>"10/09/2008 23:45"</f>
        <v>10/09/2008 23:45</v>
      </c>
    </row>
    <row r="2568" spans="1:10" x14ac:dyDescent="0.3">
      <c r="A2568" t="s">
        <v>6</v>
      </c>
      <c r="B2568" t="str">
        <f>"10/10/2008 00:00"</f>
        <v>10/10/2008 00:00</v>
      </c>
      <c r="C2568">
        <v>150</v>
      </c>
      <c r="D2568" t="s">
        <v>7</v>
      </c>
      <c r="E2568" s="2" t="s">
        <v>12</v>
      </c>
      <c r="F2568">
        <f t="shared" si="40"/>
        <v>297.45</v>
      </c>
      <c r="G2568" t="s">
        <v>16</v>
      </c>
      <c r="J2568" t="str">
        <f>"10/10/2008 23:45"</f>
        <v>10/10/2008 23:45</v>
      </c>
    </row>
    <row r="2569" spans="1:10" x14ac:dyDescent="0.3">
      <c r="A2569" t="s">
        <v>6</v>
      </c>
      <c r="B2569" t="str">
        <f>"10/11/2008 00:00"</f>
        <v>10/11/2008 00:00</v>
      </c>
      <c r="C2569">
        <v>151</v>
      </c>
      <c r="D2569" t="s">
        <v>7</v>
      </c>
      <c r="E2569" s="2" t="s">
        <v>12</v>
      </c>
      <c r="F2569">
        <f t="shared" si="40"/>
        <v>299.43299999999999</v>
      </c>
      <c r="G2569" t="s">
        <v>16</v>
      </c>
      <c r="J2569" t="str">
        <f>"10/11/2008 23:45"</f>
        <v>10/11/2008 23:45</v>
      </c>
    </row>
    <row r="2570" spans="1:10" x14ac:dyDescent="0.3">
      <c r="A2570" t="s">
        <v>6</v>
      </c>
      <c r="B2570" t="str">
        <f>"10/12/2008 00:00"</f>
        <v>10/12/2008 00:00</v>
      </c>
      <c r="C2570">
        <v>133</v>
      </c>
      <c r="D2570" t="s">
        <v>7</v>
      </c>
      <c r="E2570" s="2" t="s">
        <v>12</v>
      </c>
      <c r="F2570">
        <f t="shared" si="40"/>
        <v>263.73900000000003</v>
      </c>
      <c r="G2570" t="s">
        <v>16</v>
      </c>
      <c r="J2570" t="str">
        <f>"10/12/2008 23:45"</f>
        <v>10/12/2008 23:45</v>
      </c>
    </row>
    <row r="2571" spans="1:10" x14ac:dyDescent="0.3">
      <c r="A2571" t="s">
        <v>6</v>
      </c>
      <c r="B2571" t="str">
        <f>"10/13/2008 00:00"</f>
        <v>10/13/2008 00:00</v>
      </c>
      <c r="C2571">
        <v>87.9</v>
      </c>
      <c r="D2571" t="s">
        <v>7</v>
      </c>
      <c r="E2571" s="2" t="s">
        <v>12</v>
      </c>
      <c r="F2571">
        <f t="shared" si="40"/>
        <v>174.30570000000003</v>
      </c>
      <c r="G2571" t="s">
        <v>16</v>
      </c>
      <c r="J2571" t="str">
        <f>"10/13/2008 23:45"</f>
        <v>10/13/2008 23:45</v>
      </c>
    </row>
    <row r="2572" spans="1:10" x14ac:dyDescent="0.3">
      <c r="A2572" t="s">
        <v>6</v>
      </c>
      <c r="B2572" t="str">
        <f>"10/14/2008 00:00"</f>
        <v>10/14/2008 00:00</v>
      </c>
      <c r="C2572">
        <v>77.2</v>
      </c>
      <c r="D2572" t="s">
        <v>7</v>
      </c>
      <c r="E2572" s="2" t="s">
        <v>12</v>
      </c>
      <c r="F2572">
        <f t="shared" si="40"/>
        <v>153.08760000000001</v>
      </c>
      <c r="G2572" t="s">
        <v>16</v>
      </c>
      <c r="J2572" t="str">
        <f>"10/14/2008 23:45"</f>
        <v>10/14/2008 23:45</v>
      </c>
    </row>
    <row r="2573" spans="1:10" x14ac:dyDescent="0.3">
      <c r="A2573" t="s">
        <v>6</v>
      </c>
      <c r="B2573" t="str">
        <f>"10/15/2008 00:00"</f>
        <v>10/15/2008 00:00</v>
      </c>
      <c r="C2573">
        <v>77.3</v>
      </c>
      <c r="D2573" t="s">
        <v>7</v>
      </c>
      <c r="E2573" s="2" t="s">
        <v>12</v>
      </c>
      <c r="F2573">
        <f t="shared" si="40"/>
        <v>153.2859</v>
      </c>
      <c r="G2573" t="s">
        <v>16</v>
      </c>
      <c r="J2573" t="str">
        <f>"10/15/2008 23:45"</f>
        <v>10/15/2008 23:45</v>
      </c>
    </row>
    <row r="2574" spans="1:10" x14ac:dyDescent="0.3">
      <c r="A2574" t="s">
        <v>6</v>
      </c>
      <c r="B2574" t="str">
        <f>"10/16/2008 00:00"</f>
        <v>10/16/2008 00:00</v>
      </c>
      <c r="C2574">
        <v>81.2</v>
      </c>
      <c r="D2574" t="s">
        <v>7</v>
      </c>
      <c r="E2574" s="2" t="s">
        <v>12</v>
      </c>
      <c r="F2574">
        <f t="shared" si="40"/>
        <v>161.01960000000003</v>
      </c>
      <c r="G2574" t="s">
        <v>16</v>
      </c>
      <c r="J2574" t="str">
        <f>"10/16/2008 23:45"</f>
        <v>10/16/2008 23:45</v>
      </c>
    </row>
    <row r="2575" spans="1:10" x14ac:dyDescent="0.3">
      <c r="A2575" t="s">
        <v>6</v>
      </c>
      <c r="B2575" t="str">
        <f>"10/17/2008 00:00"</f>
        <v>10/17/2008 00:00</v>
      </c>
      <c r="C2575">
        <v>107</v>
      </c>
      <c r="D2575" t="s">
        <v>7</v>
      </c>
      <c r="E2575" s="2" t="s">
        <v>12</v>
      </c>
      <c r="F2575">
        <f t="shared" si="40"/>
        <v>212.18100000000001</v>
      </c>
      <c r="G2575" t="s">
        <v>16</v>
      </c>
      <c r="J2575" t="str">
        <f>"10/17/2008 23:45"</f>
        <v>10/17/2008 23:45</v>
      </c>
    </row>
    <row r="2576" spans="1:10" x14ac:dyDescent="0.3">
      <c r="A2576" t="s">
        <v>6</v>
      </c>
      <c r="B2576" t="str">
        <f>"10/18/2008 00:00"</f>
        <v>10/18/2008 00:00</v>
      </c>
      <c r="C2576">
        <v>129</v>
      </c>
      <c r="D2576" t="s">
        <v>7</v>
      </c>
      <c r="E2576" s="2" t="s">
        <v>12</v>
      </c>
      <c r="F2576">
        <f t="shared" si="40"/>
        <v>255.80700000000002</v>
      </c>
      <c r="G2576" t="s">
        <v>16</v>
      </c>
      <c r="J2576" t="str">
        <f>"10/18/2008 23:45"</f>
        <v>10/18/2008 23:45</v>
      </c>
    </row>
    <row r="2577" spans="1:10" x14ac:dyDescent="0.3">
      <c r="A2577" t="s">
        <v>6</v>
      </c>
      <c r="B2577" t="str">
        <f>"10/19/2008 00:00"</f>
        <v>10/19/2008 00:00</v>
      </c>
      <c r="C2577">
        <v>129</v>
      </c>
      <c r="D2577" t="s">
        <v>7</v>
      </c>
      <c r="E2577" s="2" t="s">
        <v>12</v>
      </c>
      <c r="F2577">
        <f t="shared" si="40"/>
        <v>255.80700000000002</v>
      </c>
      <c r="G2577" t="s">
        <v>16</v>
      </c>
      <c r="J2577" t="str">
        <f>"10/19/2008 23:45"</f>
        <v>10/19/2008 23:45</v>
      </c>
    </row>
    <row r="2578" spans="1:10" x14ac:dyDescent="0.3">
      <c r="A2578" t="s">
        <v>6</v>
      </c>
      <c r="B2578" t="str">
        <f>"10/20/2008 00:00"</f>
        <v>10/20/2008 00:00</v>
      </c>
      <c r="C2578">
        <v>116</v>
      </c>
      <c r="D2578" t="s">
        <v>7</v>
      </c>
      <c r="E2578" s="2" t="s">
        <v>12</v>
      </c>
      <c r="F2578">
        <f t="shared" si="40"/>
        <v>230.02800000000002</v>
      </c>
      <c r="G2578" t="s">
        <v>16</v>
      </c>
      <c r="J2578" t="str">
        <f>"10/20/2008 23:45"</f>
        <v>10/20/2008 23:45</v>
      </c>
    </row>
    <row r="2579" spans="1:10" x14ac:dyDescent="0.3">
      <c r="A2579" t="s">
        <v>6</v>
      </c>
      <c r="B2579" t="str">
        <f>"10/21/2008 00:00"</f>
        <v>10/21/2008 00:00</v>
      </c>
      <c r="C2579">
        <v>102</v>
      </c>
      <c r="D2579" t="s">
        <v>7</v>
      </c>
      <c r="E2579" s="2" t="s">
        <v>12</v>
      </c>
      <c r="F2579">
        <f t="shared" si="40"/>
        <v>202.26600000000002</v>
      </c>
      <c r="G2579" t="s">
        <v>16</v>
      </c>
      <c r="J2579" t="str">
        <f>"10/21/2008 23:45"</f>
        <v>10/21/2008 23:45</v>
      </c>
    </row>
    <row r="2580" spans="1:10" x14ac:dyDescent="0.3">
      <c r="A2580" t="s">
        <v>6</v>
      </c>
      <c r="B2580" t="str">
        <f>"10/22/2008 00:00"</f>
        <v>10/22/2008 00:00</v>
      </c>
      <c r="C2580">
        <v>102</v>
      </c>
      <c r="D2580" t="s">
        <v>7</v>
      </c>
      <c r="E2580" s="2" t="s">
        <v>12</v>
      </c>
      <c r="F2580">
        <f t="shared" si="40"/>
        <v>202.26600000000002</v>
      </c>
      <c r="G2580" t="s">
        <v>16</v>
      </c>
      <c r="J2580" t="str">
        <f>"10/22/2008 23:45"</f>
        <v>10/22/2008 23:45</v>
      </c>
    </row>
    <row r="2581" spans="1:10" x14ac:dyDescent="0.3">
      <c r="A2581" t="s">
        <v>6</v>
      </c>
      <c r="B2581" t="str">
        <f>"10/23/2008 00:00"</f>
        <v>10/23/2008 00:00</v>
      </c>
      <c r="C2581">
        <v>110</v>
      </c>
      <c r="D2581" t="s">
        <v>7</v>
      </c>
      <c r="E2581" s="2" t="s">
        <v>12</v>
      </c>
      <c r="F2581">
        <f t="shared" si="40"/>
        <v>218.13000000000002</v>
      </c>
      <c r="G2581" t="s">
        <v>16</v>
      </c>
      <c r="J2581" t="str">
        <f>"10/23/2008 23:45"</f>
        <v>10/23/2008 23:45</v>
      </c>
    </row>
    <row r="2582" spans="1:10" x14ac:dyDescent="0.3">
      <c r="A2582" t="s">
        <v>6</v>
      </c>
      <c r="B2582" t="str">
        <f>"10/24/2008 00:00"</f>
        <v>10/24/2008 00:00</v>
      </c>
      <c r="C2582">
        <v>125</v>
      </c>
      <c r="D2582" t="s">
        <v>7</v>
      </c>
      <c r="E2582" s="2" t="s">
        <v>12</v>
      </c>
      <c r="F2582">
        <f t="shared" si="40"/>
        <v>247.875</v>
      </c>
      <c r="G2582" t="s">
        <v>16</v>
      </c>
      <c r="J2582" t="str">
        <f>"10/24/2008 23:45"</f>
        <v>10/24/2008 23:45</v>
      </c>
    </row>
    <row r="2583" spans="1:10" x14ac:dyDescent="0.3">
      <c r="A2583" t="s">
        <v>6</v>
      </c>
      <c r="B2583" t="str">
        <f>"10/25/2008 00:00"</f>
        <v>10/25/2008 00:00</v>
      </c>
      <c r="C2583">
        <v>130</v>
      </c>
      <c r="D2583" t="s">
        <v>7</v>
      </c>
      <c r="E2583" s="2" t="s">
        <v>12</v>
      </c>
      <c r="F2583">
        <f t="shared" si="40"/>
        <v>257.79000000000002</v>
      </c>
      <c r="G2583" t="s">
        <v>16</v>
      </c>
      <c r="J2583" t="str">
        <f>"10/25/2008 23:45"</f>
        <v>10/25/2008 23:45</v>
      </c>
    </row>
    <row r="2584" spans="1:10" x14ac:dyDescent="0.3">
      <c r="A2584" t="s">
        <v>6</v>
      </c>
      <c r="B2584" t="str">
        <f>"10/26/2008 00:00"</f>
        <v>10/26/2008 00:00</v>
      </c>
      <c r="C2584">
        <v>132</v>
      </c>
      <c r="D2584" t="s">
        <v>7</v>
      </c>
      <c r="E2584" s="2" t="s">
        <v>12</v>
      </c>
      <c r="F2584">
        <f t="shared" si="40"/>
        <v>261.75600000000003</v>
      </c>
      <c r="G2584" t="s">
        <v>16</v>
      </c>
      <c r="J2584" t="str">
        <f>"10/26/2008 23:45"</f>
        <v>10/26/2008 23:45</v>
      </c>
    </row>
    <row r="2585" spans="1:10" x14ac:dyDescent="0.3">
      <c r="A2585" t="s">
        <v>6</v>
      </c>
      <c r="B2585" t="str">
        <f>"10/27/2008 00:00"</f>
        <v>10/27/2008 00:00</v>
      </c>
      <c r="C2585">
        <v>98</v>
      </c>
      <c r="D2585" t="s">
        <v>7</v>
      </c>
      <c r="E2585" s="2" t="s">
        <v>12</v>
      </c>
      <c r="F2585">
        <f t="shared" si="40"/>
        <v>194.334</v>
      </c>
      <c r="G2585" t="s">
        <v>16</v>
      </c>
      <c r="J2585" t="str">
        <f>"10/27/2008 23:45"</f>
        <v>10/27/2008 23:45</v>
      </c>
    </row>
    <row r="2586" spans="1:10" x14ac:dyDescent="0.3">
      <c r="A2586" t="s">
        <v>6</v>
      </c>
      <c r="B2586" t="str">
        <f>"10/28/2008 00:00"</f>
        <v>10/28/2008 00:00</v>
      </c>
      <c r="C2586">
        <v>74.2</v>
      </c>
      <c r="D2586" t="s">
        <v>7</v>
      </c>
      <c r="E2586" s="2" t="s">
        <v>12</v>
      </c>
      <c r="F2586">
        <f t="shared" si="40"/>
        <v>147.13860000000003</v>
      </c>
      <c r="G2586" t="s">
        <v>16</v>
      </c>
      <c r="J2586" t="str">
        <f>"10/28/2008 23:45"</f>
        <v>10/28/2008 23:45</v>
      </c>
    </row>
    <row r="2587" spans="1:10" x14ac:dyDescent="0.3">
      <c r="A2587" t="s">
        <v>6</v>
      </c>
      <c r="B2587" t="str">
        <f>"10/29/2008 00:00"</f>
        <v>10/29/2008 00:00</v>
      </c>
      <c r="C2587">
        <v>96.2</v>
      </c>
      <c r="D2587" t="s">
        <v>7</v>
      </c>
      <c r="E2587" s="2" t="s">
        <v>12</v>
      </c>
      <c r="F2587">
        <f t="shared" si="40"/>
        <v>190.7646</v>
      </c>
      <c r="G2587" t="s">
        <v>16</v>
      </c>
      <c r="J2587" t="str">
        <f>"10/29/2008 23:45"</f>
        <v>10/29/2008 23:45</v>
      </c>
    </row>
    <row r="2588" spans="1:10" x14ac:dyDescent="0.3">
      <c r="A2588" t="s">
        <v>6</v>
      </c>
      <c r="B2588" t="str">
        <f>"10/30/2008 00:00"</f>
        <v>10/30/2008 00:00</v>
      </c>
      <c r="C2588">
        <v>95.4</v>
      </c>
      <c r="D2588" t="s">
        <v>7</v>
      </c>
      <c r="E2588" s="2" t="s">
        <v>12</v>
      </c>
      <c r="F2588">
        <f t="shared" si="40"/>
        <v>189.17820000000003</v>
      </c>
      <c r="G2588" t="s">
        <v>16</v>
      </c>
      <c r="J2588" t="str">
        <f>"10/30/2008 23:45"</f>
        <v>10/30/2008 23:45</v>
      </c>
    </row>
    <row r="2589" spans="1:10" x14ac:dyDescent="0.3">
      <c r="A2589" t="s">
        <v>6</v>
      </c>
      <c r="B2589" t="str">
        <f>"10/31/2008 00:00"</f>
        <v>10/31/2008 00:00</v>
      </c>
      <c r="C2589">
        <v>95.4</v>
      </c>
      <c r="D2589" t="s">
        <v>7</v>
      </c>
      <c r="E2589" s="2" t="s">
        <v>12</v>
      </c>
      <c r="F2589">
        <f t="shared" si="40"/>
        <v>189.17820000000003</v>
      </c>
      <c r="G2589" t="s">
        <v>16</v>
      </c>
      <c r="J2589" t="str">
        <f>"10/31/2008 23:45"</f>
        <v>10/31/2008 23:45</v>
      </c>
    </row>
    <row r="2590" spans="1:10" x14ac:dyDescent="0.3">
      <c r="A2590" t="s">
        <v>6</v>
      </c>
      <c r="B2590" t="str">
        <f>"11/01/2008 00:00"</f>
        <v>11/01/2008 00:00</v>
      </c>
      <c r="C2590">
        <v>95.4</v>
      </c>
      <c r="D2590" t="s">
        <v>7</v>
      </c>
      <c r="E2590" s="2" t="s">
        <v>12</v>
      </c>
      <c r="F2590">
        <f t="shared" si="40"/>
        <v>189.17820000000003</v>
      </c>
      <c r="G2590" t="s">
        <v>16</v>
      </c>
      <c r="J2590" t="str">
        <f>"11/01/2008 23:45"</f>
        <v>11/01/2008 23:45</v>
      </c>
    </row>
    <row r="2591" spans="1:10" x14ac:dyDescent="0.3">
      <c r="A2591" t="s">
        <v>6</v>
      </c>
      <c r="B2591" t="str">
        <f>"11/02/2008 00:00"</f>
        <v>11/02/2008 00:00</v>
      </c>
      <c r="C2591">
        <v>95.4</v>
      </c>
      <c r="D2591" t="s">
        <v>7</v>
      </c>
      <c r="E2591" s="2" t="s">
        <v>12</v>
      </c>
      <c r="F2591">
        <f t="shared" si="40"/>
        <v>189.17820000000003</v>
      </c>
      <c r="G2591" t="s">
        <v>16</v>
      </c>
      <c r="J2591" t="str">
        <f>"11/02/2008 23:45"</f>
        <v>11/02/2008 23:45</v>
      </c>
    </row>
    <row r="2592" spans="1:10" x14ac:dyDescent="0.3">
      <c r="A2592" t="s">
        <v>6</v>
      </c>
      <c r="B2592" t="str">
        <f>"11/03/2008 00:00"</f>
        <v>11/03/2008 00:00</v>
      </c>
      <c r="C2592">
        <v>91.8</v>
      </c>
      <c r="D2592" t="s">
        <v>7</v>
      </c>
      <c r="E2592" s="2" t="s">
        <v>12</v>
      </c>
      <c r="F2592">
        <f t="shared" si="40"/>
        <v>182.0394</v>
      </c>
      <c r="G2592" t="s">
        <v>16</v>
      </c>
      <c r="J2592" t="str">
        <f>"11/03/2008 23:45"</f>
        <v>11/03/2008 23:45</v>
      </c>
    </row>
    <row r="2593" spans="1:10" x14ac:dyDescent="0.3">
      <c r="A2593" t="s">
        <v>6</v>
      </c>
      <c r="B2593" t="str">
        <f>"11/04/2008 00:00"</f>
        <v>11/04/2008 00:00</v>
      </c>
      <c r="C2593">
        <v>108</v>
      </c>
      <c r="D2593" t="s">
        <v>7</v>
      </c>
      <c r="E2593" s="2" t="s">
        <v>12</v>
      </c>
      <c r="F2593">
        <f t="shared" si="40"/>
        <v>214.16400000000002</v>
      </c>
      <c r="G2593" t="s">
        <v>16</v>
      </c>
      <c r="J2593" t="str">
        <f>"11/04/2008 23:45"</f>
        <v>11/04/2008 23:45</v>
      </c>
    </row>
    <row r="2594" spans="1:10" x14ac:dyDescent="0.3">
      <c r="A2594" t="s">
        <v>6</v>
      </c>
      <c r="B2594" t="str">
        <f>"11/05/2008 00:00"</f>
        <v>11/05/2008 00:00</v>
      </c>
      <c r="C2594">
        <v>118</v>
      </c>
      <c r="D2594" t="s">
        <v>7</v>
      </c>
      <c r="E2594" s="2" t="s">
        <v>12</v>
      </c>
      <c r="F2594">
        <f t="shared" si="40"/>
        <v>233.994</v>
      </c>
      <c r="G2594" t="s">
        <v>16</v>
      </c>
      <c r="J2594" t="str">
        <f>"11/05/2008 23:45"</f>
        <v>11/05/2008 23:45</v>
      </c>
    </row>
    <row r="2595" spans="1:10" x14ac:dyDescent="0.3">
      <c r="A2595" t="s">
        <v>6</v>
      </c>
      <c r="B2595" t="str">
        <f>"11/06/2008 00:00"</f>
        <v>11/06/2008 00:00</v>
      </c>
      <c r="C2595">
        <v>143</v>
      </c>
      <c r="D2595" t="s">
        <v>7</v>
      </c>
      <c r="E2595" s="2" t="s">
        <v>12</v>
      </c>
      <c r="F2595">
        <f t="shared" si="40"/>
        <v>283.56900000000002</v>
      </c>
      <c r="G2595" t="s">
        <v>16</v>
      </c>
      <c r="J2595" t="str">
        <f>"11/06/2008 23:45"</f>
        <v>11/06/2008 23:45</v>
      </c>
    </row>
    <row r="2596" spans="1:10" x14ac:dyDescent="0.3">
      <c r="A2596" t="s">
        <v>6</v>
      </c>
      <c r="B2596" t="str">
        <f>"11/07/2008 00:00"</f>
        <v>11/07/2008 00:00</v>
      </c>
      <c r="C2596">
        <v>163</v>
      </c>
      <c r="D2596" t="s">
        <v>7</v>
      </c>
      <c r="E2596" s="2" t="s">
        <v>12</v>
      </c>
      <c r="F2596">
        <f t="shared" si="40"/>
        <v>323.22900000000004</v>
      </c>
      <c r="G2596" t="s">
        <v>16</v>
      </c>
      <c r="J2596" t="str">
        <f>"11/07/2008 23:45"</f>
        <v>11/07/2008 23:45</v>
      </c>
    </row>
    <row r="2597" spans="1:10" x14ac:dyDescent="0.3">
      <c r="A2597" t="s">
        <v>6</v>
      </c>
      <c r="B2597" t="str">
        <f>"11/08/2008 00:00"</f>
        <v>11/08/2008 00:00</v>
      </c>
      <c r="C2597">
        <v>163</v>
      </c>
      <c r="D2597" t="s">
        <v>7</v>
      </c>
      <c r="E2597" s="2" t="s">
        <v>12</v>
      </c>
      <c r="F2597">
        <f t="shared" si="40"/>
        <v>323.22900000000004</v>
      </c>
      <c r="G2597" t="s">
        <v>16</v>
      </c>
      <c r="J2597" t="str">
        <f>"11/08/2008 23:45"</f>
        <v>11/08/2008 23:45</v>
      </c>
    </row>
    <row r="2598" spans="1:10" x14ac:dyDescent="0.3">
      <c r="A2598" t="s">
        <v>6</v>
      </c>
      <c r="B2598" t="str">
        <f>"11/09/2008 00:00"</f>
        <v>11/09/2008 00:00</v>
      </c>
      <c r="C2598">
        <v>162</v>
      </c>
      <c r="D2598" t="s">
        <v>7</v>
      </c>
      <c r="E2598" s="2" t="s">
        <v>12</v>
      </c>
      <c r="F2598">
        <f t="shared" si="40"/>
        <v>321.24600000000004</v>
      </c>
      <c r="G2598" t="s">
        <v>16</v>
      </c>
      <c r="J2598" t="str">
        <f>"11/09/2008 23:45"</f>
        <v>11/09/2008 23:45</v>
      </c>
    </row>
    <row r="2599" spans="1:10" x14ac:dyDescent="0.3">
      <c r="A2599" t="s">
        <v>6</v>
      </c>
      <c r="B2599" t="str">
        <f>"11/10/2008 00:00"</f>
        <v>11/10/2008 00:00</v>
      </c>
      <c r="C2599">
        <v>162</v>
      </c>
      <c r="D2599" t="s">
        <v>7</v>
      </c>
      <c r="E2599" s="2" t="s">
        <v>12</v>
      </c>
      <c r="F2599">
        <f t="shared" si="40"/>
        <v>321.24600000000004</v>
      </c>
      <c r="G2599" t="s">
        <v>16</v>
      </c>
      <c r="J2599" t="str">
        <f>"11/10/2008 23:45"</f>
        <v>11/10/2008 23:45</v>
      </c>
    </row>
    <row r="2600" spans="1:10" x14ac:dyDescent="0.3">
      <c r="A2600" t="s">
        <v>6</v>
      </c>
      <c r="B2600" t="str">
        <f>"11/11/2008 00:00"</f>
        <v>11/11/2008 00:00</v>
      </c>
      <c r="C2600">
        <v>162</v>
      </c>
      <c r="D2600" t="s">
        <v>7</v>
      </c>
      <c r="E2600" s="2" t="s">
        <v>12</v>
      </c>
      <c r="F2600">
        <f t="shared" si="40"/>
        <v>321.24600000000004</v>
      </c>
      <c r="G2600" t="s">
        <v>16</v>
      </c>
      <c r="J2600" t="str">
        <f>"11/11/2008 23:45"</f>
        <v>11/11/2008 23:45</v>
      </c>
    </row>
    <row r="2601" spans="1:10" x14ac:dyDescent="0.3">
      <c r="A2601" t="s">
        <v>6</v>
      </c>
      <c r="B2601" t="str">
        <f>"11/12/2008 00:00"</f>
        <v>11/12/2008 00:00</v>
      </c>
      <c r="C2601">
        <v>162</v>
      </c>
      <c r="D2601" t="s">
        <v>7</v>
      </c>
      <c r="E2601" s="2" t="s">
        <v>12</v>
      </c>
      <c r="F2601">
        <f t="shared" si="40"/>
        <v>321.24600000000004</v>
      </c>
      <c r="G2601" t="s">
        <v>16</v>
      </c>
      <c r="J2601" t="str">
        <f>"11/12/2008 23:45"</f>
        <v>11/12/2008 23:45</v>
      </c>
    </row>
    <row r="2602" spans="1:10" x14ac:dyDescent="0.3">
      <c r="A2602" t="s">
        <v>6</v>
      </c>
      <c r="B2602" t="str">
        <f>"11/13/2008 00:00"</f>
        <v>11/13/2008 00:00</v>
      </c>
      <c r="C2602">
        <v>139</v>
      </c>
      <c r="D2602" t="s">
        <v>7</v>
      </c>
      <c r="E2602" s="2" t="s">
        <v>12</v>
      </c>
      <c r="F2602">
        <f t="shared" si="40"/>
        <v>275.637</v>
      </c>
      <c r="G2602" t="s">
        <v>16</v>
      </c>
      <c r="J2602" t="str">
        <f>"11/13/2008 23:45"</f>
        <v>11/13/2008 23:45</v>
      </c>
    </row>
    <row r="2603" spans="1:10" x14ac:dyDescent="0.3">
      <c r="A2603" t="s">
        <v>6</v>
      </c>
      <c r="B2603" t="str">
        <f>"11/14/2008 00:00"</f>
        <v>11/14/2008 00:00</v>
      </c>
      <c r="C2603">
        <v>100</v>
      </c>
      <c r="D2603" t="s">
        <v>7</v>
      </c>
      <c r="E2603" s="2" t="s">
        <v>12</v>
      </c>
      <c r="F2603">
        <f t="shared" si="40"/>
        <v>198.3</v>
      </c>
      <c r="G2603" t="s">
        <v>16</v>
      </c>
      <c r="J2603" t="str">
        <f>"11/14/2008 23:45"</f>
        <v>11/14/2008 23:45</v>
      </c>
    </row>
    <row r="2604" spans="1:10" x14ac:dyDescent="0.3">
      <c r="A2604" t="s">
        <v>6</v>
      </c>
      <c r="B2604" t="str">
        <f>"11/15/2008 00:00"</f>
        <v>11/15/2008 00:00</v>
      </c>
      <c r="C2604">
        <v>101</v>
      </c>
      <c r="D2604" t="s">
        <v>7</v>
      </c>
      <c r="E2604" s="2" t="s">
        <v>12</v>
      </c>
      <c r="F2604">
        <f t="shared" si="40"/>
        <v>200.28300000000002</v>
      </c>
      <c r="G2604" t="s">
        <v>16</v>
      </c>
      <c r="J2604" t="str">
        <f>"11/15/2008 23:45"</f>
        <v>11/15/2008 23:45</v>
      </c>
    </row>
    <row r="2605" spans="1:10" x14ac:dyDescent="0.3">
      <c r="A2605" t="s">
        <v>6</v>
      </c>
      <c r="B2605" t="str">
        <f>"11/16/2008 00:00"</f>
        <v>11/16/2008 00:00</v>
      </c>
      <c r="C2605">
        <v>101</v>
      </c>
      <c r="D2605" t="s">
        <v>7</v>
      </c>
      <c r="E2605" s="2" t="s">
        <v>12</v>
      </c>
      <c r="F2605">
        <f t="shared" si="40"/>
        <v>200.28300000000002</v>
      </c>
      <c r="G2605" t="s">
        <v>16</v>
      </c>
      <c r="J2605" t="str">
        <f>"11/16/2008 23:45"</f>
        <v>11/16/2008 23:45</v>
      </c>
    </row>
    <row r="2606" spans="1:10" x14ac:dyDescent="0.3">
      <c r="A2606" t="s">
        <v>6</v>
      </c>
      <c r="B2606" t="str">
        <f>"11/17/2008 00:00"</f>
        <v>11/17/2008 00:00</v>
      </c>
      <c r="C2606">
        <v>99.5</v>
      </c>
      <c r="D2606" t="s">
        <v>7</v>
      </c>
      <c r="E2606" s="2" t="s">
        <v>12</v>
      </c>
      <c r="F2606">
        <f t="shared" si="40"/>
        <v>197.30850000000001</v>
      </c>
      <c r="G2606" t="s">
        <v>16</v>
      </c>
      <c r="J2606" t="str">
        <f>"11/17/2008 23:45"</f>
        <v>11/17/2008 23:45</v>
      </c>
    </row>
    <row r="2607" spans="1:10" x14ac:dyDescent="0.3">
      <c r="A2607" t="s">
        <v>6</v>
      </c>
      <c r="B2607" t="str">
        <f>"11/18/2008 00:00"</f>
        <v>11/18/2008 00:00</v>
      </c>
      <c r="C2607">
        <v>99.4</v>
      </c>
      <c r="D2607" t="s">
        <v>7</v>
      </c>
      <c r="E2607" s="2" t="s">
        <v>12</v>
      </c>
      <c r="F2607">
        <f t="shared" si="40"/>
        <v>197.11020000000002</v>
      </c>
      <c r="G2607" t="s">
        <v>16</v>
      </c>
      <c r="J2607" t="str">
        <f>"11/18/2008 23:45"</f>
        <v>11/18/2008 23:45</v>
      </c>
    </row>
    <row r="2608" spans="1:10" x14ac:dyDescent="0.3">
      <c r="A2608" t="s">
        <v>6</v>
      </c>
      <c r="B2608" t="str">
        <f>"11/19/2008 00:00"</f>
        <v>11/19/2008 00:00</v>
      </c>
      <c r="C2608">
        <v>98.6</v>
      </c>
      <c r="D2608" t="s">
        <v>7</v>
      </c>
      <c r="E2608" s="2" t="s">
        <v>12</v>
      </c>
      <c r="F2608">
        <f t="shared" si="40"/>
        <v>195.52379999999999</v>
      </c>
      <c r="G2608" t="s">
        <v>16</v>
      </c>
      <c r="J2608" t="str">
        <f>"11/19/2008 23:45"</f>
        <v>11/19/2008 23:45</v>
      </c>
    </row>
    <row r="2609" spans="1:10" x14ac:dyDescent="0.3">
      <c r="A2609" t="s">
        <v>6</v>
      </c>
      <c r="B2609" t="str">
        <f>"11/20/2008 00:00"</f>
        <v>11/20/2008 00:00</v>
      </c>
      <c r="C2609">
        <v>96.7</v>
      </c>
      <c r="D2609" t="s">
        <v>7</v>
      </c>
      <c r="E2609" s="2" t="s">
        <v>12</v>
      </c>
      <c r="F2609">
        <f t="shared" si="40"/>
        <v>191.7561</v>
      </c>
      <c r="G2609" t="s">
        <v>16</v>
      </c>
      <c r="J2609" t="str">
        <f>"11/20/2008 23:45"</f>
        <v>11/20/2008 23:45</v>
      </c>
    </row>
    <row r="2610" spans="1:10" x14ac:dyDescent="0.3">
      <c r="A2610" t="s">
        <v>6</v>
      </c>
      <c r="B2610" t="str">
        <f>"11/21/2008 00:00"</f>
        <v>11/21/2008 00:00</v>
      </c>
      <c r="C2610">
        <v>96.5</v>
      </c>
      <c r="D2610" t="s">
        <v>7</v>
      </c>
      <c r="E2610" s="2" t="s">
        <v>12</v>
      </c>
      <c r="F2610">
        <f t="shared" si="40"/>
        <v>191.3595</v>
      </c>
      <c r="G2610" t="s">
        <v>16</v>
      </c>
      <c r="J2610" t="str">
        <f>"11/21/2008 23:45"</f>
        <v>11/21/2008 23:45</v>
      </c>
    </row>
    <row r="2611" spans="1:10" x14ac:dyDescent="0.3">
      <c r="A2611" t="s">
        <v>6</v>
      </c>
      <c r="B2611" t="str">
        <f>"11/22/2008 00:00"</f>
        <v>11/22/2008 00:00</v>
      </c>
      <c r="C2611">
        <v>96.7</v>
      </c>
      <c r="D2611" t="s">
        <v>7</v>
      </c>
      <c r="E2611" s="2" t="s">
        <v>12</v>
      </c>
      <c r="F2611">
        <f t="shared" si="40"/>
        <v>191.7561</v>
      </c>
      <c r="G2611" t="s">
        <v>16</v>
      </c>
      <c r="J2611" t="str">
        <f>"11/22/2008 23:45"</f>
        <v>11/22/2008 23:45</v>
      </c>
    </row>
    <row r="2612" spans="1:10" x14ac:dyDescent="0.3">
      <c r="A2612" t="s">
        <v>6</v>
      </c>
      <c r="B2612" t="str">
        <f>"11/23/2008 00:00"</f>
        <v>11/23/2008 00:00</v>
      </c>
      <c r="C2612">
        <v>96.7</v>
      </c>
      <c r="D2612" t="s">
        <v>7</v>
      </c>
      <c r="E2612" s="2" t="s">
        <v>12</v>
      </c>
      <c r="F2612">
        <f t="shared" si="40"/>
        <v>191.7561</v>
      </c>
      <c r="G2612" t="s">
        <v>16</v>
      </c>
      <c r="J2612" t="str">
        <f>"11/23/2008 23:45"</f>
        <v>11/23/2008 23:45</v>
      </c>
    </row>
    <row r="2613" spans="1:10" x14ac:dyDescent="0.3">
      <c r="A2613" t="s">
        <v>6</v>
      </c>
      <c r="B2613" t="str">
        <f>"11/24/2008 00:00"</f>
        <v>11/24/2008 00:00</v>
      </c>
      <c r="C2613">
        <v>96.7</v>
      </c>
      <c r="D2613" t="s">
        <v>7</v>
      </c>
      <c r="E2613" s="2" t="s">
        <v>12</v>
      </c>
      <c r="F2613">
        <f t="shared" si="40"/>
        <v>191.7561</v>
      </c>
      <c r="G2613" t="s">
        <v>16</v>
      </c>
      <c r="J2613" t="str">
        <f>"11/24/2008 23:45"</f>
        <v>11/24/2008 23:45</v>
      </c>
    </row>
    <row r="2614" spans="1:10" x14ac:dyDescent="0.3">
      <c r="A2614" t="s">
        <v>6</v>
      </c>
      <c r="B2614" t="str">
        <f>"11/25/2008 00:00"</f>
        <v>11/25/2008 00:00</v>
      </c>
      <c r="C2614">
        <v>81.8</v>
      </c>
      <c r="D2614" t="s">
        <v>7</v>
      </c>
      <c r="E2614" s="2" t="s">
        <v>12</v>
      </c>
      <c r="F2614">
        <f t="shared" si="40"/>
        <v>162.20939999999999</v>
      </c>
      <c r="G2614" t="s">
        <v>16</v>
      </c>
      <c r="J2614" t="str">
        <f>"11/25/2008 23:45"</f>
        <v>11/25/2008 23:45</v>
      </c>
    </row>
    <row r="2615" spans="1:10" x14ac:dyDescent="0.3">
      <c r="A2615" t="s">
        <v>6</v>
      </c>
      <c r="B2615" t="str">
        <f>"11/26/2008 00:00"</f>
        <v>11/26/2008 00:00</v>
      </c>
      <c r="C2615">
        <v>70.5</v>
      </c>
      <c r="D2615" t="s">
        <v>7</v>
      </c>
      <c r="E2615" s="2" t="s">
        <v>12</v>
      </c>
      <c r="F2615">
        <f t="shared" si="40"/>
        <v>139.8015</v>
      </c>
      <c r="G2615" t="s">
        <v>16</v>
      </c>
      <c r="J2615" t="str">
        <f>"11/26/2008 23:45"</f>
        <v>11/26/2008 23:45</v>
      </c>
    </row>
    <row r="2616" spans="1:10" x14ac:dyDescent="0.3">
      <c r="A2616" t="s">
        <v>6</v>
      </c>
      <c r="B2616" t="str">
        <f>"11/27/2008 00:00"</f>
        <v>11/27/2008 00:00</v>
      </c>
      <c r="C2616">
        <v>70.599999999999994</v>
      </c>
      <c r="D2616" t="s">
        <v>7</v>
      </c>
      <c r="E2616" s="2" t="s">
        <v>12</v>
      </c>
      <c r="F2616">
        <f t="shared" si="40"/>
        <v>139.99979999999999</v>
      </c>
      <c r="G2616" t="s">
        <v>16</v>
      </c>
      <c r="J2616" t="str">
        <f>"11/27/2008 23:45"</f>
        <v>11/27/2008 23:45</v>
      </c>
    </row>
    <row r="2617" spans="1:10" x14ac:dyDescent="0.3">
      <c r="A2617" t="s">
        <v>6</v>
      </c>
      <c r="B2617" t="str">
        <f>"11/28/2008 00:00"</f>
        <v>11/28/2008 00:00</v>
      </c>
      <c r="C2617">
        <v>70.5</v>
      </c>
      <c r="D2617" t="s">
        <v>7</v>
      </c>
      <c r="E2617" s="2" t="s">
        <v>12</v>
      </c>
      <c r="F2617">
        <f t="shared" si="40"/>
        <v>139.8015</v>
      </c>
      <c r="G2617" t="s">
        <v>16</v>
      </c>
      <c r="J2617" t="str">
        <f>"11/28/2008 23:45"</f>
        <v>11/28/2008 23:45</v>
      </c>
    </row>
    <row r="2618" spans="1:10" x14ac:dyDescent="0.3">
      <c r="A2618" t="s">
        <v>6</v>
      </c>
      <c r="B2618" t="str">
        <f>"11/29/2008 00:00"</f>
        <v>11/29/2008 00:00</v>
      </c>
      <c r="C2618">
        <v>70.3</v>
      </c>
      <c r="D2618" t="s">
        <v>7</v>
      </c>
      <c r="E2618" s="2" t="s">
        <v>12</v>
      </c>
      <c r="F2618">
        <f t="shared" si="40"/>
        <v>139.4049</v>
      </c>
      <c r="G2618" t="s">
        <v>16</v>
      </c>
      <c r="J2618" t="str">
        <f>"11/29/2008 23:45"</f>
        <v>11/29/2008 23:45</v>
      </c>
    </row>
    <row r="2619" spans="1:10" x14ac:dyDescent="0.3">
      <c r="A2619" t="s">
        <v>6</v>
      </c>
      <c r="B2619" t="str">
        <f>"11/30/2008 00:00"</f>
        <v>11/30/2008 00:00</v>
      </c>
      <c r="C2619">
        <v>70.5</v>
      </c>
      <c r="D2619" t="s">
        <v>7</v>
      </c>
      <c r="E2619" s="2" t="s">
        <v>12</v>
      </c>
      <c r="F2619">
        <f t="shared" si="40"/>
        <v>139.8015</v>
      </c>
      <c r="G2619" t="s">
        <v>16</v>
      </c>
      <c r="J2619" t="str">
        <f>"11/30/2008 23:45"</f>
        <v>11/30/2008 23:45</v>
      </c>
    </row>
    <row r="2620" spans="1:10" x14ac:dyDescent="0.3">
      <c r="A2620" t="s">
        <v>6</v>
      </c>
      <c r="B2620" t="str">
        <f>"12/01/2008 00:00"</f>
        <v>12/01/2008 00:00</v>
      </c>
      <c r="C2620">
        <v>70.400000000000006</v>
      </c>
      <c r="D2620" t="s">
        <v>7</v>
      </c>
      <c r="E2620" s="2" t="s">
        <v>12</v>
      </c>
      <c r="F2620">
        <f t="shared" si="40"/>
        <v>139.60320000000002</v>
      </c>
      <c r="G2620" t="s">
        <v>16</v>
      </c>
      <c r="J2620" t="str">
        <f>"12/01/2008 23:45"</f>
        <v>12/01/2008 23:45</v>
      </c>
    </row>
    <row r="2621" spans="1:10" x14ac:dyDescent="0.3">
      <c r="A2621" t="s">
        <v>6</v>
      </c>
      <c r="B2621" t="str">
        <f>"12/02/2008 00:00"</f>
        <v>12/02/2008 00:00</v>
      </c>
      <c r="C2621">
        <v>70.2</v>
      </c>
      <c r="D2621" t="s">
        <v>7</v>
      </c>
      <c r="E2621" s="2" t="s">
        <v>12</v>
      </c>
      <c r="F2621">
        <f t="shared" si="40"/>
        <v>139.20660000000001</v>
      </c>
      <c r="G2621" t="s">
        <v>16</v>
      </c>
      <c r="J2621" t="str">
        <f>"12/02/2008 23:45"</f>
        <v>12/02/2008 23:45</v>
      </c>
    </row>
    <row r="2622" spans="1:10" x14ac:dyDescent="0.3">
      <c r="A2622" t="s">
        <v>6</v>
      </c>
      <c r="B2622" t="str">
        <f>"12/03/2008 00:00"</f>
        <v>12/03/2008 00:00</v>
      </c>
      <c r="C2622">
        <v>70.599999999999994</v>
      </c>
      <c r="D2622" t="s">
        <v>7</v>
      </c>
      <c r="E2622" s="2" t="s">
        <v>12</v>
      </c>
      <c r="F2622">
        <f t="shared" si="40"/>
        <v>139.99979999999999</v>
      </c>
      <c r="G2622" t="s">
        <v>16</v>
      </c>
      <c r="J2622" t="str">
        <f>"12/03/2008 23:45"</f>
        <v>12/03/2008 23:45</v>
      </c>
    </row>
    <row r="2623" spans="1:10" x14ac:dyDescent="0.3">
      <c r="A2623" t="s">
        <v>6</v>
      </c>
      <c r="B2623" t="str">
        <f>"12/04/2008 00:00"</f>
        <v>12/04/2008 00:00</v>
      </c>
      <c r="C2623">
        <v>71.099999999999994</v>
      </c>
      <c r="D2623" t="s">
        <v>7</v>
      </c>
      <c r="E2623" s="2" t="s">
        <v>12</v>
      </c>
      <c r="F2623">
        <f t="shared" si="40"/>
        <v>140.9913</v>
      </c>
      <c r="G2623" t="s">
        <v>16</v>
      </c>
      <c r="J2623" t="str">
        <f>"12/04/2008 23:45"</f>
        <v>12/04/2008 23:45</v>
      </c>
    </row>
    <row r="2624" spans="1:10" x14ac:dyDescent="0.3">
      <c r="A2624" t="s">
        <v>6</v>
      </c>
      <c r="B2624" t="str">
        <f>"12/05/2008 00:00"</f>
        <v>12/05/2008 00:00</v>
      </c>
      <c r="C2624">
        <v>70.2</v>
      </c>
      <c r="D2624" t="s">
        <v>7</v>
      </c>
      <c r="E2624" s="2" t="s">
        <v>12</v>
      </c>
      <c r="F2624">
        <f t="shared" si="40"/>
        <v>139.20660000000001</v>
      </c>
      <c r="G2624" t="s">
        <v>16</v>
      </c>
      <c r="J2624" t="str">
        <f>"12/05/2008 23:45"</f>
        <v>12/05/2008 23:45</v>
      </c>
    </row>
    <row r="2625" spans="1:10" x14ac:dyDescent="0.3">
      <c r="A2625" t="s">
        <v>6</v>
      </c>
      <c r="B2625" t="str">
        <f>"12/06/2008 00:00"</f>
        <v>12/06/2008 00:00</v>
      </c>
      <c r="C2625">
        <v>70.2</v>
      </c>
      <c r="D2625" t="s">
        <v>7</v>
      </c>
      <c r="E2625" s="2" t="s">
        <v>12</v>
      </c>
      <c r="F2625">
        <f t="shared" si="40"/>
        <v>139.20660000000001</v>
      </c>
      <c r="G2625" t="s">
        <v>16</v>
      </c>
      <c r="J2625" t="str">
        <f>"12/06/2008 23:45"</f>
        <v>12/06/2008 23:45</v>
      </c>
    </row>
    <row r="2626" spans="1:10" x14ac:dyDescent="0.3">
      <c r="A2626" t="s">
        <v>6</v>
      </c>
      <c r="B2626" t="str">
        <f>"12/07/2008 00:00"</f>
        <v>12/07/2008 00:00</v>
      </c>
      <c r="C2626">
        <v>70.2</v>
      </c>
      <c r="D2626" t="s">
        <v>7</v>
      </c>
      <c r="E2626" s="2" t="s">
        <v>12</v>
      </c>
      <c r="F2626">
        <f t="shared" si="40"/>
        <v>139.20660000000001</v>
      </c>
      <c r="G2626" t="s">
        <v>16</v>
      </c>
      <c r="J2626" t="str">
        <f>"12/07/2008 23:45"</f>
        <v>12/07/2008 23:45</v>
      </c>
    </row>
    <row r="2627" spans="1:10" x14ac:dyDescent="0.3">
      <c r="A2627" t="s">
        <v>6</v>
      </c>
      <c r="B2627" t="str">
        <f>"12/08/2008 00:00"</f>
        <v>12/08/2008 00:00</v>
      </c>
      <c r="C2627">
        <v>70.2</v>
      </c>
      <c r="D2627" t="s">
        <v>7</v>
      </c>
      <c r="E2627" s="2" t="s">
        <v>12</v>
      </c>
      <c r="F2627">
        <f t="shared" si="40"/>
        <v>139.20660000000001</v>
      </c>
      <c r="G2627" t="s">
        <v>16</v>
      </c>
      <c r="J2627" t="str">
        <f>"12/08/2008 23:45"</f>
        <v>12/08/2008 23:45</v>
      </c>
    </row>
    <row r="2628" spans="1:10" x14ac:dyDescent="0.3">
      <c r="A2628" t="s">
        <v>6</v>
      </c>
      <c r="B2628" t="str">
        <f>"12/09/2008 00:00"</f>
        <v>12/09/2008 00:00</v>
      </c>
      <c r="C2628">
        <v>70.3</v>
      </c>
      <c r="D2628" t="s">
        <v>7</v>
      </c>
      <c r="E2628" s="2" t="s">
        <v>12</v>
      </c>
      <c r="F2628">
        <f t="shared" ref="F2628:F2691" si="41">C2628*1.983</f>
        <v>139.4049</v>
      </c>
      <c r="G2628" t="s">
        <v>16</v>
      </c>
      <c r="J2628" t="str">
        <f>"12/09/2008 23:45"</f>
        <v>12/09/2008 23:45</v>
      </c>
    </row>
    <row r="2629" spans="1:10" x14ac:dyDescent="0.3">
      <c r="A2629" t="s">
        <v>6</v>
      </c>
      <c r="B2629" t="str">
        <f>"12/10/2008 00:00"</f>
        <v>12/10/2008 00:00</v>
      </c>
      <c r="C2629">
        <v>70.2</v>
      </c>
      <c r="D2629" t="s">
        <v>7</v>
      </c>
      <c r="E2629" s="2" t="s">
        <v>12</v>
      </c>
      <c r="F2629">
        <f t="shared" si="41"/>
        <v>139.20660000000001</v>
      </c>
      <c r="G2629" t="s">
        <v>16</v>
      </c>
      <c r="J2629" t="str">
        <f>"12/10/2008 23:45"</f>
        <v>12/10/2008 23:45</v>
      </c>
    </row>
    <row r="2630" spans="1:10" x14ac:dyDescent="0.3">
      <c r="A2630" t="s">
        <v>6</v>
      </c>
      <c r="B2630" t="str">
        <f>"12/11/2008 00:00"</f>
        <v>12/11/2008 00:00</v>
      </c>
      <c r="C2630">
        <v>70.2</v>
      </c>
      <c r="D2630" t="s">
        <v>7</v>
      </c>
      <c r="E2630" s="2" t="s">
        <v>12</v>
      </c>
      <c r="F2630">
        <f t="shared" si="41"/>
        <v>139.20660000000001</v>
      </c>
      <c r="G2630" t="s">
        <v>16</v>
      </c>
      <c r="J2630" t="str">
        <f>"12/11/2008 23:45"</f>
        <v>12/11/2008 23:45</v>
      </c>
    </row>
    <row r="2631" spans="1:10" x14ac:dyDescent="0.3">
      <c r="A2631" t="s">
        <v>6</v>
      </c>
      <c r="B2631" t="str">
        <f>"12/12/2008 00:00"</f>
        <v>12/12/2008 00:00</v>
      </c>
      <c r="C2631">
        <v>70.2</v>
      </c>
      <c r="D2631" t="s">
        <v>7</v>
      </c>
      <c r="E2631" s="2" t="s">
        <v>12</v>
      </c>
      <c r="F2631">
        <f t="shared" si="41"/>
        <v>139.20660000000001</v>
      </c>
      <c r="G2631" t="s">
        <v>16</v>
      </c>
      <c r="J2631" t="str">
        <f>"12/12/2008 23:45"</f>
        <v>12/12/2008 23:45</v>
      </c>
    </row>
    <row r="2632" spans="1:10" x14ac:dyDescent="0.3">
      <c r="A2632" t="s">
        <v>6</v>
      </c>
      <c r="B2632" t="str">
        <f>"12/13/2008 00:00"</f>
        <v>12/13/2008 00:00</v>
      </c>
      <c r="C2632">
        <v>70.2</v>
      </c>
      <c r="D2632" t="s">
        <v>7</v>
      </c>
      <c r="E2632" s="2" t="s">
        <v>12</v>
      </c>
      <c r="F2632">
        <f t="shared" si="41"/>
        <v>139.20660000000001</v>
      </c>
      <c r="G2632" t="s">
        <v>16</v>
      </c>
      <c r="J2632" t="str">
        <f>"12/13/2008 23:45"</f>
        <v>12/13/2008 23:45</v>
      </c>
    </row>
    <row r="2633" spans="1:10" x14ac:dyDescent="0.3">
      <c r="A2633" t="s">
        <v>6</v>
      </c>
      <c r="B2633" t="str">
        <f>"12/14/2008 00:00"</f>
        <v>12/14/2008 00:00</v>
      </c>
      <c r="C2633">
        <v>70.2</v>
      </c>
      <c r="D2633" t="s">
        <v>7</v>
      </c>
      <c r="E2633" s="2" t="s">
        <v>12</v>
      </c>
      <c r="F2633">
        <f t="shared" si="41"/>
        <v>139.20660000000001</v>
      </c>
      <c r="G2633" t="s">
        <v>16</v>
      </c>
      <c r="J2633" t="str">
        <f>"12/14/2008 23:45"</f>
        <v>12/14/2008 23:45</v>
      </c>
    </row>
    <row r="2634" spans="1:10" x14ac:dyDescent="0.3">
      <c r="A2634" t="s">
        <v>6</v>
      </c>
      <c r="B2634" t="str">
        <f>"12/15/2008 00:00"</f>
        <v>12/15/2008 00:00</v>
      </c>
      <c r="C2634">
        <v>70.2</v>
      </c>
      <c r="D2634" t="s">
        <v>7</v>
      </c>
      <c r="E2634" s="2" t="s">
        <v>12</v>
      </c>
      <c r="F2634">
        <f t="shared" si="41"/>
        <v>139.20660000000001</v>
      </c>
      <c r="G2634" t="s">
        <v>16</v>
      </c>
      <c r="J2634" t="str">
        <f>"12/15/2008 23:45"</f>
        <v>12/15/2008 23:45</v>
      </c>
    </row>
    <row r="2635" spans="1:10" x14ac:dyDescent="0.3">
      <c r="A2635" t="s">
        <v>6</v>
      </c>
      <c r="B2635" t="str">
        <f>"12/16/2008 00:00"</f>
        <v>12/16/2008 00:00</v>
      </c>
      <c r="C2635">
        <v>70.2</v>
      </c>
      <c r="D2635" t="s">
        <v>7</v>
      </c>
      <c r="E2635" s="2" t="s">
        <v>12</v>
      </c>
      <c r="F2635">
        <f t="shared" si="41"/>
        <v>139.20660000000001</v>
      </c>
      <c r="G2635" t="s">
        <v>16</v>
      </c>
      <c r="J2635" t="str">
        <f>"12/16/2008 23:45"</f>
        <v>12/16/2008 23:45</v>
      </c>
    </row>
    <row r="2636" spans="1:10" x14ac:dyDescent="0.3">
      <c r="A2636" t="s">
        <v>6</v>
      </c>
      <c r="B2636" t="str">
        <f>"12/17/2008 00:00"</f>
        <v>12/17/2008 00:00</v>
      </c>
      <c r="C2636">
        <v>70.2</v>
      </c>
      <c r="D2636" t="s">
        <v>7</v>
      </c>
      <c r="E2636" s="2" t="s">
        <v>12</v>
      </c>
      <c r="F2636">
        <f t="shared" si="41"/>
        <v>139.20660000000001</v>
      </c>
      <c r="G2636" t="s">
        <v>16</v>
      </c>
      <c r="J2636" t="str">
        <f>"12/17/2008 23:45"</f>
        <v>12/17/2008 23:45</v>
      </c>
    </row>
    <row r="2637" spans="1:10" x14ac:dyDescent="0.3">
      <c r="A2637" t="s">
        <v>6</v>
      </c>
      <c r="B2637" t="str">
        <f>"12/18/2008 00:00"</f>
        <v>12/18/2008 00:00</v>
      </c>
      <c r="C2637">
        <v>70.2</v>
      </c>
      <c r="D2637" t="s">
        <v>7</v>
      </c>
      <c r="E2637" s="2" t="s">
        <v>12</v>
      </c>
      <c r="F2637">
        <f t="shared" si="41"/>
        <v>139.20660000000001</v>
      </c>
      <c r="G2637" t="s">
        <v>16</v>
      </c>
      <c r="J2637" t="str">
        <f>"12/18/2008 23:45"</f>
        <v>12/18/2008 23:45</v>
      </c>
    </row>
    <row r="2638" spans="1:10" x14ac:dyDescent="0.3">
      <c r="A2638" t="s">
        <v>6</v>
      </c>
      <c r="B2638" t="str">
        <f>"12/19/2008 00:00"</f>
        <v>12/19/2008 00:00</v>
      </c>
      <c r="C2638">
        <v>97.1</v>
      </c>
      <c r="D2638" t="s">
        <v>7</v>
      </c>
      <c r="E2638" s="2" t="s">
        <v>12</v>
      </c>
      <c r="F2638">
        <f t="shared" si="41"/>
        <v>192.54929999999999</v>
      </c>
      <c r="G2638" t="s">
        <v>16</v>
      </c>
      <c r="J2638" t="str">
        <f>"12/19/2008 23:45"</f>
        <v>12/19/2008 23:45</v>
      </c>
    </row>
    <row r="2639" spans="1:10" x14ac:dyDescent="0.3">
      <c r="A2639" t="s">
        <v>6</v>
      </c>
      <c r="B2639" t="str">
        <f>"12/20/2008 00:00"</f>
        <v>12/20/2008 00:00</v>
      </c>
      <c r="C2639">
        <v>125</v>
      </c>
      <c r="D2639" t="s">
        <v>7</v>
      </c>
      <c r="E2639" s="2" t="s">
        <v>12</v>
      </c>
      <c r="F2639">
        <f t="shared" si="41"/>
        <v>247.875</v>
      </c>
      <c r="G2639" t="s">
        <v>16</v>
      </c>
      <c r="J2639" t="str">
        <f>"12/20/2008 23:45"</f>
        <v>12/20/2008 23:45</v>
      </c>
    </row>
    <row r="2640" spans="1:10" x14ac:dyDescent="0.3">
      <c r="A2640" t="s">
        <v>6</v>
      </c>
      <c r="B2640" t="str">
        <f>"12/21/2008 00:00"</f>
        <v>12/21/2008 00:00</v>
      </c>
      <c r="C2640">
        <v>70.2</v>
      </c>
      <c r="D2640" t="s">
        <v>7</v>
      </c>
      <c r="E2640" s="2" t="s">
        <v>12</v>
      </c>
      <c r="F2640">
        <f t="shared" si="41"/>
        <v>139.20660000000001</v>
      </c>
      <c r="G2640" t="s">
        <v>16</v>
      </c>
      <c r="J2640" t="str">
        <f>"12/21/2008 23:45"</f>
        <v>12/21/2008 23:45</v>
      </c>
    </row>
    <row r="2641" spans="1:10" x14ac:dyDescent="0.3">
      <c r="A2641" t="s">
        <v>6</v>
      </c>
      <c r="B2641" t="str">
        <f>"12/22/2008 00:00"</f>
        <v>12/22/2008 00:00</v>
      </c>
      <c r="C2641">
        <v>70.099999999999994</v>
      </c>
      <c r="D2641" t="s">
        <v>7</v>
      </c>
      <c r="E2641" s="2" t="s">
        <v>12</v>
      </c>
      <c r="F2641">
        <f t="shared" si="41"/>
        <v>139.00829999999999</v>
      </c>
      <c r="G2641" t="s">
        <v>16</v>
      </c>
      <c r="J2641" t="str">
        <f>"12/22/2008 23:45"</f>
        <v>12/22/2008 23:45</v>
      </c>
    </row>
    <row r="2642" spans="1:10" x14ac:dyDescent="0.3">
      <c r="A2642" t="s">
        <v>6</v>
      </c>
      <c r="B2642" t="str">
        <f>"12/23/2008 00:00"</f>
        <v>12/23/2008 00:00</v>
      </c>
      <c r="C2642">
        <v>70.2</v>
      </c>
      <c r="D2642" t="s">
        <v>7</v>
      </c>
      <c r="E2642" s="2" t="s">
        <v>12</v>
      </c>
      <c r="F2642">
        <f t="shared" si="41"/>
        <v>139.20660000000001</v>
      </c>
      <c r="G2642" t="s">
        <v>16</v>
      </c>
      <c r="J2642" t="str">
        <f>"12/23/2008 23:45"</f>
        <v>12/23/2008 23:45</v>
      </c>
    </row>
    <row r="2643" spans="1:10" x14ac:dyDescent="0.3">
      <c r="A2643" t="s">
        <v>6</v>
      </c>
      <c r="B2643" t="str">
        <f>"12/24/2008 00:00"</f>
        <v>12/24/2008 00:00</v>
      </c>
      <c r="C2643">
        <v>70.2</v>
      </c>
      <c r="D2643" t="s">
        <v>7</v>
      </c>
      <c r="E2643" s="2" t="s">
        <v>12</v>
      </c>
      <c r="F2643">
        <f t="shared" si="41"/>
        <v>139.20660000000001</v>
      </c>
      <c r="G2643" t="s">
        <v>16</v>
      </c>
      <c r="J2643" t="str">
        <f>"12/24/2008 23:45"</f>
        <v>12/24/2008 23:45</v>
      </c>
    </row>
    <row r="2644" spans="1:10" x14ac:dyDescent="0.3">
      <c r="A2644" t="s">
        <v>6</v>
      </c>
      <c r="B2644" t="str">
        <f>"12/25/2008 00:00"</f>
        <v>12/25/2008 00:00</v>
      </c>
      <c r="C2644">
        <v>70.2</v>
      </c>
      <c r="D2644" t="s">
        <v>7</v>
      </c>
      <c r="E2644" s="2" t="s">
        <v>12</v>
      </c>
      <c r="F2644">
        <f t="shared" si="41"/>
        <v>139.20660000000001</v>
      </c>
      <c r="G2644" t="s">
        <v>16</v>
      </c>
      <c r="J2644" t="str">
        <f>"12/25/2008 23:45"</f>
        <v>12/25/2008 23:45</v>
      </c>
    </row>
    <row r="2645" spans="1:10" x14ac:dyDescent="0.3">
      <c r="A2645" t="s">
        <v>6</v>
      </c>
      <c r="B2645" t="str">
        <f>"12/26/2008 00:00"</f>
        <v>12/26/2008 00:00</v>
      </c>
      <c r="C2645">
        <v>70.2</v>
      </c>
      <c r="D2645" t="s">
        <v>7</v>
      </c>
      <c r="E2645" s="2" t="s">
        <v>12</v>
      </c>
      <c r="F2645">
        <f t="shared" si="41"/>
        <v>139.20660000000001</v>
      </c>
      <c r="G2645" t="s">
        <v>16</v>
      </c>
      <c r="J2645" t="str">
        <f>"12/26/2008 23:45"</f>
        <v>12/26/2008 23:45</v>
      </c>
    </row>
    <row r="2646" spans="1:10" x14ac:dyDescent="0.3">
      <c r="A2646" t="s">
        <v>6</v>
      </c>
      <c r="B2646" t="str">
        <f>"12/27/2008 00:00"</f>
        <v>12/27/2008 00:00</v>
      </c>
      <c r="C2646">
        <v>70.2</v>
      </c>
      <c r="D2646" t="s">
        <v>7</v>
      </c>
      <c r="E2646" s="2" t="s">
        <v>12</v>
      </c>
      <c r="F2646">
        <f t="shared" si="41"/>
        <v>139.20660000000001</v>
      </c>
      <c r="G2646" t="s">
        <v>16</v>
      </c>
      <c r="J2646" t="str">
        <f>"12/27/2008 23:45"</f>
        <v>12/27/2008 23:45</v>
      </c>
    </row>
    <row r="2647" spans="1:10" x14ac:dyDescent="0.3">
      <c r="A2647" t="s">
        <v>6</v>
      </c>
      <c r="B2647" t="str">
        <f>"12/28/2008 00:00"</f>
        <v>12/28/2008 00:00</v>
      </c>
      <c r="C2647">
        <v>70.3</v>
      </c>
      <c r="D2647" t="s">
        <v>7</v>
      </c>
      <c r="E2647" s="2" t="s">
        <v>12</v>
      </c>
      <c r="F2647">
        <f t="shared" si="41"/>
        <v>139.4049</v>
      </c>
      <c r="G2647" t="s">
        <v>16</v>
      </c>
      <c r="J2647" t="str">
        <f>"12/28/2008 23:45"</f>
        <v>12/28/2008 23:45</v>
      </c>
    </row>
    <row r="2648" spans="1:10" x14ac:dyDescent="0.3">
      <c r="A2648" t="s">
        <v>6</v>
      </c>
      <c r="B2648" t="str">
        <f>"12/29/2008 00:00"</f>
        <v>12/29/2008 00:00</v>
      </c>
      <c r="C2648">
        <v>70.2</v>
      </c>
      <c r="D2648" t="s">
        <v>7</v>
      </c>
      <c r="E2648" s="2" t="s">
        <v>12</v>
      </c>
      <c r="F2648">
        <f t="shared" si="41"/>
        <v>139.20660000000001</v>
      </c>
      <c r="G2648" t="s">
        <v>16</v>
      </c>
      <c r="J2648" t="str">
        <f>"12/29/2008 23:45"</f>
        <v>12/29/2008 23:45</v>
      </c>
    </row>
    <row r="2649" spans="1:10" x14ac:dyDescent="0.3">
      <c r="A2649" t="s">
        <v>6</v>
      </c>
      <c r="B2649" t="str">
        <f>"12/30/2008 00:00"</f>
        <v>12/30/2008 00:00</v>
      </c>
      <c r="C2649">
        <v>70.3</v>
      </c>
      <c r="D2649" t="s">
        <v>7</v>
      </c>
      <c r="E2649" s="2" t="s">
        <v>12</v>
      </c>
      <c r="F2649">
        <f t="shared" si="41"/>
        <v>139.4049</v>
      </c>
      <c r="G2649" t="s">
        <v>16</v>
      </c>
      <c r="J2649" t="str">
        <f>"12/30/2008 23:45"</f>
        <v>12/30/2008 23:45</v>
      </c>
    </row>
    <row r="2650" spans="1:10" x14ac:dyDescent="0.3">
      <c r="A2650" t="s">
        <v>6</v>
      </c>
      <c r="B2650" t="str">
        <f>"12/31/2008 00:00"</f>
        <v>12/31/2008 00:00</v>
      </c>
      <c r="C2650">
        <v>70.2</v>
      </c>
      <c r="D2650" t="s">
        <v>7</v>
      </c>
      <c r="E2650" s="2" t="s">
        <v>12</v>
      </c>
      <c r="F2650">
        <f t="shared" si="41"/>
        <v>139.20660000000001</v>
      </c>
      <c r="G2650" t="s">
        <v>16</v>
      </c>
      <c r="J2650" t="str">
        <f>"12/31/2008 23:45"</f>
        <v>12/31/2008 23:45</v>
      </c>
    </row>
    <row r="2651" spans="1:10" x14ac:dyDescent="0.3">
      <c r="A2651" t="s">
        <v>6</v>
      </c>
      <c r="B2651" t="str">
        <f>"01/01/2009 00:00"</f>
        <v>01/01/2009 00:00</v>
      </c>
      <c r="C2651">
        <v>70.2</v>
      </c>
      <c r="D2651" t="s">
        <v>7</v>
      </c>
      <c r="E2651" s="2" t="s">
        <v>12</v>
      </c>
      <c r="F2651">
        <f t="shared" si="41"/>
        <v>139.20660000000001</v>
      </c>
      <c r="G2651" t="s">
        <v>16</v>
      </c>
      <c r="J2651" t="str">
        <f>"01/01/2009 23:45"</f>
        <v>01/01/2009 23:45</v>
      </c>
    </row>
    <row r="2652" spans="1:10" x14ac:dyDescent="0.3">
      <c r="A2652" t="s">
        <v>6</v>
      </c>
      <c r="B2652" t="str">
        <f>"01/02/2009 00:00"</f>
        <v>01/02/2009 00:00</v>
      </c>
      <c r="C2652">
        <v>70.2</v>
      </c>
      <c r="D2652" t="s">
        <v>7</v>
      </c>
      <c r="E2652" s="2" t="s">
        <v>12</v>
      </c>
      <c r="F2652">
        <f t="shared" si="41"/>
        <v>139.20660000000001</v>
      </c>
      <c r="G2652" t="s">
        <v>16</v>
      </c>
      <c r="J2652" t="str">
        <f>"01/02/2009 23:45"</f>
        <v>01/02/2009 23:45</v>
      </c>
    </row>
    <row r="2653" spans="1:10" x14ac:dyDescent="0.3">
      <c r="A2653" t="s">
        <v>6</v>
      </c>
      <c r="B2653" t="str">
        <f>"01/03/2009 00:00"</f>
        <v>01/03/2009 00:00</v>
      </c>
      <c r="C2653">
        <v>70.5</v>
      </c>
      <c r="D2653" t="s">
        <v>7</v>
      </c>
      <c r="E2653" s="2" t="s">
        <v>12</v>
      </c>
      <c r="F2653">
        <f t="shared" si="41"/>
        <v>139.8015</v>
      </c>
      <c r="G2653" t="s">
        <v>16</v>
      </c>
      <c r="J2653" t="str">
        <f>"01/03/2009 23:45"</f>
        <v>01/03/2009 23:45</v>
      </c>
    </row>
    <row r="2654" spans="1:10" x14ac:dyDescent="0.3">
      <c r="A2654" t="s">
        <v>6</v>
      </c>
      <c r="B2654" t="str">
        <f>"01/04/2009 00:00"</f>
        <v>01/04/2009 00:00</v>
      </c>
      <c r="C2654">
        <v>70.900000000000006</v>
      </c>
      <c r="D2654" t="s">
        <v>7</v>
      </c>
      <c r="E2654" s="2" t="s">
        <v>12</v>
      </c>
      <c r="F2654">
        <f t="shared" si="41"/>
        <v>140.59470000000002</v>
      </c>
      <c r="G2654" t="s">
        <v>16</v>
      </c>
      <c r="J2654" t="str">
        <f>"01/04/2009 23:45"</f>
        <v>01/04/2009 23:45</v>
      </c>
    </row>
    <row r="2655" spans="1:10" x14ac:dyDescent="0.3">
      <c r="A2655" t="s">
        <v>6</v>
      </c>
      <c r="B2655" t="str">
        <f>"01/05/2009 00:00"</f>
        <v>01/05/2009 00:00</v>
      </c>
      <c r="C2655">
        <v>70.7</v>
      </c>
      <c r="D2655" t="s">
        <v>7</v>
      </c>
      <c r="E2655" s="2" t="s">
        <v>12</v>
      </c>
      <c r="F2655">
        <f t="shared" si="41"/>
        <v>140.19810000000001</v>
      </c>
      <c r="G2655" t="s">
        <v>16</v>
      </c>
      <c r="J2655" t="str">
        <f>"01/05/2009 23:45"</f>
        <v>01/05/2009 23:45</v>
      </c>
    </row>
    <row r="2656" spans="1:10" x14ac:dyDescent="0.3">
      <c r="A2656" t="s">
        <v>6</v>
      </c>
      <c r="B2656" t="str">
        <f>"01/06/2009 00:00"</f>
        <v>01/06/2009 00:00</v>
      </c>
      <c r="C2656">
        <v>70.5</v>
      </c>
      <c r="D2656" t="s">
        <v>7</v>
      </c>
      <c r="E2656" s="2" t="s">
        <v>12</v>
      </c>
      <c r="F2656">
        <f t="shared" si="41"/>
        <v>139.8015</v>
      </c>
      <c r="G2656" t="s">
        <v>16</v>
      </c>
      <c r="J2656" t="str">
        <f>"01/06/2009 23:45"</f>
        <v>01/06/2009 23:45</v>
      </c>
    </row>
    <row r="2657" spans="1:10" x14ac:dyDescent="0.3">
      <c r="A2657" t="s">
        <v>6</v>
      </c>
      <c r="B2657" t="str">
        <f>"01/07/2009 00:00"</f>
        <v>01/07/2009 00:00</v>
      </c>
      <c r="C2657">
        <v>70.5</v>
      </c>
      <c r="D2657" t="s">
        <v>7</v>
      </c>
      <c r="E2657" s="2" t="s">
        <v>12</v>
      </c>
      <c r="F2657">
        <f t="shared" si="41"/>
        <v>139.8015</v>
      </c>
      <c r="G2657" t="s">
        <v>16</v>
      </c>
      <c r="J2657" t="str">
        <f>"01/07/2009 23:45"</f>
        <v>01/07/2009 23:45</v>
      </c>
    </row>
    <row r="2658" spans="1:10" x14ac:dyDescent="0.3">
      <c r="A2658" t="s">
        <v>6</v>
      </c>
      <c r="B2658" t="str">
        <f>"01/08/2009 00:00"</f>
        <v>01/08/2009 00:00</v>
      </c>
      <c r="C2658">
        <v>70.7</v>
      </c>
      <c r="D2658" t="s">
        <v>7</v>
      </c>
      <c r="E2658" s="2" t="s">
        <v>12</v>
      </c>
      <c r="F2658">
        <f t="shared" si="41"/>
        <v>140.19810000000001</v>
      </c>
      <c r="G2658" t="s">
        <v>16</v>
      </c>
      <c r="J2658" t="str">
        <f>"01/08/2009 23:45"</f>
        <v>01/08/2009 23:45</v>
      </c>
    </row>
    <row r="2659" spans="1:10" x14ac:dyDescent="0.3">
      <c r="A2659" t="s">
        <v>6</v>
      </c>
      <c r="B2659" t="str">
        <f>"01/09/2009 00:00"</f>
        <v>01/09/2009 00:00</v>
      </c>
      <c r="C2659">
        <v>71</v>
      </c>
      <c r="D2659" t="s">
        <v>7</v>
      </c>
      <c r="E2659" s="2" t="s">
        <v>12</v>
      </c>
      <c r="F2659">
        <f t="shared" si="41"/>
        <v>140.79300000000001</v>
      </c>
      <c r="G2659" t="s">
        <v>16</v>
      </c>
      <c r="J2659" t="str">
        <f>"01/09/2009 23:45"</f>
        <v>01/09/2009 23:45</v>
      </c>
    </row>
    <row r="2660" spans="1:10" x14ac:dyDescent="0.3">
      <c r="A2660" t="s">
        <v>6</v>
      </c>
      <c r="B2660" t="str">
        <f>"01/10/2009 00:00"</f>
        <v>01/10/2009 00:00</v>
      </c>
      <c r="C2660">
        <v>70.900000000000006</v>
      </c>
      <c r="D2660" t="s">
        <v>7</v>
      </c>
      <c r="E2660" s="2" t="s">
        <v>12</v>
      </c>
      <c r="F2660">
        <f t="shared" si="41"/>
        <v>140.59470000000002</v>
      </c>
      <c r="G2660" t="s">
        <v>16</v>
      </c>
      <c r="J2660" t="str">
        <f>"01/10/2009 23:45"</f>
        <v>01/10/2009 23:45</v>
      </c>
    </row>
    <row r="2661" spans="1:10" x14ac:dyDescent="0.3">
      <c r="A2661" t="s">
        <v>6</v>
      </c>
      <c r="B2661" t="str">
        <f>"01/11/2009 00:00"</f>
        <v>01/11/2009 00:00</v>
      </c>
      <c r="C2661">
        <v>70.5</v>
      </c>
      <c r="D2661" t="s">
        <v>7</v>
      </c>
      <c r="E2661" s="2" t="s">
        <v>12</v>
      </c>
      <c r="F2661">
        <f t="shared" si="41"/>
        <v>139.8015</v>
      </c>
      <c r="G2661" t="s">
        <v>16</v>
      </c>
      <c r="J2661" t="str">
        <f>"01/11/2009 23:45"</f>
        <v>01/11/2009 23:45</v>
      </c>
    </row>
    <row r="2662" spans="1:10" x14ac:dyDescent="0.3">
      <c r="A2662" t="s">
        <v>6</v>
      </c>
      <c r="B2662" t="str">
        <f>"01/12/2009 00:00"</f>
        <v>01/12/2009 00:00</v>
      </c>
      <c r="C2662">
        <v>70.7</v>
      </c>
      <c r="D2662" t="s">
        <v>7</v>
      </c>
      <c r="E2662" s="2" t="s">
        <v>12</v>
      </c>
      <c r="F2662">
        <f t="shared" si="41"/>
        <v>140.19810000000001</v>
      </c>
      <c r="G2662" t="s">
        <v>16</v>
      </c>
      <c r="J2662" t="str">
        <f>"01/12/2009 23:45"</f>
        <v>01/12/2009 23:45</v>
      </c>
    </row>
    <row r="2663" spans="1:10" x14ac:dyDescent="0.3">
      <c r="A2663" t="s">
        <v>6</v>
      </c>
      <c r="B2663" t="str">
        <f>"01/13/2009 00:00"</f>
        <v>01/13/2009 00:00</v>
      </c>
      <c r="C2663">
        <v>70.5</v>
      </c>
      <c r="D2663" t="s">
        <v>7</v>
      </c>
      <c r="E2663" s="2" t="s">
        <v>12</v>
      </c>
      <c r="F2663">
        <f t="shared" si="41"/>
        <v>139.8015</v>
      </c>
      <c r="G2663" t="s">
        <v>16</v>
      </c>
      <c r="J2663" t="str">
        <f>"01/13/2009 23:45"</f>
        <v>01/13/2009 23:45</v>
      </c>
    </row>
    <row r="2664" spans="1:10" x14ac:dyDescent="0.3">
      <c r="A2664" t="s">
        <v>6</v>
      </c>
      <c r="B2664" t="str">
        <f>"01/14/2009 00:00"</f>
        <v>01/14/2009 00:00</v>
      </c>
      <c r="C2664">
        <v>70.2</v>
      </c>
      <c r="D2664" t="s">
        <v>7</v>
      </c>
      <c r="E2664" s="2" t="s">
        <v>12</v>
      </c>
      <c r="F2664">
        <f t="shared" si="41"/>
        <v>139.20660000000001</v>
      </c>
      <c r="G2664" t="s">
        <v>16</v>
      </c>
      <c r="J2664" t="str">
        <f>"01/14/2009 23:45"</f>
        <v>01/14/2009 23:45</v>
      </c>
    </row>
    <row r="2665" spans="1:10" x14ac:dyDescent="0.3">
      <c r="A2665" t="s">
        <v>6</v>
      </c>
      <c r="B2665" t="str">
        <f>"01/15/2009 00:00"</f>
        <v>01/15/2009 00:00</v>
      </c>
      <c r="C2665">
        <v>70.2</v>
      </c>
      <c r="D2665" t="s">
        <v>7</v>
      </c>
      <c r="E2665" s="2" t="s">
        <v>12</v>
      </c>
      <c r="F2665">
        <f t="shared" si="41"/>
        <v>139.20660000000001</v>
      </c>
      <c r="G2665" t="s">
        <v>16</v>
      </c>
      <c r="J2665" t="str">
        <f>"01/15/2009 23:45"</f>
        <v>01/15/2009 23:45</v>
      </c>
    </row>
    <row r="2666" spans="1:10" x14ac:dyDescent="0.3">
      <c r="A2666" t="s">
        <v>6</v>
      </c>
      <c r="B2666" t="str">
        <f>"01/16/2009 00:00"</f>
        <v>01/16/2009 00:00</v>
      </c>
      <c r="C2666">
        <v>70.2</v>
      </c>
      <c r="D2666" t="s">
        <v>7</v>
      </c>
      <c r="E2666" s="2" t="s">
        <v>12</v>
      </c>
      <c r="F2666">
        <f t="shared" si="41"/>
        <v>139.20660000000001</v>
      </c>
      <c r="G2666" t="s">
        <v>16</v>
      </c>
      <c r="J2666" t="str">
        <f>"01/16/2009 23:45"</f>
        <v>01/16/2009 23:45</v>
      </c>
    </row>
    <row r="2667" spans="1:10" x14ac:dyDescent="0.3">
      <c r="A2667" t="s">
        <v>6</v>
      </c>
      <c r="B2667" t="str">
        <f>"01/17/2009 00:00"</f>
        <v>01/17/2009 00:00</v>
      </c>
      <c r="C2667">
        <v>70.2</v>
      </c>
      <c r="D2667" t="s">
        <v>7</v>
      </c>
      <c r="E2667" s="2" t="s">
        <v>12</v>
      </c>
      <c r="F2667">
        <f t="shared" si="41"/>
        <v>139.20660000000001</v>
      </c>
      <c r="G2667" t="s">
        <v>16</v>
      </c>
      <c r="J2667" t="str">
        <f>"01/17/2009 23:45"</f>
        <v>01/17/2009 23:45</v>
      </c>
    </row>
    <row r="2668" spans="1:10" x14ac:dyDescent="0.3">
      <c r="A2668" t="s">
        <v>6</v>
      </c>
      <c r="B2668" t="str">
        <f>"01/18/2009 00:00"</f>
        <v>01/18/2009 00:00</v>
      </c>
      <c r="C2668">
        <v>70.2</v>
      </c>
      <c r="D2668" t="s">
        <v>7</v>
      </c>
      <c r="E2668" s="2" t="s">
        <v>12</v>
      </c>
      <c r="F2668">
        <f t="shared" si="41"/>
        <v>139.20660000000001</v>
      </c>
      <c r="G2668" t="s">
        <v>16</v>
      </c>
      <c r="J2668" t="str">
        <f>"01/18/2009 23:45"</f>
        <v>01/18/2009 23:45</v>
      </c>
    </row>
    <row r="2669" spans="1:10" x14ac:dyDescent="0.3">
      <c r="A2669" t="s">
        <v>6</v>
      </c>
      <c r="B2669" t="str">
        <f>"01/19/2009 00:00"</f>
        <v>01/19/2009 00:00</v>
      </c>
      <c r="C2669">
        <v>70.2</v>
      </c>
      <c r="D2669" t="s">
        <v>7</v>
      </c>
      <c r="E2669" s="2" t="s">
        <v>12</v>
      </c>
      <c r="F2669">
        <f t="shared" si="41"/>
        <v>139.20660000000001</v>
      </c>
      <c r="G2669" t="s">
        <v>16</v>
      </c>
      <c r="J2669" t="str">
        <f>"01/19/2009 23:45"</f>
        <v>01/19/2009 23:45</v>
      </c>
    </row>
    <row r="2670" spans="1:10" x14ac:dyDescent="0.3">
      <c r="A2670" t="s">
        <v>6</v>
      </c>
      <c r="B2670" t="str">
        <f>"01/20/2009 00:00"</f>
        <v>01/20/2009 00:00</v>
      </c>
      <c r="C2670">
        <v>70.2</v>
      </c>
      <c r="D2670" t="s">
        <v>7</v>
      </c>
      <c r="E2670" s="2" t="s">
        <v>12</v>
      </c>
      <c r="F2670">
        <f t="shared" si="41"/>
        <v>139.20660000000001</v>
      </c>
      <c r="G2670" t="s">
        <v>16</v>
      </c>
      <c r="J2670" t="str">
        <f>"01/20/2009 23:45"</f>
        <v>01/20/2009 23:45</v>
      </c>
    </row>
    <row r="2671" spans="1:10" x14ac:dyDescent="0.3">
      <c r="A2671" t="s">
        <v>6</v>
      </c>
      <c r="B2671" t="str">
        <f>"01/21/2009 00:00"</f>
        <v>01/21/2009 00:00</v>
      </c>
      <c r="C2671">
        <v>70.2</v>
      </c>
      <c r="D2671" t="s">
        <v>7</v>
      </c>
      <c r="E2671" s="2" t="s">
        <v>12</v>
      </c>
      <c r="F2671">
        <f t="shared" si="41"/>
        <v>139.20660000000001</v>
      </c>
      <c r="G2671" t="s">
        <v>16</v>
      </c>
      <c r="J2671" t="str">
        <f>"01/21/2009 23:45"</f>
        <v>01/21/2009 23:45</v>
      </c>
    </row>
    <row r="2672" spans="1:10" x14ac:dyDescent="0.3">
      <c r="A2672" t="s">
        <v>6</v>
      </c>
      <c r="B2672" t="str">
        <f>"01/22/2009 00:00"</f>
        <v>01/22/2009 00:00</v>
      </c>
      <c r="C2672">
        <v>70.2</v>
      </c>
      <c r="D2672" t="s">
        <v>7</v>
      </c>
      <c r="E2672" s="2" t="s">
        <v>12</v>
      </c>
      <c r="F2672">
        <f t="shared" si="41"/>
        <v>139.20660000000001</v>
      </c>
      <c r="G2672" t="s">
        <v>16</v>
      </c>
      <c r="J2672" t="str">
        <f>"01/22/2009 23:45"</f>
        <v>01/22/2009 23:45</v>
      </c>
    </row>
    <row r="2673" spans="1:10" x14ac:dyDescent="0.3">
      <c r="A2673" t="s">
        <v>6</v>
      </c>
      <c r="B2673" t="str">
        <f>"01/23/2009 00:00"</f>
        <v>01/23/2009 00:00</v>
      </c>
      <c r="C2673">
        <v>70.2</v>
      </c>
      <c r="D2673" t="s">
        <v>7</v>
      </c>
      <c r="E2673" s="2" t="s">
        <v>12</v>
      </c>
      <c r="F2673">
        <f t="shared" si="41"/>
        <v>139.20660000000001</v>
      </c>
      <c r="G2673" t="s">
        <v>16</v>
      </c>
      <c r="J2673" t="str">
        <f>"01/23/2009 23:45"</f>
        <v>01/23/2009 23:45</v>
      </c>
    </row>
    <row r="2674" spans="1:10" x14ac:dyDescent="0.3">
      <c r="A2674" t="s">
        <v>6</v>
      </c>
      <c r="B2674" t="str">
        <f>"01/24/2009 00:00"</f>
        <v>01/24/2009 00:00</v>
      </c>
      <c r="C2674">
        <v>70.2</v>
      </c>
      <c r="D2674" t="s">
        <v>7</v>
      </c>
      <c r="E2674" s="2" t="s">
        <v>12</v>
      </c>
      <c r="F2674">
        <f t="shared" si="41"/>
        <v>139.20660000000001</v>
      </c>
      <c r="G2674" t="s">
        <v>16</v>
      </c>
      <c r="J2674" t="str">
        <f>"01/24/2009 23:45"</f>
        <v>01/24/2009 23:45</v>
      </c>
    </row>
    <row r="2675" spans="1:10" x14ac:dyDescent="0.3">
      <c r="A2675" t="s">
        <v>6</v>
      </c>
      <c r="B2675" t="str">
        <f>"01/25/2009 00:00"</f>
        <v>01/25/2009 00:00</v>
      </c>
      <c r="C2675">
        <v>70.2</v>
      </c>
      <c r="D2675" t="s">
        <v>7</v>
      </c>
      <c r="E2675" s="2" t="s">
        <v>12</v>
      </c>
      <c r="F2675">
        <f t="shared" si="41"/>
        <v>139.20660000000001</v>
      </c>
      <c r="G2675" t="s">
        <v>16</v>
      </c>
      <c r="J2675" t="str">
        <f>"01/25/2009 23:45"</f>
        <v>01/25/2009 23:45</v>
      </c>
    </row>
    <row r="2676" spans="1:10" x14ac:dyDescent="0.3">
      <c r="A2676" t="s">
        <v>6</v>
      </c>
      <c r="B2676" t="str">
        <f>"01/26/2009 00:00"</f>
        <v>01/26/2009 00:00</v>
      </c>
      <c r="C2676">
        <v>70.3</v>
      </c>
      <c r="D2676" t="s">
        <v>7</v>
      </c>
      <c r="E2676" s="2" t="s">
        <v>12</v>
      </c>
      <c r="F2676">
        <f t="shared" si="41"/>
        <v>139.4049</v>
      </c>
      <c r="G2676" t="s">
        <v>16</v>
      </c>
      <c r="J2676" t="str">
        <f>"01/26/2009 23:45"</f>
        <v>01/26/2009 23:45</v>
      </c>
    </row>
    <row r="2677" spans="1:10" x14ac:dyDescent="0.3">
      <c r="A2677" t="s">
        <v>6</v>
      </c>
      <c r="B2677" t="str">
        <f>"01/27/2009 00:00"</f>
        <v>01/27/2009 00:00</v>
      </c>
      <c r="C2677">
        <v>70.2</v>
      </c>
      <c r="D2677" t="s">
        <v>7</v>
      </c>
      <c r="E2677" s="2" t="s">
        <v>12</v>
      </c>
      <c r="F2677">
        <f t="shared" si="41"/>
        <v>139.20660000000001</v>
      </c>
      <c r="G2677" t="s">
        <v>16</v>
      </c>
      <c r="J2677" t="str">
        <f>"01/27/2009 23:45"</f>
        <v>01/27/2009 23:45</v>
      </c>
    </row>
    <row r="2678" spans="1:10" x14ac:dyDescent="0.3">
      <c r="A2678" t="s">
        <v>6</v>
      </c>
      <c r="B2678" t="str">
        <f>"01/28/2009 00:00"</f>
        <v>01/28/2009 00:00</v>
      </c>
      <c r="C2678">
        <v>70.2</v>
      </c>
      <c r="D2678" t="s">
        <v>7</v>
      </c>
      <c r="E2678" s="2" t="s">
        <v>12</v>
      </c>
      <c r="F2678">
        <f t="shared" si="41"/>
        <v>139.20660000000001</v>
      </c>
      <c r="G2678" t="s">
        <v>16</v>
      </c>
      <c r="J2678" t="str">
        <f>"01/28/2009 23:45"</f>
        <v>01/28/2009 23:45</v>
      </c>
    </row>
    <row r="2679" spans="1:10" x14ac:dyDescent="0.3">
      <c r="A2679" t="s">
        <v>6</v>
      </c>
      <c r="B2679" t="str">
        <f>"01/29/2009 00:00"</f>
        <v>01/29/2009 00:00</v>
      </c>
      <c r="C2679">
        <v>70.3</v>
      </c>
      <c r="D2679" t="s">
        <v>7</v>
      </c>
      <c r="E2679" s="2" t="s">
        <v>12</v>
      </c>
      <c r="F2679">
        <f t="shared" si="41"/>
        <v>139.4049</v>
      </c>
      <c r="G2679" t="s">
        <v>16</v>
      </c>
      <c r="J2679" t="str">
        <f>"01/29/2009 23:45"</f>
        <v>01/29/2009 23:45</v>
      </c>
    </row>
    <row r="2680" spans="1:10" x14ac:dyDescent="0.3">
      <c r="A2680" t="s">
        <v>6</v>
      </c>
      <c r="B2680" t="str">
        <f>"01/30/2009 00:00"</f>
        <v>01/30/2009 00:00</v>
      </c>
      <c r="C2680">
        <v>70.2</v>
      </c>
      <c r="D2680" t="s">
        <v>7</v>
      </c>
      <c r="E2680" s="2" t="s">
        <v>12</v>
      </c>
      <c r="F2680">
        <f t="shared" si="41"/>
        <v>139.20660000000001</v>
      </c>
      <c r="G2680" t="s">
        <v>16</v>
      </c>
      <c r="J2680" t="str">
        <f>"01/30/2009 23:45"</f>
        <v>01/30/2009 23:45</v>
      </c>
    </row>
    <row r="2681" spans="1:10" x14ac:dyDescent="0.3">
      <c r="A2681" t="s">
        <v>6</v>
      </c>
      <c r="B2681" t="str">
        <f>"01/31/2009 00:00"</f>
        <v>01/31/2009 00:00</v>
      </c>
      <c r="C2681">
        <v>70.2</v>
      </c>
      <c r="D2681" t="s">
        <v>7</v>
      </c>
      <c r="E2681" s="2" t="s">
        <v>12</v>
      </c>
      <c r="F2681">
        <f t="shared" si="41"/>
        <v>139.20660000000001</v>
      </c>
      <c r="G2681" t="s">
        <v>16</v>
      </c>
      <c r="J2681" t="str">
        <f>"01/31/2009 23:45"</f>
        <v>01/31/2009 23:45</v>
      </c>
    </row>
    <row r="2682" spans="1:10" x14ac:dyDescent="0.3">
      <c r="A2682" t="s">
        <v>6</v>
      </c>
      <c r="B2682" t="str">
        <f>"02/01/2009 00:00"</f>
        <v>02/01/2009 00:00</v>
      </c>
      <c r="C2682">
        <v>70.2</v>
      </c>
      <c r="D2682" t="s">
        <v>7</v>
      </c>
      <c r="E2682" s="2" t="s">
        <v>12</v>
      </c>
      <c r="F2682">
        <f t="shared" si="41"/>
        <v>139.20660000000001</v>
      </c>
      <c r="G2682" t="s">
        <v>16</v>
      </c>
      <c r="J2682" t="str">
        <f>"02/01/2009 23:45"</f>
        <v>02/01/2009 23:45</v>
      </c>
    </row>
    <row r="2683" spans="1:10" x14ac:dyDescent="0.3">
      <c r="A2683" t="s">
        <v>6</v>
      </c>
      <c r="B2683" t="str">
        <f>"02/02/2009 00:00"</f>
        <v>02/02/2009 00:00</v>
      </c>
      <c r="C2683">
        <v>70.2</v>
      </c>
      <c r="D2683" t="s">
        <v>7</v>
      </c>
      <c r="E2683" s="2" t="s">
        <v>12</v>
      </c>
      <c r="F2683">
        <f t="shared" si="41"/>
        <v>139.20660000000001</v>
      </c>
      <c r="G2683" t="s">
        <v>16</v>
      </c>
      <c r="J2683" t="str">
        <f>"02/02/2009 23:45"</f>
        <v>02/02/2009 23:45</v>
      </c>
    </row>
    <row r="2684" spans="1:10" x14ac:dyDescent="0.3">
      <c r="A2684" t="s">
        <v>6</v>
      </c>
      <c r="B2684" t="str">
        <f>"02/03/2009 00:00"</f>
        <v>02/03/2009 00:00</v>
      </c>
      <c r="C2684">
        <v>69.599999999999994</v>
      </c>
      <c r="D2684" t="s">
        <v>7</v>
      </c>
      <c r="E2684" s="2" t="s">
        <v>12</v>
      </c>
      <c r="F2684">
        <f t="shared" si="41"/>
        <v>138.01679999999999</v>
      </c>
      <c r="G2684" t="s">
        <v>16</v>
      </c>
      <c r="J2684" t="str">
        <f>"02/03/2009 23:45"</f>
        <v>02/03/2009 23:45</v>
      </c>
    </row>
    <row r="2685" spans="1:10" x14ac:dyDescent="0.3">
      <c r="A2685" t="s">
        <v>6</v>
      </c>
      <c r="B2685" t="str">
        <f>"02/04/2009 00:00"</f>
        <v>02/04/2009 00:00</v>
      </c>
      <c r="C2685">
        <v>68.900000000000006</v>
      </c>
      <c r="D2685" t="s">
        <v>7</v>
      </c>
      <c r="E2685" s="2" t="s">
        <v>12</v>
      </c>
      <c r="F2685">
        <f t="shared" si="41"/>
        <v>136.62870000000001</v>
      </c>
      <c r="G2685" t="s">
        <v>16</v>
      </c>
      <c r="J2685" t="str">
        <f>"02/04/2009 23:45"</f>
        <v>02/04/2009 23:45</v>
      </c>
    </row>
    <row r="2686" spans="1:10" x14ac:dyDescent="0.3">
      <c r="A2686" t="s">
        <v>6</v>
      </c>
      <c r="B2686" t="str">
        <f>"02/05/2009 00:00"</f>
        <v>02/05/2009 00:00</v>
      </c>
      <c r="C2686">
        <v>69.5</v>
      </c>
      <c r="D2686" t="s">
        <v>7</v>
      </c>
      <c r="E2686" s="2" t="s">
        <v>12</v>
      </c>
      <c r="F2686">
        <f t="shared" si="41"/>
        <v>137.8185</v>
      </c>
      <c r="G2686" t="s">
        <v>16</v>
      </c>
      <c r="J2686" t="str">
        <f>"02/05/2009 23:45"</f>
        <v>02/05/2009 23:45</v>
      </c>
    </row>
    <row r="2687" spans="1:10" x14ac:dyDescent="0.3">
      <c r="A2687" t="s">
        <v>6</v>
      </c>
      <c r="B2687" t="str">
        <f>"02/06/2009 00:00"</f>
        <v>02/06/2009 00:00</v>
      </c>
      <c r="C2687">
        <v>67.8</v>
      </c>
      <c r="D2687" t="s">
        <v>7</v>
      </c>
      <c r="E2687" s="2" t="s">
        <v>12</v>
      </c>
      <c r="F2687">
        <f t="shared" si="41"/>
        <v>134.44739999999999</v>
      </c>
      <c r="G2687" t="s">
        <v>16</v>
      </c>
      <c r="J2687" t="str">
        <f>"02/06/2009 23:45"</f>
        <v>02/06/2009 23:45</v>
      </c>
    </row>
    <row r="2688" spans="1:10" x14ac:dyDescent="0.3">
      <c r="A2688" t="s">
        <v>6</v>
      </c>
      <c r="B2688" t="str">
        <f>"02/07/2009 00:00"</f>
        <v>02/07/2009 00:00</v>
      </c>
      <c r="C2688">
        <v>66.8</v>
      </c>
      <c r="D2688" t="s">
        <v>7</v>
      </c>
      <c r="E2688" s="2" t="s">
        <v>12</v>
      </c>
      <c r="F2688">
        <f t="shared" si="41"/>
        <v>132.46440000000001</v>
      </c>
      <c r="G2688" t="s">
        <v>16</v>
      </c>
      <c r="J2688" t="str">
        <f>"02/07/2009 23:45"</f>
        <v>02/07/2009 23:45</v>
      </c>
    </row>
    <row r="2689" spans="1:10" x14ac:dyDescent="0.3">
      <c r="A2689" t="s">
        <v>6</v>
      </c>
      <c r="B2689" t="str">
        <f>"02/08/2009 00:00"</f>
        <v>02/08/2009 00:00</v>
      </c>
      <c r="C2689">
        <v>68.3</v>
      </c>
      <c r="D2689" t="s">
        <v>7</v>
      </c>
      <c r="E2689" s="2" t="s">
        <v>12</v>
      </c>
      <c r="F2689">
        <f t="shared" si="41"/>
        <v>135.43889999999999</v>
      </c>
      <c r="G2689" t="s">
        <v>16</v>
      </c>
      <c r="J2689" t="str">
        <f>"02/08/2009 23:45"</f>
        <v>02/08/2009 23:45</v>
      </c>
    </row>
    <row r="2690" spans="1:10" x14ac:dyDescent="0.3">
      <c r="A2690" t="s">
        <v>6</v>
      </c>
      <c r="B2690" t="str">
        <f>"02/09/2009 00:00"</f>
        <v>02/09/2009 00:00</v>
      </c>
      <c r="C2690">
        <v>69.099999999999994</v>
      </c>
      <c r="D2690" t="s">
        <v>7</v>
      </c>
      <c r="E2690" s="2" t="s">
        <v>12</v>
      </c>
      <c r="F2690">
        <f t="shared" si="41"/>
        <v>137.02529999999999</v>
      </c>
      <c r="G2690" t="s">
        <v>16</v>
      </c>
      <c r="J2690" t="str">
        <f>"02/09/2009 23:45"</f>
        <v>02/09/2009 23:45</v>
      </c>
    </row>
    <row r="2691" spans="1:10" x14ac:dyDescent="0.3">
      <c r="A2691" t="s">
        <v>6</v>
      </c>
      <c r="B2691" t="str">
        <f>"02/10/2009 00:00"</f>
        <v>02/10/2009 00:00</v>
      </c>
      <c r="C2691">
        <v>69.099999999999994</v>
      </c>
      <c r="D2691" t="s">
        <v>7</v>
      </c>
      <c r="E2691" s="2" t="s">
        <v>12</v>
      </c>
      <c r="F2691">
        <f t="shared" si="41"/>
        <v>137.02529999999999</v>
      </c>
      <c r="G2691" t="s">
        <v>16</v>
      </c>
      <c r="J2691" t="str">
        <f>"02/10/2009 23:45"</f>
        <v>02/10/2009 23:45</v>
      </c>
    </row>
    <row r="2692" spans="1:10" x14ac:dyDescent="0.3">
      <c r="A2692" t="s">
        <v>6</v>
      </c>
      <c r="B2692" t="str">
        <f>"02/11/2009 00:00"</f>
        <v>02/11/2009 00:00</v>
      </c>
      <c r="C2692">
        <v>68.8</v>
      </c>
      <c r="D2692" t="s">
        <v>7</v>
      </c>
      <c r="E2692" s="2" t="s">
        <v>12</v>
      </c>
      <c r="F2692">
        <f t="shared" ref="F2692:F2755" si="42">C2692*1.983</f>
        <v>136.43039999999999</v>
      </c>
      <c r="G2692" t="s">
        <v>16</v>
      </c>
      <c r="J2692" t="str">
        <f>"02/11/2009 23:45"</f>
        <v>02/11/2009 23:45</v>
      </c>
    </row>
    <row r="2693" spans="1:10" x14ac:dyDescent="0.3">
      <c r="A2693" t="s">
        <v>6</v>
      </c>
      <c r="B2693" t="str">
        <f>"02/12/2009 00:00"</f>
        <v>02/12/2009 00:00</v>
      </c>
      <c r="C2693">
        <v>70.2</v>
      </c>
      <c r="D2693" t="s">
        <v>7</v>
      </c>
      <c r="E2693" s="2" t="s">
        <v>12</v>
      </c>
      <c r="F2693">
        <f t="shared" si="42"/>
        <v>139.20660000000001</v>
      </c>
      <c r="G2693" t="s">
        <v>16</v>
      </c>
      <c r="J2693" t="str">
        <f>"02/12/2009 23:45"</f>
        <v>02/12/2009 23:45</v>
      </c>
    </row>
    <row r="2694" spans="1:10" x14ac:dyDescent="0.3">
      <c r="A2694" t="s">
        <v>6</v>
      </c>
      <c r="B2694" t="str">
        <f>"02/13/2009 00:00"</f>
        <v>02/13/2009 00:00</v>
      </c>
      <c r="C2694">
        <v>70.2</v>
      </c>
      <c r="D2694" t="s">
        <v>7</v>
      </c>
      <c r="E2694" s="2" t="s">
        <v>12</v>
      </c>
      <c r="F2694">
        <f t="shared" si="42"/>
        <v>139.20660000000001</v>
      </c>
      <c r="G2694" t="s">
        <v>16</v>
      </c>
      <c r="J2694" t="str">
        <f>"02/13/2009 23:45"</f>
        <v>02/13/2009 23:45</v>
      </c>
    </row>
    <row r="2695" spans="1:10" x14ac:dyDescent="0.3">
      <c r="A2695" t="s">
        <v>6</v>
      </c>
      <c r="B2695" t="str">
        <f>"02/14/2009 00:00"</f>
        <v>02/14/2009 00:00</v>
      </c>
      <c r="C2695">
        <v>70.2</v>
      </c>
      <c r="D2695" t="s">
        <v>7</v>
      </c>
      <c r="E2695" s="2" t="s">
        <v>12</v>
      </c>
      <c r="F2695">
        <f t="shared" si="42"/>
        <v>139.20660000000001</v>
      </c>
      <c r="G2695" t="s">
        <v>16</v>
      </c>
      <c r="J2695" t="str">
        <f>"02/14/2009 23:45"</f>
        <v>02/14/2009 23:45</v>
      </c>
    </row>
    <row r="2696" spans="1:10" x14ac:dyDescent="0.3">
      <c r="A2696" t="s">
        <v>6</v>
      </c>
      <c r="B2696" t="str">
        <f>"02/15/2009 00:00"</f>
        <v>02/15/2009 00:00</v>
      </c>
      <c r="C2696">
        <v>69.900000000000006</v>
      </c>
      <c r="D2696" t="s">
        <v>7</v>
      </c>
      <c r="E2696" s="2" t="s">
        <v>12</v>
      </c>
      <c r="F2696">
        <f t="shared" si="42"/>
        <v>138.61170000000001</v>
      </c>
      <c r="G2696" t="s">
        <v>16</v>
      </c>
      <c r="J2696" t="str">
        <f>"02/15/2009 23:45"</f>
        <v>02/15/2009 23:45</v>
      </c>
    </row>
    <row r="2697" spans="1:10" x14ac:dyDescent="0.3">
      <c r="A2697" t="s">
        <v>6</v>
      </c>
      <c r="B2697" t="str">
        <f>"02/16/2009 00:00"</f>
        <v>02/16/2009 00:00</v>
      </c>
      <c r="C2697">
        <v>68.8</v>
      </c>
      <c r="D2697" t="s">
        <v>7</v>
      </c>
      <c r="E2697" s="2" t="s">
        <v>12</v>
      </c>
      <c r="F2697">
        <f t="shared" si="42"/>
        <v>136.43039999999999</v>
      </c>
      <c r="G2697" t="s">
        <v>16</v>
      </c>
      <c r="J2697" t="str">
        <f>"02/16/2009 23:45"</f>
        <v>02/16/2009 23:45</v>
      </c>
    </row>
    <row r="2698" spans="1:10" x14ac:dyDescent="0.3">
      <c r="A2698" t="s">
        <v>6</v>
      </c>
      <c r="B2698" t="str">
        <f>"02/17/2009 00:00"</f>
        <v>02/17/2009 00:00</v>
      </c>
      <c r="C2698">
        <v>68.2</v>
      </c>
      <c r="D2698" t="s">
        <v>7</v>
      </c>
      <c r="E2698" s="2" t="s">
        <v>12</v>
      </c>
      <c r="F2698">
        <f t="shared" si="42"/>
        <v>135.2406</v>
      </c>
      <c r="G2698" t="s">
        <v>16</v>
      </c>
      <c r="J2698" t="str">
        <f>"02/17/2009 23:45"</f>
        <v>02/17/2009 23:45</v>
      </c>
    </row>
    <row r="2699" spans="1:10" x14ac:dyDescent="0.3">
      <c r="A2699" t="s">
        <v>6</v>
      </c>
      <c r="B2699" t="str">
        <f>"02/18/2009 00:00"</f>
        <v>02/18/2009 00:00</v>
      </c>
      <c r="C2699">
        <v>67.900000000000006</v>
      </c>
      <c r="D2699" t="s">
        <v>7</v>
      </c>
      <c r="E2699" s="2" t="s">
        <v>12</v>
      </c>
      <c r="F2699">
        <f t="shared" si="42"/>
        <v>134.64570000000001</v>
      </c>
      <c r="G2699" t="s">
        <v>16</v>
      </c>
      <c r="J2699" t="str">
        <f>"02/18/2009 23:45"</f>
        <v>02/18/2009 23:45</v>
      </c>
    </row>
    <row r="2700" spans="1:10" x14ac:dyDescent="0.3">
      <c r="A2700" t="s">
        <v>6</v>
      </c>
      <c r="B2700" t="str">
        <f>"02/19/2009 00:00"</f>
        <v>02/19/2009 00:00</v>
      </c>
      <c r="C2700">
        <v>68</v>
      </c>
      <c r="D2700" t="s">
        <v>7</v>
      </c>
      <c r="E2700" s="2" t="s">
        <v>12</v>
      </c>
      <c r="F2700">
        <f t="shared" si="42"/>
        <v>134.84399999999999</v>
      </c>
      <c r="G2700" t="s">
        <v>16</v>
      </c>
      <c r="J2700" t="str">
        <f>"02/19/2009 23:45"</f>
        <v>02/19/2009 23:45</v>
      </c>
    </row>
    <row r="2701" spans="1:10" x14ac:dyDescent="0.3">
      <c r="A2701" t="s">
        <v>6</v>
      </c>
      <c r="B2701" t="str">
        <f>"02/20/2009 00:00"</f>
        <v>02/20/2009 00:00</v>
      </c>
      <c r="C2701">
        <v>67.599999999999994</v>
      </c>
      <c r="D2701" t="s">
        <v>7</v>
      </c>
      <c r="E2701" s="2" t="s">
        <v>12</v>
      </c>
      <c r="F2701">
        <f t="shared" si="42"/>
        <v>134.05079999999998</v>
      </c>
      <c r="G2701" t="s">
        <v>16</v>
      </c>
      <c r="J2701" t="str">
        <f>"02/20/2009 23:45"</f>
        <v>02/20/2009 23:45</v>
      </c>
    </row>
    <row r="2702" spans="1:10" x14ac:dyDescent="0.3">
      <c r="A2702" t="s">
        <v>6</v>
      </c>
      <c r="B2702" t="str">
        <f>"02/21/2009 00:00"</f>
        <v>02/21/2009 00:00</v>
      </c>
      <c r="C2702">
        <v>68</v>
      </c>
      <c r="D2702" t="s">
        <v>7</v>
      </c>
      <c r="E2702" s="2" t="s">
        <v>12</v>
      </c>
      <c r="F2702">
        <f t="shared" si="42"/>
        <v>134.84399999999999</v>
      </c>
      <c r="G2702" t="s">
        <v>16</v>
      </c>
      <c r="J2702" t="str">
        <f>"02/21/2009 23:45"</f>
        <v>02/21/2009 23:45</v>
      </c>
    </row>
    <row r="2703" spans="1:10" x14ac:dyDescent="0.3">
      <c r="A2703" t="s">
        <v>6</v>
      </c>
      <c r="B2703" t="str">
        <f>"02/22/2009 00:00"</f>
        <v>02/22/2009 00:00</v>
      </c>
      <c r="C2703">
        <v>67.900000000000006</v>
      </c>
      <c r="D2703" t="s">
        <v>7</v>
      </c>
      <c r="E2703" s="2" t="s">
        <v>12</v>
      </c>
      <c r="F2703">
        <f t="shared" si="42"/>
        <v>134.64570000000001</v>
      </c>
      <c r="G2703" t="s">
        <v>16</v>
      </c>
      <c r="J2703" t="str">
        <f>"02/22/2009 23:45"</f>
        <v>02/22/2009 23:45</v>
      </c>
    </row>
    <row r="2704" spans="1:10" x14ac:dyDescent="0.3">
      <c r="A2704" t="s">
        <v>6</v>
      </c>
      <c r="B2704" t="str">
        <f>"02/23/2009 00:00"</f>
        <v>02/23/2009 00:00</v>
      </c>
      <c r="C2704">
        <v>68</v>
      </c>
      <c r="D2704" t="s">
        <v>7</v>
      </c>
      <c r="E2704" s="2" t="s">
        <v>12</v>
      </c>
      <c r="F2704">
        <f t="shared" si="42"/>
        <v>134.84399999999999</v>
      </c>
      <c r="G2704" t="s">
        <v>16</v>
      </c>
      <c r="J2704" t="str">
        <f>"02/23/2009 23:45"</f>
        <v>02/23/2009 23:45</v>
      </c>
    </row>
    <row r="2705" spans="1:10" x14ac:dyDescent="0.3">
      <c r="A2705" t="s">
        <v>6</v>
      </c>
      <c r="B2705" t="str">
        <f>"02/24/2009 00:00"</f>
        <v>02/24/2009 00:00</v>
      </c>
      <c r="C2705">
        <v>67.900000000000006</v>
      </c>
      <c r="D2705" t="s">
        <v>7</v>
      </c>
      <c r="E2705" s="2" t="s">
        <v>12</v>
      </c>
      <c r="F2705">
        <f t="shared" si="42"/>
        <v>134.64570000000001</v>
      </c>
      <c r="G2705" t="s">
        <v>16</v>
      </c>
      <c r="J2705" t="str">
        <f>"02/24/2009 23:45"</f>
        <v>02/24/2009 23:45</v>
      </c>
    </row>
    <row r="2706" spans="1:10" x14ac:dyDescent="0.3">
      <c r="A2706" t="s">
        <v>6</v>
      </c>
      <c r="B2706" t="str">
        <f>"02/25/2009 00:00"</f>
        <v>02/25/2009 00:00</v>
      </c>
      <c r="C2706">
        <v>67.900000000000006</v>
      </c>
      <c r="D2706" t="s">
        <v>7</v>
      </c>
      <c r="E2706" s="2" t="s">
        <v>12</v>
      </c>
      <c r="F2706">
        <f t="shared" si="42"/>
        <v>134.64570000000001</v>
      </c>
      <c r="G2706" t="s">
        <v>16</v>
      </c>
      <c r="J2706" t="str">
        <f>"02/25/2009 23:45"</f>
        <v>02/25/2009 23:45</v>
      </c>
    </row>
    <row r="2707" spans="1:10" x14ac:dyDescent="0.3">
      <c r="A2707" t="s">
        <v>6</v>
      </c>
      <c r="B2707" t="str">
        <f>"02/26/2009 00:00"</f>
        <v>02/26/2009 00:00</v>
      </c>
      <c r="C2707">
        <v>67.900000000000006</v>
      </c>
      <c r="D2707" t="s">
        <v>7</v>
      </c>
      <c r="E2707" s="2" t="s">
        <v>12</v>
      </c>
      <c r="F2707">
        <f t="shared" si="42"/>
        <v>134.64570000000001</v>
      </c>
      <c r="G2707" t="s">
        <v>16</v>
      </c>
      <c r="J2707" t="str">
        <f>"02/26/2009 23:45"</f>
        <v>02/26/2009 23:45</v>
      </c>
    </row>
    <row r="2708" spans="1:10" x14ac:dyDescent="0.3">
      <c r="A2708" t="s">
        <v>6</v>
      </c>
      <c r="B2708" t="str">
        <f>"02/27/2009 00:00"</f>
        <v>02/27/2009 00:00</v>
      </c>
      <c r="C2708">
        <v>68</v>
      </c>
      <c r="D2708" t="s">
        <v>7</v>
      </c>
      <c r="E2708" s="2" t="s">
        <v>12</v>
      </c>
      <c r="F2708">
        <f t="shared" si="42"/>
        <v>134.84399999999999</v>
      </c>
      <c r="G2708" t="s">
        <v>16</v>
      </c>
      <c r="J2708" t="str">
        <f>"02/27/2009 23:45"</f>
        <v>02/27/2009 23:45</v>
      </c>
    </row>
    <row r="2709" spans="1:10" x14ac:dyDescent="0.3">
      <c r="A2709" t="s">
        <v>6</v>
      </c>
      <c r="B2709" t="str">
        <f>"02/28/2009 00:00"</f>
        <v>02/28/2009 00:00</v>
      </c>
      <c r="C2709">
        <v>68</v>
      </c>
      <c r="D2709" t="s">
        <v>7</v>
      </c>
      <c r="E2709" s="2" t="s">
        <v>12</v>
      </c>
      <c r="F2709">
        <f t="shared" si="42"/>
        <v>134.84399999999999</v>
      </c>
      <c r="G2709" t="s">
        <v>16</v>
      </c>
      <c r="J2709" t="str">
        <f>"02/28/2009 23:45"</f>
        <v>02/28/2009 23:45</v>
      </c>
    </row>
    <row r="2710" spans="1:10" x14ac:dyDescent="0.3">
      <c r="A2710" t="s">
        <v>6</v>
      </c>
      <c r="B2710" t="str">
        <f>"03/01/2009 00:00"</f>
        <v>03/01/2009 00:00</v>
      </c>
      <c r="C2710">
        <v>68.2</v>
      </c>
      <c r="D2710" t="s">
        <v>7</v>
      </c>
      <c r="E2710" s="2" t="s">
        <v>12</v>
      </c>
      <c r="F2710">
        <f t="shared" si="42"/>
        <v>135.2406</v>
      </c>
      <c r="G2710" t="s">
        <v>16</v>
      </c>
      <c r="J2710" t="str">
        <f>"03/01/2009 23:45"</f>
        <v>03/01/2009 23:45</v>
      </c>
    </row>
    <row r="2711" spans="1:10" x14ac:dyDescent="0.3">
      <c r="A2711" t="s">
        <v>6</v>
      </c>
      <c r="B2711" t="str">
        <f>"03/02/2009 00:00"</f>
        <v>03/02/2009 00:00</v>
      </c>
      <c r="C2711">
        <v>67.900000000000006</v>
      </c>
      <c r="D2711" t="s">
        <v>7</v>
      </c>
      <c r="E2711" s="2" t="s">
        <v>12</v>
      </c>
      <c r="F2711">
        <f t="shared" si="42"/>
        <v>134.64570000000001</v>
      </c>
      <c r="G2711" t="s">
        <v>16</v>
      </c>
      <c r="J2711" t="str">
        <f>"03/02/2009 23:45"</f>
        <v>03/02/2009 23:45</v>
      </c>
    </row>
    <row r="2712" spans="1:10" x14ac:dyDescent="0.3">
      <c r="A2712" t="s">
        <v>6</v>
      </c>
      <c r="B2712" t="str">
        <f>"03/03/2009 00:00"</f>
        <v>03/03/2009 00:00</v>
      </c>
      <c r="C2712">
        <v>67.900000000000006</v>
      </c>
      <c r="D2712" t="s">
        <v>7</v>
      </c>
      <c r="E2712" s="2" t="s">
        <v>12</v>
      </c>
      <c r="F2712">
        <f t="shared" si="42"/>
        <v>134.64570000000001</v>
      </c>
      <c r="G2712" t="s">
        <v>16</v>
      </c>
      <c r="J2712" t="str">
        <f>"03/03/2009 23:45"</f>
        <v>03/03/2009 23:45</v>
      </c>
    </row>
    <row r="2713" spans="1:10" x14ac:dyDescent="0.3">
      <c r="A2713" t="s">
        <v>6</v>
      </c>
      <c r="B2713" t="str">
        <f>"03/04/2009 00:00"</f>
        <v>03/04/2009 00:00</v>
      </c>
      <c r="C2713">
        <v>67.900000000000006</v>
      </c>
      <c r="D2713" t="s">
        <v>7</v>
      </c>
      <c r="E2713" s="2" t="s">
        <v>12</v>
      </c>
      <c r="F2713">
        <f t="shared" si="42"/>
        <v>134.64570000000001</v>
      </c>
      <c r="G2713" t="s">
        <v>16</v>
      </c>
      <c r="J2713" t="str">
        <f>"03/04/2009 23:45"</f>
        <v>03/04/2009 23:45</v>
      </c>
    </row>
    <row r="2714" spans="1:10" x14ac:dyDescent="0.3">
      <c r="A2714" t="s">
        <v>6</v>
      </c>
      <c r="B2714" t="str">
        <f>"03/05/2009 00:00"</f>
        <v>03/05/2009 00:00</v>
      </c>
      <c r="C2714">
        <v>67.900000000000006</v>
      </c>
      <c r="D2714" t="s">
        <v>7</v>
      </c>
      <c r="E2714" s="2" t="s">
        <v>12</v>
      </c>
      <c r="F2714">
        <f t="shared" si="42"/>
        <v>134.64570000000001</v>
      </c>
      <c r="G2714" t="s">
        <v>16</v>
      </c>
      <c r="J2714" t="str">
        <f>"03/05/2009 23:45"</f>
        <v>03/05/2009 23:45</v>
      </c>
    </row>
    <row r="2715" spans="1:10" x14ac:dyDescent="0.3">
      <c r="A2715" t="s">
        <v>6</v>
      </c>
      <c r="B2715" t="str">
        <f>"03/06/2009 00:00"</f>
        <v>03/06/2009 00:00</v>
      </c>
      <c r="C2715">
        <v>67.900000000000006</v>
      </c>
      <c r="D2715" t="s">
        <v>7</v>
      </c>
      <c r="E2715" s="2" t="s">
        <v>12</v>
      </c>
      <c r="F2715">
        <f t="shared" si="42"/>
        <v>134.64570000000001</v>
      </c>
      <c r="G2715" t="s">
        <v>16</v>
      </c>
      <c r="J2715" t="str">
        <f>"03/06/2009 23:45"</f>
        <v>03/06/2009 23:45</v>
      </c>
    </row>
    <row r="2716" spans="1:10" x14ac:dyDescent="0.3">
      <c r="A2716" t="s">
        <v>6</v>
      </c>
      <c r="B2716" t="str">
        <f>"03/07/2009 00:00"</f>
        <v>03/07/2009 00:00</v>
      </c>
      <c r="C2716">
        <v>68.2</v>
      </c>
      <c r="D2716" t="s">
        <v>7</v>
      </c>
      <c r="E2716" s="2" t="s">
        <v>12</v>
      </c>
      <c r="F2716">
        <f t="shared" si="42"/>
        <v>135.2406</v>
      </c>
      <c r="G2716" t="s">
        <v>16</v>
      </c>
      <c r="J2716" t="str">
        <f>"03/07/2009 23:45"</f>
        <v>03/07/2009 23:45</v>
      </c>
    </row>
    <row r="2717" spans="1:10" x14ac:dyDescent="0.3">
      <c r="A2717" t="s">
        <v>6</v>
      </c>
      <c r="B2717" t="str">
        <f>"03/08/2009 00:00"</f>
        <v>03/08/2009 00:00</v>
      </c>
      <c r="C2717">
        <v>67.900000000000006</v>
      </c>
      <c r="D2717" t="s">
        <v>7</v>
      </c>
      <c r="E2717" s="2" t="s">
        <v>12</v>
      </c>
      <c r="F2717">
        <f t="shared" si="42"/>
        <v>134.64570000000001</v>
      </c>
      <c r="G2717" t="s">
        <v>16</v>
      </c>
      <c r="J2717" t="str">
        <f>"03/08/2009 23:45"</f>
        <v>03/08/2009 23:45</v>
      </c>
    </row>
    <row r="2718" spans="1:10" x14ac:dyDescent="0.3">
      <c r="A2718" t="s">
        <v>6</v>
      </c>
      <c r="B2718" t="str">
        <f>"03/09/2009 00:00"</f>
        <v>03/09/2009 00:00</v>
      </c>
      <c r="C2718">
        <v>68.2</v>
      </c>
      <c r="D2718" t="s">
        <v>7</v>
      </c>
      <c r="E2718" s="2" t="s">
        <v>12</v>
      </c>
      <c r="F2718">
        <f t="shared" si="42"/>
        <v>135.2406</v>
      </c>
      <c r="G2718" t="s">
        <v>16</v>
      </c>
      <c r="J2718" t="str">
        <f>"03/09/2009 23:45"</f>
        <v>03/09/2009 23:45</v>
      </c>
    </row>
    <row r="2719" spans="1:10" x14ac:dyDescent="0.3">
      <c r="A2719" t="s">
        <v>6</v>
      </c>
      <c r="B2719" t="str">
        <f>"03/10/2009 00:00"</f>
        <v>03/10/2009 00:00</v>
      </c>
      <c r="C2719">
        <v>67.900000000000006</v>
      </c>
      <c r="D2719" t="s">
        <v>7</v>
      </c>
      <c r="E2719" s="2" t="s">
        <v>12</v>
      </c>
      <c r="F2719">
        <f t="shared" si="42"/>
        <v>134.64570000000001</v>
      </c>
      <c r="G2719" t="s">
        <v>16</v>
      </c>
      <c r="J2719" t="str">
        <f>"03/10/2009 23:45"</f>
        <v>03/10/2009 23:45</v>
      </c>
    </row>
    <row r="2720" spans="1:10" x14ac:dyDescent="0.3">
      <c r="A2720" t="s">
        <v>6</v>
      </c>
      <c r="B2720" t="str">
        <f>"03/11/2009 00:00"</f>
        <v>03/11/2009 00:00</v>
      </c>
      <c r="C2720">
        <v>68.3</v>
      </c>
      <c r="D2720" t="s">
        <v>7</v>
      </c>
      <c r="E2720" s="2" t="s">
        <v>12</v>
      </c>
      <c r="F2720">
        <f t="shared" si="42"/>
        <v>135.43889999999999</v>
      </c>
      <c r="G2720" t="s">
        <v>16</v>
      </c>
      <c r="J2720" t="str">
        <f>"03/11/2009 23:45"</f>
        <v>03/11/2009 23:45</v>
      </c>
    </row>
    <row r="2721" spans="1:10" x14ac:dyDescent="0.3">
      <c r="A2721" t="s">
        <v>6</v>
      </c>
      <c r="B2721" t="str">
        <f>"03/12/2009 00:00"</f>
        <v>03/12/2009 00:00</v>
      </c>
      <c r="C2721">
        <v>69.7</v>
      </c>
      <c r="D2721" t="s">
        <v>7</v>
      </c>
      <c r="E2721" s="2" t="s">
        <v>12</v>
      </c>
      <c r="F2721">
        <f t="shared" si="42"/>
        <v>138.21510000000001</v>
      </c>
      <c r="G2721" t="s">
        <v>16</v>
      </c>
      <c r="J2721" t="str">
        <f>"03/12/2009 23:45"</f>
        <v>03/12/2009 23:45</v>
      </c>
    </row>
    <row r="2722" spans="1:10" x14ac:dyDescent="0.3">
      <c r="A2722" t="s">
        <v>6</v>
      </c>
      <c r="B2722" t="str">
        <f>"03/13/2009 00:00"</f>
        <v>03/13/2009 00:00</v>
      </c>
      <c r="C2722">
        <v>69.8</v>
      </c>
      <c r="D2722" t="s">
        <v>7</v>
      </c>
      <c r="E2722" s="2" t="s">
        <v>12</v>
      </c>
      <c r="F2722">
        <f t="shared" si="42"/>
        <v>138.4134</v>
      </c>
      <c r="G2722" t="s">
        <v>16</v>
      </c>
      <c r="J2722" t="str">
        <f>"03/13/2009 23:45"</f>
        <v>03/13/2009 23:45</v>
      </c>
    </row>
    <row r="2723" spans="1:10" x14ac:dyDescent="0.3">
      <c r="A2723" t="s">
        <v>6</v>
      </c>
      <c r="B2723" t="str">
        <f>"03/14/2009 00:00"</f>
        <v>03/14/2009 00:00</v>
      </c>
      <c r="C2723">
        <v>71.8</v>
      </c>
      <c r="D2723" t="s">
        <v>7</v>
      </c>
      <c r="E2723" s="2" t="s">
        <v>12</v>
      </c>
      <c r="F2723">
        <f t="shared" si="42"/>
        <v>142.3794</v>
      </c>
      <c r="G2723" t="s">
        <v>16</v>
      </c>
      <c r="J2723" t="str">
        <f>"03/14/2009 23:45"</f>
        <v>03/14/2009 23:45</v>
      </c>
    </row>
    <row r="2724" spans="1:10" x14ac:dyDescent="0.3">
      <c r="A2724" t="s">
        <v>6</v>
      </c>
      <c r="B2724" t="str">
        <f>"03/15/2009 00:00"</f>
        <v>03/15/2009 00:00</v>
      </c>
      <c r="C2724">
        <v>71.400000000000006</v>
      </c>
      <c r="D2724" t="s">
        <v>7</v>
      </c>
      <c r="E2724" s="2" t="s">
        <v>12</v>
      </c>
      <c r="F2724">
        <f t="shared" si="42"/>
        <v>141.58620000000002</v>
      </c>
      <c r="G2724" t="s">
        <v>16</v>
      </c>
      <c r="J2724" t="str">
        <f>"03/15/2009 23:45"</f>
        <v>03/15/2009 23:45</v>
      </c>
    </row>
    <row r="2725" spans="1:10" x14ac:dyDescent="0.3">
      <c r="A2725" t="s">
        <v>6</v>
      </c>
      <c r="B2725" t="str">
        <f>"03/16/2009 00:00"</f>
        <v>03/16/2009 00:00</v>
      </c>
      <c r="C2725">
        <v>70.900000000000006</v>
      </c>
      <c r="D2725" t="s">
        <v>7</v>
      </c>
      <c r="E2725" s="2" t="s">
        <v>12</v>
      </c>
      <c r="F2725">
        <f t="shared" si="42"/>
        <v>140.59470000000002</v>
      </c>
      <c r="G2725" t="s">
        <v>16</v>
      </c>
      <c r="J2725" t="str">
        <f>"03/16/2009 23:45"</f>
        <v>03/16/2009 23:45</v>
      </c>
    </row>
    <row r="2726" spans="1:10" x14ac:dyDescent="0.3">
      <c r="A2726" t="s">
        <v>6</v>
      </c>
      <c r="B2726" t="str">
        <f>"03/17/2009 00:00"</f>
        <v>03/17/2009 00:00</v>
      </c>
      <c r="C2726">
        <v>72.099999999999994</v>
      </c>
      <c r="D2726" t="s">
        <v>7</v>
      </c>
      <c r="E2726" s="2" t="s">
        <v>12</v>
      </c>
      <c r="F2726">
        <f t="shared" si="42"/>
        <v>142.9743</v>
      </c>
      <c r="G2726" t="s">
        <v>16</v>
      </c>
      <c r="J2726" t="str">
        <f>"03/17/2009 23:45"</f>
        <v>03/17/2009 23:45</v>
      </c>
    </row>
    <row r="2727" spans="1:10" x14ac:dyDescent="0.3">
      <c r="A2727" t="s">
        <v>6</v>
      </c>
      <c r="B2727" t="str">
        <f>"03/18/2009 00:00"</f>
        <v>03/18/2009 00:00</v>
      </c>
      <c r="C2727">
        <v>72.599999999999994</v>
      </c>
      <c r="D2727" t="s">
        <v>7</v>
      </c>
      <c r="E2727" s="2" t="s">
        <v>12</v>
      </c>
      <c r="F2727">
        <f t="shared" si="42"/>
        <v>143.9658</v>
      </c>
      <c r="G2727" t="s">
        <v>16</v>
      </c>
      <c r="J2727" t="str">
        <f>"03/18/2009 23:45"</f>
        <v>03/18/2009 23:45</v>
      </c>
    </row>
    <row r="2728" spans="1:10" x14ac:dyDescent="0.3">
      <c r="A2728" t="s">
        <v>6</v>
      </c>
      <c r="B2728" t="str">
        <f>"03/19/2009 00:00"</f>
        <v>03/19/2009 00:00</v>
      </c>
      <c r="C2728">
        <v>72.5</v>
      </c>
      <c r="D2728" t="s">
        <v>7</v>
      </c>
      <c r="E2728" s="2" t="s">
        <v>12</v>
      </c>
      <c r="F2728">
        <f t="shared" si="42"/>
        <v>143.76750000000001</v>
      </c>
      <c r="G2728" t="s">
        <v>16</v>
      </c>
      <c r="J2728" t="str">
        <f>"03/19/2009 23:45"</f>
        <v>03/19/2009 23:45</v>
      </c>
    </row>
    <row r="2729" spans="1:10" x14ac:dyDescent="0.3">
      <c r="A2729" t="s">
        <v>6</v>
      </c>
      <c r="B2729" t="str">
        <f>"03/20/2009 00:00"</f>
        <v>03/20/2009 00:00</v>
      </c>
      <c r="C2729">
        <v>71.400000000000006</v>
      </c>
      <c r="D2729" t="s">
        <v>7</v>
      </c>
      <c r="E2729" s="2" t="s">
        <v>12</v>
      </c>
      <c r="F2729">
        <f t="shared" si="42"/>
        <v>141.58620000000002</v>
      </c>
      <c r="G2729" t="s">
        <v>16</v>
      </c>
      <c r="J2729" t="str">
        <f>"03/20/2009 23:45"</f>
        <v>03/20/2009 23:45</v>
      </c>
    </row>
    <row r="2730" spans="1:10" x14ac:dyDescent="0.3">
      <c r="A2730" t="s">
        <v>6</v>
      </c>
      <c r="B2730" t="str">
        <f>"03/21/2009 00:00"</f>
        <v>03/21/2009 00:00</v>
      </c>
      <c r="C2730">
        <v>71.3</v>
      </c>
      <c r="D2730" t="s">
        <v>7</v>
      </c>
      <c r="E2730" s="2" t="s">
        <v>12</v>
      </c>
      <c r="F2730">
        <f t="shared" si="42"/>
        <v>141.3879</v>
      </c>
      <c r="G2730" t="s">
        <v>16</v>
      </c>
      <c r="J2730" t="str">
        <f>"03/21/2009 23:45"</f>
        <v>03/21/2009 23:45</v>
      </c>
    </row>
    <row r="2731" spans="1:10" x14ac:dyDescent="0.3">
      <c r="A2731" t="s">
        <v>6</v>
      </c>
      <c r="B2731" t="str">
        <f>"03/22/2009 00:00"</f>
        <v>03/22/2009 00:00</v>
      </c>
      <c r="C2731">
        <v>69.8</v>
      </c>
      <c r="D2731" t="s">
        <v>7</v>
      </c>
      <c r="E2731" s="2" t="s">
        <v>12</v>
      </c>
      <c r="F2731">
        <f t="shared" si="42"/>
        <v>138.4134</v>
      </c>
      <c r="G2731" t="s">
        <v>16</v>
      </c>
      <c r="J2731" t="str">
        <f>"03/22/2009 23:45"</f>
        <v>03/22/2009 23:45</v>
      </c>
    </row>
    <row r="2732" spans="1:10" x14ac:dyDescent="0.3">
      <c r="A2732" t="s">
        <v>6</v>
      </c>
      <c r="B2732" t="str">
        <f>"03/23/2009 00:00"</f>
        <v>03/23/2009 00:00</v>
      </c>
      <c r="C2732">
        <v>69.599999999999994</v>
      </c>
      <c r="D2732" t="s">
        <v>7</v>
      </c>
      <c r="E2732" s="2" t="s">
        <v>12</v>
      </c>
      <c r="F2732">
        <f t="shared" si="42"/>
        <v>138.01679999999999</v>
      </c>
      <c r="G2732" t="s">
        <v>16</v>
      </c>
      <c r="J2732" t="str">
        <f>"03/23/2009 23:45"</f>
        <v>03/23/2009 23:45</v>
      </c>
    </row>
    <row r="2733" spans="1:10" x14ac:dyDescent="0.3">
      <c r="A2733" t="s">
        <v>6</v>
      </c>
      <c r="B2733" t="str">
        <f>"03/24/2009 00:00"</f>
        <v>03/24/2009 00:00</v>
      </c>
      <c r="C2733">
        <v>69.7</v>
      </c>
      <c r="D2733" t="s">
        <v>7</v>
      </c>
      <c r="E2733" s="2" t="s">
        <v>12</v>
      </c>
      <c r="F2733">
        <f t="shared" si="42"/>
        <v>138.21510000000001</v>
      </c>
      <c r="G2733" t="s">
        <v>16</v>
      </c>
      <c r="J2733" t="str">
        <f>"03/24/2009 23:45"</f>
        <v>03/24/2009 23:45</v>
      </c>
    </row>
    <row r="2734" spans="1:10" x14ac:dyDescent="0.3">
      <c r="A2734" t="s">
        <v>6</v>
      </c>
      <c r="B2734" t="str">
        <f>"03/25/2009 00:00"</f>
        <v>03/25/2009 00:00</v>
      </c>
      <c r="C2734">
        <v>69.8</v>
      </c>
      <c r="D2734" t="s">
        <v>7</v>
      </c>
      <c r="E2734" s="2" t="s">
        <v>12</v>
      </c>
      <c r="F2734">
        <f t="shared" si="42"/>
        <v>138.4134</v>
      </c>
      <c r="G2734" t="s">
        <v>16</v>
      </c>
      <c r="J2734" t="str">
        <f>"03/25/2009 23:45"</f>
        <v>03/25/2009 23:45</v>
      </c>
    </row>
    <row r="2735" spans="1:10" x14ac:dyDescent="0.3">
      <c r="A2735" t="s">
        <v>6</v>
      </c>
      <c r="B2735" t="str">
        <f>"03/26/2009 00:00"</f>
        <v>03/26/2009 00:00</v>
      </c>
      <c r="C2735">
        <v>71.7</v>
      </c>
      <c r="D2735" t="s">
        <v>7</v>
      </c>
      <c r="E2735" s="2" t="s">
        <v>12</v>
      </c>
      <c r="F2735">
        <f t="shared" si="42"/>
        <v>142.18110000000001</v>
      </c>
      <c r="G2735" t="s">
        <v>16</v>
      </c>
      <c r="J2735" t="str">
        <f>"03/26/2009 23:45"</f>
        <v>03/26/2009 23:45</v>
      </c>
    </row>
    <row r="2736" spans="1:10" x14ac:dyDescent="0.3">
      <c r="A2736" t="s">
        <v>6</v>
      </c>
      <c r="B2736" t="str">
        <f>"03/27/2009 00:00"</f>
        <v>03/27/2009 00:00</v>
      </c>
      <c r="C2736">
        <v>71.900000000000006</v>
      </c>
      <c r="D2736" t="s">
        <v>7</v>
      </c>
      <c r="E2736" s="2" t="s">
        <v>12</v>
      </c>
      <c r="F2736">
        <f t="shared" si="42"/>
        <v>142.57770000000002</v>
      </c>
      <c r="G2736" t="s">
        <v>16</v>
      </c>
      <c r="J2736" t="str">
        <f>"03/27/2009 23:45"</f>
        <v>03/27/2009 23:45</v>
      </c>
    </row>
    <row r="2737" spans="1:10" x14ac:dyDescent="0.3">
      <c r="A2737" t="s">
        <v>6</v>
      </c>
      <c r="B2737" t="str">
        <f>"03/28/2009 00:00"</f>
        <v>03/28/2009 00:00</v>
      </c>
      <c r="C2737">
        <v>71.5</v>
      </c>
      <c r="D2737" t="s">
        <v>7</v>
      </c>
      <c r="E2737" s="2" t="s">
        <v>12</v>
      </c>
      <c r="F2737">
        <f t="shared" si="42"/>
        <v>141.78450000000001</v>
      </c>
      <c r="G2737" t="s">
        <v>16</v>
      </c>
      <c r="J2737" t="str">
        <f>"03/28/2009 23:45"</f>
        <v>03/28/2009 23:45</v>
      </c>
    </row>
    <row r="2738" spans="1:10" x14ac:dyDescent="0.3">
      <c r="A2738" t="s">
        <v>6</v>
      </c>
      <c r="B2738" t="str">
        <f>"03/29/2009 00:00"</f>
        <v>03/29/2009 00:00</v>
      </c>
      <c r="C2738">
        <v>71.099999999999994</v>
      </c>
      <c r="D2738" t="s">
        <v>7</v>
      </c>
      <c r="E2738" s="2" t="s">
        <v>12</v>
      </c>
      <c r="F2738">
        <f t="shared" si="42"/>
        <v>140.9913</v>
      </c>
      <c r="G2738" t="s">
        <v>16</v>
      </c>
      <c r="J2738" t="str">
        <f>"03/29/2009 23:45"</f>
        <v>03/29/2009 23:45</v>
      </c>
    </row>
    <row r="2739" spans="1:10" x14ac:dyDescent="0.3">
      <c r="A2739" t="s">
        <v>6</v>
      </c>
      <c r="B2739" t="str">
        <f>"03/30/2009 00:00"</f>
        <v>03/30/2009 00:00</v>
      </c>
      <c r="C2739">
        <v>71.3</v>
      </c>
      <c r="D2739" t="s">
        <v>7</v>
      </c>
      <c r="E2739" s="2" t="s">
        <v>12</v>
      </c>
      <c r="F2739">
        <f t="shared" si="42"/>
        <v>141.3879</v>
      </c>
      <c r="G2739" t="s">
        <v>16</v>
      </c>
      <c r="J2739" t="str">
        <f>"03/30/2009 23:45"</f>
        <v>03/30/2009 23:45</v>
      </c>
    </row>
    <row r="2740" spans="1:10" x14ac:dyDescent="0.3">
      <c r="A2740" t="s">
        <v>6</v>
      </c>
      <c r="B2740" t="str">
        <f>"03/31/2009 00:00"</f>
        <v>03/31/2009 00:00</v>
      </c>
      <c r="C2740">
        <v>71.3</v>
      </c>
      <c r="D2740" t="s">
        <v>7</v>
      </c>
      <c r="E2740" s="2" t="s">
        <v>12</v>
      </c>
      <c r="F2740">
        <f t="shared" si="42"/>
        <v>141.3879</v>
      </c>
      <c r="G2740" t="s">
        <v>16</v>
      </c>
      <c r="J2740" t="str">
        <f>"03/31/2009 23:45"</f>
        <v>03/31/2009 23:45</v>
      </c>
    </row>
    <row r="2741" spans="1:10" x14ac:dyDescent="0.3">
      <c r="A2741" t="s">
        <v>6</v>
      </c>
      <c r="B2741" t="str">
        <f>"04/01/2009 00:00"</f>
        <v>04/01/2009 00:00</v>
      </c>
      <c r="C2741">
        <v>71.099999999999994</v>
      </c>
      <c r="D2741" t="s">
        <v>7</v>
      </c>
      <c r="E2741" s="2" t="s">
        <v>12</v>
      </c>
      <c r="F2741">
        <f t="shared" si="42"/>
        <v>140.9913</v>
      </c>
      <c r="G2741" t="s">
        <v>16</v>
      </c>
      <c r="J2741" t="str">
        <f>"04/01/2009 23:45"</f>
        <v>04/01/2009 23:45</v>
      </c>
    </row>
    <row r="2742" spans="1:10" x14ac:dyDescent="0.3">
      <c r="A2742" t="s">
        <v>6</v>
      </c>
      <c r="B2742" t="str">
        <f>"04/02/2009 00:00"</f>
        <v>04/02/2009 00:00</v>
      </c>
      <c r="C2742">
        <v>71.400000000000006</v>
      </c>
      <c r="D2742" t="s">
        <v>7</v>
      </c>
      <c r="E2742" s="2" t="s">
        <v>12</v>
      </c>
      <c r="F2742">
        <f t="shared" si="42"/>
        <v>141.58620000000002</v>
      </c>
      <c r="G2742" t="s">
        <v>16</v>
      </c>
      <c r="J2742" t="str">
        <f>"04/02/2009 23:45"</f>
        <v>04/02/2009 23:45</v>
      </c>
    </row>
    <row r="2743" spans="1:10" x14ac:dyDescent="0.3">
      <c r="A2743" t="s">
        <v>6</v>
      </c>
      <c r="B2743" t="str">
        <f>"04/03/2009 00:00"</f>
        <v>04/03/2009 00:00</v>
      </c>
      <c r="C2743">
        <v>70.900000000000006</v>
      </c>
      <c r="D2743" t="s">
        <v>7</v>
      </c>
      <c r="E2743" s="2" t="s">
        <v>12</v>
      </c>
      <c r="F2743">
        <f t="shared" si="42"/>
        <v>140.59470000000002</v>
      </c>
      <c r="G2743" t="s">
        <v>16</v>
      </c>
      <c r="J2743" t="str">
        <f>"04/03/2009 23:45"</f>
        <v>04/03/2009 23:45</v>
      </c>
    </row>
    <row r="2744" spans="1:10" x14ac:dyDescent="0.3">
      <c r="A2744" t="s">
        <v>6</v>
      </c>
      <c r="B2744" t="str">
        <f>"04/04/2009 00:00"</f>
        <v>04/04/2009 00:00</v>
      </c>
      <c r="C2744">
        <v>71.400000000000006</v>
      </c>
      <c r="D2744" t="s">
        <v>7</v>
      </c>
      <c r="E2744" s="2" t="s">
        <v>12</v>
      </c>
      <c r="F2744">
        <f t="shared" si="42"/>
        <v>141.58620000000002</v>
      </c>
      <c r="G2744" t="s">
        <v>16</v>
      </c>
      <c r="J2744" t="str">
        <f>"04/04/2009 23:45"</f>
        <v>04/04/2009 23:45</v>
      </c>
    </row>
    <row r="2745" spans="1:10" x14ac:dyDescent="0.3">
      <c r="A2745" t="s">
        <v>6</v>
      </c>
      <c r="B2745" t="str">
        <f>"04/05/2009 00:00"</f>
        <v>04/05/2009 00:00</v>
      </c>
      <c r="C2745">
        <v>71.400000000000006</v>
      </c>
      <c r="D2745" t="s">
        <v>7</v>
      </c>
      <c r="E2745" s="2" t="s">
        <v>12</v>
      </c>
      <c r="F2745">
        <f t="shared" si="42"/>
        <v>141.58620000000002</v>
      </c>
      <c r="G2745" t="s">
        <v>16</v>
      </c>
      <c r="J2745" t="str">
        <f>"04/05/2009 23:45"</f>
        <v>04/05/2009 23:45</v>
      </c>
    </row>
    <row r="2746" spans="1:10" x14ac:dyDescent="0.3">
      <c r="A2746" t="s">
        <v>6</v>
      </c>
      <c r="B2746" t="str">
        <f>"04/06/2009 00:00"</f>
        <v>04/06/2009 00:00</v>
      </c>
      <c r="C2746">
        <v>71.400000000000006</v>
      </c>
      <c r="D2746" t="s">
        <v>7</v>
      </c>
      <c r="E2746" s="2" t="s">
        <v>12</v>
      </c>
      <c r="F2746">
        <f t="shared" si="42"/>
        <v>141.58620000000002</v>
      </c>
      <c r="G2746" t="s">
        <v>16</v>
      </c>
      <c r="J2746" t="str">
        <f>"04/06/2009 23:45"</f>
        <v>04/06/2009 23:45</v>
      </c>
    </row>
    <row r="2747" spans="1:10" x14ac:dyDescent="0.3">
      <c r="A2747" t="s">
        <v>6</v>
      </c>
      <c r="B2747" t="str">
        <f>"04/07/2009 00:00"</f>
        <v>04/07/2009 00:00</v>
      </c>
      <c r="C2747">
        <v>70.900000000000006</v>
      </c>
      <c r="D2747" t="s">
        <v>7</v>
      </c>
      <c r="E2747" s="2" t="s">
        <v>12</v>
      </c>
      <c r="F2747">
        <f t="shared" si="42"/>
        <v>140.59470000000002</v>
      </c>
      <c r="G2747" t="s">
        <v>16</v>
      </c>
      <c r="J2747" t="str">
        <f>"04/07/2009 23:45"</f>
        <v>04/07/2009 23:45</v>
      </c>
    </row>
    <row r="2748" spans="1:10" x14ac:dyDescent="0.3">
      <c r="A2748" t="s">
        <v>6</v>
      </c>
      <c r="B2748" t="str">
        <f>"04/08/2009 00:00"</f>
        <v>04/08/2009 00:00</v>
      </c>
      <c r="C2748">
        <v>70</v>
      </c>
      <c r="D2748" t="s">
        <v>7</v>
      </c>
      <c r="E2748" s="2" t="s">
        <v>12</v>
      </c>
      <c r="F2748">
        <f t="shared" si="42"/>
        <v>138.81</v>
      </c>
      <c r="G2748" t="s">
        <v>16</v>
      </c>
      <c r="J2748" t="str">
        <f>"04/08/2009 23:45"</f>
        <v>04/08/2009 23:45</v>
      </c>
    </row>
    <row r="2749" spans="1:10" x14ac:dyDescent="0.3">
      <c r="A2749" t="s">
        <v>6</v>
      </c>
      <c r="B2749" t="str">
        <f>"04/09/2009 00:00"</f>
        <v>04/09/2009 00:00</v>
      </c>
      <c r="C2749">
        <v>68.5</v>
      </c>
      <c r="D2749" t="s">
        <v>7</v>
      </c>
      <c r="E2749" s="2" t="s">
        <v>12</v>
      </c>
      <c r="F2749">
        <f t="shared" si="42"/>
        <v>135.8355</v>
      </c>
      <c r="G2749" t="s">
        <v>16</v>
      </c>
      <c r="J2749" t="str">
        <f>"04/09/2009 23:45"</f>
        <v>04/09/2009 23:45</v>
      </c>
    </row>
    <row r="2750" spans="1:10" x14ac:dyDescent="0.3">
      <c r="A2750" t="s">
        <v>6</v>
      </c>
      <c r="B2750" t="str">
        <f>"04/10/2009 00:00"</f>
        <v>04/10/2009 00:00</v>
      </c>
      <c r="C2750">
        <v>69</v>
      </c>
      <c r="D2750" t="s">
        <v>7</v>
      </c>
      <c r="E2750" s="2" t="s">
        <v>12</v>
      </c>
      <c r="F2750">
        <f t="shared" si="42"/>
        <v>136.827</v>
      </c>
      <c r="G2750" t="s">
        <v>16</v>
      </c>
      <c r="J2750" t="str">
        <f>"04/10/2009 23:45"</f>
        <v>04/10/2009 23:45</v>
      </c>
    </row>
    <row r="2751" spans="1:10" x14ac:dyDescent="0.3">
      <c r="A2751" t="s">
        <v>6</v>
      </c>
      <c r="B2751" t="str">
        <f>"04/11/2009 00:00"</f>
        <v>04/11/2009 00:00</v>
      </c>
      <c r="C2751">
        <v>69.099999999999994</v>
      </c>
      <c r="D2751" t="s">
        <v>7</v>
      </c>
      <c r="E2751" s="2" t="s">
        <v>12</v>
      </c>
      <c r="F2751">
        <f t="shared" si="42"/>
        <v>137.02529999999999</v>
      </c>
      <c r="G2751" t="s">
        <v>16</v>
      </c>
      <c r="J2751" t="str">
        <f>"04/11/2009 23:45"</f>
        <v>04/11/2009 23:45</v>
      </c>
    </row>
    <row r="2752" spans="1:10" x14ac:dyDescent="0.3">
      <c r="A2752" t="s">
        <v>6</v>
      </c>
      <c r="B2752" t="str">
        <f>"04/12/2009 00:00"</f>
        <v>04/12/2009 00:00</v>
      </c>
      <c r="C2752">
        <v>69.099999999999994</v>
      </c>
      <c r="D2752" t="s">
        <v>7</v>
      </c>
      <c r="E2752" s="2" t="s">
        <v>12</v>
      </c>
      <c r="F2752">
        <f t="shared" si="42"/>
        <v>137.02529999999999</v>
      </c>
      <c r="G2752" t="s">
        <v>16</v>
      </c>
      <c r="J2752" t="str">
        <f>"04/12/2009 23:45"</f>
        <v>04/12/2009 23:45</v>
      </c>
    </row>
    <row r="2753" spans="1:10" x14ac:dyDescent="0.3">
      <c r="A2753" t="s">
        <v>6</v>
      </c>
      <c r="B2753" t="str">
        <f>"04/13/2009 00:00"</f>
        <v>04/13/2009 00:00</v>
      </c>
      <c r="C2753">
        <v>68.8</v>
      </c>
      <c r="D2753" t="s">
        <v>7</v>
      </c>
      <c r="E2753" s="2" t="s">
        <v>12</v>
      </c>
      <c r="F2753">
        <f t="shared" si="42"/>
        <v>136.43039999999999</v>
      </c>
      <c r="G2753" t="s">
        <v>16</v>
      </c>
      <c r="J2753" t="str">
        <f>"04/13/2009 23:45"</f>
        <v>04/13/2009 23:45</v>
      </c>
    </row>
    <row r="2754" spans="1:10" x14ac:dyDescent="0.3">
      <c r="A2754" t="s">
        <v>6</v>
      </c>
      <c r="B2754" t="str">
        <f>"04/14/2009 00:00"</f>
        <v>04/14/2009 00:00</v>
      </c>
      <c r="C2754">
        <v>69</v>
      </c>
      <c r="D2754" t="s">
        <v>7</v>
      </c>
      <c r="E2754" s="2" t="s">
        <v>12</v>
      </c>
      <c r="F2754">
        <f t="shared" si="42"/>
        <v>136.827</v>
      </c>
      <c r="G2754" t="s">
        <v>16</v>
      </c>
      <c r="J2754" t="str">
        <f>"04/14/2009 23:45"</f>
        <v>04/14/2009 23:45</v>
      </c>
    </row>
    <row r="2755" spans="1:10" x14ac:dyDescent="0.3">
      <c r="A2755" t="s">
        <v>6</v>
      </c>
      <c r="B2755" t="str">
        <f>"04/15/2009 00:00"</f>
        <v>04/15/2009 00:00</v>
      </c>
      <c r="C2755">
        <v>50.5</v>
      </c>
      <c r="D2755" t="s">
        <v>7</v>
      </c>
      <c r="E2755" s="2" t="s">
        <v>12</v>
      </c>
      <c r="F2755">
        <f t="shared" si="42"/>
        <v>100.14150000000001</v>
      </c>
      <c r="G2755" t="s">
        <v>16</v>
      </c>
      <c r="J2755" t="str">
        <f>"04/15/2009 23:45"</f>
        <v>04/15/2009 23:45</v>
      </c>
    </row>
    <row r="2756" spans="1:10" x14ac:dyDescent="0.3">
      <c r="A2756" t="s">
        <v>6</v>
      </c>
      <c r="B2756" t="str">
        <f>"04/16/2009 00:00"</f>
        <v>04/16/2009 00:00</v>
      </c>
      <c r="C2756">
        <v>19.100000000000001</v>
      </c>
      <c r="D2756" t="s">
        <v>7</v>
      </c>
      <c r="E2756" s="2" t="s">
        <v>12</v>
      </c>
      <c r="F2756">
        <f t="shared" ref="F2756:F2819" si="43">C2756*1.983</f>
        <v>37.875300000000003</v>
      </c>
      <c r="G2756" t="s">
        <v>16</v>
      </c>
      <c r="J2756" t="str">
        <f>"04/16/2009 23:45"</f>
        <v>04/16/2009 23:45</v>
      </c>
    </row>
    <row r="2757" spans="1:10" x14ac:dyDescent="0.3">
      <c r="A2757" t="s">
        <v>6</v>
      </c>
      <c r="B2757" t="str">
        <f>"04/17/2009 00:00"</f>
        <v>04/17/2009 00:00</v>
      </c>
      <c r="C2757">
        <v>3.3</v>
      </c>
      <c r="D2757" t="s">
        <v>7</v>
      </c>
      <c r="E2757" s="2" t="s">
        <v>12</v>
      </c>
      <c r="F2757">
        <f t="shared" si="43"/>
        <v>6.5438999999999998</v>
      </c>
      <c r="G2757" t="s">
        <v>16</v>
      </c>
      <c r="J2757" t="str">
        <f>"04/17/2009 23:45"</f>
        <v>04/17/2009 23:45</v>
      </c>
    </row>
    <row r="2758" spans="1:10" x14ac:dyDescent="0.3">
      <c r="A2758" t="s">
        <v>6</v>
      </c>
      <c r="B2758" t="str">
        <f>"04/18/2009 00:00"</f>
        <v>04/18/2009 00:00</v>
      </c>
      <c r="C2758">
        <v>2.99</v>
      </c>
      <c r="D2758" t="s">
        <v>7</v>
      </c>
      <c r="E2758" s="2" t="s">
        <v>12</v>
      </c>
      <c r="F2758">
        <f t="shared" si="43"/>
        <v>5.9291700000000009</v>
      </c>
      <c r="G2758" t="s">
        <v>16</v>
      </c>
      <c r="J2758" t="str">
        <f>"04/18/2009 23:45"</f>
        <v>04/18/2009 23:45</v>
      </c>
    </row>
    <row r="2759" spans="1:10" x14ac:dyDescent="0.3">
      <c r="A2759" t="s">
        <v>6</v>
      </c>
      <c r="B2759" t="str">
        <f>"04/19/2009 00:00"</f>
        <v>04/19/2009 00:00</v>
      </c>
      <c r="C2759">
        <v>3.28</v>
      </c>
      <c r="D2759" t="s">
        <v>7</v>
      </c>
      <c r="E2759" s="2" t="s">
        <v>12</v>
      </c>
      <c r="F2759">
        <f t="shared" si="43"/>
        <v>6.5042400000000002</v>
      </c>
      <c r="G2759" t="s">
        <v>16</v>
      </c>
      <c r="J2759" t="str">
        <f>"04/19/2009 23:45"</f>
        <v>04/19/2009 23:45</v>
      </c>
    </row>
    <row r="2760" spans="1:10" x14ac:dyDescent="0.3">
      <c r="A2760" t="s">
        <v>6</v>
      </c>
      <c r="B2760" t="str">
        <f>"04/20/2009 00:00"</f>
        <v>04/20/2009 00:00</v>
      </c>
      <c r="C2760">
        <v>3.09</v>
      </c>
      <c r="D2760" t="s">
        <v>7</v>
      </c>
      <c r="E2760" s="2" t="s">
        <v>12</v>
      </c>
      <c r="F2760">
        <f t="shared" si="43"/>
        <v>6.1274699999999998</v>
      </c>
      <c r="G2760" t="s">
        <v>16</v>
      </c>
      <c r="J2760" t="str">
        <f>"04/20/2009 23:45"</f>
        <v>04/20/2009 23:45</v>
      </c>
    </row>
    <row r="2761" spans="1:10" x14ac:dyDescent="0.3">
      <c r="A2761" t="s">
        <v>6</v>
      </c>
      <c r="B2761" t="str">
        <f>"04/21/2009 00:00"</f>
        <v>04/21/2009 00:00</v>
      </c>
      <c r="C2761">
        <v>2.95</v>
      </c>
      <c r="D2761" t="s">
        <v>7</v>
      </c>
      <c r="E2761" s="2" t="s">
        <v>12</v>
      </c>
      <c r="F2761">
        <f t="shared" si="43"/>
        <v>5.8498500000000009</v>
      </c>
      <c r="G2761" t="s">
        <v>16</v>
      </c>
      <c r="J2761" t="str">
        <f>"04/21/2009 23:45"</f>
        <v>04/21/2009 23:45</v>
      </c>
    </row>
    <row r="2762" spans="1:10" x14ac:dyDescent="0.3">
      <c r="A2762" t="s">
        <v>6</v>
      </c>
      <c r="B2762" t="str">
        <f>"04/22/2009 00:00"</f>
        <v>04/22/2009 00:00</v>
      </c>
      <c r="C2762">
        <v>3.15</v>
      </c>
      <c r="D2762" t="s">
        <v>7</v>
      </c>
      <c r="E2762" s="2" t="s">
        <v>12</v>
      </c>
      <c r="F2762">
        <f t="shared" si="43"/>
        <v>6.2464500000000003</v>
      </c>
      <c r="G2762" t="s">
        <v>16</v>
      </c>
      <c r="J2762" t="str">
        <f>"04/22/2009 23:45"</f>
        <v>04/22/2009 23:45</v>
      </c>
    </row>
    <row r="2763" spans="1:10" x14ac:dyDescent="0.3">
      <c r="A2763" t="s">
        <v>6</v>
      </c>
      <c r="B2763" t="str">
        <f>"04/23/2009 00:00"</f>
        <v>04/23/2009 00:00</v>
      </c>
      <c r="C2763">
        <v>2.61</v>
      </c>
      <c r="D2763" t="s">
        <v>7</v>
      </c>
      <c r="E2763" s="2" t="s">
        <v>12</v>
      </c>
      <c r="F2763">
        <f t="shared" si="43"/>
        <v>5.17563</v>
      </c>
      <c r="G2763" t="s">
        <v>16</v>
      </c>
      <c r="J2763" t="str">
        <f>"04/23/2009 23:45"</f>
        <v>04/23/2009 23:45</v>
      </c>
    </row>
    <row r="2764" spans="1:10" x14ac:dyDescent="0.3">
      <c r="A2764" t="s">
        <v>6</v>
      </c>
      <c r="B2764" t="str">
        <f>"04/24/2009 00:00"</f>
        <v>04/24/2009 00:00</v>
      </c>
      <c r="C2764">
        <v>2.63</v>
      </c>
      <c r="D2764" t="s">
        <v>7</v>
      </c>
      <c r="E2764" s="2" t="s">
        <v>12</v>
      </c>
      <c r="F2764">
        <f t="shared" si="43"/>
        <v>5.2152900000000004</v>
      </c>
      <c r="G2764" t="s">
        <v>16</v>
      </c>
      <c r="J2764" t="str">
        <f>"04/24/2009 23:45"</f>
        <v>04/24/2009 23:45</v>
      </c>
    </row>
    <row r="2765" spans="1:10" x14ac:dyDescent="0.3">
      <c r="A2765" t="s">
        <v>6</v>
      </c>
      <c r="B2765" t="str">
        <f>"04/25/2009 00:00"</f>
        <v>04/25/2009 00:00</v>
      </c>
      <c r="C2765">
        <v>2.88</v>
      </c>
      <c r="D2765" t="s">
        <v>7</v>
      </c>
      <c r="E2765" s="2" t="s">
        <v>12</v>
      </c>
      <c r="F2765">
        <f t="shared" si="43"/>
        <v>5.7110399999999997</v>
      </c>
      <c r="G2765" t="s">
        <v>16</v>
      </c>
      <c r="J2765" t="str">
        <f>"04/25/2009 23:45"</f>
        <v>04/25/2009 23:45</v>
      </c>
    </row>
    <row r="2766" spans="1:10" x14ac:dyDescent="0.3">
      <c r="A2766" t="s">
        <v>6</v>
      </c>
      <c r="B2766" t="str">
        <f>"04/26/2009 00:00"</f>
        <v>04/26/2009 00:00</v>
      </c>
      <c r="C2766">
        <v>2.65</v>
      </c>
      <c r="D2766" t="s">
        <v>7</v>
      </c>
      <c r="E2766" s="2" t="s">
        <v>12</v>
      </c>
      <c r="F2766">
        <f t="shared" si="43"/>
        <v>5.25495</v>
      </c>
      <c r="G2766" t="s">
        <v>16</v>
      </c>
      <c r="J2766" t="str">
        <f>"04/26/2009 23:45"</f>
        <v>04/26/2009 23:45</v>
      </c>
    </row>
    <row r="2767" spans="1:10" x14ac:dyDescent="0.3">
      <c r="A2767" t="s">
        <v>6</v>
      </c>
      <c r="B2767" t="str">
        <f>"04/27/2009 00:00"</f>
        <v>04/27/2009 00:00</v>
      </c>
      <c r="C2767">
        <v>2.48</v>
      </c>
      <c r="D2767" t="s">
        <v>7</v>
      </c>
      <c r="E2767" s="2" t="s">
        <v>12</v>
      </c>
      <c r="F2767">
        <f t="shared" si="43"/>
        <v>4.91784</v>
      </c>
      <c r="G2767" t="s">
        <v>16</v>
      </c>
      <c r="J2767" t="str">
        <f>"04/27/2009 23:45"</f>
        <v>04/27/2009 23:45</v>
      </c>
    </row>
    <row r="2768" spans="1:10" x14ac:dyDescent="0.3">
      <c r="A2768" t="s">
        <v>6</v>
      </c>
      <c r="B2768" t="str">
        <f>"04/28/2009 00:00"</f>
        <v>04/28/2009 00:00</v>
      </c>
      <c r="C2768">
        <v>2.86</v>
      </c>
      <c r="D2768" t="s">
        <v>7</v>
      </c>
      <c r="E2768" s="2" t="s">
        <v>12</v>
      </c>
      <c r="F2768">
        <f t="shared" si="43"/>
        <v>5.6713800000000001</v>
      </c>
      <c r="G2768" t="s">
        <v>16</v>
      </c>
      <c r="J2768" t="str">
        <f>"04/28/2009 23:45"</f>
        <v>04/28/2009 23:45</v>
      </c>
    </row>
    <row r="2769" spans="1:10" x14ac:dyDescent="0.3">
      <c r="A2769" t="s">
        <v>6</v>
      </c>
      <c r="B2769" t="str">
        <f>"04/29/2009 00:00"</f>
        <v>04/29/2009 00:00</v>
      </c>
      <c r="C2769">
        <v>2.91</v>
      </c>
      <c r="D2769" t="s">
        <v>7</v>
      </c>
      <c r="E2769" s="2" t="s">
        <v>12</v>
      </c>
      <c r="F2769">
        <f t="shared" si="43"/>
        <v>5.7705300000000008</v>
      </c>
      <c r="G2769" t="s">
        <v>16</v>
      </c>
      <c r="J2769" t="str">
        <f>"04/29/2009 23:45"</f>
        <v>04/29/2009 23:45</v>
      </c>
    </row>
    <row r="2770" spans="1:10" x14ac:dyDescent="0.3">
      <c r="A2770" t="s">
        <v>6</v>
      </c>
      <c r="B2770" t="str">
        <f>"04/30/2009 00:00"</f>
        <v>04/30/2009 00:00</v>
      </c>
      <c r="C2770">
        <v>2.17</v>
      </c>
      <c r="D2770" t="s">
        <v>7</v>
      </c>
      <c r="E2770" s="2" t="s">
        <v>12</v>
      </c>
      <c r="F2770">
        <f t="shared" si="43"/>
        <v>4.3031100000000002</v>
      </c>
      <c r="G2770" t="s">
        <v>16</v>
      </c>
      <c r="J2770" t="str">
        <f>"04/30/2009 23:45"</f>
        <v>04/30/2009 23:45</v>
      </c>
    </row>
    <row r="2771" spans="1:10" x14ac:dyDescent="0.3">
      <c r="A2771" t="s">
        <v>6</v>
      </c>
      <c r="B2771" t="str">
        <f>"05/01/2009 00:00"</f>
        <v>05/01/2009 00:00</v>
      </c>
      <c r="C2771">
        <v>1.62</v>
      </c>
      <c r="D2771" t="s">
        <v>7</v>
      </c>
      <c r="E2771" s="2" t="s">
        <v>12</v>
      </c>
      <c r="F2771">
        <f t="shared" si="43"/>
        <v>3.2124600000000005</v>
      </c>
      <c r="G2771" t="s">
        <v>16</v>
      </c>
      <c r="J2771" t="str">
        <f>"05/01/2009 23:45"</f>
        <v>05/01/2009 23:45</v>
      </c>
    </row>
    <row r="2772" spans="1:10" x14ac:dyDescent="0.3">
      <c r="A2772" t="s">
        <v>6</v>
      </c>
      <c r="B2772" t="str">
        <f>"05/02/2009 00:00"</f>
        <v>05/02/2009 00:00</v>
      </c>
      <c r="C2772">
        <v>1.62</v>
      </c>
      <c r="D2772" t="s">
        <v>7</v>
      </c>
      <c r="E2772" s="2" t="s">
        <v>12</v>
      </c>
      <c r="F2772">
        <f t="shared" si="43"/>
        <v>3.2124600000000005</v>
      </c>
      <c r="G2772" t="s">
        <v>16</v>
      </c>
      <c r="J2772" t="str">
        <f>"05/02/2009 23:45"</f>
        <v>05/02/2009 23:45</v>
      </c>
    </row>
    <row r="2773" spans="1:10" x14ac:dyDescent="0.3">
      <c r="A2773" t="s">
        <v>6</v>
      </c>
      <c r="B2773" t="str">
        <f>"05/03/2009 00:00"</f>
        <v>05/03/2009 00:00</v>
      </c>
      <c r="C2773">
        <v>1.62</v>
      </c>
      <c r="D2773" t="s">
        <v>7</v>
      </c>
      <c r="E2773" s="2" t="s">
        <v>12</v>
      </c>
      <c r="F2773">
        <f t="shared" si="43"/>
        <v>3.2124600000000005</v>
      </c>
      <c r="G2773" t="s">
        <v>16</v>
      </c>
      <c r="J2773" t="str">
        <f>"05/03/2009 23:45"</f>
        <v>05/03/2009 23:45</v>
      </c>
    </row>
    <row r="2774" spans="1:10" x14ac:dyDescent="0.3">
      <c r="A2774" t="s">
        <v>6</v>
      </c>
      <c r="B2774" t="str">
        <f>"05/04/2009 00:00"</f>
        <v>05/04/2009 00:00</v>
      </c>
      <c r="C2774">
        <v>1.69</v>
      </c>
      <c r="D2774" t="s">
        <v>7</v>
      </c>
      <c r="E2774" s="2" t="s">
        <v>12</v>
      </c>
      <c r="F2774">
        <f t="shared" si="43"/>
        <v>3.35127</v>
      </c>
      <c r="G2774" t="s">
        <v>16</v>
      </c>
      <c r="J2774" t="str">
        <f>"05/04/2009 23:45"</f>
        <v>05/04/2009 23:45</v>
      </c>
    </row>
    <row r="2775" spans="1:10" x14ac:dyDescent="0.3">
      <c r="A2775" t="s">
        <v>6</v>
      </c>
      <c r="B2775" t="str">
        <f>"05/05/2009 00:00"</f>
        <v>05/05/2009 00:00</v>
      </c>
      <c r="C2775">
        <v>1.62</v>
      </c>
      <c r="D2775" t="s">
        <v>7</v>
      </c>
      <c r="E2775" s="2" t="s">
        <v>12</v>
      </c>
      <c r="F2775">
        <f t="shared" si="43"/>
        <v>3.2124600000000005</v>
      </c>
      <c r="G2775" t="s">
        <v>16</v>
      </c>
      <c r="J2775" t="str">
        <f>"05/05/2009 23:45"</f>
        <v>05/05/2009 23:45</v>
      </c>
    </row>
    <row r="2776" spans="1:10" x14ac:dyDescent="0.3">
      <c r="A2776" t="s">
        <v>6</v>
      </c>
      <c r="B2776" t="str">
        <f>"05/06/2009 00:00"</f>
        <v>05/06/2009 00:00</v>
      </c>
      <c r="C2776">
        <v>43.2</v>
      </c>
      <c r="D2776" t="s">
        <v>7</v>
      </c>
      <c r="E2776" s="2" t="s">
        <v>12</v>
      </c>
      <c r="F2776">
        <f t="shared" si="43"/>
        <v>85.665600000000012</v>
      </c>
      <c r="G2776" t="s">
        <v>16</v>
      </c>
      <c r="J2776" t="str">
        <f>"05/06/2009 23:45"</f>
        <v>05/06/2009 23:45</v>
      </c>
    </row>
    <row r="2777" spans="1:10" x14ac:dyDescent="0.3">
      <c r="A2777" t="s">
        <v>6</v>
      </c>
      <c r="B2777" t="str">
        <f>"05/07/2009 00:00"</f>
        <v>05/07/2009 00:00</v>
      </c>
      <c r="C2777">
        <v>99.6</v>
      </c>
      <c r="D2777" t="s">
        <v>7</v>
      </c>
      <c r="E2777" s="2" t="s">
        <v>12</v>
      </c>
      <c r="F2777">
        <f t="shared" si="43"/>
        <v>197.5068</v>
      </c>
      <c r="G2777" t="s">
        <v>16</v>
      </c>
      <c r="J2777" t="str">
        <f>"05/07/2009 23:45"</f>
        <v>05/07/2009 23:45</v>
      </c>
    </row>
    <row r="2778" spans="1:10" x14ac:dyDescent="0.3">
      <c r="A2778" t="s">
        <v>6</v>
      </c>
      <c r="B2778" t="str">
        <f>"05/08/2009 00:00"</f>
        <v>05/08/2009 00:00</v>
      </c>
      <c r="C2778">
        <v>86.3</v>
      </c>
      <c r="D2778" t="s">
        <v>7</v>
      </c>
      <c r="E2778" s="2" t="s">
        <v>12</v>
      </c>
      <c r="F2778">
        <f t="shared" si="43"/>
        <v>171.13290000000001</v>
      </c>
      <c r="G2778" t="s">
        <v>16</v>
      </c>
      <c r="J2778" t="str">
        <f>"05/08/2009 23:45"</f>
        <v>05/08/2009 23:45</v>
      </c>
    </row>
    <row r="2779" spans="1:10" x14ac:dyDescent="0.3">
      <c r="A2779" t="s">
        <v>6</v>
      </c>
      <c r="B2779" t="str">
        <f>"05/09/2009 00:00"</f>
        <v>05/09/2009 00:00</v>
      </c>
      <c r="C2779">
        <v>69.099999999999994</v>
      </c>
      <c r="D2779" t="s">
        <v>7</v>
      </c>
      <c r="E2779" s="2" t="s">
        <v>12</v>
      </c>
      <c r="F2779">
        <f t="shared" si="43"/>
        <v>137.02529999999999</v>
      </c>
      <c r="G2779" t="s">
        <v>16</v>
      </c>
      <c r="J2779" t="str">
        <f>"05/09/2009 23:45"</f>
        <v>05/09/2009 23:45</v>
      </c>
    </row>
    <row r="2780" spans="1:10" x14ac:dyDescent="0.3">
      <c r="A2780" t="s">
        <v>6</v>
      </c>
      <c r="B2780" t="str">
        <f>"05/10/2009 00:00"</f>
        <v>05/10/2009 00:00</v>
      </c>
      <c r="C2780">
        <v>69.099999999999994</v>
      </c>
      <c r="D2780" t="s">
        <v>7</v>
      </c>
      <c r="E2780" s="2" t="s">
        <v>12</v>
      </c>
      <c r="F2780">
        <f t="shared" si="43"/>
        <v>137.02529999999999</v>
      </c>
      <c r="G2780" t="s">
        <v>16</v>
      </c>
      <c r="J2780" t="str">
        <f>"05/10/2009 23:45"</f>
        <v>05/10/2009 23:45</v>
      </c>
    </row>
    <row r="2781" spans="1:10" x14ac:dyDescent="0.3">
      <c r="A2781" t="s">
        <v>6</v>
      </c>
      <c r="B2781" t="str">
        <f>"05/11/2009 00:00"</f>
        <v>05/11/2009 00:00</v>
      </c>
      <c r="C2781">
        <v>28.9</v>
      </c>
      <c r="D2781" t="s">
        <v>7</v>
      </c>
      <c r="E2781" s="2" t="s">
        <v>12</v>
      </c>
      <c r="F2781">
        <f t="shared" si="43"/>
        <v>57.308700000000002</v>
      </c>
      <c r="G2781" t="s">
        <v>16</v>
      </c>
      <c r="J2781" t="str">
        <f>"05/11/2009 23:45"</f>
        <v>05/11/2009 23:45</v>
      </c>
    </row>
    <row r="2782" spans="1:10" x14ac:dyDescent="0.3">
      <c r="A2782" t="s">
        <v>6</v>
      </c>
      <c r="B2782" t="str">
        <f>"05/12/2009 00:00"</f>
        <v>05/12/2009 00:00</v>
      </c>
      <c r="C2782">
        <v>1.92</v>
      </c>
      <c r="D2782" t="s">
        <v>7</v>
      </c>
      <c r="E2782" s="2" t="s">
        <v>12</v>
      </c>
      <c r="F2782">
        <f t="shared" si="43"/>
        <v>3.8073600000000001</v>
      </c>
      <c r="G2782" t="s">
        <v>16</v>
      </c>
      <c r="J2782" t="str">
        <f>"05/12/2009 23:45"</f>
        <v>05/12/2009 23:45</v>
      </c>
    </row>
    <row r="2783" spans="1:10" x14ac:dyDescent="0.3">
      <c r="A2783" t="s">
        <v>6</v>
      </c>
      <c r="B2783" t="str">
        <f>"05/13/2009 00:00"</f>
        <v>05/13/2009 00:00</v>
      </c>
      <c r="C2783">
        <v>1.92</v>
      </c>
      <c r="D2783" t="s">
        <v>7</v>
      </c>
      <c r="E2783" s="2" t="s">
        <v>12</v>
      </c>
      <c r="F2783">
        <f t="shared" si="43"/>
        <v>3.8073600000000001</v>
      </c>
      <c r="G2783" t="s">
        <v>16</v>
      </c>
      <c r="J2783" t="str">
        <f>"05/13/2009 23:45"</f>
        <v>05/13/2009 23:45</v>
      </c>
    </row>
    <row r="2784" spans="1:10" x14ac:dyDescent="0.3">
      <c r="A2784" t="s">
        <v>6</v>
      </c>
      <c r="B2784" t="str">
        <f>"05/14/2009 00:00"</f>
        <v>05/14/2009 00:00</v>
      </c>
      <c r="C2784">
        <v>1.92</v>
      </c>
      <c r="D2784" t="s">
        <v>7</v>
      </c>
      <c r="E2784" s="2" t="s">
        <v>12</v>
      </c>
      <c r="F2784">
        <f t="shared" si="43"/>
        <v>3.8073600000000001</v>
      </c>
      <c r="G2784" t="s">
        <v>16</v>
      </c>
      <c r="J2784" t="str">
        <f>"05/14/2009 23:45"</f>
        <v>05/14/2009 23:45</v>
      </c>
    </row>
    <row r="2785" spans="1:10" x14ac:dyDescent="0.3">
      <c r="A2785" t="s">
        <v>6</v>
      </c>
      <c r="B2785" t="str">
        <f>"05/15/2009 00:00"</f>
        <v>05/15/2009 00:00</v>
      </c>
      <c r="C2785">
        <v>1.92</v>
      </c>
      <c r="D2785" t="s">
        <v>7</v>
      </c>
      <c r="E2785" s="2" t="s">
        <v>12</v>
      </c>
      <c r="F2785">
        <f t="shared" si="43"/>
        <v>3.8073600000000001</v>
      </c>
      <c r="G2785" t="s">
        <v>16</v>
      </c>
      <c r="J2785" t="str">
        <f>"05/15/2009 23:45"</f>
        <v>05/15/2009 23:45</v>
      </c>
    </row>
    <row r="2786" spans="1:10" x14ac:dyDescent="0.3">
      <c r="A2786" t="s">
        <v>6</v>
      </c>
      <c r="B2786" t="str">
        <f>"05/16/2009 00:00"</f>
        <v>05/16/2009 00:00</v>
      </c>
      <c r="C2786">
        <v>1.92</v>
      </c>
      <c r="D2786" t="s">
        <v>7</v>
      </c>
      <c r="E2786" s="2" t="s">
        <v>12</v>
      </c>
      <c r="F2786">
        <f t="shared" si="43"/>
        <v>3.8073600000000001</v>
      </c>
      <c r="G2786" t="s">
        <v>16</v>
      </c>
      <c r="J2786" t="str">
        <f>"05/16/2009 23:45"</f>
        <v>05/16/2009 23:45</v>
      </c>
    </row>
    <row r="2787" spans="1:10" x14ac:dyDescent="0.3">
      <c r="A2787" t="s">
        <v>6</v>
      </c>
      <c r="B2787" t="str">
        <f>"05/17/2009 00:00"</f>
        <v>05/17/2009 00:00</v>
      </c>
      <c r="C2787">
        <v>1.92</v>
      </c>
      <c r="D2787" t="s">
        <v>7</v>
      </c>
      <c r="E2787" s="2" t="s">
        <v>12</v>
      </c>
      <c r="F2787">
        <f t="shared" si="43"/>
        <v>3.8073600000000001</v>
      </c>
      <c r="G2787" t="s">
        <v>16</v>
      </c>
      <c r="J2787" t="str">
        <f>"05/17/2009 23:45"</f>
        <v>05/17/2009 23:45</v>
      </c>
    </row>
    <row r="2788" spans="1:10" x14ac:dyDescent="0.3">
      <c r="A2788" t="s">
        <v>6</v>
      </c>
      <c r="B2788" t="str">
        <f>"05/18/2009 00:00"</f>
        <v>05/18/2009 00:00</v>
      </c>
      <c r="C2788">
        <v>1.82</v>
      </c>
      <c r="D2788" t="s">
        <v>7</v>
      </c>
      <c r="E2788" s="2" t="s">
        <v>12</v>
      </c>
      <c r="F2788">
        <f t="shared" si="43"/>
        <v>3.6090600000000004</v>
      </c>
      <c r="G2788" t="s">
        <v>16</v>
      </c>
      <c r="J2788" t="str">
        <f>"05/18/2009 23:45"</f>
        <v>05/18/2009 23:45</v>
      </c>
    </row>
    <row r="2789" spans="1:10" x14ac:dyDescent="0.3">
      <c r="A2789" t="s">
        <v>6</v>
      </c>
      <c r="B2789" t="str">
        <f>"05/19/2009 00:00"</f>
        <v>05/19/2009 00:00</v>
      </c>
      <c r="C2789">
        <v>60.5</v>
      </c>
      <c r="D2789" t="s">
        <v>7</v>
      </c>
      <c r="E2789" s="2" t="s">
        <v>12</v>
      </c>
      <c r="F2789">
        <f t="shared" si="43"/>
        <v>119.97150000000001</v>
      </c>
      <c r="G2789" t="s">
        <v>16</v>
      </c>
      <c r="J2789" t="str">
        <f>"05/19/2009 23:45"</f>
        <v>05/19/2009 23:45</v>
      </c>
    </row>
    <row r="2790" spans="1:10" x14ac:dyDescent="0.3">
      <c r="A2790" t="s">
        <v>6</v>
      </c>
      <c r="B2790" t="str">
        <f>"05/20/2009 00:00"</f>
        <v>05/20/2009 00:00</v>
      </c>
      <c r="C2790">
        <v>130</v>
      </c>
      <c r="D2790" t="s">
        <v>7</v>
      </c>
      <c r="E2790" s="2" t="s">
        <v>12</v>
      </c>
      <c r="F2790">
        <f t="shared" si="43"/>
        <v>257.79000000000002</v>
      </c>
      <c r="G2790" t="s">
        <v>16</v>
      </c>
      <c r="J2790" t="str">
        <f>"05/20/2009 23:45"</f>
        <v>05/20/2009 23:45</v>
      </c>
    </row>
    <row r="2791" spans="1:10" x14ac:dyDescent="0.3">
      <c r="A2791" t="s">
        <v>6</v>
      </c>
      <c r="B2791" t="str">
        <f>"05/21/2009 00:00"</f>
        <v>05/21/2009 00:00</v>
      </c>
      <c r="C2791">
        <v>208</v>
      </c>
      <c r="D2791" t="s">
        <v>7</v>
      </c>
      <c r="E2791" s="2" t="s">
        <v>12</v>
      </c>
      <c r="F2791">
        <f t="shared" si="43"/>
        <v>412.464</v>
      </c>
      <c r="G2791" t="s">
        <v>16</v>
      </c>
      <c r="J2791" t="str">
        <f>"05/21/2009 23:45"</f>
        <v>05/21/2009 23:45</v>
      </c>
    </row>
    <row r="2792" spans="1:10" x14ac:dyDescent="0.3">
      <c r="A2792" t="s">
        <v>6</v>
      </c>
      <c r="B2792" t="str">
        <f>"05/22/2009 00:00"</f>
        <v>05/22/2009 00:00</v>
      </c>
      <c r="C2792">
        <v>298</v>
      </c>
      <c r="D2792" t="s">
        <v>7</v>
      </c>
      <c r="E2792" s="2" t="s">
        <v>12</v>
      </c>
      <c r="F2792">
        <f t="shared" si="43"/>
        <v>590.93400000000008</v>
      </c>
      <c r="G2792" t="s">
        <v>16</v>
      </c>
      <c r="J2792" t="str">
        <f>"05/22/2009 23:45"</f>
        <v>05/22/2009 23:45</v>
      </c>
    </row>
    <row r="2793" spans="1:10" x14ac:dyDescent="0.3">
      <c r="A2793" t="s">
        <v>6</v>
      </c>
      <c r="B2793" t="str">
        <f>"05/23/2009 00:00"</f>
        <v>05/23/2009 00:00</v>
      </c>
      <c r="C2793">
        <v>350</v>
      </c>
      <c r="D2793" t="s">
        <v>7</v>
      </c>
      <c r="E2793" s="2" t="s">
        <v>12</v>
      </c>
      <c r="F2793">
        <f t="shared" si="43"/>
        <v>694.05000000000007</v>
      </c>
      <c r="G2793" t="s">
        <v>16</v>
      </c>
      <c r="J2793" t="str">
        <f>"05/23/2009 23:45"</f>
        <v>05/23/2009 23:45</v>
      </c>
    </row>
    <row r="2794" spans="1:10" x14ac:dyDescent="0.3">
      <c r="A2794" t="s">
        <v>6</v>
      </c>
      <c r="B2794" t="str">
        <f>"05/24/2009 00:00"</f>
        <v>05/24/2009 00:00</v>
      </c>
      <c r="C2794">
        <v>318</v>
      </c>
      <c r="D2794" t="s">
        <v>7</v>
      </c>
      <c r="E2794" s="2" t="s">
        <v>12</v>
      </c>
      <c r="F2794">
        <f t="shared" si="43"/>
        <v>630.59400000000005</v>
      </c>
      <c r="G2794" t="s">
        <v>16</v>
      </c>
      <c r="J2794" t="str">
        <f>"05/24/2009 23:45"</f>
        <v>05/24/2009 23:45</v>
      </c>
    </row>
    <row r="2795" spans="1:10" x14ac:dyDescent="0.3">
      <c r="A2795" t="s">
        <v>6</v>
      </c>
      <c r="B2795" t="str">
        <f>"05/25/2009 00:00"</f>
        <v>05/25/2009 00:00</v>
      </c>
      <c r="C2795">
        <v>271</v>
      </c>
      <c r="D2795" t="s">
        <v>7</v>
      </c>
      <c r="E2795" s="2" t="s">
        <v>12</v>
      </c>
      <c r="F2795">
        <f t="shared" si="43"/>
        <v>537.39300000000003</v>
      </c>
      <c r="G2795" t="s">
        <v>16</v>
      </c>
      <c r="J2795" t="str">
        <f>"05/25/2009 23:45"</f>
        <v>05/25/2009 23:45</v>
      </c>
    </row>
    <row r="2796" spans="1:10" x14ac:dyDescent="0.3">
      <c r="A2796" t="s">
        <v>6</v>
      </c>
      <c r="B2796" t="str">
        <f>"05/26/2009 00:00"</f>
        <v>05/26/2009 00:00</v>
      </c>
      <c r="C2796">
        <v>149</v>
      </c>
      <c r="D2796" t="s">
        <v>7</v>
      </c>
      <c r="E2796" s="2" t="s">
        <v>12</v>
      </c>
      <c r="F2796">
        <f t="shared" si="43"/>
        <v>295.46700000000004</v>
      </c>
      <c r="G2796" t="s">
        <v>16</v>
      </c>
      <c r="J2796" t="str">
        <f>"05/26/2009 23:45"</f>
        <v>05/26/2009 23:45</v>
      </c>
    </row>
    <row r="2797" spans="1:10" x14ac:dyDescent="0.3">
      <c r="A2797" t="s">
        <v>6</v>
      </c>
      <c r="B2797" t="str">
        <f>"05/27/2009 00:00"</f>
        <v>05/27/2009 00:00</v>
      </c>
      <c r="C2797">
        <v>29.4</v>
      </c>
      <c r="D2797" t="s">
        <v>7</v>
      </c>
      <c r="E2797" s="2" t="s">
        <v>12</v>
      </c>
      <c r="F2797">
        <f t="shared" si="43"/>
        <v>58.300199999999997</v>
      </c>
      <c r="G2797" t="s">
        <v>16</v>
      </c>
      <c r="J2797" t="str">
        <f>"05/27/2009 23:45"</f>
        <v>05/27/2009 23:45</v>
      </c>
    </row>
    <row r="2798" spans="1:10" x14ac:dyDescent="0.3">
      <c r="A2798" t="s">
        <v>6</v>
      </c>
      <c r="B2798" t="str">
        <f>"05/28/2009 00:00"</f>
        <v>05/28/2009 00:00</v>
      </c>
      <c r="C2798">
        <v>1.34</v>
      </c>
      <c r="D2798" t="s">
        <v>7</v>
      </c>
      <c r="E2798" s="2" t="s">
        <v>12</v>
      </c>
      <c r="F2798">
        <f t="shared" si="43"/>
        <v>2.6572200000000001</v>
      </c>
      <c r="G2798" t="s">
        <v>16</v>
      </c>
      <c r="J2798" t="str">
        <f>"05/28/2009 23:45"</f>
        <v>05/28/2009 23:45</v>
      </c>
    </row>
    <row r="2799" spans="1:10" x14ac:dyDescent="0.3">
      <c r="A2799" t="s">
        <v>6</v>
      </c>
      <c r="B2799" t="str">
        <f>"05/29/2009 00:00"</f>
        <v>05/29/2009 00:00</v>
      </c>
      <c r="C2799">
        <v>1.34</v>
      </c>
      <c r="D2799" t="s">
        <v>7</v>
      </c>
      <c r="E2799" s="2" t="s">
        <v>12</v>
      </c>
      <c r="F2799">
        <f t="shared" si="43"/>
        <v>2.6572200000000001</v>
      </c>
      <c r="G2799" t="s">
        <v>16</v>
      </c>
      <c r="J2799" t="str">
        <f>"05/29/2009 23:45"</f>
        <v>05/29/2009 23:45</v>
      </c>
    </row>
    <row r="2800" spans="1:10" x14ac:dyDescent="0.3">
      <c r="A2800" t="s">
        <v>6</v>
      </c>
      <c r="B2800" t="str">
        <f>"05/30/2009 00:00"</f>
        <v>05/30/2009 00:00</v>
      </c>
      <c r="C2800">
        <v>2.5</v>
      </c>
      <c r="D2800" t="s">
        <v>7</v>
      </c>
      <c r="E2800" s="2" t="s">
        <v>12</v>
      </c>
      <c r="F2800">
        <f t="shared" si="43"/>
        <v>4.9575000000000005</v>
      </c>
      <c r="G2800" t="s">
        <v>16</v>
      </c>
      <c r="J2800" t="str">
        <f>"05/30/2009 23:45"</f>
        <v>05/30/2009 23:45</v>
      </c>
    </row>
    <row r="2801" spans="1:10" x14ac:dyDescent="0.3">
      <c r="A2801" t="s">
        <v>6</v>
      </c>
      <c r="B2801" t="str">
        <f>"05/31/2009 00:00"</f>
        <v>05/31/2009 00:00</v>
      </c>
      <c r="C2801">
        <v>2.63</v>
      </c>
      <c r="D2801" t="s">
        <v>7</v>
      </c>
      <c r="E2801" s="2" t="s">
        <v>12</v>
      </c>
      <c r="F2801">
        <f t="shared" si="43"/>
        <v>5.2152900000000004</v>
      </c>
      <c r="G2801" t="s">
        <v>16</v>
      </c>
      <c r="J2801" t="str">
        <f>"05/31/2009 23:45"</f>
        <v>05/31/2009 23:45</v>
      </c>
    </row>
    <row r="2802" spans="1:10" x14ac:dyDescent="0.3">
      <c r="A2802" t="s">
        <v>6</v>
      </c>
      <c r="B2802" t="str">
        <f>"06/01/2009 00:00"</f>
        <v>06/01/2009 00:00</v>
      </c>
      <c r="C2802">
        <v>2.13</v>
      </c>
      <c r="D2802" t="s">
        <v>7</v>
      </c>
      <c r="E2802" s="2" t="s">
        <v>12</v>
      </c>
      <c r="F2802">
        <f t="shared" si="43"/>
        <v>4.2237900000000002</v>
      </c>
      <c r="G2802" t="s">
        <v>16</v>
      </c>
      <c r="J2802" t="str">
        <f>"06/01/2009 23:45"</f>
        <v>06/01/2009 23:45</v>
      </c>
    </row>
    <row r="2803" spans="1:10" x14ac:dyDescent="0.3">
      <c r="A2803" t="s">
        <v>6</v>
      </c>
      <c r="B2803" t="str">
        <f>"06/02/2009 00:00"</f>
        <v>06/02/2009 00:00</v>
      </c>
      <c r="C2803">
        <v>1.34</v>
      </c>
      <c r="D2803" t="s">
        <v>7</v>
      </c>
      <c r="E2803" s="2" t="s">
        <v>12</v>
      </c>
      <c r="F2803">
        <f t="shared" si="43"/>
        <v>2.6572200000000001</v>
      </c>
      <c r="G2803" t="s">
        <v>16</v>
      </c>
      <c r="J2803" t="str">
        <f>"06/02/2009 23:45"</f>
        <v>06/02/2009 23:45</v>
      </c>
    </row>
    <row r="2804" spans="1:10" x14ac:dyDescent="0.3">
      <c r="A2804" t="s">
        <v>6</v>
      </c>
      <c r="B2804" t="str">
        <f>"06/03/2009 00:00"</f>
        <v>06/03/2009 00:00</v>
      </c>
      <c r="C2804">
        <v>1.34</v>
      </c>
      <c r="D2804" t="s">
        <v>7</v>
      </c>
      <c r="E2804" s="2" t="s">
        <v>12</v>
      </c>
      <c r="F2804">
        <f t="shared" si="43"/>
        <v>2.6572200000000001</v>
      </c>
      <c r="G2804" t="s">
        <v>16</v>
      </c>
      <c r="J2804" t="str">
        <f>"06/03/2009 23:45"</f>
        <v>06/03/2009 23:45</v>
      </c>
    </row>
    <row r="2805" spans="1:10" x14ac:dyDescent="0.3">
      <c r="A2805" t="s">
        <v>6</v>
      </c>
      <c r="B2805" t="str">
        <f>"06/04/2009 00:00"</f>
        <v>06/04/2009 00:00</v>
      </c>
      <c r="C2805">
        <v>1.34</v>
      </c>
      <c r="D2805" t="s">
        <v>7</v>
      </c>
      <c r="E2805" s="2" t="s">
        <v>12</v>
      </c>
      <c r="F2805">
        <f t="shared" si="43"/>
        <v>2.6572200000000001</v>
      </c>
      <c r="G2805" t="s">
        <v>16</v>
      </c>
      <c r="J2805" t="str">
        <f>"06/04/2009 23:45"</f>
        <v>06/04/2009 23:45</v>
      </c>
    </row>
    <row r="2806" spans="1:10" x14ac:dyDescent="0.3">
      <c r="A2806" t="s">
        <v>6</v>
      </c>
      <c r="B2806" t="str">
        <f>"06/05/2009 00:00"</f>
        <v>06/05/2009 00:00</v>
      </c>
      <c r="C2806">
        <v>1.34</v>
      </c>
      <c r="D2806" t="s">
        <v>7</v>
      </c>
      <c r="E2806" s="2" t="s">
        <v>12</v>
      </c>
      <c r="F2806">
        <f t="shared" si="43"/>
        <v>2.6572200000000001</v>
      </c>
      <c r="G2806" t="s">
        <v>16</v>
      </c>
      <c r="J2806" t="str">
        <f>"06/05/2009 23:45"</f>
        <v>06/05/2009 23:45</v>
      </c>
    </row>
    <row r="2807" spans="1:10" x14ac:dyDescent="0.3">
      <c r="A2807" t="s">
        <v>6</v>
      </c>
      <c r="B2807" t="str">
        <f>"06/06/2009 00:00"</f>
        <v>06/06/2009 00:00</v>
      </c>
      <c r="C2807">
        <v>1.52</v>
      </c>
      <c r="D2807" t="s">
        <v>7</v>
      </c>
      <c r="E2807" s="2" t="s">
        <v>12</v>
      </c>
      <c r="F2807">
        <f t="shared" si="43"/>
        <v>3.0141600000000004</v>
      </c>
      <c r="G2807" t="s">
        <v>16</v>
      </c>
      <c r="J2807" t="str">
        <f>"06/06/2009 23:45"</f>
        <v>06/06/2009 23:45</v>
      </c>
    </row>
    <row r="2808" spans="1:10" x14ac:dyDescent="0.3">
      <c r="A2808" t="s">
        <v>6</v>
      </c>
      <c r="B2808" t="str">
        <f>"06/07/2009 00:00"</f>
        <v>06/07/2009 00:00</v>
      </c>
      <c r="C2808">
        <v>2.17</v>
      </c>
      <c r="D2808" t="s">
        <v>7</v>
      </c>
      <c r="E2808" s="2" t="s">
        <v>12</v>
      </c>
      <c r="F2808">
        <f t="shared" si="43"/>
        <v>4.3031100000000002</v>
      </c>
      <c r="G2808" t="s">
        <v>16</v>
      </c>
      <c r="J2808" t="str">
        <f>"06/07/2009 23:45"</f>
        <v>06/07/2009 23:45</v>
      </c>
    </row>
    <row r="2809" spans="1:10" x14ac:dyDescent="0.3">
      <c r="A2809" t="s">
        <v>6</v>
      </c>
      <c r="B2809" t="str">
        <f>"06/08/2009 00:00"</f>
        <v>06/08/2009 00:00</v>
      </c>
      <c r="C2809">
        <v>2.17</v>
      </c>
      <c r="D2809" t="s">
        <v>7</v>
      </c>
      <c r="E2809" s="2" t="s">
        <v>12</v>
      </c>
      <c r="F2809">
        <f t="shared" si="43"/>
        <v>4.3031100000000002</v>
      </c>
      <c r="G2809" t="s">
        <v>16</v>
      </c>
      <c r="J2809" t="str">
        <f>"06/08/2009 23:45"</f>
        <v>06/08/2009 23:45</v>
      </c>
    </row>
    <row r="2810" spans="1:10" x14ac:dyDescent="0.3">
      <c r="A2810" t="s">
        <v>6</v>
      </c>
      <c r="B2810" t="str">
        <f>"06/09/2009 00:00"</f>
        <v>06/09/2009 00:00</v>
      </c>
      <c r="C2810">
        <v>1.93</v>
      </c>
      <c r="D2810" t="s">
        <v>7</v>
      </c>
      <c r="E2810" s="2" t="s">
        <v>12</v>
      </c>
      <c r="F2810">
        <f t="shared" si="43"/>
        <v>3.8271899999999999</v>
      </c>
      <c r="G2810" t="s">
        <v>16</v>
      </c>
      <c r="J2810" t="str">
        <f>"06/09/2009 23:45"</f>
        <v>06/09/2009 23:45</v>
      </c>
    </row>
    <row r="2811" spans="1:10" x14ac:dyDescent="0.3">
      <c r="A2811" t="s">
        <v>6</v>
      </c>
      <c r="B2811" t="str">
        <f>"06/10/2009 00:00"</f>
        <v>06/10/2009 00:00</v>
      </c>
      <c r="C2811">
        <v>1.77</v>
      </c>
      <c r="D2811" t="s">
        <v>7</v>
      </c>
      <c r="E2811" s="2" t="s">
        <v>12</v>
      </c>
      <c r="F2811">
        <f t="shared" si="43"/>
        <v>3.5099100000000001</v>
      </c>
      <c r="G2811" t="s">
        <v>16</v>
      </c>
      <c r="J2811" t="str">
        <f>"06/10/2009 23:45"</f>
        <v>06/10/2009 23:45</v>
      </c>
    </row>
    <row r="2812" spans="1:10" x14ac:dyDescent="0.3">
      <c r="A2812" t="s">
        <v>6</v>
      </c>
      <c r="B2812" t="str">
        <f>"06/11/2009 00:00"</f>
        <v>06/11/2009 00:00</v>
      </c>
      <c r="C2812">
        <v>1.34</v>
      </c>
      <c r="D2812" t="s">
        <v>7</v>
      </c>
      <c r="E2812" s="2" t="s">
        <v>12</v>
      </c>
      <c r="F2812">
        <f t="shared" si="43"/>
        <v>2.6572200000000001</v>
      </c>
      <c r="G2812" t="s">
        <v>16</v>
      </c>
      <c r="J2812" t="str">
        <f>"06/11/2009 23:45"</f>
        <v>06/11/2009 23:45</v>
      </c>
    </row>
    <row r="2813" spans="1:10" x14ac:dyDescent="0.3">
      <c r="A2813" t="s">
        <v>6</v>
      </c>
      <c r="B2813" t="str">
        <f>"06/12/2009 00:00"</f>
        <v>06/12/2009 00:00</v>
      </c>
      <c r="C2813">
        <v>1.34</v>
      </c>
      <c r="D2813" t="s">
        <v>7</v>
      </c>
      <c r="E2813" s="2" t="s">
        <v>12</v>
      </c>
      <c r="F2813">
        <f t="shared" si="43"/>
        <v>2.6572200000000001</v>
      </c>
      <c r="G2813" t="s">
        <v>16</v>
      </c>
      <c r="J2813" t="str">
        <f>"06/12/2009 23:45"</f>
        <v>06/12/2009 23:45</v>
      </c>
    </row>
    <row r="2814" spans="1:10" x14ac:dyDescent="0.3">
      <c r="A2814" t="s">
        <v>6</v>
      </c>
      <c r="B2814" t="str">
        <f>"06/13/2009 00:00"</f>
        <v>06/13/2009 00:00</v>
      </c>
      <c r="C2814">
        <v>1.34</v>
      </c>
      <c r="D2814" t="s">
        <v>7</v>
      </c>
      <c r="E2814" s="2" t="s">
        <v>12</v>
      </c>
      <c r="F2814">
        <f t="shared" si="43"/>
        <v>2.6572200000000001</v>
      </c>
      <c r="G2814" t="s">
        <v>16</v>
      </c>
      <c r="J2814" t="str">
        <f>"06/13/2009 23:45"</f>
        <v>06/13/2009 23:45</v>
      </c>
    </row>
    <row r="2815" spans="1:10" x14ac:dyDescent="0.3">
      <c r="A2815" t="s">
        <v>6</v>
      </c>
      <c r="B2815" t="str">
        <f>"06/14/2009 00:00"</f>
        <v>06/14/2009 00:00</v>
      </c>
      <c r="C2815">
        <v>1.34</v>
      </c>
      <c r="D2815" t="s">
        <v>7</v>
      </c>
      <c r="E2815" s="2" t="s">
        <v>12</v>
      </c>
      <c r="F2815">
        <f t="shared" si="43"/>
        <v>2.6572200000000001</v>
      </c>
      <c r="G2815" t="s">
        <v>16</v>
      </c>
      <c r="J2815" t="str">
        <f>"06/14/2009 23:45"</f>
        <v>06/14/2009 23:45</v>
      </c>
    </row>
    <row r="2816" spans="1:10" x14ac:dyDescent="0.3">
      <c r="A2816" t="s">
        <v>6</v>
      </c>
      <c r="B2816" t="str">
        <f>"06/15/2009 00:00"</f>
        <v>06/15/2009 00:00</v>
      </c>
      <c r="C2816">
        <v>1.34</v>
      </c>
      <c r="D2816" t="s">
        <v>7</v>
      </c>
      <c r="E2816" s="2" t="s">
        <v>12</v>
      </c>
      <c r="F2816">
        <f t="shared" si="43"/>
        <v>2.6572200000000001</v>
      </c>
      <c r="G2816" t="s">
        <v>16</v>
      </c>
      <c r="J2816" t="str">
        <f>"06/15/2009 23:45"</f>
        <v>06/15/2009 23:45</v>
      </c>
    </row>
    <row r="2817" spans="1:10" x14ac:dyDescent="0.3">
      <c r="A2817" t="s">
        <v>6</v>
      </c>
      <c r="B2817" t="str">
        <f>"06/16/2009 00:00"</f>
        <v>06/16/2009 00:00</v>
      </c>
      <c r="C2817">
        <v>1.34</v>
      </c>
      <c r="D2817" t="s">
        <v>7</v>
      </c>
      <c r="E2817" s="2" t="s">
        <v>12</v>
      </c>
      <c r="F2817">
        <f t="shared" si="43"/>
        <v>2.6572200000000001</v>
      </c>
      <c r="G2817" t="s">
        <v>16</v>
      </c>
      <c r="J2817" t="str">
        <f>"06/16/2009 23:45"</f>
        <v>06/16/2009 23:45</v>
      </c>
    </row>
    <row r="2818" spans="1:10" x14ac:dyDescent="0.3">
      <c r="A2818" t="s">
        <v>6</v>
      </c>
      <c r="B2818" t="str">
        <f>"06/17/2009 00:00"</f>
        <v>06/17/2009 00:00</v>
      </c>
      <c r="C2818">
        <v>1.68</v>
      </c>
      <c r="D2818" t="s">
        <v>7</v>
      </c>
      <c r="E2818" s="2" t="s">
        <v>12</v>
      </c>
      <c r="F2818">
        <f t="shared" si="43"/>
        <v>3.3314400000000002</v>
      </c>
      <c r="G2818" t="s">
        <v>16</v>
      </c>
      <c r="J2818" t="str">
        <f>"06/17/2009 23:45"</f>
        <v>06/17/2009 23:45</v>
      </c>
    </row>
    <row r="2819" spans="1:10" x14ac:dyDescent="0.3">
      <c r="A2819" t="s">
        <v>6</v>
      </c>
      <c r="B2819" t="str">
        <f>"06/18/2009 00:00"</f>
        <v>06/18/2009 00:00</v>
      </c>
      <c r="C2819">
        <v>2.56</v>
      </c>
      <c r="D2819" t="s">
        <v>7</v>
      </c>
      <c r="E2819" s="2" t="s">
        <v>12</v>
      </c>
      <c r="F2819">
        <f t="shared" si="43"/>
        <v>5.0764800000000001</v>
      </c>
      <c r="G2819" t="s">
        <v>16</v>
      </c>
      <c r="J2819" t="str">
        <f>"06/18/2009 23:45"</f>
        <v>06/18/2009 23:45</v>
      </c>
    </row>
    <row r="2820" spans="1:10" x14ac:dyDescent="0.3">
      <c r="A2820" t="s">
        <v>6</v>
      </c>
      <c r="B2820" t="str">
        <f>"06/19/2009 00:00"</f>
        <v>06/19/2009 00:00</v>
      </c>
      <c r="C2820">
        <v>2.56</v>
      </c>
      <c r="D2820" t="s">
        <v>7</v>
      </c>
      <c r="E2820" s="2" t="s">
        <v>12</v>
      </c>
      <c r="F2820">
        <f t="shared" ref="F2820:F2883" si="44">C2820*1.983</f>
        <v>5.0764800000000001</v>
      </c>
      <c r="G2820" t="s">
        <v>16</v>
      </c>
      <c r="J2820" t="str">
        <f>"06/19/2009 23:45"</f>
        <v>06/19/2009 23:45</v>
      </c>
    </row>
    <row r="2821" spans="1:10" x14ac:dyDescent="0.3">
      <c r="A2821" t="s">
        <v>6</v>
      </c>
      <c r="B2821" t="str">
        <f>"06/20/2009 00:00"</f>
        <v>06/20/2009 00:00</v>
      </c>
      <c r="C2821">
        <v>2.0699999999999998</v>
      </c>
      <c r="D2821" t="s">
        <v>7</v>
      </c>
      <c r="E2821" s="2" t="s">
        <v>12</v>
      </c>
      <c r="F2821">
        <f t="shared" si="44"/>
        <v>4.1048099999999996</v>
      </c>
      <c r="G2821" t="s">
        <v>16</v>
      </c>
      <c r="J2821" t="str">
        <f>"06/20/2009 23:45"</f>
        <v>06/20/2009 23:45</v>
      </c>
    </row>
    <row r="2822" spans="1:10" x14ac:dyDescent="0.3">
      <c r="A2822" t="s">
        <v>6</v>
      </c>
      <c r="B2822" t="str">
        <f>"06/21/2009 00:00"</f>
        <v>06/21/2009 00:00</v>
      </c>
      <c r="C2822">
        <v>1.67</v>
      </c>
      <c r="D2822" t="s">
        <v>7</v>
      </c>
      <c r="E2822" s="2" t="s">
        <v>12</v>
      </c>
      <c r="F2822">
        <f t="shared" si="44"/>
        <v>3.3116099999999999</v>
      </c>
      <c r="G2822" t="s">
        <v>16</v>
      </c>
      <c r="J2822" t="str">
        <f>"06/21/2009 23:45"</f>
        <v>06/21/2009 23:45</v>
      </c>
    </row>
    <row r="2823" spans="1:10" x14ac:dyDescent="0.3">
      <c r="A2823" t="s">
        <v>6</v>
      </c>
      <c r="B2823" t="str">
        <f>"06/22/2009 00:00"</f>
        <v>06/22/2009 00:00</v>
      </c>
      <c r="C2823">
        <v>2.56</v>
      </c>
      <c r="D2823" t="s">
        <v>7</v>
      </c>
      <c r="E2823" s="2" t="s">
        <v>12</v>
      </c>
      <c r="F2823">
        <f t="shared" si="44"/>
        <v>5.0764800000000001</v>
      </c>
      <c r="G2823" t="s">
        <v>16</v>
      </c>
      <c r="J2823" t="str">
        <f>"06/22/2009 23:45"</f>
        <v>06/22/2009 23:45</v>
      </c>
    </row>
    <row r="2824" spans="1:10" x14ac:dyDescent="0.3">
      <c r="A2824" t="s">
        <v>6</v>
      </c>
      <c r="B2824" t="str">
        <f>"06/23/2009 00:00"</f>
        <v>06/23/2009 00:00</v>
      </c>
      <c r="C2824">
        <v>2.15</v>
      </c>
      <c r="D2824" t="s">
        <v>7</v>
      </c>
      <c r="E2824" s="2" t="s">
        <v>12</v>
      </c>
      <c r="F2824">
        <f t="shared" si="44"/>
        <v>4.2634499999999997</v>
      </c>
      <c r="G2824" t="s">
        <v>16</v>
      </c>
      <c r="J2824" t="str">
        <f>"06/23/2009 23:45"</f>
        <v>06/23/2009 23:45</v>
      </c>
    </row>
    <row r="2825" spans="1:10" x14ac:dyDescent="0.3">
      <c r="A2825" t="s">
        <v>6</v>
      </c>
      <c r="B2825" t="str">
        <f>"06/24/2009 00:00"</f>
        <v>06/24/2009 00:00</v>
      </c>
      <c r="C2825">
        <v>2.41</v>
      </c>
      <c r="D2825" t="s">
        <v>7</v>
      </c>
      <c r="E2825" s="2" t="s">
        <v>12</v>
      </c>
      <c r="F2825">
        <f t="shared" si="44"/>
        <v>4.7790300000000006</v>
      </c>
      <c r="G2825" t="s">
        <v>16</v>
      </c>
      <c r="J2825" t="str">
        <f>"06/24/2009 23:45"</f>
        <v>06/24/2009 23:45</v>
      </c>
    </row>
    <row r="2826" spans="1:10" x14ac:dyDescent="0.3">
      <c r="A2826" t="s">
        <v>6</v>
      </c>
      <c r="B2826" t="str">
        <f>"06/25/2009 00:00"</f>
        <v>06/25/2009 00:00</v>
      </c>
      <c r="C2826">
        <v>2.75</v>
      </c>
      <c r="D2826" t="s">
        <v>7</v>
      </c>
      <c r="E2826" s="2" t="s">
        <v>12</v>
      </c>
      <c r="F2826">
        <f t="shared" si="44"/>
        <v>5.4532500000000006</v>
      </c>
      <c r="G2826" t="s">
        <v>16</v>
      </c>
      <c r="J2826" t="str">
        <f>"06/25/2009 23:45"</f>
        <v>06/25/2009 23:45</v>
      </c>
    </row>
    <row r="2827" spans="1:10" x14ac:dyDescent="0.3">
      <c r="A2827" t="s">
        <v>6</v>
      </c>
      <c r="B2827" t="str">
        <f>"06/26/2009 00:00"</f>
        <v>06/26/2009 00:00</v>
      </c>
      <c r="C2827">
        <v>2.9</v>
      </c>
      <c r="D2827" t="s">
        <v>7</v>
      </c>
      <c r="E2827" s="2" t="s">
        <v>12</v>
      </c>
      <c r="F2827">
        <f t="shared" si="44"/>
        <v>5.7507000000000001</v>
      </c>
      <c r="G2827" t="s">
        <v>16</v>
      </c>
      <c r="J2827" t="str">
        <f>"06/26/2009 23:45"</f>
        <v>06/26/2009 23:45</v>
      </c>
    </row>
    <row r="2828" spans="1:10" x14ac:dyDescent="0.3">
      <c r="A2828" t="s">
        <v>6</v>
      </c>
      <c r="B2828" t="str">
        <f>"06/27/2009 00:00"</f>
        <v>06/27/2009 00:00</v>
      </c>
      <c r="C2828">
        <v>2.91</v>
      </c>
      <c r="D2828" t="s">
        <v>7</v>
      </c>
      <c r="E2828" s="2" t="s">
        <v>12</v>
      </c>
      <c r="F2828">
        <f t="shared" si="44"/>
        <v>5.7705300000000008</v>
      </c>
      <c r="G2828" t="s">
        <v>16</v>
      </c>
      <c r="J2828" t="str">
        <f>"06/27/2009 23:45"</f>
        <v>06/27/2009 23:45</v>
      </c>
    </row>
    <row r="2829" spans="1:10" x14ac:dyDescent="0.3">
      <c r="A2829" t="s">
        <v>6</v>
      </c>
      <c r="B2829" t="str">
        <f>"06/28/2009 00:00"</f>
        <v>06/28/2009 00:00</v>
      </c>
      <c r="C2829">
        <v>2.91</v>
      </c>
      <c r="D2829" t="s">
        <v>7</v>
      </c>
      <c r="E2829" s="2" t="s">
        <v>12</v>
      </c>
      <c r="F2829">
        <f t="shared" si="44"/>
        <v>5.7705300000000008</v>
      </c>
      <c r="G2829" t="s">
        <v>16</v>
      </c>
      <c r="J2829" t="str">
        <f>"06/28/2009 23:45"</f>
        <v>06/28/2009 23:45</v>
      </c>
    </row>
    <row r="2830" spans="1:10" x14ac:dyDescent="0.3">
      <c r="A2830" t="s">
        <v>6</v>
      </c>
      <c r="B2830" t="str">
        <f>"06/29/2009 00:00"</f>
        <v>06/29/2009 00:00</v>
      </c>
      <c r="C2830">
        <v>1.98</v>
      </c>
      <c r="D2830" t="s">
        <v>7</v>
      </c>
      <c r="E2830" s="2" t="s">
        <v>12</v>
      </c>
      <c r="F2830">
        <f t="shared" si="44"/>
        <v>3.9263400000000002</v>
      </c>
      <c r="G2830" t="s">
        <v>16</v>
      </c>
      <c r="J2830" t="str">
        <f>"06/29/2009 23:45"</f>
        <v>06/29/2009 23:45</v>
      </c>
    </row>
    <row r="2831" spans="1:10" x14ac:dyDescent="0.3">
      <c r="A2831" t="s">
        <v>6</v>
      </c>
      <c r="B2831" t="str">
        <f>"06/30/2009 00:00"</f>
        <v>06/30/2009 00:00</v>
      </c>
      <c r="C2831">
        <v>1.34</v>
      </c>
      <c r="D2831" t="s">
        <v>7</v>
      </c>
      <c r="E2831" s="2" t="s">
        <v>12</v>
      </c>
      <c r="F2831">
        <f t="shared" si="44"/>
        <v>2.6572200000000001</v>
      </c>
      <c r="G2831" t="s">
        <v>16</v>
      </c>
      <c r="J2831" t="str">
        <f>"06/30/2009 23:45"</f>
        <v>06/30/2009 23:45</v>
      </c>
    </row>
    <row r="2832" spans="1:10" x14ac:dyDescent="0.3">
      <c r="A2832" t="s">
        <v>6</v>
      </c>
      <c r="B2832" t="str">
        <f>"07/01/2009 00:00"</f>
        <v>07/01/2009 00:00</v>
      </c>
      <c r="C2832">
        <v>1.34</v>
      </c>
      <c r="D2832" t="s">
        <v>7</v>
      </c>
      <c r="E2832" s="2" t="s">
        <v>12</v>
      </c>
      <c r="F2832">
        <f t="shared" si="44"/>
        <v>2.6572200000000001</v>
      </c>
      <c r="G2832" t="s">
        <v>16</v>
      </c>
      <c r="J2832" t="str">
        <f>"07/01/2009 23:45"</f>
        <v>07/01/2009 23:45</v>
      </c>
    </row>
    <row r="2833" spans="1:10" x14ac:dyDescent="0.3">
      <c r="A2833" t="s">
        <v>6</v>
      </c>
      <c r="B2833" t="str">
        <f>"07/02/2009 00:00"</f>
        <v>07/02/2009 00:00</v>
      </c>
      <c r="C2833">
        <v>1.34</v>
      </c>
      <c r="D2833" t="s">
        <v>7</v>
      </c>
      <c r="E2833" s="2" t="s">
        <v>12</v>
      </c>
      <c r="F2833">
        <f t="shared" si="44"/>
        <v>2.6572200000000001</v>
      </c>
      <c r="G2833" t="s">
        <v>16</v>
      </c>
      <c r="J2833" t="str">
        <f>"07/02/2009 23:45"</f>
        <v>07/02/2009 23:45</v>
      </c>
    </row>
    <row r="2834" spans="1:10" x14ac:dyDescent="0.3">
      <c r="A2834" t="s">
        <v>6</v>
      </c>
      <c r="B2834" t="str">
        <f>"07/03/2009 00:00"</f>
        <v>07/03/2009 00:00</v>
      </c>
      <c r="C2834">
        <v>1.34</v>
      </c>
      <c r="D2834" t="s">
        <v>7</v>
      </c>
      <c r="E2834" s="2" t="s">
        <v>12</v>
      </c>
      <c r="F2834">
        <f t="shared" si="44"/>
        <v>2.6572200000000001</v>
      </c>
      <c r="G2834" t="s">
        <v>16</v>
      </c>
      <c r="J2834" t="str">
        <f>"07/03/2009 23:45"</f>
        <v>07/03/2009 23:45</v>
      </c>
    </row>
    <row r="2835" spans="1:10" x14ac:dyDescent="0.3">
      <c r="A2835" t="s">
        <v>6</v>
      </c>
      <c r="B2835" t="str">
        <f>"07/04/2009 00:00"</f>
        <v>07/04/2009 00:00</v>
      </c>
      <c r="C2835">
        <v>1.34</v>
      </c>
      <c r="D2835" t="s">
        <v>7</v>
      </c>
      <c r="E2835" s="2" t="s">
        <v>12</v>
      </c>
      <c r="F2835">
        <f t="shared" si="44"/>
        <v>2.6572200000000001</v>
      </c>
      <c r="G2835" t="s">
        <v>16</v>
      </c>
      <c r="J2835" t="str">
        <f>"07/04/2009 23:45"</f>
        <v>07/04/2009 23:45</v>
      </c>
    </row>
    <row r="2836" spans="1:10" x14ac:dyDescent="0.3">
      <c r="A2836" t="s">
        <v>6</v>
      </c>
      <c r="B2836" t="str">
        <f>"07/05/2009 00:00"</f>
        <v>07/05/2009 00:00</v>
      </c>
      <c r="C2836">
        <v>1.34</v>
      </c>
      <c r="D2836" t="s">
        <v>7</v>
      </c>
      <c r="E2836" s="2" t="s">
        <v>12</v>
      </c>
      <c r="F2836">
        <f t="shared" si="44"/>
        <v>2.6572200000000001</v>
      </c>
      <c r="G2836" t="s">
        <v>16</v>
      </c>
      <c r="J2836" t="str">
        <f>"07/05/2009 23:45"</f>
        <v>07/05/2009 23:45</v>
      </c>
    </row>
    <row r="2837" spans="1:10" x14ac:dyDescent="0.3">
      <c r="A2837" t="s">
        <v>6</v>
      </c>
      <c r="B2837" t="str">
        <f>"07/06/2009 00:00"</f>
        <v>07/06/2009 00:00</v>
      </c>
      <c r="C2837">
        <v>1.81</v>
      </c>
      <c r="D2837" t="s">
        <v>7</v>
      </c>
      <c r="E2837" s="2" t="s">
        <v>12</v>
      </c>
      <c r="F2837">
        <f t="shared" si="44"/>
        <v>3.5892300000000001</v>
      </c>
      <c r="G2837" t="s">
        <v>16</v>
      </c>
      <c r="J2837" t="str">
        <f>"07/06/2009 23:45"</f>
        <v>07/06/2009 23:45</v>
      </c>
    </row>
    <row r="2838" spans="1:10" x14ac:dyDescent="0.3">
      <c r="A2838" t="s">
        <v>6</v>
      </c>
      <c r="B2838" t="str">
        <f>"07/07/2009 00:00"</f>
        <v>07/07/2009 00:00</v>
      </c>
      <c r="C2838">
        <v>2.23</v>
      </c>
      <c r="D2838" t="s">
        <v>7</v>
      </c>
      <c r="E2838" s="2" t="s">
        <v>12</v>
      </c>
      <c r="F2838">
        <f t="shared" si="44"/>
        <v>4.4220899999999999</v>
      </c>
      <c r="G2838" t="s">
        <v>16</v>
      </c>
      <c r="J2838" t="str">
        <f>"07/07/2009 23:45"</f>
        <v>07/07/2009 23:45</v>
      </c>
    </row>
    <row r="2839" spans="1:10" x14ac:dyDescent="0.3">
      <c r="A2839" t="s">
        <v>6</v>
      </c>
      <c r="B2839" t="str">
        <f>"07/08/2009 00:00"</f>
        <v>07/08/2009 00:00</v>
      </c>
      <c r="C2839">
        <v>2.23</v>
      </c>
      <c r="D2839" t="s">
        <v>7</v>
      </c>
      <c r="E2839" s="2" t="s">
        <v>12</v>
      </c>
      <c r="F2839">
        <f t="shared" si="44"/>
        <v>4.4220899999999999</v>
      </c>
      <c r="G2839" t="s">
        <v>16</v>
      </c>
      <c r="J2839" t="str">
        <f>"07/08/2009 23:45"</f>
        <v>07/08/2009 23:45</v>
      </c>
    </row>
    <row r="2840" spans="1:10" x14ac:dyDescent="0.3">
      <c r="A2840" t="s">
        <v>6</v>
      </c>
      <c r="B2840" t="str">
        <f>"07/09/2009 00:00"</f>
        <v>07/09/2009 00:00</v>
      </c>
      <c r="C2840">
        <v>2.35</v>
      </c>
      <c r="D2840" t="s">
        <v>7</v>
      </c>
      <c r="E2840" s="2" t="s">
        <v>12</v>
      </c>
      <c r="F2840">
        <f t="shared" si="44"/>
        <v>4.66005</v>
      </c>
      <c r="G2840" t="s">
        <v>16</v>
      </c>
      <c r="J2840" t="str">
        <f>"07/09/2009 23:45"</f>
        <v>07/09/2009 23:45</v>
      </c>
    </row>
    <row r="2841" spans="1:10" x14ac:dyDescent="0.3">
      <c r="A2841" t="s">
        <v>6</v>
      </c>
      <c r="B2841" t="str">
        <f>"07/10/2009 00:00"</f>
        <v>07/10/2009 00:00</v>
      </c>
      <c r="C2841">
        <v>1.96</v>
      </c>
      <c r="D2841" t="s">
        <v>7</v>
      </c>
      <c r="E2841" s="2" t="s">
        <v>12</v>
      </c>
      <c r="F2841">
        <f t="shared" si="44"/>
        <v>3.8866800000000001</v>
      </c>
      <c r="G2841" t="s">
        <v>16</v>
      </c>
      <c r="J2841" t="str">
        <f>"07/10/2009 23:45"</f>
        <v>07/10/2009 23:45</v>
      </c>
    </row>
    <row r="2842" spans="1:10" x14ac:dyDescent="0.3">
      <c r="A2842" t="s">
        <v>6</v>
      </c>
      <c r="B2842" t="str">
        <f>"07/11/2009 00:00"</f>
        <v>07/11/2009 00:00</v>
      </c>
      <c r="C2842">
        <v>2.56</v>
      </c>
      <c r="D2842" t="s">
        <v>7</v>
      </c>
      <c r="E2842" s="2" t="s">
        <v>12</v>
      </c>
      <c r="F2842">
        <f t="shared" si="44"/>
        <v>5.0764800000000001</v>
      </c>
      <c r="G2842" t="s">
        <v>16</v>
      </c>
      <c r="J2842" t="str">
        <f>"07/11/2009 23:45"</f>
        <v>07/11/2009 23:45</v>
      </c>
    </row>
    <row r="2843" spans="1:10" x14ac:dyDescent="0.3">
      <c r="A2843" t="s">
        <v>6</v>
      </c>
      <c r="B2843" t="str">
        <f>"07/12/2009 00:00"</f>
        <v>07/12/2009 00:00</v>
      </c>
      <c r="C2843">
        <v>2.87</v>
      </c>
      <c r="D2843" t="s">
        <v>7</v>
      </c>
      <c r="E2843" s="2" t="s">
        <v>12</v>
      </c>
      <c r="F2843">
        <f t="shared" si="44"/>
        <v>5.6912100000000008</v>
      </c>
      <c r="G2843" t="s">
        <v>16</v>
      </c>
      <c r="J2843" t="str">
        <f>"07/12/2009 23:45"</f>
        <v>07/12/2009 23:45</v>
      </c>
    </row>
    <row r="2844" spans="1:10" x14ac:dyDescent="0.3">
      <c r="A2844" t="s">
        <v>6</v>
      </c>
      <c r="B2844" t="str">
        <f>"07/13/2009 00:00"</f>
        <v>07/13/2009 00:00</v>
      </c>
      <c r="C2844">
        <v>2.19</v>
      </c>
      <c r="D2844" t="s">
        <v>7</v>
      </c>
      <c r="E2844" s="2" t="s">
        <v>12</v>
      </c>
      <c r="F2844">
        <f t="shared" si="44"/>
        <v>4.3427699999999998</v>
      </c>
      <c r="G2844" t="s">
        <v>16</v>
      </c>
      <c r="J2844" t="str">
        <f>"07/13/2009 23:45"</f>
        <v>07/13/2009 23:45</v>
      </c>
    </row>
    <row r="2845" spans="1:10" x14ac:dyDescent="0.3">
      <c r="A2845" t="s">
        <v>6</v>
      </c>
      <c r="B2845" t="str">
        <f>"07/14/2009 00:00"</f>
        <v>07/14/2009 00:00</v>
      </c>
      <c r="C2845">
        <v>2.59</v>
      </c>
      <c r="D2845" t="s">
        <v>7</v>
      </c>
      <c r="E2845" s="2" t="s">
        <v>12</v>
      </c>
      <c r="F2845">
        <f t="shared" si="44"/>
        <v>5.1359700000000004</v>
      </c>
      <c r="G2845" t="s">
        <v>16</v>
      </c>
      <c r="J2845" t="str">
        <f>"07/14/2009 23:45"</f>
        <v>07/14/2009 23:45</v>
      </c>
    </row>
    <row r="2846" spans="1:10" x14ac:dyDescent="0.3">
      <c r="A2846" t="s">
        <v>6</v>
      </c>
      <c r="B2846" t="str">
        <f>"07/15/2009 00:00"</f>
        <v>07/15/2009 00:00</v>
      </c>
      <c r="C2846">
        <v>2.91</v>
      </c>
      <c r="D2846" t="s">
        <v>7</v>
      </c>
      <c r="E2846" s="2" t="s">
        <v>12</v>
      </c>
      <c r="F2846">
        <f t="shared" si="44"/>
        <v>5.7705300000000008</v>
      </c>
      <c r="G2846" t="s">
        <v>16</v>
      </c>
      <c r="J2846" t="str">
        <f>"07/15/2009 23:45"</f>
        <v>07/15/2009 23:45</v>
      </c>
    </row>
    <row r="2847" spans="1:10" x14ac:dyDescent="0.3">
      <c r="A2847" t="s">
        <v>6</v>
      </c>
      <c r="B2847" t="str">
        <f>"07/16/2009 00:00"</f>
        <v>07/16/2009 00:00</v>
      </c>
      <c r="C2847">
        <v>2.5</v>
      </c>
      <c r="D2847" t="s">
        <v>7</v>
      </c>
      <c r="E2847" s="2" t="s">
        <v>12</v>
      </c>
      <c r="F2847">
        <f t="shared" si="44"/>
        <v>4.9575000000000005</v>
      </c>
      <c r="G2847" t="s">
        <v>16</v>
      </c>
      <c r="J2847" t="str">
        <f>"07/16/2009 23:45"</f>
        <v>07/16/2009 23:45</v>
      </c>
    </row>
    <row r="2848" spans="1:10" x14ac:dyDescent="0.3">
      <c r="A2848" t="s">
        <v>6</v>
      </c>
      <c r="B2848" t="str">
        <f>"07/17/2009 00:00"</f>
        <v>07/17/2009 00:00</v>
      </c>
      <c r="C2848">
        <v>35.9</v>
      </c>
      <c r="D2848" t="s">
        <v>7</v>
      </c>
      <c r="E2848" s="2" t="s">
        <v>12</v>
      </c>
      <c r="F2848">
        <f t="shared" si="44"/>
        <v>71.189700000000002</v>
      </c>
      <c r="G2848" t="s">
        <v>16</v>
      </c>
      <c r="J2848" t="str">
        <f>"07/17/2009 23:45"</f>
        <v>07/17/2009 23:45</v>
      </c>
    </row>
    <row r="2849" spans="1:10" x14ac:dyDescent="0.3">
      <c r="A2849" t="s">
        <v>6</v>
      </c>
      <c r="B2849" t="str">
        <f>"07/18/2009 00:00"</f>
        <v>07/18/2009 00:00</v>
      </c>
      <c r="C2849">
        <v>149</v>
      </c>
      <c r="D2849" t="s">
        <v>7</v>
      </c>
      <c r="E2849" s="2" t="s">
        <v>12</v>
      </c>
      <c r="F2849">
        <f t="shared" si="44"/>
        <v>295.46700000000004</v>
      </c>
      <c r="G2849" t="s">
        <v>16</v>
      </c>
      <c r="J2849" t="str">
        <f>"07/18/2009 23:45"</f>
        <v>07/18/2009 23:45</v>
      </c>
    </row>
    <row r="2850" spans="1:10" x14ac:dyDescent="0.3">
      <c r="A2850" t="s">
        <v>6</v>
      </c>
      <c r="B2850" t="str">
        <f>"07/19/2009 00:00"</f>
        <v>07/19/2009 00:00</v>
      </c>
      <c r="C2850">
        <v>267</v>
      </c>
      <c r="D2850" t="s">
        <v>7</v>
      </c>
      <c r="E2850" s="2" t="s">
        <v>12</v>
      </c>
      <c r="F2850">
        <f t="shared" si="44"/>
        <v>529.46100000000001</v>
      </c>
      <c r="G2850" t="s">
        <v>16</v>
      </c>
      <c r="J2850" t="str">
        <f>"07/19/2009 23:45"</f>
        <v>07/19/2009 23:45</v>
      </c>
    </row>
    <row r="2851" spans="1:10" x14ac:dyDescent="0.3">
      <c r="A2851" t="s">
        <v>6</v>
      </c>
      <c r="B2851" t="str">
        <f>"07/20/2009 00:00"</f>
        <v>07/20/2009 00:00</v>
      </c>
      <c r="C2851">
        <v>301</v>
      </c>
      <c r="D2851" t="s">
        <v>7</v>
      </c>
      <c r="E2851" s="2" t="s">
        <v>12</v>
      </c>
      <c r="F2851">
        <f t="shared" si="44"/>
        <v>596.88300000000004</v>
      </c>
      <c r="G2851" t="s">
        <v>16</v>
      </c>
      <c r="J2851" t="str">
        <f>"07/20/2009 23:45"</f>
        <v>07/20/2009 23:45</v>
      </c>
    </row>
    <row r="2852" spans="1:10" x14ac:dyDescent="0.3">
      <c r="A2852" t="s">
        <v>6</v>
      </c>
      <c r="B2852" t="str">
        <f>"07/21/2009 00:00"</f>
        <v>07/21/2009 00:00</v>
      </c>
      <c r="C2852">
        <v>147</v>
      </c>
      <c r="D2852" t="s">
        <v>7</v>
      </c>
      <c r="E2852" s="2" t="s">
        <v>12</v>
      </c>
      <c r="F2852">
        <f t="shared" si="44"/>
        <v>291.50100000000003</v>
      </c>
      <c r="G2852" t="s">
        <v>16</v>
      </c>
      <c r="J2852" t="str">
        <f>"07/21/2009 23:45"</f>
        <v>07/21/2009 23:45</v>
      </c>
    </row>
    <row r="2853" spans="1:10" x14ac:dyDescent="0.3">
      <c r="A2853" t="s">
        <v>6</v>
      </c>
      <c r="B2853" t="str">
        <f>"07/22/2009 00:00"</f>
        <v>07/22/2009 00:00</v>
      </c>
      <c r="C2853">
        <v>30.7</v>
      </c>
      <c r="D2853" t="s">
        <v>7</v>
      </c>
      <c r="E2853" s="2" t="s">
        <v>12</v>
      </c>
      <c r="F2853">
        <f t="shared" si="44"/>
        <v>60.878100000000003</v>
      </c>
      <c r="G2853" t="s">
        <v>16</v>
      </c>
      <c r="J2853" t="str">
        <f>"07/22/2009 23:45"</f>
        <v>07/22/2009 23:45</v>
      </c>
    </row>
    <row r="2854" spans="1:10" x14ac:dyDescent="0.3">
      <c r="A2854" t="s">
        <v>6</v>
      </c>
      <c r="B2854" t="str">
        <f>"07/23/2009 00:00"</f>
        <v>07/23/2009 00:00</v>
      </c>
      <c r="C2854">
        <v>6.38</v>
      </c>
      <c r="D2854" t="s">
        <v>7</v>
      </c>
      <c r="E2854" s="2" t="s">
        <v>12</v>
      </c>
      <c r="F2854">
        <f t="shared" si="44"/>
        <v>12.651540000000001</v>
      </c>
      <c r="G2854" t="s">
        <v>16</v>
      </c>
      <c r="J2854" t="str">
        <f>"07/23/2009 23:45"</f>
        <v>07/23/2009 23:45</v>
      </c>
    </row>
    <row r="2855" spans="1:10" x14ac:dyDescent="0.3">
      <c r="A2855" t="s">
        <v>6</v>
      </c>
      <c r="B2855" t="str">
        <f>"07/24/2009 00:00"</f>
        <v>07/24/2009 00:00</v>
      </c>
      <c r="C2855">
        <v>3.25</v>
      </c>
      <c r="D2855" t="s">
        <v>7</v>
      </c>
      <c r="E2855" s="2" t="s">
        <v>12</v>
      </c>
      <c r="F2855">
        <f t="shared" si="44"/>
        <v>6.44475</v>
      </c>
      <c r="G2855" t="s">
        <v>16</v>
      </c>
      <c r="J2855" t="str">
        <f>"07/24/2009 23:45"</f>
        <v>07/24/2009 23:45</v>
      </c>
    </row>
    <row r="2856" spans="1:10" x14ac:dyDescent="0.3">
      <c r="A2856" t="s">
        <v>6</v>
      </c>
      <c r="B2856" t="str">
        <f>"07/25/2009 00:00"</f>
        <v>07/25/2009 00:00</v>
      </c>
      <c r="C2856">
        <v>43</v>
      </c>
      <c r="D2856" t="s">
        <v>7</v>
      </c>
      <c r="E2856" s="2" t="s">
        <v>12</v>
      </c>
      <c r="F2856">
        <f t="shared" si="44"/>
        <v>85.269000000000005</v>
      </c>
      <c r="G2856" t="s">
        <v>16</v>
      </c>
      <c r="J2856" t="str">
        <f>"07/25/2009 23:45"</f>
        <v>07/25/2009 23:45</v>
      </c>
    </row>
    <row r="2857" spans="1:10" x14ac:dyDescent="0.3">
      <c r="A2857" t="s">
        <v>6</v>
      </c>
      <c r="B2857" t="str">
        <f>"07/26/2009 00:00"</f>
        <v>07/26/2009 00:00</v>
      </c>
      <c r="C2857">
        <v>75</v>
      </c>
      <c r="D2857" t="s">
        <v>7</v>
      </c>
      <c r="E2857" s="2" t="s">
        <v>12</v>
      </c>
      <c r="F2857">
        <f t="shared" si="44"/>
        <v>148.72499999999999</v>
      </c>
      <c r="G2857" t="s">
        <v>16</v>
      </c>
      <c r="J2857" t="str">
        <f>"07/26/2009 23:45"</f>
        <v>07/26/2009 23:45</v>
      </c>
    </row>
    <row r="2858" spans="1:10" x14ac:dyDescent="0.3">
      <c r="A2858" t="s">
        <v>6</v>
      </c>
      <c r="B2858" t="str">
        <f>"07/27/2009 00:00"</f>
        <v>07/27/2009 00:00</v>
      </c>
      <c r="C2858">
        <v>75.099999999999994</v>
      </c>
      <c r="D2858" t="s">
        <v>7</v>
      </c>
      <c r="E2858" s="2" t="s">
        <v>12</v>
      </c>
      <c r="F2858">
        <f t="shared" si="44"/>
        <v>148.92329999999998</v>
      </c>
      <c r="G2858" t="s">
        <v>16</v>
      </c>
      <c r="J2858" t="str">
        <f>"07/27/2009 23:45"</f>
        <v>07/27/2009 23:45</v>
      </c>
    </row>
    <row r="2859" spans="1:10" x14ac:dyDescent="0.3">
      <c r="A2859" t="s">
        <v>6</v>
      </c>
      <c r="B2859" t="str">
        <f>"07/28/2009 00:00"</f>
        <v>07/28/2009 00:00</v>
      </c>
      <c r="C2859">
        <v>63.6</v>
      </c>
      <c r="D2859" t="s">
        <v>7</v>
      </c>
      <c r="E2859" s="2" t="s">
        <v>12</v>
      </c>
      <c r="F2859">
        <f t="shared" si="44"/>
        <v>126.11880000000001</v>
      </c>
      <c r="G2859" t="s">
        <v>16</v>
      </c>
      <c r="J2859" t="str">
        <f>"07/28/2009 23:45"</f>
        <v>07/28/2009 23:45</v>
      </c>
    </row>
    <row r="2860" spans="1:10" x14ac:dyDescent="0.3">
      <c r="A2860" t="s">
        <v>6</v>
      </c>
      <c r="B2860" t="str">
        <f>"07/29/2009 00:00"</f>
        <v>07/29/2009 00:00</v>
      </c>
      <c r="C2860">
        <v>100</v>
      </c>
      <c r="D2860" t="s">
        <v>7</v>
      </c>
      <c r="E2860" s="2" t="s">
        <v>12</v>
      </c>
      <c r="F2860">
        <f t="shared" si="44"/>
        <v>198.3</v>
      </c>
      <c r="G2860" t="s">
        <v>16</v>
      </c>
      <c r="J2860" t="str">
        <f>"07/29/2009 23:45"</f>
        <v>07/29/2009 23:45</v>
      </c>
    </row>
    <row r="2861" spans="1:10" x14ac:dyDescent="0.3">
      <c r="A2861" t="s">
        <v>6</v>
      </c>
      <c r="B2861" t="str">
        <f>"07/30/2009 00:00"</f>
        <v>07/30/2009 00:00</v>
      </c>
      <c r="C2861">
        <v>99.4</v>
      </c>
      <c r="D2861" t="s">
        <v>7</v>
      </c>
      <c r="E2861" s="2" t="s">
        <v>12</v>
      </c>
      <c r="F2861">
        <f t="shared" si="44"/>
        <v>197.11020000000002</v>
      </c>
      <c r="G2861" t="s">
        <v>16</v>
      </c>
      <c r="J2861" t="str">
        <f>"07/30/2009 23:45"</f>
        <v>07/30/2009 23:45</v>
      </c>
    </row>
    <row r="2862" spans="1:10" x14ac:dyDescent="0.3">
      <c r="A2862" t="s">
        <v>6</v>
      </c>
      <c r="B2862" t="str">
        <f>"07/31/2009 00:00"</f>
        <v>07/31/2009 00:00</v>
      </c>
      <c r="C2862">
        <v>30.5</v>
      </c>
      <c r="D2862" t="s">
        <v>7</v>
      </c>
      <c r="E2862" s="2" t="s">
        <v>12</v>
      </c>
      <c r="F2862">
        <f t="shared" si="44"/>
        <v>60.481500000000004</v>
      </c>
      <c r="G2862" t="s">
        <v>16</v>
      </c>
      <c r="J2862" t="str">
        <f>"07/31/2009 23:45"</f>
        <v>07/31/2009 23:45</v>
      </c>
    </row>
    <row r="2863" spans="1:10" x14ac:dyDescent="0.3">
      <c r="A2863" t="s">
        <v>6</v>
      </c>
      <c r="B2863" t="str">
        <f>"08/01/2009 00:00"</f>
        <v>08/01/2009 00:00</v>
      </c>
      <c r="C2863">
        <v>3.03</v>
      </c>
      <c r="D2863" t="s">
        <v>7</v>
      </c>
      <c r="E2863" s="2" t="s">
        <v>12</v>
      </c>
      <c r="F2863">
        <f t="shared" si="44"/>
        <v>6.0084900000000001</v>
      </c>
      <c r="G2863" t="s">
        <v>16</v>
      </c>
      <c r="J2863" t="str">
        <f>"08/01/2009 23:45"</f>
        <v>08/01/2009 23:45</v>
      </c>
    </row>
    <row r="2864" spans="1:10" x14ac:dyDescent="0.3">
      <c r="A2864" t="s">
        <v>6</v>
      </c>
      <c r="B2864" t="str">
        <f>"08/02/2009 00:00"</f>
        <v>08/02/2009 00:00</v>
      </c>
      <c r="C2864">
        <v>3.28</v>
      </c>
      <c r="D2864" t="s">
        <v>7</v>
      </c>
      <c r="E2864" s="2" t="s">
        <v>12</v>
      </c>
      <c r="F2864">
        <f t="shared" si="44"/>
        <v>6.5042400000000002</v>
      </c>
      <c r="G2864" t="s">
        <v>16</v>
      </c>
      <c r="J2864" t="str">
        <f>"08/02/2009 23:45"</f>
        <v>08/02/2009 23:45</v>
      </c>
    </row>
    <row r="2865" spans="1:10" x14ac:dyDescent="0.3">
      <c r="A2865" t="s">
        <v>6</v>
      </c>
      <c r="B2865" t="str">
        <f>"08/03/2009 00:00"</f>
        <v>08/03/2009 00:00</v>
      </c>
      <c r="C2865">
        <v>90.6</v>
      </c>
      <c r="D2865" t="s">
        <v>7</v>
      </c>
      <c r="E2865" s="2" t="s">
        <v>12</v>
      </c>
      <c r="F2865">
        <f t="shared" si="44"/>
        <v>179.65979999999999</v>
      </c>
      <c r="G2865" t="s">
        <v>16</v>
      </c>
      <c r="J2865" t="str">
        <f>"08/03/2009 23:45"</f>
        <v>08/03/2009 23:45</v>
      </c>
    </row>
    <row r="2866" spans="1:10" x14ac:dyDescent="0.3">
      <c r="A2866" t="s">
        <v>6</v>
      </c>
      <c r="B2866" t="str">
        <f>"08/04/2009 00:00"</f>
        <v>08/04/2009 00:00</v>
      </c>
      <c r="C2866">
        <v>198</v>
      </c>
      <c r="D2866" t="s">
        <v>7</v>
      </c>
      <c r="E2866" s="2" t="s">
        <v>12</v>
      </c>
      <c r="F2866">
        <f t="shared" si="44"/>
        <v>392.63400000000001</v>
      </c>
      <c r="G2866" t="s">
        <v>16</v>
      </c>
      <c r="J2866" t="str">
        <f>"08/04/2009 23:45"</f>
        <v>08/04/2009 23:45</v>
      </c>
    </row>
    <row r="2867" spans="1:10" x14ac:dyDescent="0.3">
      <c r="A2867" t="s">
        <v>6</v>
      </c>
      <c r="B2867" t="str">
        <f>"08/05/2009 00:00"</f>
        <v>08/05/2009 00:00</v>
      </c>
      <c r="C2867">
        <v>199</v>
      </c>
      <c r="D2867" t="s">
        <v>7</v>
      </c>
      <c r="E2867" s="2" t="s">
        <v>12</v>
      </c>
      <c r="F2867">
        <f t="shared" si="44"/>
        <v>394.61700000000002</v>
      </c>
      <c r="G2867" t="s">
        <v>16</v>
      </c>
      <c r="J2867" t="str">
        <f>"08/05/2009 23:45"</f>
        <v>08/05/2009 23:45</v>
      </c>
    </row>
    <row r="2868" spans="1:10" x14ac:dyDescent="0.3">
      <c r="A2868" t="s">
        <v>6</v>
      </c>
      <c r="B2868" t="str">
        <f>"08/06/2009 00:00"</f>
        <v>08/06/2009 00:00</v>
      </c>
      <c r="C2868">
        <v>202</v>
      </c>
      <c r="D2868" t="s">
        <v>7</v>
      </c>
      <c r="E2868" s="2" t="s">
        <v>12</v>
      </c>
      <c r="F2868">
        <f t="shared" si="44"/>
        <v>400.56600000000003</v>
      </c>
      <c r="G2868" t="s">
        <v>16</v>
      </c>
      <c r="J2868" t="str">
        <f>"08/06/2009 23:45"</f>
        <v>08/06/2009 23:45</v>
      </c>
    </row>
    <row r="2869" spans="1:10" x14ac:dyDescent="0.3">
      <c r="A2869" t="s">
        <v>6</v>
      </c>
      <c r="B2869" t="str">
        <f>"08/07/2009 00:00"</f>
        <v>08/07/2009 00:00</v>
      </c>
      <c r="C2869">
        <v>174</v>
      </c>
      <c r="D2869" t="s">
        <v>7</v>
      </c>
      <c r="E2869" s="2" t="s">
        <v>12</v>
      </c>
      <c r="F2869">
        <f t="shared" si="44"/>
        <v>345.04200000000003</v>
      </c>
      <c r="G2869" t="s">
        <v>16</v>
      </c>
      <c r="J2869" t="str">
        <f>"08/07/2009 23:45"</f>
        <v>08/07/2009 23:45</v>
      </c>
    </row>
    <row r="2870" spans="1:10" x14ac:dyDescent="0.3">
      <c r="A2870" t="s">
        <v>6</v>
      </c>
      <c r="B2870" t="str">
        <f>"08/08/2009 00:00"</f>
        <v>08/08/2009 00:00</v>
      </c>
      <c r="C2870">
        <v>153</v>
      </c>
      <c r="D2870" t="s">
        <v>7</v>
      </c>
      <c r="E2870" s="2" t="s">
        <v>12</v>
      </c>
      <c r="F2870">
        <f t="shared" si="44"/>
        <v>303.399</v>
      </c>
      <c r="G2870" t="s">
        <v>16</v>
      </c>
      <c r="J2870" t="str">
        <f>"08/08/2009 23:45"</f>
        <v>08/08/2009 23:45</v>
      </c>
    </row>
    <row r="2871" spans="1:10" x14ac:dyDescent="0.3">
      <c r="A2871" t="s">
        <v>6</v>
      </c>
      <c r="B2871" t="str">
        <f>"08/09/2009 00:00"</f>
        <v>08/09/2009 00:00</v>
      </c>
      <c r="C2871">
        <v>182</v>
      </c>
      <c r="D2871" t="s">
        <v>7</v>
      </c>
      <c r="E2871" s="2" t="s">
        <v>12</v>
      </c>
      <c r="F2871">
        <f t="shared" si="44"/>
        <v>360.90600000000001</v>
      </c>
      <c r="G2871" t="s">
        <v>16</v>
      </c>
      <c r="J2871" t="str">
        <f>"08/09/2009 23:45"</f>
        <v>08/09/2009 23:45</v>
      </c>
    </row>
    <row r="2872" spans="1:10" x14ac:dyDescent="0.3">
      <c r="A2872" t="s">
        <v>6</v>
      </c>
      <c r="B2872" t="str">
        <f>"08/10/2009 00:00"</f>
        <v>08/10/2009 00:00</v>
      </c>
      <c r="C2872">
        <v>221</v>
      </c>
      <c r="D2872" t="s">
        <v>7</v>
      </c>
      <c r="E2872" s="2" t="s">
        <v>12</v>
      </c>
      <c r="F2872">
        <f t="shared" si="44"/>
        <v>438.24299999999999</v>
      </c>
      <c r="G2872" t="s">
        <v>16</v>
      </c>
      <c r="J2872" t="str">
        <f>"08/10/2009 23:45"</f>
        <v>08/10/2009 23:45</v>
      </c>
    </row>
    <row r="2873" spans="1:10" x14ac:dyDescent="0.3">
      <c r="A2873" t="s">
        <v>6</v>
      </c>
      <c r="B2873" t="str">
        <f>"08/11/2009 00:00"</f>
        <v>08/11/2009 00:00</v>
      </c>
      <c r="C2873">
        <v>233</v>
      </c>
      <c r="D2873" t="s">
        <v>7</v>
      </c>
      <c r="E2873" s="2" t="s">
        <v>12</v>
      </c>
      <c r="F2873">
        <f t="shared" si="44"/>
        <v>462.03900000000004</v>
      </c>
      <c r="G2873" t="s">
        <v>16</v>
      </c>
      <c r="J2873" t="str">
        <f>"08/11/2009 23:45"</f>
        <v>08/11/2009 23:45</v>
      </c>
    </row>
    <row r="2874" spans="1:10" x14ac:dyDescent="0.3">
      <c r="A2874" t="s">
        <v>6</v>
      </c>
      <c r="B2874" t="str">
        <f>"08/12/2009 00:00"</f>
        <v>08/12/2009 00:00</v>
      </c>
      <c r="C2874">
        <v>243</v>
      </c>
      <c r="D2874" t="s">
        <v>7</v>
      </c>
      <c r="E2874" s="2" t="s">
        <v>12</v>
      </c>
      <c r="F2874">
        <f t="shared" si="44"/>
        <v>481.86900000000003</v>
      </c>
      <c r="G2874" t="s">
        <v>16</v>
      </c>
      <c r="J2874" t="str">
        <f>"08/12/2009 23:45"</f>
        <v>08/12/2009 23:45</v>
      </c>
    </row>
    <row r="2875" spans="1:10" x14ac:dyDescent="0.3">
      <c r="A2875" t="s">
        <v>6</v>
      </c>
      <c r="B2875" t="str">
        <f>"08/13/2009 00:00"</f>
        <v>08/13/2009 00:00</v>
      </c>
      <c r="C2875">
        <v>248</v>
      </c>
      <c r="D2875" t="s">
        <v>7</v>
      </c>
      <c r="E2875" s="2" t="s">
        <v>12</v>
      </c>
      <c r="F2875">
        <f t="shared" si="44"/>
        <v>491.78400000000005</v>
      </c>
      <c r="G2875" t="s">
        <v>16</v>
      </c>
      <c r="J2875" t="str">
        <f>"08/13/2009 23:45"</f>
        <v>08/13/2009 23:45</v>
      </c>
    </row>
    <row r="2876" spans="1:10" x14ac:dyDescent="0.3">
      <c r="A2876" t="s">
        <v>6</v>
      </c>
      <c r="B2876" t="str">
        <f>"08/14/2009 00:00"</f>
        <v>08/14/2009 00:00</v>
      </c>
      <c r="C2876">
        <v>248</v>
      </c>
      <c r="D2876" t="s">
        <v>7</v>
      </c>
      <c r="E2876" s="2" t="s">
        <v>12</v>
      </c>
      <c r="F2876">
        <f t="shared" si="44"/>
        <v>491.78400000000005</v>
      </c>
      <c r="G2876" t="s">
        <v>16</v>
      </c>
      <c r="J2876" t="str">
        <f>"08/14/2009 23:45"</f>
        <v>08/14/2009 23:45</v>
      </c>
    </row>
    <row r="2877" spans="1:10" x14ac:dyDescent="0.3">
      <c r="A2877" t="s">
        <v>6</v>
      </c>
      <c r="B2877" t="str">
        <f>"08/15/2009 00:00"</f>
        <v>08/15/2009 00:00</v>
      </c>
      <c r="C2877">
        <v>248</v>
      </c>
      <c r="D2877" t="s">
        <v>7</v>
      </c>
      <c r="E2877" s="2" t="s">
        <v>12</v>
      </c>
      <c r="F2877">
        <f t="shared" si="44"/>
        <v>491.78400000000005</v>
      </c>
      <c r="G2877" t="s">
        <v>16</v>
      </c>
      <c r="J2877" t="str">
        <f>"08/15/2009 23:45"</f>
        <v>08/15/2009 23:45</v>
      </c>
    </row>
    <row r="2878" spans="1:10" x14ac:dyDescent="0.3">
      <c r="A2878" t="s">
        <v>6</v>
      </c>
      <c r="B2878" t="str">
        <f>"08/16/2009 00:00"</f>
        <v>08/16/2009 00:00</v>
      </c>
      <c r="C2878">
        <v>248</v>
      </c>
      <c r="D2878" t="s">
        <v>7</v>
      </c>
      <c r="E2878" s="2" t="s">
        <v>12</v>
      </c>
      <c r="F2878">
        <f t="shared" si="44"/>
        <v>491.78400000000005</v>
      </c>
      <c r="G2878" t="s">
        <v>16</v>
      </c>
      <c r="J2878" t="str">
        <f>"08/16/2009 23:45"</f>
        <v>08/16/2009 23:45</v>
      </c>
    </row>
    <row r="2879" spans="1:10" x14ac:dyDescent="0.3">
      <c r="A2879" t="s">
        <v>6</v>
      </c>
      <c r="B2879" t="str">
        <f>"08/17/2009 00:00"</f>
        <v>08/17/2009 00:00</v>
      </c>
      <c r="C2879">
        <v>167</v>
      </c>
      <c r="D2879" t="s">
        <v>7</v>
      </c>
      <c r="E2879" s="2" t="s">
        <v>12</v>
      </c>
      <c r="F2879">
        <f t="shared" si="44"/>
        <v>331.161</v>
      </c>
      <c r="G2879" t="s">
        <v>16</v>
      </c>
      <c r="J2879" t="str">
        <f>"08/17/2009 23:45"</f>
        <v>08/17/2009 23:45</v>
      </c>
    </row>
    <row r="2880" spans="1:10" x14ac:dyDescent="0.3">
      <c r="A2880" t="s">
        <v>6</v>
      </c>
      <c r="B2880" t="str">
        <f>"08/18/2009 00:00"</f>
        <v>08/18/2009 00:00</v>
      </c>
      <c r="C2880">
        <v>99.5</v>
      </c>
      <c r="D2880" t="s">
        <v>7</v>
      </c>
      <c r="E2880" s="2" t="s">
        <v>12</v>
      </c>
      <c r="F2880">
        <f t="shared" si="44"/>
        <v>197.30850000000001</v>
      </c>
      <c r="G2880" t="s">
        <v>16</v>
      </c>
      <c r="J2880" t="str">
        <f>"08/18/2009 23:45"</f>
        <v>08/18/2009 23:45</v>
      </c>
    </row>
    <row r="2881" spans="1:10" x14ac:dyDescent="0.3">
      <c r="A2881" t="s">
        <v>6</v>
      </c>
      <c r="B2881" t="str">
        <f>"08/19/2009 00:00"</f>
        <v>08/19/2009 00:00</v>
      </c>
      <c r="C2881">
        <v>99.4</v>
      </c>
      <c r="D2881" t="s">
        <v>7</v>
      </c>
      <c r="E2881" s="2" t="s">
        <v>12</v>
      </c>
      <c r="F2881">
        <f t="shared" si="44"/>
        <v>197.11020000000002</v>
      </c>
      <c r="G2881" t="s">
        <v>16</v>
      </c>
      <c r="J2881" t="str">
        <f>"08/19/2009 23:45"</f>
        <v>08/19/2009 23:45</v>
      </c>
    </row>
    <row r="2882" spans="1:10" x14ac:dyDescent="0.3">
      <c r="A2882" t="s">
        <v>6</v>
      </c>
      <c r="B2882" t="str">
        <f>"08/20/2009 00:00"</f>
        <v>08/20/2009 00:00</v>
      </c>
      <c r="C2882">
        <v>101</v>
      </c>
      <c r="D2882" t="s">
        <v>7</v>
      </c>
      <c r="E2882" s="2" t="s">
        <v>12</v>
      </c>
      <c r="F2882">
        <f t="shared" si="44"/>
        <v>200.28300000000002</v>
      </c>
      <c r="G2882" t="s">
        <v>16</v>
      </c>
      <c r="J2882" t="str">
        <f>"08/20/2009 23:45"</f>
        <v>08/20/2009 23:45</v>
      </c>
    </row>
    <row r="2883" spans="1:10" x14ac:dyDescent="0.3">
      <c r="A2883" t="s">
        <v>6</v>
      </c>
      <c r="B2883" t="str">
        <f>"08/21/2009 00:00"</f>
        <v>08/21/2009 00:00</v>
      </c>
      <c r="C2883">
        <v>101</v>
      </c>
      <c r="D2883" t="s">
        <v>7</v>
      </c>
      <c r="E2883" s="2" t="s">
        <v>12</v>
      </c>
      <c r="F2883">
        <f t="shared" si="44"/>
        <v>200.28300000000002</v>
      </c>
      <c r="G2883" t="s">
        <v>16</v>
      </c>
      <c r="J2883" t="str">
        <f>"08/21/2009 23:45"</f>
        <v>08/21/2009 23:45</v>
      </c>
    </row>
    <row r="2884" spans="1:10" x14ac:dyDescent="0.3">
      <c r="A2884" t="s">
        <v>6</v>
      </c>
      <c r="B2884" t="str">
        <f>"08/22/2009 00:00"</f>
        <v>08/22/2009 00:00</v>
      </c>
      <c r="C2884">
        <v>101</v>
      </c>
      <c r="D2884" t="s">
        <v>7</v>
      </c>
      <c r="E2884" s="2" t="s">
        <v>12</v>
      </c>
      <c r="F2884">
        <f t="shared" ref="F2884:F2947" si="45">C2884*1.983</f>
        <v>200.28300000000002</v>
      </c>
      <c r="G2884" t="s">
        <v>16</v>
      </c>
      <c r="J2884" t="str">
        <f>"08/22/2009 23:45"</f>
        <v>08/22/2009 23:45</v>
      </c>
    </row>
    <row r="2885" spans="1:10" x14ac:dyDescent="0.3">
      <c r="A2885" t="s">
        <v>6</v>
      </c>
      <c r="B2885" t="str">
        <f>"08/23/2009 00:00"</f>
        <v>08/23/2009 00:00</v>
      </c>
      <c r="C2885">
        <v>101</v>
      </c>
      <c r="D2885" t="s">
        <v>7</v>
      </c>
      <c r="E2885" s="2" t="s">
        <v>12</v>
      </c>
      <c r="F2885">
        <f t="shared" si="45"/>
        <v>200.28300000000002</v>
      </c>
      <c r="G2885" t="s">
        <v>16</v>
      </c>
      <c r="J2885" t="str">
        <f>"08/23/2009 23:45"</f>
        <v>08/23/2009 23:45</v>
      </c>
    </row>
    <row r="2886" spans="1:10" x14ac:dyDescent="0.3">
      <c r="A2886" t="s">
        <v>6</v>
      </c>
      <c r="B2886" t="str">
        <f>"08/24/2009 00:00"</f>
        <v>08/24/2009 00:00</v>
      </c>
      <c r="C2886">
        <v>101</v>
      </c>
      <c r="D2886" t="s">
        <v>7</v>
      </c>
      <c r="E2886" s="2" t="s">
        <v>12</v>
      </c>
      <c r="F2886">
        <f t="shared" si="45"/>
        <v>200.28300000000002</v>
      </c>
      <c r="G2886" t="s">
        <v>16</v>
      </c>
      <c r="J2886" t="str">
        <f>"08/24/2009 23:45"</f>
        <v>08/24/2009 23:45</v>
      </c>
    </row>
    <row r="2887" spans="1:10" x14ac:dyDescent="0.3">
      <c r="A2887" t="s">
        <v>6</v>
      </c>
      <c r="B2887" t="str">
        <f>"08/25/2009 00:00"</f>
        <v>08/25/2009 00:00</v>
      </c>
      <c r="C2887">
        <v>101</v>
      </c>
      <c r="D2887" t="s">
        <v>7</v>
      </c>
      <c r="E2887" s="2" t="s">
        <v>12</v>
      </c>
      <c r="F2887">
        <f t="shared" si="45"/>
        <v>200.28300000000002</v>
      </c>
      <c r="G2887" t="s">
        <v>16</v>
      </c>
      <c r="J2887" t="str">
        <f>"08/25/2009 23:45"</f>
        <v>08/25/2009 23:45</v>
      </c>
    </row>
    <row r="2888" spans="1:10" x14ac:dyDescent="0.3">
      <c r="A2888" t="s">
        <v>6</v>
      </c>
      <c r="B2888" t="str">
        <f>"08/26/2009 00:00"</f>
        <v>08/26/2009 00:00</v>
      </c>
      <c r="C2888">
        <v>102</v>
      </c>
      <c r="D2888" t="s">
        <v>7</v>
      </c>
      <c r="E2888" s="2" t="s">
        <v>12</v>
      </c>
      <c r="F2888">
        <f t="shared" si="45"/>
        <v>202.26600000000002</v>
      </c>
      <c r="G2888" t="s">
        <v>16</v>
      </c>
      <c r="J2888" t="str">
        <f>"08/26/2009 23:45"</f>
        <v>08/26/2009 23:45</v>
      </c>
    </row>
    <row r="2889" spans="1:10" x14ac:dyDescent="0.3">
      <c r="A2889" t="s">
        <v>6</v>
      </c>
      <c r="B2889" t="str">
        <f>"08/27/2009 00:00"</f>
        <v>08/27/2009 00:00</v>
      </c>
      <c r="C2889">
        <v>102</v>
      </c>
      <c r="D2889" t="s">
        <v>7</v>
      </c>
      <c r="E2889" s="2" t="s">
        <v>12</v>
      </c>
      <c r="F2889">
        <f t="shared" si="45"/>
        <v>202.26600000000002</v>
      </c>
      <c r="G2889" t="s">
        <v>16</v>
      </c>
      <c r="J2889" t="str">
        <f>"08/27/2009 23:45"</f>
        <v>08/27/2009 23:45</v>
      </c>
    </row>
    <row r="2890" spans="1:10" x14ac:dyDescent="0.3">
      <c r="A2890" t="s">
        <v>6</v>
      </c>
      <c r="B2890" t="str">
        <f>"08/28/2009 00:00"</f>
        <v>08/28/2009 00:00</v>
      </c>
      <c r="C2890">
        <v>134</v>
      </c>
      <c r="D2890" t="s">
        <v>7</v>
      </c>
      <c r="E2890" s="2" t="s">
        <v>12</v>
      </c>
      <c r="F2890">
        <f t="shared" si="45"/>
        <v>265.72200000000004</v>
      </c>
      <c r="G2890" t="s">
        <v>16</v>
      </c>
      <c r="J2890" t="str">
        <f>"08/28/2009 23:45"</f>
        <v>08/28/2009 23:45</v>
      </c>
    </row>
    <row r="2891" spans="1:10" x14ac:dyDescent="0.3">
      <c r="A2891" t="s">
        <v>6</v>
      </c>
      <c r="B2891" t="str">
        <f>"08/29/2009 00:00"</f>
        <v>08/29/2009 00:00</v>
      </c>
      <c r="C2891">
        <v>152</v>
      </c>
      <c r="D2891" t="s">
        <v>7</v>
      </c>
      <c r="E2891" s="2" t="s">
        <v>12</v>
      </c>
      <c r="F2891">
        <f t="shared" si="45"/>
        <v>301.416</v>
      </c>
      <c r="G2891" t="s">
        <v>16</v>
      </c>
      <c r="J2891" t="str">
        <f>"08/29/2009 23:45"</f>
        <v>08/29/2009 23:45</v>
      </c>
    </row>
    <row r="2892" spans="1:10" x14ac:dyDescent="0.3">
      <c r="A2892" t="s">
        <v>6</v>
      </c>
      <c r="B2892" t="str">
        <f>"08/30/2009 00:00"</f>
        <v>08/30/2009 00:00</v>
      </c>
      <c r="C2892">
        <v>152</v>
      </c>
      <c r="D2892" t="s">
        <v>7</v>
      </c>
      <c r="E2892" s="2" t="s">
        <v>12</v>
      </c>
      <c r="F2892">
        <f t="shared" si="45"/>
        <v>301.416</v>
      </c>
      <c r="G2892" t="s">
        <v>16</v>
      </c>
      <c r="J2892" t="str">
        <f>"08/30/2009 23:45"</f>
        <v>08/30/2009 23:45</v>
      </c>
    </row>
    <row r="2893" spans="1:10" x14ac:dyDescent="0.3">
      <c r="A2893" t="s">
        <v>6</v>
      </c>
      <c r="B2893" t="str">
        <f>"08/31/2009 00:00"</f>
        <v>08/31/2009 00:00</v>
      </c>
      <c r="C2893">
        <v>151</v>
      </c>
      <c r="D2893" t="s">
        <v>7</v>
      </c>
      <c r="E2893" s="2" t="s">
        <v>12</v>
      </c>
      <c r="F2893">
        <f t="shared" si="45"/>
        <v>299.43299999999999</v>
      </c>
      <c r="G2893" t="s">
        <v>16</v>
      </c>
      <c r="J2893" t="str">
        <f>"08/31/2009 23:45"</f>
        <v>08/31/2009 23:45</v>
      </c>
    </row>
    <row r="2894" spans="1:10" x14ac:dyDescent="0.3">
      <c r="A2894" t="s">
        <v>6</v>
      </c>
      <c r="B2894" t="str">
        <f>"09/01/2009 00:00"</f>
        <v>09/01/2009 00:00</v>
      </c>
      <c r="C2894">
        <v>151</v>
      </c>
      <c r="D2894" t="s">
        <v>7</v>
      </c>
      <c r="E2894" s="2" t="s">
        <v>12</v>
      </c>
      <c r="F2894">
        <f t="shared" si="45"/>
        <v>299.43299999999999</v>
      </c>
      <c r="G2894" t="s">
        <v>16</v>
      </c>
      <c r="J2894" t="str">
        <f>"09/01/2009 23:45"</f>
        <v>09/01/2009 23:45</v>
      </c>
    </row>
    <row r="2895" spans="1:10" x14ac:dyDescent="0.3">
      <c r="A2895" t="s">
        <v>6</v>
      </c>
      <c r="B2895" t="str">
        <f>"09/02/2009 00:00"</f>
        <v>09/02/2009 00:00</v>
      </c>
      <c r="C2895">
        <v>151</v>
      </c>
      <c r="D2895" t="s">
        <v>7</v>
      </c>
      <c r="E2895" s="2" t="s">
        <v>12</v>
      </c>
      <c r="F2895">
        <f t="shared" si="45"/>
        <v>299.43299999999999</v>
      </c>
      <c r="G2895" t="s">
        <v>16</v>
      </c>
      <c r="J2895" t="str">
        <f>"09/02/2009 23:45"</f>
        <v>09/02/2009 23:45</v>
      </c>
    </row>
    <row r="2896" spans="1:10" x14ac:dyDescent="0.3">
      <c r="A2896" t="s">
        <v>6</v>
      </c>
      <c r="B2896" t="str">
        <f>"09/03/2009 00:00"</f>
        <v>09/03/2009 00:00</v>
      </c>
      <c r="C2896">
        <v>151</v>
      </c>
      <c r="D2896" t="s">
        <v>7</v>
      </c>
      <c r="E2896" s="2" t="s">
        <v>12</v>
      </c>
      <c r="F2896">
        <f t="shared" si="45"/>
        <v>299.43299999999999</v>
      </c>
      <c r="G2896" t="s">
        <v>16</v>
      </c>
      <c r="J2896" t="str">
        <f>"09/03/2009 23:45"</f>
        <v>09/03/2009 23:45</v>
      </c>
    </row>
    <row r="2897" spans="1:10" x14ac:dyDescent="0.3">
      <c r="A2897" t="s">
        <v>6</v>
      </c>
      <c r="B2897" t="str">
        <f>"09/04/2009 00:00"</f>
        <v>09/04/2009 00:00</v>
      </c>
      <c r="C2897">
        <v>161</v>
      </c>
      <c r="D2897" t="s">
        <v>7</v>
      </c>
      <c r="E2897" s="2" t="s">
        <v>12</v>
      </c>
      <c r="F2897">
        <f t="shared" si="45"/>
        <v>319.26300000000003</v>
      </c>
      <c r="G2897" t="s">
        <v>16</v>
      </c>
      <c r="J2897" t="str">
        <f>"09/04/2009 23:45"</f>
        <v>09/04/2009 23:45</v>
      </c>
    </row>
    <row r="2898" spans="1:10" x14ac:dyDescent="0.3">
      <c r="A2898" t="s">
        <v>6</v>
      </c>
      <c r="B2898" t="str">
        <f>"09/05/2009 00:00"</f>
        <v>09/05/2009 00:00</v>
      </c>
      <c r="C2898">
        <v>177</v>
      </c>
      <c r="D2898" t="s">
        <v>7</v>
      </c>
      <c r="E2898" s="2" t="s">
        <v>12</v>
      </c>
      <c r="F2898">
        <f t="shared" si="45"/>
        <v>350.99100000000004</v>
      </c>
      <c r="G2898" t="s">
        <v>16</v>
      </c>
      <c r="J2898" t="str">
        <f>"09/05/2009 23:45"</f>
        <v>09/05/2009 23:45</v>
      </c>
    </row>
    <row r="2899" spans="1:10" x14ac:dyDescent="0.3">
      <c r="A2899" t="s">
        <v>6</v>
      </c>
      <c r="B2899" t="str">
        <f>"09/06/2009 00:00"</f>
        <v>09/06/2009 00:00</v>
      </c>
      <c r="C2899">
        <v>175</v>
      </c>
      <c r="D2899" t="s">
        <v>7</v>
      </c>
      <c r="E2899" s="2" t="s">
        <v>12</v>
      </c>
      <c r="F2899">
        <f t="shared" si="45"/>
        <v>347.02500000000003</v>
      </c>
      <c r="G2899" t="s">
        <v>16</v>
      </c>
      <c r="J2899" t="str">
        <f>"09/06/2009 23:45"</f>
        <v>09/06/2009 23:45</v>
      </c>
    </row>
    <row r="2900" spans="1:10" x14ac:dyDescent="0.3">
      <c r="A2900" t="s">
        <v>6</v>
      </c>
      <c r="B2900" t="str">
        <f>"09/07/2009 00:00"</f>
        <v>09/07/2009 00:00</v>
      </c>
      <c r="C2900">
        <v>157</v>
      </c>
      <c r="D2900" t="s">
        <v>7</v>
      </c>
      <c r="E2900" s="2" t="s">
        <v>12</v>
      </c>
      <c r="F2900">
        <f t="shared" si="45"/>
        <v>311.33100000000002</v>
      </c>
      <c r="G2900" t="s">
        <v>16</v>
      </c>
      <c r="J2900" t="str">
        <f>"09/07/2009 23:45"</f>
        <v>09/07/2009 23:45</v>
      </c>
    </row>
    <row r="2901" spans="1:10" x14ac:dyDescent="0.3">
      <c r="A2901" t="s">
        <v>6</v>
      </c>
      <c r="B2901" t="str">
        <f>"09/08/2009 00:00"</f>
        <v>09/08/2009 00:00</v>
      </c>
      <c r="C2901">
        <v>144</v>
      </c>
      <c r="D2901" t="s">
        <v>7</v>
      </c>
      <c r="E2901" s="2" t="s">
        <v>12</v>
      </c>
      <c r="F2901">
        <f t="shared" si="45"/>
        <v>285.55200000000002</v>
      </c>
      <c r="G2901" t="s">
        <v>16</v>
      </c>
      <c r="J2901" t="str">
        <f>"09/08/2009 23:45"</f>
        <v>09/08/2009 23:45</v>
      </c>
    </row>
    <row r="2902" spans="1:10" x14ac:dyDescent="0.3">
      <c r="A2902" t="s">
        <v>6</v>
      </c>
      <c r="B2902" t="str">
        <f>"09/09/2009 00:00"</f>
        <v>09/09/2009 00:00</v>
      </c>
      <c r="C2902">
        <v>144</v>
      </c>
      <c r="D2902" t="s">
        <v>7</v>
      </c>
      <c r="E2902" s="2" t="s">
        <v>12</v>
      </c>
      <c r="F2902">
        <f t="shared" si="45"/>
        <v>285.55200000000002</v>
      </c>
      <c r="G2902" t="s">
        <v>16</v>
      </c>
      <c r="J2902" t="str">
        <f>"09/09/2009 23:45"</f>
        <v>09/09/2009 23:45</v>
      </c>
    </row>
    <row r="2903" spans="1:10" x14ac:dyDescent="0.3">
      <c r="A2903" t="s">
        <v>6</v>
      </c>
      <c r="B2903" t="str">
        <f>"09/10/2009 00:00"</f>
        <v>09/10/2009 00:00</v>
      </c>
      <c r="C2903">
        <v>143</v>
      </c>
      <c r="D2903" t="s">
        <v>7</v>
      </c>
      <c r="E2903" s="2" t="s">
        <v>12</v>
      </c>
      <c r="F2903">
        <f t="shared" si="45"/>
        <v>283.56900000000002</v>
      </c>
      <c r="G2903" t="s">
        <v>16</v>
      </c>
      <c r="J2903" t="str">
        <f>"09/10/2009 23:45"</f>
        <v>09/10/2009 23:45</v>
      </c>
    </row>
    <row r="2904" spans="1:10" x14ac:dyDescent="0.3">
      <c r="A2904" t="s">
        <v>6</v>
      </c>
      <c r="B2904" t="str">
        <f>"09/11/2009 00:00"</f>
        <v>09/11/2009 00:00</v>
      </c>
      <c r="C2904">
        <v>143</v>
      </c>
      <c r="D2904" t="s">
        <v>7</v>
      </c>
      <c r="E2904" s="2" t="s">
        <v>12</v>
      </c>
      <c r="F2904">
        <f t="shared" si="45"/>
        <v>283.56900000000002</v>
      </c>
      <c r="G2904" t="s">
        <v>16</v>
      </c>
      <c r="J2904" t="str">
        <f>"09/11/2009 23:45"</f>
        <v>09/11/2009 23:45</v>
      </c>
    </row>
    <row r="2905" spans="1:10" x14ac:dyDescent="0.3">
      <c r="A2905" t="s">
        <v>6</v>
      </c>
      <c r="B2905" t="str">
        <f>"09/12/2009 00:00"</f>
        <v>09/12/2009 00:00</v>
      </c>
      <c r="C2905">
        <v>142</v>
      </c>
      <c r="D2905" t="s">
        <v>7</v>
      </c>
      <c r="E2905" s="2" t="s">
        <v>12</v>
      </c>
      <c r="F2905">
        <f t="shared" si="45"/>
        <v>281.58600000000001</v>
      </c>
      <c r="G2905" t="s">
        <v>16</v>
      </c>
      <c r="J2905" t="str">
        <f>"09/12/2009 23:45"</f>
        <v>09/12/2009 23:45</v>
      </c>
    </row>
    <row r="2906" spans="1:10" x14ac:dyDescent="0.3">
      <c r="A2906" t="s">
        <v>6</v>
      </c>
      <c r="B2906" t="str">
        <f>"09/13/2009 00:00"</f>
        <v>09/13/2009 00:00</v>
      </c>
      <c r="C2906">
        <v>88</v>
      </c>
      <c r="D2906" t="s">
        <v>7</v>
      </c>
      <c r="E2906" s="2" t="s">
        <v>12</v>
      </c>
      <c r="F2906">
        <f t="shared" si="45"/>
        <v>174.50400000000002</v>
      </c>
      <c r="G2906" t="s">
        <v>16</v>
      </c>
      <c r="J2906" t="str">
        <f>"09/13/2009 23:45"</f>
        <v>09/13/2009 23:45</v>
      </c>
    </row>
    <row r="2907" spans="1:10" x14ac:dyDescent="0.3">
      <c r="A2907" t="s">
        <v>6</v>
      </c>
      <c r="B2907" t="str">
        <f>"09/14/2009 00:00"</f>
        <v>09/14/2009 00:00</v>
      </c>
      <c r="C2907">
        <v>52.3</v>
      </c>
      <c r="D2907" t="s">
        <v>7</v>
      </c>
      <c r="E2907" s="2" t="s">
        <v>12</v>
      </c>
      <c r="F2907">
        <f t="shared" si="45"/>
        <v>103.7109</v>
      </c>
      <c r="G2907" t="s">
        <v>16</v>
      </c>
      <c r="J2907" t="str">
        <f>"09/14/2009 23:45"</f>
        <v>09/14/2009 23:45</v>
      </c>
    </row>
    <row r="2908" spans="1:10" x14ac:dyDescent="0.3">
      <c r="A2908" t="s">
        <v>6</v>
      </c>
      <c r="B2908" t="str">
        <f>"09/15/2009 00:00"</f>
        <v>09/15/2009 00:00</v>
      </c>
      <c r="C2908">
        <v>106</v>
      </c>
      <c r="D2908" t="s">
        <v>7</v>
      </c>
      <c r="E2908" s="2" t="s">
        <v>12</v>
      </c>
      <c r="F2908">
        <f t="shared" si="45"/>
        <v>210.19800000000001</v>
      </c>
      <c r="G2908" t="s">
        <v>16</v>
      </c>
      <c r="J2908" t="str">
        <f>"09/15/2009 23:45"</f>
        <v>09/15/2009 23:45</v>
      </c>
    </row>
    <row r="2909" spans="1:10" x14ac:dyDescent="0.3">
      <c r="A2909" t="s">
        <v>6</v>
      </c>
      <c r="B2909" t="str">
        <f>"09/16/2009 00:00"</f>
        <v>09/16/2009 00:00</v>
      </c>
      <c r="C2909">
        <v>177</v>
      </c>
      <c r="D2909" t="s">
        <v>7</v>
      </c>
      <c r="E2909" s="2" t="s">
        <v>12</v>
      </c>
      <c r="F2909">
        <f t="shared" si="45"/>
        <v>350.99100000000004</v>
      </c>
      <c r="G2909" t="s">
        <v>16</v>
      </c>
      <c r="J2909" t="str">
        <f>"09/16/2009 23:45"</f>
        <v>09/16/2009 23:45</v>
      </c>
    </row>
    <row r="2910" spans="1:10" x14ac:dyDescent="0.3">
      <c r="A2910" t="s">
        <v>6</v>
      </c>
      <c r="B2910" t="str">
        <f>"09/17/2009 00:00"</f>
        <v>09/17/2009 00:00</v>
      </c>
      <c r="C2910">
        <v>199</v>
      </c>
      <c r="D2910" t="s">
        <v>7</v>
      </c>
      <c r="E2910" s="2" t="s">
        <v>12</v>
      </c>
      <c r="F2910">
        <f t="shared" si="45"/>
        <v>394.61700000000002</v>
      </c>
      <c r="G2910" t="s">
        <v>16</v>
      </c>
      <c r="J2910" t="str">
        <f>"09/17/2009 23:45"</f>
        <v>09/17/2009 23:45</v>
      </c>
    </row>
    <row r="2911" spans="1:10" x14ac:dyDescent="0.3">
      <c r="A2911" t="s">
        <v>6</v>
      </c>
      <c r="B2911" t="str">
        <f>"09/18/2009 00:00"</f>
        <v>09/18/2009 00:00</v>
      </c>
      <c r="C2911">
        <v>199</v>
      </c>
      <c r="D2911" t="s">
        <v>7</v>
      </c>
      <c r="E2911" s="2" t="s">
        <v>12</v>
      </c>
      <c r="F2911">
        <f t="shared" si="45"/>
        <v>394.61700000000002</v>
      </c>
      <c r="G2911" t="s">
        <v>16</v>
      </c>
      <c r="J2911" t="str">
        <f>"09/18/2009 23:45"</f>
        <v>09/18/2009 23:45</v>
      </c>
    </row>
    <row r="2912" spans="1:10" x14ac:dyDescent="0.3">
      <c r="A2912" t="s">
        <v>6</v>
      </c>
      <c r="B2912" t="str">
        <f>"09/19/2009 00:00"</f>
        <v>09/19/2009 00:00</v>
      </c>
      <c r="C2912">
        <v>199</v>
      </c>
      <c r="D2912" t="s">
        <v>7</v>
      </c>
      <c r="E2912" s="2" t="s">
        <v>12</v>
      </c>
      <c r="F2912">
        <f t="shared" si="45"/>
        <v>394.61700000000002</v>
      </c>
      <c r="G2912" t="s">
        <v>16</v>
      </c>
      <c r="J2912" t="str">
        <f>"09/19/2009 23:45"</f>
        <v>09/19/2009 23:45</v>
      </c>
    </row>
    <row r="2913" spans="1:10" x14ac:dyDescent="0.3">
      <c r="A2913" t="s">
        <v>6</v>
      </c>
      <c r="B2913" t="str">
        <f>"09/20/2009 00:00"</f>
        <v>09/20/2009 00:00</v>
      </c>
      <c r="C2913">
        <v>198</v>
      </c>
      <c r="D2913" t="s">
        <v>7</v>
      </c>
      <c r="E2913" s="2" t="s">
        <v>12</v>
      </c>
      <c r="F2913">
        <f t="shared" si="45"/>
        <v>392.63400000000001</v>
      </c>
      <c r="G2913" t="s">
        <v>16</v>
      </c>
      <c r="J2913" t="str">
        <f>"09/20/2009 23:45"</f>
        <v>09/20/2009 23:45</v>
      </c>
    </row>
    <row r="2914" spans="1:10" x14ac:dyDescent="0.3">
      <c r="A2914" t="s">
        <v>6</v>
      </c>
      <c r="B2914" t="str">
        <f>"09/21/2009 00:00"</f>
        <v>09/21/2009 00:00</v>
      </c>
      <c r="C2914">
        <v>165</v>
      </c>
      <c r="D2914" t="s">
        <v>7</v>
      </c>
      <c r="E2914" s="2" t="s">
        <v>12</v>
      </c>
      <c r="F2914">
        <f t="shared" si="45"/>
        <v>327.19499999999999</v>
      </c>
      <c r="G2914" t="s">
        <v>16</v>
      </c>
      <c r="J2914" t="str">
        <f>"09/21/2009 23:45"</f>
        <v>09/21/2009 23:45</v>
      </c>
    </row>
    <row r="2915" spans="1:10" x14ac:dyDescent="0.3">
      <c r="A2915" t="s">
        <v>6</v>
      </c>
      <c r="B2915" t="str">
        <f>"09/22/2009 00:00"</f>
        <v>09/22/2009 00:00</v>
      </c>
      <c r="C2915">
        <v>146</v>
      </c>
      <c r="D2915" t="s">
        <v>7</v>
      </c>
      <c r="E2915" s="2" t="s">
        <v>12</v>
      </c>
      <c r="F2915">
        <f t="shared" si="45"/>
        <v>289.51800000000003</v>
      </c>
      <c r="G2915" t="s">
        <v>16</v>
      </c>
      <c r="J2915" t="str">
        <f>"09/22/2009 23:45"</f>
        <v>09/22/2009 23:45</v>
      </c>
    </row>
    <row r="2916" spans="1:10" x14ac:dyDescent="0.3">
      <c r="A2916" t="s">
        <v>6</v>
      </c>
      <c r="B2916" t="str">
        <f>"09/23/2009 00:00"</f>
        <v>09/23/2009 00:00</v>
      </c>
      <c r="C2916">
        <v>116</v>
      </c>
      <c r="D2916" t="s">
        <v>7</v>
      </c>
      <c r="E2916" s="2" t="s">
        <v>12</v>
      </c>
      <c r="F2916">
        <f t="shared" si="45"/>
        <v>230.02800000000002</v>
      </c>
      <c r="G2916" t="s">
        <v>16</v>
      </c>
      <c r="J2916" t="str">
        <f>"09/23/2009 23:45"</f>
        <v>09/23/2009 23:45</v>
      </c>
    </row>
    <row r="2917" spans="1:10" x14ac:dyDescent="0.3">
      <c r="A2917" t="s">
        <v>6</v>
      </c>
      <c r="B2917" t="str">
        <f>"09/24/2009 00:00"</f>
        <v>09/24/2009 00:00</v>
      </c>
      <c r="C2917">
        <v>69.900000000000006</v>
      </c>
      <c r="D2917" t="s">
        <v>7</v>
      </c>
      <c r="E2917" s="2" t="s">
        <v>12</v>
      </c>
      <c r="F2917">
        <f t="shared" si="45"/>
        <v>138.61170000000001</v>
      </c>
      <c r="G2917" t="s">
        <v>16</v>
      </c>
      <c r="J2917" t="str">
        <f>"09/24/2009 23:45"</f>
        <v>09/24/2009 23:45</v>
      </c>
    </row>
    <row r="2918" spans="1:10" x14ac:dyDescent="0.3">
      <c r="A2918" t="s">
        <v>6</v>
      </c>
      <c r="B2918" t="str">
        <f>"09/25/2009 00:00"</f>
        <v>09/25/2009 00:00</v>
      </c>
      <c r="C2918">
        <v>54.8</v>
      </c>
      <c r="D2918" t="s">
        <v>7</v>
      </c>
      <c r="E2918" s="2" t="s">
        <v>12</v>
      </c>
      <c r="F2918">
        <f t="shared" si="45"/>
        <v>108.66840000000001</v>
      </c>
      <c r="G2918" t="s">
        <v>16</v>
      </c>
      <c r="J2918" t="str">
        <f>"09/25/2009 23:45"</f>
        <v>09/25/2009 23:45</v>
      </c>
    </row>
    <row r="2919" spans="1:10" x14ac:dyDescent="0.3">
      <c r="A2919" t="s">
        <v>6</v>
      </c>
      <c r="B2919" t="str">
        <f>"09/26/2009 00:00"</f>
        <v>09/26/2009 00:00</v>
      </c>
      <c r="C2919">
        <v>54.8</v>
      </c>
      <c r="D2919" t="s">
        <v>7</v>
      </c>
      <c r="E2919" s="2" t="s">
        <v>12</v>
      </c>
      <c r="F2919">
        <f t="shared" si="45"/>
        <v>108.66840000000001</v>
      </c>
      <c r="G2919" t="s">
        <v>16</v>
      </c>
      <c r="J2919" t="str">
        <f>"09/26/2009 23:45"</f>
        <v>09/26/2009 23:45</v>
      </c>
    </row>
    <row r="2920" spans="1:10" x14ac:dyDescent="0.3">
      <c r="A2920" t="s">
        <v>6</v>
      </c>
      <c r="B2920" t="str">
        <f>"09/27/2009 00:00"</f>
        <v>09/27/2009 00:00</v>
      </c>
      <c r="C2920">
        <v>54.4</v>
      </c>
      <c r="D2920" t="s">
        <v>7</v>
      </c>
      <c r="E2920" s="2" t="s">
        <v>12</v>
      </c>
      <c r="F2920">
        <f t="shared" si="45"/>
        <v>107.87520000000001</v>
      </c>
      <c r="G2920" t="s">
        <v>16</v>
      </c>
      <c r="J2920" t="str">
        <f>"09/27/2009 23:45"</f>
        <v>09/27/2009 23:45</v>
      </c>
    </row>
    <row r="2921" spans="1:10" x14ac:dyDescent="0.3">
      <c r="A2921" t="s">
        <v>6</v>
      </c>
      <c r="B2921" t="str">
        <f>"09/28/2009 00:00"</f>
        <v>09/28/2009 00:00</v>
      </c>
      <c r="C2921">
        <v>110</v>
      </c>
      <c r="D2921" t="s">
        <v>7</v>
      </c>
      <c r="E2921" s="2" t="s">
        <v>12</v>
      </c>
      <c r="F2921">
        <f t="shared" si="45"/>
        <v>218.13000000000002</v>
      </c>
      <c r="G2921" t="s">
        <v>16</v>
      </c>
      <c r="J2921" t="str">
        <f>"09/28/2009 23:45"</f>
        <v>09/28/2009 23:45</v>
      </c>
    </row>
    <row r="2922" spans="1:10" x14ac:dyDescent="0.3">
      <c r="A2922" t="s">
        <v>6</v>
      </c>
      <c r="B2922" t="str">
        <f>"09/29/2009 00:00"</f>
        <v>09/29/2009 00:00</v>
      </c>
      <c r="C2922">
        <v>178</v>
      </c>
      <c r="D2922" t="s">
        <v>7</v>
      </c>
      <c r="E2922" s="2" t="s">
        <v>12</v>
      </c>
      <c r="F2922">
        <f t="shared" si="45"/>
        <v>352.97399999999999</v>
      </c>
      <c r="G2922" t="s">
        <v>16</v>
      </c>
      <c r="J2922" t="str">
        <f>"09/29/2009 23:45"</f>
        <v>09/29/2009 23:45</v>
      </c>
    </row>
    <row r="2923" spans="1:10" x14ac:dyDescent="0.3">
      <c r="A2923" t="s">
        <v>6</v>
      </c>
      <c r="B2923" t="str">
        <f>"09/30/2009 00:00"</f>
        <v>09/30/2009 00:00</v>
      </c>
      <c r="C2923">
        <v>198</v>
      </c>
      <c r="D2923" t="s">
        <v>7</v>
      </c>
      <c r="E2923" s="2" t="s">
        <v>12</v>
      </c>
      <c r="F2923">
        <f t="shared" si="45"/>
        <v>392.63400000000001</v>
      </c>
      <c r="G2923" t="s">
        <v>16</v>
      </c>
      <c r="J2923" t="str">
        <f>"09/30/2009 23:45"</f>
        <v>09/30/2009 23:45</v>
      </c>
    </row>
    <row r="2924" spans="1:10" x14ac:dyDescent="0.3">
      <c r="A2924" t="s">
        <v>6</v>
      </c>
      <c r="B2924" t="str">
        <f>"10/01/2009 00:00"</f>
        <v>10/01/2009 00:00</v>
      </c>
      <c r="C2924">
        <v>202</v>
      </c>
      <c r="D2924" t="s">
        <v>7</v>
      </c>
      <c r="E2924" s="2" t="s">
        <v>12</v>
      </c>
      <c r="F2924">
        <f t="shared" si="45"/>
        <v>400.56600000000003</v>
      </c>
      <c r="G2924" t="s">
        <v>16</v>
      </c>
      <c r="J2924" t="str">
        <f>"10/01/2009 23:45"</f>
        <v>10/01/2009 23:45</v>
      </c>
    </row>
    <row r="2925" spans="1:10" x14ac:dyDescent="0.3">
      <c r="A2925" t="s">
        <v>6</v>
      </c>
      <c r="B2925" t="str">
        <f>"10/02/2009 00:00"</f>
        <v>10/02/2009 00:00</v>
      </c>
      <c r="C2925">
        <v>202</v>
      </c>
      <c r="D2925" t="s">
        <v>7</v>
      </c>
      <c r="E2925" s="2" t="s">
        <v>12</v>
      </c>
      <c r="F2925">
        <f t="shared" si="45"/>
        <v>400.56600000000003</v>
      </c>
      <c r="G2925" t="s">
        <v>16</v>
      </c>
      <c r="J2925" t="str">
        <f>"10/02/2009 23:45"</f>
        <v>10/02/2009 23:45</v>
      </c>
    </row>
    <row r="2926" spans="1:10" x14ac:dyDescent="0.3">
      <c r="A2926" t="s">
        <v>6</v>
      </c>
      <c r="B2926" t="str">
        <f>"10/03/2009 00:00"</f>
        <v>10/03/2009 00:00</v>
      </c>
      <c r="C2926">
        <v>202</v>
      </c>
      <c r="D2926" t="s">
        <v>7</v>
      </c>
      <c r="E2926" s="2" t="s">
        <v>12</v>
      </c>
      <c r="F2926">
        <f t="shared" si="45"/>
        <v>400.56600000000003</v>
      </c>
      <c r="G2926" t="s">
        <v>16</v>
      </c>
      <c r="J2926" t="str">
        <f>"10/03/2009 23:45"</f>
        <v>10/03/2009 23:45</v>
      </c>
    </row>
    <row r="2927" spans="1:10" x14ac:dyDescent="0.3">
      <c r="A2927" t="s">
        <v>6</v>
      </c>
      <c r="B2927" t="str">
        <f>"10/04/2009 00:00"</f>
        <v>10/04/2009 00:00</v>
      </c>
      <c r="C2927">
        <v>202</v>
      </c>
      <c r="D2927" t="s">
        <v>7</v>
      </c>
      <c r="E2927" s="2" t="s">
        <v>12</v>
      </c>
      <c r="F2927">
        <f t="shared" si="45"/>
        <v>400.56600000000003</v>
      </c>
      <c r="G2927" t="s">
        <v>16</v>
      </c>
      <c r="J2927" t="str">
        <f>"10/04/2009 23:45"</f>
        <v>10/04/2009 23:45</v>
      </c>
    </row>
    <row r="2928" spans="1:10" x14ac:dyDescent="0.3">
      <c r="A2928" t="s">
        <v>6</v>
      </c>
      <c r="B2928" t="str">
        <f>"10/05/2009 00:00"</f>
        <v>10/05/2009 00:00</v>
      </c>
      <c r="C2928">
        <v>159</v>
      </c>
      <c r="D2928" t="s">
        <v>7</v>
      </c>
      <c r="E2928" s="2" t="s">
        <v>12</v>
      </c>
      <c r="F2928">
        <f t="shared" si="45"/>
        <v>315.29700000000003</v>
      </c>
      <c r="G2928" t="s">
        <v>16</v>
      </c>
      <c r="J2928" t="str">
        <f>"10/05/2009 23:45"</f>
        <v>10/05/2009 23:45</v>
      </c>
    </row>
    <row r="2929" spans="1:10" x14ac:dyDescent="0.3">
      <c r="A2929" t="s">
        <v>6</v>
      </c>
      <c r="B2929" t="str">
        <f>"10/06/2009 00:00"</f>
        <v>10/06/2009 00:00</v>
      </c>
      <c r="C2929">
        <v>76.900000000000006</v>
      </c>
      <c r="D2929" t="s">
        <v>7</v>
      </c>
      <c r="E2929" s="2" t="s">
        <v>12</v>
      </c>
      <c r="F2929">
        <f t="shared" si="45"/>
        <v>152.49270000000001</v>
      </c>
      <c r="G2929" t="s">
        <v>16</v>
      </c>
      <c r="J2929" t="str">
        <f>"10/06/2009 23:45"</f>
        <v>10/06/2009 23:45</v>
      </c>
    </row>
    <row r="2930" spans="1:10" x14ac:dyDescent="0.3">
      <c r="A2930" t="s">
        <v>6</v>
      </c>
      <c r="B2930" t="str">
        <f>"10/07/2009 00:00"</f>
        <v>10/07/2009 00:00</v>
      </c>
      <c r="C2930">
        <v>59.6</v>
      </c>
      <c r="D2930" t="s">
        <v>7</v>
      </c>
      <c r="E2930" s="2" t="s">
        <v>12</v>
      </c>
      <c r="F2930">
        <f t="shared" si="45"/>
        <v>118.18680000000001</v>
      </c>
      <c r="G2930" t="s">
        <v>16</v>
      </c>
      <c r="J2930" t="str">
        <f>"10/07/2009 23:45"</f>
        <v>10/07/2009 23:45</v>
      </c>
    </row>
    <row r="2931" spans="1:10" x14ac:dyDescent="0.3">
      <c r="A2931" t="s">
        <v>6</v>
      </c>
      <c r="B2931" t="str">
        <f>"10/08/2009 00:00"</f>
        <v>10/08/2009 00:00</v>
      </c>
      <c r="C2931">
        <v>59.8</v>
      </c>
      <c r="D2931" t="s">
        <v>7</v>
      </c>
      <c r="E2931" s="2" t="s">
        <v>12</v>
      </c>
      <c r="F2931">
        <f t="shared" si="45"/>
        <v>118.5834</v>
      </c>
      <c r="G2931" t="s">
        <v>16</v>
      </c>
      <c r="J2931" t="str">
        <f>"10/08/2009 23:45"</f>
        <v>10/08/2009 23:45</v>
      </c>
    </row>
    <row r="2932" spans="1:10" x14ac:dyDescent="0.3">
      <c r="A2932" t="s">
        <v>6</v>
      </c>
      <c r="B2932" t="str">
        <f>"10/09/2009 00:00"</f>
        <v>10/09/2009 00:00</v>
      </c>
      <c r="C2932">
        <v>59.5</v>
      </c>
      <c r="D2932" t="s">
        <v>7</v>
      </c>
      <c r="E2932" s="2" t="s">
        <v>12</v>
      </c>
      <c r="F2932">
        <f t="shared" si="45"/>
        <v>117.9885</v>
      </c>
      <c r="G2932" t="s">
        <v>16</v>
      </c>
      <c r="J2932" t="str">
        <f>"10/09/2009 23:45"</f>
        <v>10/09/2009 23:45</v>
      </c>
    </row>
    <row r="2933" spans="1:10" x14ac:dyDescent="0.3">
      <c r="A2933" t="s">
        <v>6</v>
      </c>
      <c r="B2933" t="str">
        <f>"10/10/2009 00:00"</f>
        <v>10/10/2009 00:00</v>
      </c>
      <c r="C2933">
        <v>59.9</v>
      </c>
      <c r="D2933" t="s">
        <v>7</v>
      </c>
      <c r="E2933" s="2" t="s">
        <v>12</v>
      </c>
      <c r="F2933">
        <f t="shared" si="45"/>
        <v>118.7817</v>
      </c>
      <c r="G2933" t="s">
        <v>16</v>
      </c>
      <c r="J2933" t="str">
        <f>"10/10/2009 23:45"</f>
        <v>10/10/2009 23:45</v>
      </c>
    </row>
    <row r="2934" spans="1:10" x14ac:dyDescent="0.3">
      <c r="A2934" t="s">
        <v>6</v>
      </c>
      <c r="B2934" t="str">
        <f>"10/11/2009 00:00"</f>
        <v>10/11/2009 00:00</v>
      </c>
      <c r="C2934">
        <v>24.8</v>
      </c>
      <c r="D2934" t="s">
        <v>7</v>
      </c>
      <c r="E2934" s="2" t="s">
        <v>12</v>
      </c>
      <c r="F2934">
        <f t="shared" si="45"/>
        <v>49.178400000000003</v>
      </c>
      <c r="G2934" t="s">
        <v>16</v>
      </c>
      <c r="J2934" t="str">
        <f>"10/11/2009 23:45"</f>
        <v>10/11/2009 23:45</v>
      </c>
    </row>
    <row r="2935" spans="1:10" x14ac:dyDescent="0.3">
      <c r="A2935" t="s">
        <v>6</v>
      </c>
      <c r="B2935" t="str">
        <f>"10/12/2009 00:00"</f>
        <v>10/12/2009 00:00</v>
      </c>
      <c r="C2935">
        <v>1.62</v>
      </c>
      <c r="D2935" t="s">
        <v>7</v>
      </c>
      <c r="E2935" s="2" t="s">
        <v>12</v>
      </c>
      <c r="F2935">
        <f t="shared" si="45"/>
        <v>3.2124600000000005</v>
      </c>
      <c r="G2935" t="s">
        <v>16</v>
      </c>
      <c r="J2935" t="str">
        <f>"10/12/2009 23:45"</f>
        <v>10/12/2009 23:45</v>
      </c>
    </row>
    <row r="2936" spans="1:10" x14ac:dyDescent="0.3">
      <c r="A2936" t="s">
        <v>6</v>
      </c>
      <c r="B2936" t="str">
        <f>"10/13/2009 00:00"</f>
        <v>10/13/2009 00:00</v>
      </c>
      <c r="C2936">
        <v>1.62</v>
      </c>
      <c r="D2936" t="s">
        <v>7</v>
      </c>
      <c r="E2936" s="2" t="s">
        <v>12</v>
      </c>
      <c r="F2936">
        <f t="shared" si="45"/>
        <v>3.2124600000000005</v>
      </c>
      <c r="G2936" t="s">
        <v>16</v>
      </c>
      <c r="J2936" t="str">
        <f>"10/13/2009 23:45"</f>
        <v>10/13/2009 23:45</v>
      </c>
    </row>
    <row r="2937" spans="1:10" x14ac:dyDescent="0.3">
      <c r="A2937" t="s">
        <v>6</v>
      </c>
      <c r="B2937" t="str">
        <f>"10/14/2009 00:00"</f>
        <v>10/14/2009 00:00</v>
      </c>
      <c r="C2937">
        <v>39.5</v>
      </c>
      <c r="D2937" t="s">
        <v>7</v>
      </c>
      <c r="E2937" s="2" t="s">
        <v>12</v>
      </c>
      <c r="F2937">
        <f t="shared" si="45"/>
        <v>78.328500000000005</v>
      </c>
      <c r="G2937" t="s">
        <v>16</v>
      </c>
      <c r="J2937" t="str">
        <f>"10/14/2009 23:45"</f>
        <v>10/14/2009 23:45</v>
      </c>
    </row>
    <row r="2938" spans="1:10" x14ac:dyDescent="0.3">
      <c r="A2938" t="s">
        <v>6</v>
      </c>
      <c r="B2938" t="str">
        <f>"10/15/2009 00:00"</f>
        <v>10/15/2009 00:00</v>
      </c>
      <c r="C2938">
        <v>61.5</v>
      </c>
      <c r="D2938" t="s">
        <v>7</v>
      </c>
      <c r="E2938" s="2" t="s">
        <v>12</v>
      </c>
      <c r="F2938">
        <f t="shared" si="45"/>
        <v>121.95450000000001</v>
      </c>
      <c r="G2938" t="s">
        <v>16</v>
      </c>
      <c r="J2938" t="str">
        <f>"10/15/2009 23:45"</f>
        <v>10/15/2009 23:45</v>
      </c>
    </row>
    <row r="2939" spans="1:10" x14ac:dyDescent="0.3">
      <c r="A2939" t="s">
        <v>6</v>
      </c>
      <c r="B2939" t="str">
        <f>"10/16/2009 00:00"</f>
        <v>10/16/2009 00:00</v>
      </c>
      <c r="C2939">
        <v>58.8</v>
      </c>
      <c r="D2939" t="s">
        <v>7</v>
      </c>
      <c r="E2939" s="2" t="s">
        <v>12</v>
      </c>
      <c r="F2939">
        <f t="shared" si="45"/>
        <v>116.60039999999999</v>
      </c>
      <c r="G2939" t="s">
        <v>16</v>
      </c>
      <c r="J2939" t="str">
        <f>"10/16/2009 23:45"</f>
        <v>10/16/2009 23:45</v>
      </c>
    </row>
    <row r="2940" spans="1:10" x14ac:dyDescent="0.3">
      <c r="A2940" t="s">
        <v>6</v>
      </c>
      <c r="B2940" t="str">
        <f>"10/17/2009 00:00"</f>
        <v>10/17/2009 00:00</v>
      </c>
      <c r="C2940">
        <v>58.8</v>
      </c>
      <c r="D2940" t="s">
        <v>7</v>
      </c>
      <c r="E2940" s="2" t="s">
        <v>12</v>
      </c>
      <c r="F2940">
        <f t="shared" si="45"/>
        <v>116.60039999999999</v>
      </c>
      <c r="G2940" t="s">
        <v>16</v>
      </c>
      <c r="J2940" t="str">
        <f>"10/17/2009 23:45"</f>
        <v>10/17/2009 23:45</v>
      </c>
    </row>
    <row r="2941" spans="1:10" x14ac:dyDescent="0.3">
      <c r="A2941" t="s">
        <v>6</v>
      </c>
      <c r="B2941" t="str">
        <f>"10/18/2009 00:00"</f>
        <v>10/18/2009 00:00</v>
      </c>
      <c r="C2941">
        <v>58.8</v>
      </c>
      <c r="D2941" t="s">
        <v>7</v>
      </c>
      <c r="E2941" s="2" t="s">
        <v>12</v>
      </c>
      <c r="F2941">
        <f t="shared" si="45"/>
        <v>116.60039999999999</v>
      </c>
      <c r="G2941" t="s">
        <v>16</v>
      </c>
      <c r="J2941" t="str">
        <f>"10/18/2009 23:45"</f>
        <v>10/18/2009 23:45</v>
      </c>
    </row>
    <row r="2942" spans="1:10" x14ac:dyDescent="0.3">
      <c r="A2942" t="s">
        <v>6</v>
      </c>
      <c r="B2942" t="str">
        <f>"10/19/2009 00:00"</f>
        <v>10/19/2009 00:00</v>
      </c>
      <c r="C2942">
        <v>59.3</v>
      </c>
      <c r="D2942" t="s">
        <v>7</v>
      </c>
      <c r="E2942" s="2" t="s">
        <v>12</v>
      </c>
      <c r="F2942">
        <f t="shared" si="45"/>
        <v>117.5919</v>
      </c>
      <c r="G2942" t="s">
        <v>16</v>
      </c>
      <c r="J2942" t="str">
        <f>"10/19/2009 23:45"</f>
        <v>10/19/2009 23:45</v>
      </c>
    </row>
    <row r="2943" spans="1:10" x14ac:dyDescent="0.3">
      <c r="A2943" t="s">
        <v>6</v>
      </c>
      <c r="B2943" t="str">
        <f>"10/20/2009 00:00"</f>
        <v>10/20/2009 00:00</v>
      </c>
      <c r="C2943">
        <v>59.9</v>
      </c>
      <c r="D2943" t="s">
        <v>7</v>
      </c>
      <c r="E2943" s="2" t="s">
        <v>12</v>
      </c>
      <c r="F2943">
        <f t="shared" si="45"/>
        <v>118.7817</v>
      </c>
      <c r="G2943" t="s">
        <v>16</v>
      </c>
      <c r="J2943" t="str">
        <f>"10/20/2009 23:45"</f>
        <v>10/20/2009 23:45</v>
      </c>
    </row>
    <row r="2944" spans="1:10" x14ac:dyDescent="0.3">
      <c r="A2944" t="s">
        <v>6</v>
      </c>
      <c r="B2944" t="str">
        <f>"10/21/2009 00:00"</f>
        <v>10/21/2009 00:00</v>
      </c>
      <c r="C2944">
        <v>59.9</v>
      </c>
      <c r="D2944" t="s">
        <v>7</v>
      </c>
      <c r="E2944" s="2" t="s">
        <v>12</v>
      </c>
      <c r="F2944">
        <f t="shared" si="45"/>
        <v>118.7817</v>
      </c>
      <c r="G2944" t="s">
        <v>16</v>
      </c>
      <c r="J2944" t="str">
        <f>"10/21/2009 23:45"</f>
        <v>10/21/2009 23:45</v>
      </c>
    </row>
    <row r="2945" spans="1:10" x14ac:dyDescent="0.3">
      <c r="A2945" t="s">
        <v>6</v>
      </c>
      <c r="B2945" t="str">
        <f>"10/22/2009 00:00"</f>
        <v>10/22/2009 00:00</v>
      </c>
      <c r="C2945">
        <v>59.9</v>
      </c>
      <c r="D2945" t="s">
        <v>7</v>
      </c>
      <c r="E2945" s="2" t="s">
        <v>12</v>
      </c>
      <c r="F2945">
        <f t="shared" si="45"/>
        <v>118.7817</v>
      </c>
      <c r="G2945" t="s">
        <v>16</v>
      </c>
      <c r="J2945" t="str">
        <f>"10/22/2009 23:45"</f>
        <v>10/22/2009 23:45</v>
      </c>
    </row>
    <row r="2946" spans="1:10" x14ac:dyDescent="0.3">
      <c r="A2946" t="s">
        <v>6</v>
      </c>
      <c r="B2946" t="str">
        <f>"10/23/2009 00:00"</f>
        <v>10/23/2009 00:00</v>
      </c>
      <c r="C2946">
        <v>59.9</v>
      </c>
      <c r="D2946" t="s">
        <v>7</v>
      </c>
      <c r="E2946" s="2" t="s">
        <v>12</v>
      </c>
      <c r="F2946">
        <f t="shared" si="45"/>
        <v>118.7817</v>
      </c>
      <c r="G2946" t="s">
        <v>16</v>
      </c>
      <c r="J2946" t="str">
        <f>"10/23/2009 23:45"</f>
        <v>10/23/2009 23:45</v>
      </c>
    </row>
    <row r="2947" spans="1:10" x14ac:dyDescent="0.3">
      <c r="A2947" t="s">
        <v>6</v>
      </c>
      <c r="B2947" t="str">
        <f>"10/24/2009 00:00"</f>
        <v>10/24/2009 00:00</v>
      </c>
      <c r="C2947">
        <v>59.3</v>
      </c>
      <c r="D2947" t="s">
        <v>7</v>
      </c>
      <c r="E2947" s="2" t="s">
        <v>12</v>
      </c>
      <c r="F2947">
        <f t="shared" si="45"/>
        <v>117.5919</v>
      </c>
      <c r="G2947" t="s">
        <v>16</v>
      </c>
      <c r="J2947" t="str">
        <f>"10/24/2009 23:45"</f>
        <v>10/24/2009 23:45</v>
      </c>
    </row>
    <row r="2948" spans="1:10" x14ac:dyDescent="0.3">
      <c r="A2948" t="s">
        <v>6</v>
      </c>
      <c r="B2948" t="str">
        <f>"10/25/2009 00:00"</f>
        <v>10/25/2009 00:00</v>
      </c>
      <c r="C2948">
        <v>58.8</v>
      </c>
      <c r="D2948" t="s">
        <v>7</v>
      </c>
      <c r="E2948" s="2" t="s">
        <v>12</v>
      </c>
      <c r="F2948">
        <f t="shared" ref="F2948:F3011" si="46">C2948*1.983</f>
        <v>116.60039999999999</v>
      </c>
      <c r="G2948" t="s">
        <v>16</v>
      </c>
      <c r="J2948" t="str">
        <f>"10/25/2009 23:45"</f>
        <v>10/25/2009 23:45</v>
      </c>
    </row>
    <row r="2949" spans="1:10" x14ac:dyDescent="0.3">
      <c r="A2949" t="s">
        <v>6</v>
      </c>
      <c r="B2949" t="str">
        <f>"10/26/2009 00:00"</f>
        <v>10/26/2009 00:00</v>
      </c>
      <c r="C2949">
        <v>53</v>
      </c>
      <c r="D2949" t="s">
        <v>7</v>
      </c>
      <c r="E2949" s="2" t="s">
        <v>12</v>
      </c>
      <c r="F2949">
        <f t="shared" si="46"/>
        <v>105.099</v>
      </c>
      <c r="G2949" t="s">
        <v>16</v>
      </c>
      <c r="J2949" t="str">
        <f>"10/26/2009 23:45"</f>
        <v>10/26/2009 23:45</v>
      </c>
    </row>
    <row r="2950" spans="1:10" x14ac:dyDescent="0.3">
      <c r="A2950" t="s">
        <v>6</v>
      </c>
      <c r="B2950" t="str">
        <f>"10/27/2009 00:00"</f>
        <v>10/27/2009 00:00</v>
      </c>
      <c r="C2950">
        <v>49.6</v>
      </c>
      <c r="D2950" t="s">
        <v>7</v>
      </c>
      <c r="E2950" s="2" t="s">
        <v>12</v>
      </c>
      <c r="F2950">
        <f t="shared" si="46"/>
        <v>98.356800000000007</v>
      </c>
      <c r="G2950" t="s">
        <v>16</v>
      </c>
      <c r="J2950" t="str">
        <f>"10/27/2009 23:45"</f>
        <v>10/27/2009 23:45</v>
      </c>
    </row>
    <row r="2951" spans="1:10" x14ac:dyDescent="0.3">
      <c r="A2951" t="s">
        <v>6</v>
      </c>
      <c r="B2951" t="str">
        <f>"10/28/2009 00:00"</f>
        <v>10/28/2009 00:00</v>
      </c>
      <c r="C2951">
        <v>22.1</v>
      </c>
      <c r="D2951" t="s">
        <v>7</v>
      </c>
      <c r="E2951" s="2" t="s">
        <v>12</v>
      </c>
      <c r="F2951">
        <f t="shared" si="46"/>
        <v>43.824300000000008</v>
      </c>
      <c r="G2951" t="s">
        <v>16</v>
      </c>
      <c r="J2951" t="str">
        <f>"10/28/2009 23:45"</f>
        <v>10/28/2009 23:45</v>
      </c>
    </row>
    <row r="2952" spans="1:10" x14ac:dyDescent="0.3">
      <c r="A2952" t="s">
        <v>6</v>
      </c>
      <c r="B2952" t="str">
        <f>"10/29/2009 00:00"</f>
        <v>10/29/2009 00:00</v>
      </c>
      <c r="C2952">
        <v>1.92</v>
      </c>
      <c r="D2952" t="s">
        <v>7</v>
      </c>
      <c r="E2952" s="2" t="s">
        <v>12</v>
      </c>
      <c r="F2952">
        <f t="shared" si="46"/>
        <v>3.8073600000000001</v>
      </c>
      <c r="G2952" t="s">
        <v>16</v>
      </c>
      <c r="J2952" t="str">
        <f>"10/29/2009 23:45"</f>
        <v>10/29/2009 23:45</v>
      </c>
    </row>
    <row r="2953" spans="1:10" x14ac:dyDescent="0.3">
      <c r="A2953" t="s">
        <v>6</v>
      </c>
      <c r="B2953" t="str">
        <f>"10/30/2009 00:00"</f>
        <v>10/30/2009 00:00</v>
      </c>
      <c r="C2953">
        <v>1.92</v>
      </c>
      <c r="D2953" t="s">
        <v>7</v>
      </c>
      <c r="E2953" s="2" t="s">
        <v>12</v>
      </c>
      <c r="F2953">
        <f t="shared" si="46"/>
        <v>3.8073600000000001</v>
      </c>
      <c r="G2953" t="s">
        <v>16</v>
      </c>
      <c r="J2953" t="str">
        <f>"10/30/2009 23:45"</f>
        <v>10/30/2009 23:45</v>
      </c>
    </row>
    <row r="2954" spans="1:10" x14ac:dyDescent="0.3">
      <c r="A2954" t="s">
        <v>6</v>
      </c>
      <c r="B2954" t="str">
        <f>"10/31/2009 00:00"</f>
        <v>10/31/2009 00:00</v>
      </c>
      <c r="C2954">
        <v>1.92</v>
      </c>
      <c r="D2954" t="s">
        <v>7</v>
      </c>
      <c r="E2954" s="2" t="s">
        <v>12</v>
      </c>
      <c r="F2954">
        <f t="shared" si="46"/>
        <v>3.8073600000000001</v>
      </c>
      <c r="G2954" t="s">
        <v>16</v>
      </c>
      <c r="J2954" t="str">
        <f>"10/31/2009 23:45"</f>
        <v>10/31/2009 23:45</v>
      </c>
    </row>
    <row r="2955" spans="1:10" x14ac:dyDescent="0.3">
      <c r="A2955" t="s">
        <v>6</v>
      </c>
      <c r="B2955" t="str">
        <f>"11/01/2009 00:00"</f>
        <v>11/01/2009 00:00</v>
      </c>
      <c r="C2955">
        <v>1.92</v>
      </c>
      <c r="D2955" t="s">
        <v>7</v>
      </c>
      <c r="E2955" s="2" t="s">
        <v>12</v>
      </c>
      <c r="F2955">
        <f t="shared" si="46"/>
        <v>3.8073600000000001</v>
      </c>
      <c r="G2955" t="s">
        <v>16</v>
      </c>
      <c r="J2955" t="str">
        <f>"11/01/2009 23:45"</f>
        <v>11/01/2009 23:45</v>
      </c>
    </row>
    <row r="2956" spans="1:10" x14ac:dyDescent="0.3">
      <c r="A2956" t="s">
        <v>6</v>
      </c>
      <c r="B2956" t="str">
        <f>"11/02/2009 00:00"</f>
        <v>11/02/2009 00:00</v>
      </c>
      <c r="C2956">
        <v>1.92</v>
      </c>
      <c r="D2956" t="s">
        <v>7</v>
      </c>
      <c r="E2956" s="2" t="s">
        <v>12</v>
      </c>
      <c r="F2956">
        <f t="shared" si="46"/>
        <v>3.8073600000000001</v>
      </c>
      <c r="G2956" t="s">
        <v>16</v>
      </c>
      <c r="J2956" t="str">
        <f>"11/02/2009 23:45"</f>
        <v>11/02/2009 23:45</v>
      </c>
    </row>
    <row r="2957" spans="1:10" x14ac:dyDescent="0.3">
      <c r="A2957" t="s">
        <v>6</v>
      </c>
      <c r="B2957" t="str">
        <f>"11/03/2009 00:00"</f>
        <v>11/03/2009 00:00</v>
      </c>
      <c r="C2957">
        <v>1.92</v>
      </c>
      <c r="D2957" t="s">
        <v>7</v>
      </c>
      <c r="E2957" s="2" t="s">
        <v>12</v>
      </c>
      <c r="F2957">
        <f t="shared" si="46"/>
        <v>3.8073600000000001</v>
      </c>
      <c r="G2957" t="s">
        <v>16</v>
      </c>
      <c r="J2957" t="str">
        <f>"11/03/2009 23:45"</f>
        <v>11/03/2009 23:45</v>
      </c>
    </row>
    <row r="2958" spans="1:10" x14ac:dyDescent="0.3">
      <c r="A2958" t="s">
        <v>6</v>
      </c>
      <c r="B2958" t="str">
        <f>"11/04/2009 00:00"</f>
        <v>11/04/2009 00:00</v>
      </c>
      <c r="C2958">
        <v>1.92</v>
      </c>
      <c r="D2958" t="s">
        <v>7</v>
      </c>
      <c r="E2958" s="2" t="s">
        <v>12</v>
      </c>
      <c r="F2958">
        <f t="shared" si="46"/>
        <v>3.8073600000000001</v>
      </c>
      <c r="G2958" t="s">
        <v>16</v>
      </c>
      <c r="J2958" t="str">
        <f>"11/04/2009 23:45"</f>
        <v>11/04/2009 23:45</v>
      </c>
    </row>
    <row r="2959" spans="1:10" x14ac:dyDescent="0.3">
      <c r="A2959" t="s">
        <v>6</v>
      </c>
      <c r="B2959" t="str">
        <f>"11/05/2009 00:00"</f>
        <v>11/05/2009 00:00</v>
      </c>
      <c r="C2959">
        <v>1.92</v>
      </c>
      <c r="D2959" t="s">
        <v>7</v>
      </c>
      <c r="E2959" s="2" t="s">
        <v>12</v>
      </c>
      <c r="F2959">
        <f t="shared" si="46"/>
        <v>3.8073600000000001</v>
      </c>
      <c r="G2959" t="s">
        <v>16</v>
      </c>
      <c r="J2959" t="str">
        <f>"11/05/2009 23:45"</f>
        <v>11/05/2009 23:45</v>
      </c>
    </row>
    <row r="2960" spans="1:10" x14ac:dyDescent="0.3">
      <c r="A2960" t="s">
        <v>6</v>
      </c>
      <c r="B2960" t="str">
        <f>"11/06/2009 00:00"</f>
        <v>11/06/2009 00:00</v>
      </c>
      <c r="C2960">
        <v>1.92</v>
      </c>
      <c r="D2960" t="s">
        <v>7</v>
      </c>
      <c r="E2960" s="2" t="s">
        <v>12</v>
      </c>
      <c r="F2960">
        <f t="shared" si="46"/>
        <v>3.8073600000000001</v>
      </c>
      <c r="G2960" t="s">
        <v>16</v>
      </c>
      <c r="J2960" t="str">
        <f>"11/06/2009 23:45"</f>
        <v>11/06/2009 23:45</v>
      </c>
    </row>
    <row r="2961" spans="1:10" x14ac:dyDescent="0.3">
      <c r="A2961" t="s">
        <v>6</v>
      </c>
      <c r="B2961" t="str">
        <f>"11/07/2009 00:00"</f>
        <v>11/07/2009 00:00</v>
      </c>
      <c r="C2961">
        <v>31.6</v>
      </c>
      <c r="D2961" t="s">
        <v>7</v>
      </c>
      <c r="E2961" s="2" t="s">
        <v>12</v>
      </c>
      <c r="F2961">
        <f t="shared" si="46"/>
        <v>62.662800000000004</v>
      </c>
      <c r="G2961" t="s">
        <v>16</v>
      </c>
      <c r="J2961" t="str">
        <f>"11/07/2009 23:45"</f>
        <v>11/07/2009 23:45</v>
      </c>
    </row>
    <row r="2962" spans="1:10" x14ac:dyDescent="0.3">
      <c r="A2962" t="s">
        <v>6</v>
      </c>
      <c r="B2962" t="str">
        <f>"11/08/2009 00:00"</f>
        <v>11/08/2009 00:00</v>
      </c>
      <c r="C2962">
        <v>48.1</v>
      </c>
      <c r="D2962" t="s">
        <v>7</v>
      </c>
      <c r="E2962" s="2" t="s">
        <v>12</v>
      </c>
      <c r="F2962">
        <f t="shared" si="46"/>
        <v>95.382300000000001</v>
      </c>
      <c r="G2962" t="s">
        <v>16</v>
      </c>
      <c r="J2962" t="str">
        <f>"11/08/2009 23:45"</f>
        <v>11/08/2009 23:45</v>
      </c>
    </row>
    <row r="2963" spans="1:10" x14ac:dyDescent="0.3">
      <c r="A2963" t="s">
        <v>6</v>
      </c>
      <c r="B2963" t="str">
        <f>"11/09/2009 00:00"</f>
        <v>11/09/2009 00:00</v>
      </c>
      <c r="C2963">
        <v>47.7</v>
      </c>
      <c r="D2963" t="s">
        <v>7</v>
      </c>
      <c r="E2963" s="2" t="s">
        <v>12</v>
      </c>
      <c r="F2963">
        <f t="shared" si="46"/>
        <v>94.589100000000016</v>
      </c>
      <c r="G2963" t="s">
        <v>16</v>
      </c>
      <c r="J2963" t="str">
        <f>"11/09/2009 23:45"</f>
        <v>11/09/2009 23:45</v>
      </c>
    </row>
    <row r="2964" spans="1:10" x14ac:dyDescent="0.3">
      <c r="A2964" t="s">
        <v>6</v>
      </c>
      <c r="B2964" t="str">
        <f>"11/10/2009 00:00"</f>
        <v>11/10/2009 00:00</v>
      </c>
      <c r="C2964">
        <v>47.1</v>
      </c>
      <c r="D2964" t="s">
        <v>7</v>
      </c>
      <c r="E2964" s="2" t="s">
        <v>12</v>
      </c>
      <c r="F2964">
        <f t="shared" si="46"/>
        <v>93.399300000000011</v>
      </c>
      <c r="G2964" t="s">
        <v>16</v>
      </c>
      <c r="J2964" t="str">
        <f>"11/10/2009 23:45"</f>
        <v>11/10/2009 23:45</v>
      </c>
    </row>
    <row r="2965" spans="1:10" x14ac:dyDescent="0.3">
      <c r="A2965" t="s">
        <v>6</v>
      </c>
      <c r="B2965" t="str">
        <f>"11/11/2009 00:00"</f>
        <v>11/11/2009 00:00</v>
      </c>
      <c r="C2965">
        <v>47.1</v>
      </c>
      <c r="D2965" t="s">
        <v>7</v>
      </c>
      <c r="E2965" s="2" t="s">
        <v>12</v>
      </c>
      <c r="F2965">
        <f t="shared" si="46"/>
        <v>93.399300000000011</v>
      </c>
      <c r="G2965" t="s">
        <v>16</v>
      </c>
      <c r="J2965" t="str">
        <f>"11/11/2009 23:45"</f>
        <v>11/11/2009 23:45</v>
      </c>
    </row>
    <row r="2966" spans="1:10" x14ac:dyDescent="0.3">
      <c r="A2966" t="s">
        <v>6</v>
      </c>
      <c r="B2966" t="str">
        <f>"11/12/2009 00:00"</f>
        <v>11/12/2009 00:00</v>
      </c>
      <c r="C2966">
        <v>47.2</v>
      </c>
      <c r="D2966" t="s">
        <v>7</v>
      </c>
      <c r="E2966" s="2" t="s">
        <v>12</v>
      </c>
      <c r="F2966">
        <f t="shared" si="46"/>
        <v>93.597600000000014</v>
      </c>
      <c r="G2966" t="s">
        <v>16</v>
      </c>
      <c r="J2966" t="str">
        <f>"11/12/2009 23:45"</f>
        <v>11/12/2009 23:45</v>
      </c>
    </row>
    <row r="2967" spans="1:10" x14ac:dyDescent="0.3">
      <c r="A2967" t="s">
        <v>6</v>
      </c>
      <c r="B2967" t="str">
        <f>"11/13/2009 00:00"</f>
        <v>11/13/2009 00:00</v>
      </c>
      <c r="C2967">
        <v>44.5</v>
      </c>
      <c r="D2967" t="s">
        <v>7</v>
      </c>
      <c r="E2967" s="2" t="s">
        <v>12</v>
      </c>
      <c r="F2967">
        <f t="shared" si="46"/>
        <v>88.243499999999997</v>
      </c>
      <c r="G2967" t="s">
        <v>16</v>
      </c>
      <c r="J2967" t="str">
        <f>"11/13/2009 23:45"</f>
        <v>11/13/2009 23:45</v>
      </c>
    </row>
    <row r="2968" spans="1:10" x14ac:dyDescent="0.3">
      <c r="A2968" t="s">
        <v>6</v>
      </c>
      <c r="B2968" t="str">
        <f>"11/14/2009 00:00"</f>
        <v>11/14/2009 00:00</v>
      </c>
      <c r="C2968">
        <v>48.1</v>
      </c>
      <c r="D2968" t="s">
        <v>7</v>
      </c>
      <c r="E2968" s="2" t="s">
        <v>12</v>
      </c>
      <c r="F2968">
        <f t="shared" si="46"/>
        <v>95.382300000000001</v>
      </c>
      <c r="G2968" t="s">
        <v>16</v>
      </c>
      <c r="J2968" t="str">
        <f>"11/14/2009 23:45"</f>
        <v>11/14/2009 23:45</v>
      </c>
    </row>
    <row r="2969" spans="1:10" x14ac:dyDescent="0.3">
      <c r="A2969" t="s">
        <v>6</v>
      </c>
      <c r="B2969" t="str">
        <f>"11/15/2009 00:00"</f>
        <v>11/15/2009 00:00</v>
      </c>
      <c r="C2969">
        <v>48.1</v>
      </c>
      <c r="D2969" t="s">
        <v>7</v>
      </c>
      <c r="E2969" s="2" t="s">
        <v>12</v>
      </c>
      <c r="F2969">
        <f t="shared" si="46"/>
        <v>95.382300000000001</v>
      </c>
      <c r="G2969" t="s">
        <v>16</v>
      </c>
      <c r="J2969" t="str">
        <f>"11/15/2009 23:45"</f>
        <v>11/15/2009 23:45</v>
      </c>
    </row>
    <row r="2970" spans="1:10" x14ac:dyDescent="0.3">
      <c r="A2970" t="s">
        <v>6</v>
      </c>
      <c r="B2970" t="str">
        <f>"11/16/2009 00:00"</f>
        <v>11/16/2009 00:00</v>
      </c>
      <c r="C2970">
        <v>39.799999999999997</v>
      </c>
      <c r="D2970" t="s">
        <v>7</v>
      </c>
      <c r="E2970" s="2" t="s">
        <v>12</v>
      </c>
      <c r="F2970">
        <f t="shared" si="46"/>
        <v>78.923400000000001</v>
      </c>
      <c r="G2970" t="s">
        <v>16</v>
      </c>
      <c r="J2970" t="str">
        <f>"11/16/2009 23:45"</f>
        <v>11/16/2009 23:45</v>
      </c>
    </row>
    <row r="2971" spans="1:10" x14ac:dyDescent="0.3">
      <c r="A2971" t="s">
        <v>6</v>
      </c>
      <c r="B2971" t="str">
        <f>"11/17/2009 00:00"</f>
        <v>11/17/2009 00:00</v>
      </c>
      <c r="C2971">
        <v>33</v>
      </c>
      <c r="D2971" t="s">
        <v>7</v>
      </c>
      <c r="E2971" s="2" t="s">
        <v>12</v>
      </c>
      <c r="F2971">
        <f t="shared" si="46"/>
        <v>65.439000000000007</v>
      </c>
      <c r="G2971" t="s">
        <v>16</v>
      </c>
      <c r="J2971" t="str">
        <f>"11/17/2009 23:45"</f>
        <v>11/17/2009 23:45</v>
      </c>
    </row>
    <row r="2972" spans="1:10" x14ac:dyDescent="0.3">
      <c r="A2972" t="s">
        <v>6</v>
      </c>
      <c r="B2972" t="str">
        <f>"11/18/2009 00:00"</f>
        <v>11/18/2009 00:00</v>
      </c>
      <c r="C2972">
        <v>34.6</v>
      </c>
      <c r="D2972" t="s">
        <v>7</v>
      </c>
      <c r="E2972" s="2" t="s">
        <v>12</v>
      </c>
      <c r="F2972">
        <f t="shared" si="46"/>
        <v>68.611800000000002</v>
      </c>
      <c r="G2972" t="s">
        <v>16</v>
      </c>
      <c r="J2972" t="str">
        <f>"11/18/2009 23:45"</f>
        <v>11/18/2009 23:45</v>
      </c>
    </row>
    <row r="2973" spans="1:10" x14ac:dyDescent="0.3">
      <c r="A2973" t="s">
        <v>6</v>
      </c>
      <c r="B2973" t="str">
        <f>"11/19/2009 00:00"</f>
        <v>11/19/2009 00:00</v>
      </c>
      <c r="C2973">
        <v>34.6</v>
      </c>
      <c r="D2973" t="s">
        <v>7</v>
      </c>
      <c r="E2973" s="2" t="s">
        <v>12</v>
      </c>
      <c r="F2973">
        <f t="shared" si="46"/>
        <v>68.611800000000002</v>
      </c>
      <c r="G2973" t="s">
        <v>16</v>
      </c>
      <c r="J2973" t="str">
        <f>"11/19/2009 23:45"</f>
        <v>11/19/2009 23:45</v>
      </c>
    </row>
    <row r="2974" spans="1:10" x14ac:dyDescent="0.3">
      <c r="A2974" t="s">
        <v>6</v>
      </c>
      <c r="B2974" t="str">
        <f>"11/20/2009 00:00"</f>
        <v>11/20/2009 00:00</v>
      </c>
      <c r="C2974">
        <v>34.6</v>
      </c>
      <c r="D2974" t="s">
        <v>7</v>
      </c>
      <c r="E2974" s="2" t="s">
        <v>12</v>
      </c>
      <c r="F2974">
        <f t="shared" si="46"/>
        <v>68.611800000000002</v>
      </c>
      <c r="G2974" t="s">
        <v>16</v>
      </c>
      <c r="J2974" t="str">
        <f>"11/20/2009 23:45"</f>
        <v>11/20/2009 23:45</v>
      </c>
    </row>
    <row r="2975" spans="1:10" x14ac:dyDescent="0.3">
      <c r="A2975" t="s">
        <v>6</v>
      </c>
      <c r="B2975" t="str">
        <f>"11/21/2009 00:00"</f>
        <v>11/21/2009 00:00</v>
      </c>
      <c r="C2975">
        <v>34.6</v>
      </c>
      <c r="D2975" t="s">
        <v>7</v>
      </c>
      <c r="E2975" s="2" t="s">
        <v>12</v>
      </c>
      <c r="F2975">
        <f t="shared" si="46"/>
        <v>68.611800000000002</v>
      </c>
      <c r="G2975" t="s">
        <v>16</v>
      </c>
      <c r="J2975" t="str">
        <f>"11/21/2009 23:45"</f>
        <v>11/21/2009 23:45</v>
      </c>
    </row>
    <row r="2976" spans="1:10" x14ac:dyDescent="0.3">
      <c r="A2976" t="s">
        <v>6</v>
      </c>
      <c r="B2976" t="str">
        <f>"11/22/2009 00:00"</f>
        <v>11/22/2009 00:00</v>
      </c>
      <c r="C2976">
        <v>34.6</v>
      </c>
      <c r="D2976" t="s">
        <v>7</v>
      </c>
      <c r="E2976" s="2" t="s">
        <v>12</v>
      </c>
      <c r="F2976">
        <f t="shared" si="46"/>
        <v>68.611800000000002</v>
      </c>
      <c r="G2976" t="s">
        <v>16</v>
      </c>
      <c r="J2976" t="str">
        <f>"11/22/2009 23:45"</f>
        <v>11/22/2009 23:45</v>
      </c>
    </row>
    <row r="2977" spans="1:10" x14ac:dyDescent="0.3">
      <c r="A2977" t="s">
        <v>6</v>
      </c>
      <c r="B2977" t="str">
        <f>"11/23/2009 00:00"</f>
        <v>11/23/2009 00:00</v>
      </c>
      <c r="C2977">
        <v>34.299999999999997</v>
      </c>
      <c r="D2977" t="s">
        <v>7</v>
      </c>
      <c r="E2977" s="2" t="s">
        <v>12</v>
      </c>
      <c r="F2977">
        <f t="shared" si="46"/>
        <v>68.016899999999993</v>
      </c>
      <c r="G2977" t="s">
        <v>16</v>
      </c>
      <c r="J2977" t="str">
        <f>"11/23/2009 23:45"</f>
        <v>11/23/2009 23:45</v>
      </c>
    </row>
    <row r="2978" spans="1:10" x14ac:dyDescent="0.3">
      <c r="A2978" t="s">
        <v>6</v>
      </c>
      <c r="B2978" t="str">
        <f>"11/24/2009 00:00"</f>
        <v>11/24/2009 00:00</v>
      </c>
      <c r="C2978">
        <v>33.700000000000003</v>
      </c>
      <c r="D2978" t="s">
        <v>7</v>
      </c>
      <c r="E2978" s="2" t="s">
        <v>12</v>
      </c>
      <c r="F2978">
        <f t="shared" si="46"/>
        <v>66.827100000000016</v>
      </c>
      <c r="G2978" t="s">
        <v>16</v>
      </c>
      <c r="J2978" t="str">
        <f>"11/24/2009 23:45"</f>
        <v>11/24/2009 23:45</v>
      </c>
    </row>
    <row r="2979" spans="1:10" x14ac:dyDescent="0.3">
      <c r="A2979" t="s">
        <v>6</v>
      </c>
      <c r="B2979" t="str">
        <f>"11/25/2009 00:00"</f>
        <v>11/25/2009 00:00</v>
      </c>
      <c r="C2979">
        <v>33.700000000000003</v>
      </c>
      <c r="D2979" t="s">
        <v>7</v>
      </c>
      <c r="E2979" s="2" t="s">
        <v>12</v>
      </c>
      <c r="F2979">
        <f t="shared" si="46"/>
        <v>66.827100000000016</v>
      </c>
      <c r="G2979" t="s">
        <v>16</v>
      </c>
      <c r="J2979" t="str">
        <f>"11/25/2009 23:45"</f>
        <v>11/25/2009 23:45</v>
      </c>
    </row>
    <row r="2980" spans="1:10" x14ac:dyDescent="0.3">
      <c r="A2980" t="s">
        <v>6</v>
      </c>
      <c r="B2980" t="str">
        <f>"11/26/2009 00:00"</f>
        <v>11/26/2009 00:00</v>
      </c>
      <c r="C2980">
        <v>33.700000000000003</v>
      </c>
      <c r="D2980" t="s">
        <v>7</v>
      </c>
      <c r="E2980" s="2" t="s">
        <v>12</v>
      </c>
      <c r="F2980">
        <f t="shared" si="46"/>
        <v>66.827100000000016</v>
      </c>
      <c r="G2980" t="s">
        <v>16</v>
      </c>
      <c r="J2980" t="str">
        <f>"11/26/2009 23:45"</f>
        <v>11/26/2009 23:45</v>
      </c>
    </row>
    <row r="2981" spans="1:10" x14ac:dyDescent="0.3">
      <c r="A2981" t="s">
        <v>6</v>
      </c>
      <c r="B2981" t="str">
        <f>"11/27/2009 00:00"</f>
        <v>11/27/2009 00:00</v>
      </c>
      <c r="C2981">
        <v>22.1</v>
      </c>
      <c r="D2981" t="s">
        <v>7</v>
      </c>
      <c r="E2981" s="2" t="s">
        <v>12</v>
      </c>
      <c r="F2981">
        <f t="shared" si="46"/>
        <v>43.824300000000008</v>
      </c>
      <c r="G2981" t="s">
        <v>16</v>
      </c>
      <c r="J2981" t="str">
        <f>"11/27/2009 23:45"</f>
        <v>11/27/2009 23:45</v>
      </c>
    </row>
    <row r="2982" spans="1:10" x14ac:dyDescent="0.3">
      <c r="A2982" t="s">
        <v>6</v>
      </c>
      <c r="B2982" t="str">
        <f>"11/28/2009 00:00"</f>
        <v>11/28/2009 00:00</v>
      </c>
      <c r="C2982">
        <v>1.92</v>
      </c>
      <c r="D2982" t="s">
        <v>7</v>
      </c>
      <c r="E2982" s="2" t="s">
        <v>12</v>
      </c>
      <c r="F2982">
        <f t="shared" si="46"/>
        <v>3.8073600000000001</v>
      </c>
      <c r="G2982" t="s">
        <v>16</v>
      </c>
      <c r="J2982" t="str">
        <f>"11/28/2009 23:45"</f>
        <v>11/28/2009 23:45</v>
      </c>
    </row>
    <row r="2983" spans="1:10" x14ac:dyDescent="0.3">
      <c r="A2983" t="s">
        <v>6</v>
      </c>
      <c r="B2983" t="str">
        <f>"11/29/2009 00:00"</f>
        <v>11/29/2009 00:00</v>
      </c>
      <c r="C2983">
        <v>2.02</v>
      </c>
      <c r="D2983" t="s">
        <v>7</v>
      </c>
      <c r="E2983" s="2" t="s">
        <v>12</v>
      </c>
      <c r="F2983">
        <f t="shared" si="46"/>
        <v>4.0056600000000007</v>
      </c>
      <c r="G2983" t="s">
        <v>16</v>
      </c>
      <c r="J2983" t="str">
        <f>"11/29/2009 23:45"</f>
        <v>11/29/2009 23:45</v>
      </c>
    </row>
    <row r="2984" spans="1:10" x14ac:dyDescent="0.3">
      <c r="A2984" t="s">
        <v>6</v>
      </c>
      <c r="B2984" t="str">
        <f>"11/30/2009 00:00"</f>
        <v>11/30/2009 00:00</v>
      </c>
      <c r="C2984">
        <v>2.0699999999999998</v>
      </c>
      <c r="D2984" t="s">
        <v>7</v>
      </c>
      <c r="E2984" s="2" t="s">
        <v>12</v>
      </c>
      <c r="F2984">
        <f t="shared" si="46"/>
        <v>4.1048099999999996</v>
      </c>
      <c r="G2984" t="s">
        <v>16</v>
      </c>
      <c r="J2984" t="str">
        <f>"11/30/2009 23:45"</f>
        <v>11/30/2009 23:45</v>
      </c>
    </row>
    <row r="2985" spans="1:10" x14ac:dyDescent="0.3">
      <c r="A2985" t="s">
        <v>6</v>
      </c>
      <c r="B2985" t="str">
        <f>"12/01/2009 00:00"</f>
        <v>12/01/2009 00:00</v>
      </c>
      <c r="C2985">
        <v>2.23</v>
      </c>
      <c r="D2985" t="s">
        <v>7</v>
      </c>
      <c r="E2985" s="2" t="s">
        <v>12</v>
      </c>
      <c r="F2985">
        <f t="shared" si="46"/>
        <v>4.4220899999999999</v>
      </c>
      <c r="G2985" t="s">
        <v>16</v>
      </c>
      <c r="J2985" t="str">
        <f>"12/01/2009 23:45"</f>
        <v>12/01/2009 23:45</v>
      </c>
    </row>
    <row r="2986" spans="1:10" x14ac:dyDescent="0.3">
      <c r="A2986" t="s">
        <v>6</v>
      </c>
      <c r="B2986" t="str">
        <f>"12/02/2009 00:00"</f>
        <v>12/02/2009 00:00</v>
      </c>
      <c r="C2986">
        <v>2.48</v>
      </c>
      <c r="D2986" t="s">
        <v>7</v>
      </c>
      <c r="E2986" s="2" t="s">
        <v>12</v>
      </c>
      <c r="F2986">
        <f t="shared" si="46"/>
        <v>4.91784</v>
      </c>
      <c r="G2986" t="s">
        <v>16</v>
      </c>
      <c r="J2986" t="str">
        <f>"12/02/2009 23:45"</f>
        <v>12/02/2009 23:45</v>
      </c>
    </row>
    <row r="2987" spans="1:10" x14ac:dyDescent="0.3">
      <c r="A2987" t="s">
        <v>6</v>
      </c>
      <c r="B2987" t="str">
        <f>"12/03/2009 00:00"</f>
        <v>12/03/2009 00:00</v>
      </c>
      <c r="C2987">
        <v>2.56</v>
      </c>
      <c r="D2987" t="s">
        <v>7</v>
      </c>
      <c r="E2987" s="2" t="s">
        <v>12</v>
      </c>
      <c r="F2987">
        <f t="shared" si="46"/>
        <v>5.0764800000000001</v>
      </c>
      <c r="G2987" t="s">
        <v>16</v>
      </c>
      <c r="J2987" t="str">
        <f>"12/03/2009 23:45"</f>
        <v>12/03/2009 23:45</v>
      </c>
    </row>
    <row r="2988" spans="1:10" x14ac:dyDescent="0.3">
      <c r="A2988" t="s">
        <v>6</v>
      </c>
      <c r="B2988" t="str">
        <f>"12/04/2009 00:00"</f>
        <v>12/04/2009 00:00</v>
      </c>
      <c r="C2988">
        <v>2.41</v>
      </c>
      <c r="D2988" t="s">
        <v>7</v>
      </c>
      <c r="E2988" s="2" t="s">
        <v>12</v>
      </c>
      <c r="F2988">
        <f t="shared" si="46"/>
        <v>4.7790300000000006</v>
      </c>
      <c r="G2988" t="s">
        <v>16</v>
      </c>
      <c r="J2988" t="str">
        <f>"12/04/2009 23:45"</f>
        <v>12/04/2009 23:45</v>
      </c>
    </row>
    <row r="2989" spans="1:10" x14ac:dyDescent="0.3">
      <c r="A2989" t="s">
        <v>6</v>
      </c>
      <c r="B2989" t="str">
        <f>"12/05/2009 00:00"</f>
        <v>12/05/2009 00:00</v>
      </c>
      <c r="C2989">
        <v>2.56</v>
      </c>
      <c r="D2989" t="s">
        <v>7</v>
      </c>
      <c r="E2989" s="2" t="s">
        <v>12</v>
      </c>
      <c r="F2989">
        <f t="shared" si="46"/>
        <v>5.0764800000000001</v>
      </c>
      <c r="G2989" t="s">
        <v>16</v>
      </c>
      <c r="J2989" t="str">
        <f>"12/05/2009 23:45"</f>
        <v>12/05/2009 23:45</v>
      </c>
    </row>
    <row r="2990" spans="1:10" x14ac:dyDescent="0.3">
      <c r="A2990" t="s">
        <v>6</v>
      </c>
      <c r="B2990" t="str">
        <f>"12/06/2009 00:00"</f>
        <v>12/06/2009 00:00</v>
      </c>
      <c r="C2990">
        <v>2.56</v>
      </c>
      <c r="D2990" t="s">
        <v>7</v>
      </c>
      <c r="E2990" s="2" t="s">
        <v>12</v>
      </c>
      <c r="F2990">
        <f t="shared" si="46"/>
        <v>5.0764800000000001</v>
      </c>
      <c r="G2990" t="s">
        <v>16</v>
      </c>
      <c r="J2990" t="str">
        <f>"12/06/2009 23:45"</f>
        <v>12/06/2009 23:45</v>
      </c>
    </row>
    <row r="2991" spans="1:10" x14ac:dyDescent="0.3">
      <c r="A2991" t="s">
        <v>6</v>
      </c>
      <c r="B2991" t="str">
        <f>"12/07/2009 00:00"</f>
        <v>12/07/2009 00:00</v>
      </c>
      <c r="C2991">
        <v>2.5499999999999998</v>
      </c>
      <c r="D2991" t="s">
        <v>7</v>
      </c>
      <c r="E2991" s="2" t="s">
        <v>12</v>
      </c>
      <c r="F2991">
        <f t="shared" si="46"/>
        <v>5.0566500000000003</v>
      </c>
      <c r="G2991" t="s">
        <v>16</v>
      </c>
      <c r="J2991" t="str">
        <f>"12/07/2009 23:45"</f>
        <v>12/07/2009 23:45</v>
      </c>
    </row>
    <row r="2992" spans="1:10" x14ac:dyDescent="0.3">
      <c r="A2992" t="s">
        <v>6</v>
      </c>
      <c r="B2992" t="str">
        <f>"12/08/2009 00:00"</f>
        <v>12/08/2009 00:00</v>
      </c>
      <c r="C2992">
        <v>2.56</v>
      </c>
      <c r="D2992" t="s">
        <v>7</v>
      </c>
      <c r="E2992" s="2" t="s">
        <v>12</v>
      </c>
      <c r="F2992">
        <f t="shared" si="46"/>
        <v>5.0764800000000001</v>
      </c>
      <c r="G2992" t="s">
        <v>16</v>
      </c>
      <c r="J2992" t="str">
        <f>"12/08/2009 23:45"</f>
        <v>12/08/2009 23:45</v>
      </c>
    </row>
    <row r="2993" spans="1:10" x14ac:dyDescent="0.3">
      <c r="A2993" t="s">
        <v>6</v>
      </c>
      <c r="B2993" t="str">
        <f>"12/09/2009 00:00"</f>
        <v>12/09/2009 00:00</v>
      </c>
      <c r="C2993">
        <v>2.56</v>
      </c>
      <c r="D2993" t="s">
        <v>7</v>
      </c>
      <c r="E2993" s="2" t="s">
        <v>12</v>
      </c>
      <c r="F2993">
        <f t="shared" si="46"/>
        <v>5.0764800000000001</v>
      </c>
      <c r="G2993" t="s">
        <v>16</v>
      </c>
      <c r="J2993" t="str">
        <f>"12/09/2009 23:45"</f>
        <v>12/09/2009 23:45</v>
      </c>
    </row>
    <row r="2994" spans="1:10" x14ac:dyDescent="0.3">
      <c r="A2994" t="s">
        <v>6</v>
      </c>
      <c r="B2994" t="str">
        <f>"12/10/2009 00:00"</f>
        <v>12/10/2009 00:00</v>
      </c>
      <c r="C2994">
        <v>2.56</v>
      </c>
      <c r="D2994" t="s">
        <v>7</v>
      </c>
      <c r="E2994" s="2" t="s">
        <v>12</v>
      </c>
      <c r="F2994">
        <f t="shared" si="46"/>
        <v>5.0764800000000001</v>
      </c>
      <c r="G2994" t="s">
        <v>16</v>
      </c>
      <c r="J2994" t="str">
        <f>"12/10/2009 23:45"</f>
        <v>12/10/2009 23:45</v>
      </c>
    </row>
    <row r="2995" spans="1:10" x14ac:dyDescent="0.3">
      <c r="A2995" t="s">
        <v>6</v>
      </c>
      <c r="B2995" t="str">
        <f>"12/11/2009 00:00"</f>
        <v>12/11/2009 00:00</v>
      </c>
      <c r="C2995">
        <v>2.56</v>
      </c>
      <c r="D2995" t="s">
        <v>7</v>
      </c>
      <c r="E2995" s="2" t="s">
        <v>12</v>
      </c>
      <c r="F2995">
        <f t="shared" si="46"/>
        <v>5.0764800000000001</v>
      </c>
      <c r="G2995" t="s">
        <v>16</v>
      </c>
      <c r="J2995" t="str">
        <f>"12/11/2009 23:45"</f>
        <v>12/11/2009 23:45</v>
      </c>
    </row>
    <row r="2996" spans="1:10" x14ac:dyDescent="0.3">
      <c r="A2996" t="s">
        <v>6</v>
      </c>
      <c r="B2996" t="str">
        <f>"12/12/2009 00:00"</f>
        <v>12/12/2009 00:00</v>
      </c>
      <c r="C2996">
        <v>2.52</v>
      </c>
      <c r="D2996" t="s">
        <v>7</v>
      </c>
      <c r="E2996" s="2" t="s">
        <v>12</v>
      </c>
      <c r="F2996">
        <f t="shared" si="46"/>
        <v>4.99716</v>
      </c>
      <c r="G2996" t="s">
        <v>16</v>
      </c>
      <c r="J2996" t="str">
        <f>"12/12/2009 23:45"</f>
        <v>12/12/2009 23:45</v>
      </c>
    </row>
    <row r="2997" spans="1:10" x14ac:dyDescent="0.3">
      <c r="A2997" t="s">
        <v>6</v>
      </c>
      <c r="B2997" t="str">
        <f>"12/13/2009 00:00"</f>
        <v>12/13/2009 00:00</v>
      </c>
      <c r="C2997">
        <v>2.5099999999999998</v>
      </c>
      <c r="D2997" t="s">
        <v>7</v>
      </c>
      <c r="E2997" s="2" t="s">
        <v>12</v>
      </c>
      <c r="F2997">
        <f t="shared" si="46"/>
        <v>4.9773300000000003</v>
      </c>
      <c r="G2997" t="s">
        <v>16</v>
      </c>
      <c r="J2997" t="str">
        <f>"12/13/2009 23:45"</f>
        <v>12/13/2009 23:45</v>
      </c>
    </row>
    <row r="2998" spans="1:10" x14ac:dyDescent="0.3">
      <c r="A2998" t="s">
        <v>6</v>
      </c>
      <c r="B2998" t="str">
        <f>"12/14/2009 00:00"</f>
        <v>12/14/2009 00:00</v>
      </c>
      <c r="C2998">
        <v>2.2799999999999998</v>
      </c>
      <c r="D2998" t="s">
        <v>7</v>
      </c>
      <c r="E2998" s="2" t="s">
        <v>12</v>
      </c>
      <c r="F2998">
        <f t="shared" si="46"/>
        <v>4.5212399999999997</v>
      </c>
      <c r="G2998" t="s">
        <v>16</v>
      </c>
      <c r="J2998" t="str">
        <f>"12/14/2009 23:45"</f>
        <v>12/14/2009 23:45</v>
      </c>
    </row>
    <row r="2999" spans="1:10" x14ac:dyDescent="0.3">
      <c r="A2999" t="s">
        <v>6</v>
      </c>
      <c r="B2999" t="str">
        <f>"12/15/2009 00:00"</f>
        <v>12/15/2009 00:00</v>
      </c>
      <c r="C2999">
        <v>2.42</v>
      </c>
      <c r="D2999" t="s">
        <v>7</v>
      </c>
      <c r="E2999" s="2" t="s">
        <v>12</v>
      </c>
      <c r="F2999">
        <f t="shared" si="46"/>
        <v>4.7988600000000003</v>
      </c>
      <c r="G2999" t="s">
        <v>16</v>
      </c>
      <c r="J2999" t="str">
        <f>"12/15/2009 23:45"</f>
        <v>12/15/2009 23:45</v>
      </c>
    </row>
    <row r="3000" spans="1:10" x14ac:dyDescent="0.3">
      <c r="A3000" t="s">
        <v>6</v>
      </c>
      <c r="B3000" t="str">
        <f>"12/16/2009 00:00"</f>
        <v>12/16/2009 00:00</v>
      </c>
      <c r="C3000">
        <v>2.3199999999999998</v>
      </c>
      <c r="D3000" t="s">
        <v>7</v>
      </c>
      <c r="E3000" s="2" t="s">
        <v>12</v>
      </c>
      <c r="F3000">
        <f t="shared" si="46"/>
        <v>4.6005599999999998</v>
      </c>
      <c r="G3000" t="s">
        <v>16</v>
      </c>
      <c r="J3000" t="str">
        <f>"12/16/2009 23:45"</f>
        <v>12/16/2009 23:45</v>
      </c>
    </row>
    <row r="3001" spans="1:10" x14ac:dyDescent="0.3">
      <c r="A3001" t="s">
        <v>6</v>
      </c>
      <c r="B3001" t="str">
        <f>"12/17/2009 00:00"</f>
        <v>12/17/2009 00:00</v>
      </c>
      <c r="C3001">
        <v>2.23</v>
      </c>
      <c r="D3001" t="s">
        <v>7</v>
      </c>
      <c r="E3001" s="2" t="s">
        <v>12</v>
      </c>
      <c r="F3001">
        <f t="shared" si="46"/>
        <v>4.4220899999999999</v>
      </c>
      <c r="G3001" t="s">
        <v>16</v>
      </c>
      <c r="J3001" t="str">
        <f>"12/17/2009 23:45"</f>
        <v>12/17/2009 23:45</v>
      </c>
    </row>
    <row r="3002" spans="1:10" x14ac:dyDescent="0.3">
      <c r="A3002" t="s">
        <v>6</v>
      </c>
      <c r="B3002" t="str">
        <f>"12/18/2009 00:00"</f>
        <v>12/18/2009 00:00</v>
      </c>
      <c r="C3002">
        <v>2.4700000000000002</v>
      </c>
      <c r="D3002" t="s">
        <v>7</v>
      </c>
      <c r="E3002" s="2" t="s">
        <v>12</v>
      </c>
      <c r="F3002">
        <f t="shared" si="46"/>
        <v>4.8980100000000002</v>
      </c>
      <c r="G3002" t="s">
        <v>16</v>
      </c>
      <c r="J3002" t="str">
        <f>"12/18/2009 23:45"</f>
        <v>12/18/2009 23:45</v>
      </c>
    </row>
    <row r="3003" spans="1:10" x14ac:dyDescent="0.3">
      <c r="A3003" t="s">
        <v>6</v>
      </c>
      <c r="B3003" t="str">
        <f>"12/19/2009 00:00"</f>
        <v>12/19/2009 00:00</v>
      </c>
      <c r="C3003">
        <v>2.48</v>
      </c>
      <c r="D3003" t="s">
        <v>7</v>
      </c>
      <c r="E3003" s="2" t="s">
        <v>12</v>
      </c>
      <c r="F3003">
        <f t="shared" si="46"/>
        <v>4.91784</v>
      </c>
      <c r="G3003" t="s">
        <v>16</v>
      </c>
      <c r="J3003" t="str">
        <f>"12/19/2009 23:45"</f>
        <v>12/19/2009 23:45</v>
      </c>
    </row>
    <row r="3004" spans="1:10" x14ac:dyDescent="0.3">
      <c r="A3004" t="s">
        <v>6</v>
      </c>
      <c r="B3004" t="str">
        <f>"12/20/2009 00:00"</f>
        <v>12/20/2009 00:00</v>
      </c>
      <c r="C3004">
        <v>2.23</v>
      </c>
      <c r="D3004" t="s">
        <v>7</v>
      </c>
      <c r="E3004" s="2" t="s">
        <v>12</v>
      </c>
      <c r="F3004">
        <f t="shared" si="46"/>
        <v>4.4220899999999999</v>
      </c>
      <c r="G3004" t="s">
        <v>16</v>
      </c>
      <c r="J3004" t="str">
        <f>"12/20/2009 23:45"</f>
        <v>12/20/2009 23:45</v>
      </c>
    </row>
    <row r="3005" spans="1:10" x14ac:dyDescent="0.3">
      <c r="A3005" t="s">
        <v>6</v>
      </c>
      <c r="B3005" t="str">
        <f>"12/21/2009 00:00"</f>
        <v>12/21/2009 00:00</v>
      </c>
      <c r="C3005">
        <v>2.23</v>
      </c>
      <c r="D3005" t="s">
        <v>7</v>
      </c>
      <c r="E3005" s="2" t="s">
        <v>12</v>
      </c>
      <c r="F3005">
        <f t="shared" si="46"/>
        <v>4.4220899999999999</v>
      </c>
      <c r="G3005" t="s">
        <v>16</v>
      </c>
      <c r="J3005" t="str">
        <f>"12/21/2009 23:45"</f>
        <v>12/21/2009 23:45</v>
      </c>
    </row>
    <row r="3006" spans="1:10" x14ac:dyDescent="0.3">
      <c r="A3006" t="s">
        <v>6</v>
      </c>
      <c r="B3006" t="str">
        <f>"12/22/2009 00:00"</f>
        <v>12/22/2009 00:00</v>
      </c>
      <c r="C3006">
        <v>2.23</v>
      </c>
      <c r="D3006" t="s">
        <v>7</v>
      </c>
      <c r="E3006" s="2" t="s">
        <v>12</v>
      </c>
      <c r="F3006">
        <f t="shared" si="46"/>
        <v>4.4220899999999999</v>
      </c>
      <c r="G3006" t="s">
        <v>16</v>
      </c>
      <c r="J3006" t="str">
        <f>"12/22/2009 23:45"</f>
        <v>12/22/2009 23:45</v>
      </c>
    </row>
    <row r="3007" spans="1:10" x14ac:dyDescent="0.3">
      <c r="A3007" t="s">
        <v>6</v>
      </c>
      <c r="B3007" t="str">
        <f>"12/23/2009 00:00"</f>
        <v>12/23/2009 00:00</v>
      </c>
      <c r="C3007">
        <v>2.33</v>
      </c>
      <c r="D3007" t="s">
        <v>7</v>
      </c>
      <c r="E3007" s="2" t="s">
        <v>12</v>
      </c>
      <c r="F3007">
        <f t="shared" si="46"/>
        <v>4.6203900000000004</v>
      </c>
      <c r="G3007" t="s">
        <v>16</v>
      </c>
      <c r="J3007" t="str">
        <f>"12/23/2009 23:45"</f>
        <v>12/23/2009 23:45</v>
      </c>
    </row>
    <row r="3008" spans="1:10" x14ac:dyDescent="0.3">
      <c r="A3008" t="s">
        <v>6</v>
      </c>
      <c r="B3008" t="str">
        <f>"12/24/2009 00:00"</f>
        <v>12/24/2009 00:00</v>
      </c>
      <c r="C3008">
        <v>2.56</v>
      </c>
      <c r="D3008" t="s">
        <v>7</v>
      </c>
      <c r="E3008" s="2" t="s">
        <v>12</v>
      </c>
      <c r="F3008">
        <f t="shared" si="46"/>
        <v>5.0764800000000001</v>
      </c>
      <c r="G3008" t="s">
        <v>16</v>
      </c>
      <c r="J3008" t="str">
        <f>"12/24/2009 23:45"</f>
        <v>12/24/2009 23:45</v>
      </c>
    </row>
    <row r="3009" spans="1:10" x14ac:dyDescent="0.3">
      <c r="A3009" t="s">
        <v>6</v>
      </c>
      <c r="B3009" t="str">
        <f>"12/25/2009 00:00"</f>
        <v>12/25/2009 00:00</v>
      </c>
      <c r="C3009">
        <v>2.56</v>
      </c>
      <c r="D3009" t="s">
        <v>7</v>
      </c>
      <c r="E3009" s="2" t="s">
        <v>12</v>
      </c>
      <c r="F3009">
        <f t="shared" si="46"/>
        <v>5.0764800000000001</v>
      </c>
      <c r="G3009" t="s">
        <v>16</v>
      </c>
      <c r="J3009" t="str">
        <f>"12/25/2009 23:45"</f>
        <v>12/25/2009 23:45</v>
      </c>
    </row>
    <row r="3010" spans="1:10" x14ac:dyDescent="0.3">
      <c r="A3010" t="s">
        <v>6</v>
      </c>
      <c r="B3010" t="str">
        <f>"12/26/2009 00:00"</f>
        <v>12/26/2009 00:00</v>
      </c>
      <c r="C3010">
        <v>2.56</v>
      </c>
      <c r="D3010" t="s">
        <v>7</v>
      </c>
      <c r="E3010" s="2" t="s">
        <v>12</v>
      </c>
      <c r="F3010">
        <f t="shared" si="46"/>
        <v>5.0764800000000001</v>
      </c>
      <c r="G3010" t="s">
        <v>16</v>
      </c>
      <c r="J3010" t="str">
        <f>"12/26/2009 23:45"</f>
        <v>12/26/2009 23:45</v>
      </c>
    </row>
    <row r="3011" spans="1:10" x14ac:dyDescent="0.3">
      <c r="A3011" t="s">
        <v>6</v>
      </c>
      <c r="B3011" t="str">
        <f>"12/27/2009 00:00"</f>
        <v>12/27/2009 00:00</v>
      </c>
      <c r="C3011">
        <v>2.56</v>
      </c>
      <c r="D3011" t="s">
        <v>7</v>
      </c>
      <c r="E3011" s="2" t="s">
        <v>12</v>
      </c>
      <c r="F3011">
        <f t="shared" si="46"/>
        <v>5.0764800000000001</v>
      </c>
      <c r="G3011" t="s">
        <v>16</v>
      </c>
      <c r="J3011" t="str">
        <f>"12/27/2009 23:45"</f>
        <v>12/27/2009 23:45</v>
      </c>
    </row>
    <row r="3012" spans="1:10" x14ac:dyDescent="0.3">
      <c r="A3012" t="s">
        <v>6</v>
      </c>
      <c r="B3012" t="str">
        <f>"12/28/2009 00:00"</f>
        <v>12/28/2009 00:00</v>
      </c>
      <c r="C3012">
        <v>2.56</v>
      </c>
      <c r="D3012" t="s">
        <v>7</v>
      </c>
      <c r="E3012" s="2" t="s">
        <v>12</v>
      </c>
      <c r="F3012">
        <f t="shared" ref="F3012:F3075" si="47">C3012*1.983</f>
        <v>5.0764800000000001</v>
      </c>
      <c r="G3012" t="s">
        <v>16</v>
      </c>
      <c r="J3012" t="str">
        <f>"12/28/2009 23:45"</f>
        <v>12/28/2009 23:45</v>
      </c>
    </row>
    <row r="3013" spans="1:10" x14ac:dyDescent="0.3">
      <c r="A3013" t="s">
        <v>6</v>
      </c>
      <c r="B3013" t="str">
        <f>"12/29/2009 00:00"</f>
        <v>12/29/2009 00:00</v>
      </c>
      <c r="C3013">
        <v>2.4</v>
      </c>
      <c r="D3013" t="s">
        <v>7</v>
      </c>
      <c r="E3013" s="2" t="s">
        <v>12</v>
      </c>
      <c r="F3013">
        <f t="shared" si="47"/>
        <v>4.7591999999999999</v>
      </c>
      <c r="G3013" t="s">
        <v>16</v>
      </c>
      <c r="J3013" t="str">
        <f>"12/29/2009 23:45"</f>
        <v>12/29/2009 23:45</v>
      </c>
    </row>
    <row r="3014" spans="1:10" x14ac:dyDescent="0.3">
      <c r="A3014" t="s">
        <v>6</v>
      </c>
      <c r="B3014" t="str">
        <f>"12/30/2009 00:00"</f>
        <v>12/30/2009 00:00</v>
      </c>
      <c r="C3014">
        <v>2.23</v>
      </c>
      <c r="D3014" t="s">
        <v>7</v>
      </c>
      <c r="E3014" s="2" t="s">
        <v>12</v>
      </c>
      <c r="F3014">
        <f t="shared" si="47"/>
        <v>4.4220899999999999</v>
      </c>
      <c r="G3014" t="s">
        <v>16</v>
      </c>
      <c r="J3014" t="str">
        <f>"12/30/2009 23:45"</f>
        <v>12/30/2009 23:45</v>
      </c>
    </row>
    <row r="3015" spans="1:10" x14ac:dyDescent="0.3">
      <c r="A3015" t="s">
        <v>6</v>
      </c>
      <c r="B3015" t="str">
        <f>"12/31/2009 00:00"</f>
        <v>12/31/2009 00:00</v>
      </c>
      <c r="C3015">
        <v>2.54</v>
      </c>
      <c r="D3015" t="s">
        <v>7</v>
      </c>
      <c r="E3015" s="2" t="s">
        <v>12</v>
      </c>
      <c r="F3015">
        <f t="shared" si="47"/>
        <v>5.0368200000000005</v>
      </c>
      <c r="G3015" t="s">
        <v>16</v>
      </c>
      <c r="J3015" t="str">
        <f>"12/31/2009 23:45"</f>
        <v>12/31/2009 23:45</v>
      </c>
    </row>
    <row r="3016" spans="1:10" x14ac:dyDescent="0.3">
      <c r="A3016" t="s">
        <v>6</v>
      </c>
      <c r="B3016" t="str">
        <f>"01/01/2010 00:00"</f>
        <v>01/01/2010 00:00</v>
      </c>
      <c r="C3016">
        <v>2.25</v>
      </c>
      <c r="D3016" t="s">
        <v>7</v>
      </c>
      <c r="E3016" s="2" t="s">
        <v>12</v>
      </c>
      <c r="F3016">
        <f t="shared" si="47"/>
        <v>4.4617500000000003</v>
      </c>
      <c r="G3016" t="s">
        <v>16</v>
      </c>
      <c r="J3016" t="str">
        <f>"01/01/2010 23:45"</f>
        <v>01/01/2010 23:45</v>
      </c>
    </row>
    <row r="3017" spans="1:10" x14ac:dyDescent="0.3">
      <c r="A3017" t="s">
        <v>6</v>
      </c>
      <c r="B3017" t="str">
        <f>"01/02/2010 00:00"</f>
        <v>01/02/2010 00:00</v>
      </c>
      <c r="C3017">
        <v>2.23</v>
      </c>
      <c r="D3017" t="s">
        <v>7</v>
      </c>
      <c r="E3017" s="2" t="s">
        <v>12</v>
      </c>
      <c r="F3017">
        <f t="shared" si="47"/>
        <v>4.4220899999999999</v>
      </c>
      <c r="G3017" t="s">
        <v>16</v>
      </c>
      <c r="J3017" t="str">
        <f>"01/02/2010 23:45"</f>
        <v>01/02/2010 23:45</v>
      </c>
    </row>
    <row r="3018" spans="1:10" x14ac:dyDescent="0.3">
      <c r="A3018" t="s">
        <v>6</v>
      </c>
      <c r="B3018" t="str">
        <f>"01/03/2010 00:00"</f>
        <v>01/03/2010 00:00</v>
      </c>
      <c r="C3018">
        <v>2.25</v>
      </c>
      <c r="D3018" t="s">
        <v>7</v>
      </c>
      <c r="E3018" s="2" t="s">
        <v>12</v>
      </c>
      <c r="F3018">
        <f t="shared" si="47"/>
        <v>4.4617500000000003</v>
      </c>
      <c r="G3018" t="s">
        <v>16</v>
      </c>
      <c r="J3018" t="str">
        <f>"01/03/2010 23:45"</f>
        <v>01/03/2010 23:45</v>
      </c>
    </row>
    <row r="3019" spans="1:10" x14ac:dyDescent="0.3">
      <c r="A3019" t="s">
        <v>6</v>
      </c>
      <c r="B3019" t="str">
        <f>"01/04/2010 00:00"</f>
        <v>01/04/2010 00:00</v>
      </c>
      <c r="C3019">
        <v>2.4900000000000002</v>
      </c>
      <c r="D3019" t="s">
        <v>7</v>
      </c>
      <c r="E3019" s="2" t="s">
        <v>12</v>
      </c>
      <c r="F3019">
        <f t="shared" si="47"/>
        <v>4.9376700000000007</v>
      </c>
      <c r="G3019" t="s">
        <v>16</v>
      </c>
      <c r="J3019" t="str">
        <f>"01/04/2010 23:45"</f>
        <v>01/04/2010 23:45</v>
      </c>
    </row>
    <row r="3020" spans="1:10" x14ac:dyDescent="0.3">
      <c r="A3020" t="s">
        <v>6</v>
      </c>
      <c r="B3020" t="str">
        <f>"01/05/2010 00:00"</f>
        <v>01/05/2010 00:00</v>
      </c>
      <c r="C3020">
        <v>2.23</v>
      </c>
      <c r="D3020" t="s">
        <v>7</v>
      </c>
      <c r="E3020" s="2" t="s">
        <v>12</v>
      </c>
      <c r="F3020">
        <f t="shared" si="47"/>
        <v>4.4220899999999999</v>
      </c>
      <c r="G3020" t="s">
        <v>16</v>
      </c>
      <c r="J3020" t="str">
        <f>"01/05/2010 23:45"</f>
        <v>01/05/2010 23:45</v>
      </c>
    </row>
    <row r="3021" spans="1:10" x14ac:dyDescent="0.3">
      <c r="A3021" t="s">
        <v>6</v>
      </c>
      <c r="B3021" t="str">
        <f>"01/06/2010 00:00"</f>
        <v>01/06/2010 00:00</v>
      </c>
      <c r="C3021">
        <v>2.2999999999999998</v>
      </c>
      <c r="D3021" t="s">
        <v>7</v>
      </c>
      <c r="E3021" s="2" t="s">
        <v>12</v>
      </c>
      <c r="F3021">
        <f t="shared" si="47"/>
        <v>4.5609000000000002</v>
      </c>
      <c r="G3021" t="s">
        <v>16</v>
      </c>
      <c r="J3021" t="str">
        <f>"01/06/2010 23:45"</f>
        <v>01/06/2010 23:45</v>
      </c>
    </row>
    <row r="3022" spans="1:10" x14ac:dyDescent="0.3">
      <c r="A3022" t="s">
        <v>6</v>
      </c>
      <c r="B3022" t="str">
        <f>"01/07/2010 00:00"</f>
        <v>01/07/2010 00:00</v>
      </c>
      <c r="C3022">
        <v>2.56</v>
      </c>
      <c r="D3022" t="s">
        <v>7</v>
      </c>
      <c r="E3022" s="2" t="s">
        <v>12</v>
      </c>
      <c r="F3022">
        <f t="shared" si="47"/>
        <v>5.0764800000000001</v>
      </c>
      <c r="G3022" t="s">
        <v>16</v>
      </c>
      <c r="J3022" t="str">
        <f>"01/07/2010 23:45"</f>
        <v>01/07/2010 23:45</v>
      </c>
    </row>
    <row r="3023" spans="1:10" x14ac:dyDescent="0.3">
      <c r="A3023" t="s">
        <v>6</v>
      </c>
      <c r="B3023" t="str">
        <f>"01/08/2010 00:00"</f>
        <v>01/08/2010 00:00</v>
      </c>
      <c r="C3023">
        <v>2.56</v>
      </c>
      <c r="D3023" t="s">
        <v>7</v>
      </c>
      <c r="E3023" s="2" t="s">
        <v>12</v>
      </c>
      <c r="F3023">
        <f t="shared" si="47"/>
        <v>5.0764800000000001</v>
      </c>
      <c r="G3023" t="s">
        <v>16</v>
      </c>
      <c r="J3023" t="str">
        <f>"01/08/2010 23:45"</f>
        <v>01/08/2010 23:45</v>
      </c>
    </row>
    <row r="3024" spans="1:10" x14ac:dyDescent="0.3">
      <c r="A3024" t="s">
        <v>6</v>
      </c>
      <c r="B3024" t="str">
        <f>"01/09/2010 00:00"</f>
        <v>01/09/2010 00:00</v>
      </c>
      <c r="C3024">
        <v>2.41</v>
      </c>
      <c r="D3024" t="s">
        <v>7</v>
      </c>
      <c r="E3024" s="2" t="s">
        <v>12</v>
      </c>
      <c r="F3024">
        <f t="shared" si="47"/>
        <v>4.7790300000000006</v>
      </c>
      <c r="G3024" t="s">
        <v>16</v>
      </c>
      <c r="J3024" t="str">
        <f>"01/09/2010 23:45"</f>
        <v>01/09/2010 23:45</v>
      </c>
    </row>
    <row r="3025" spans="1:10" x14ac:dyDescent="0.3">
      <c r="A3025" t="s">
        <v>6</v>
      </c>
      <c r="B3025" t="str">
        <f>"01/10/2010 00:00"</f>
        <v>01/10/2010 00:00</v>
      </c>
      <c r="C3025">
        <v>2.4</v>
      </c>
      <c r="D3025" t="s">
        <v>7</v>
      </c>
      <c r="E3025" s="2" t="s">
        <v>12</v>
      </c>
      <c r="F3025">
        <f t="shared" si="47"/>
        <v>4.7591999999999999</v>
      </c>
      <c r="G3025" t="s">
        <v>16</v>
      </c>
      <c r="J3025" t="str">
        <f>"01/10/2010 23:45"</f>
        <v>01/10/2010 23:45</v>
      </c>
    </row>
    <row r="3026" spans="1:10" x14ac:dyDescent="0.3">
      <c r="A3026" t="s">
        <v>6</v>
      </c>
      <c r="B3026" t="str">
        <f>"01/11/2010 00:00"</f>
        <v>01/11/2010 00:00</v>
      </c>
      <c r="C3026">
        <v>2.4300000000000002</v>
      </c>
      <c r="D3026" t="s">
        <v>7</v>
      </c>
      <c r="E3026" s="2" t="s">
        <v>12</v>
      </c>
      <c r="F3026">
        <f t="shared" si="47"/>
        <v>4.8186900000000001</v>
      </c>
      <c r="G3026" t="s">
        <v>16</v>
      </c>
      <c r="J3026" t="str">
        <f>"01/11/2010 23:45"</f>
        <v>01/11/2010 23:45</v>
      </c>
    </row>
    <row r="3027" spans="1:10" x14ac:dyDescent="0.3">
      <c r="A3027" t="s">
        <v>6</v>
      </c>
      <c r="B3027" t="str">
        <f>"01/12/2010 00:00"</f>
        <v>01/12/2010 00:00</v>
      </c>
      <c r="C3027">
        <v>2.2200000000000002</v>
      </c>
      <c r="D3027" t="s">
        <v>7</v>
      </c>
      <c r="E3027" s="2" t="s">
        <v>12</v>
      </c>
      <c r="F3027">
        <f t="shared" si="47"/>
        <v>4.402260000000001</v>
      </c>
      <c r="G3027" t="s">
        <v>16</v>
      </c>
      <c r="J3027" t="str">
        <f>"01/12/2010 23:45"</f>
        <v>01/12/2010 23:45</v>
      </c>
    </row>
    <row r="3028" spans="1:10" x14ac:dyDescent="0.3">
      <c r="A3028" t="s">
        <v>6</v>
      </c>
      <c r="B3028" t="str">
        <f>"01/13/2010 00:00"</f>
        <v>01/13/2010 00:00</v>
      </c>
      <c r="C3028">
        <v>1.92</v>
      </c>
      <c r="D3028" t="s">
        <v>7</v>
      </c>
      <c r="E3028" s="2" t="s">
        <v>12</v>
      </c>
      <c r="F3028">
        <f t="shared" si="47"/>
        <v>3.8073600000000001</v>
      </c>
      <c r="G3028" t="s">
        <v>16</v>
      </c>
      <c r="J3028" t="str">
        <f>"01/13/2010 23:45"</f>
        <v>01/13/2010 23:45</v>
      </c>
    </row>
    <row r="3029" spans="1:10" x14ac:dyDescent="0.3">
      <c r="A3029" t="s">
        <v>6</v>
      </c>
      <c r="B3029" t="str">
        <f>"01/14/2010 00:00"</f>
        <v>01/14/2010 00:00</v>
      </c>
      <c r="C3029">
        <v>2.2000000000000002</v>
      </c>
      <c r="D3029" t="s">
        <v>7</v>
      </c>
      <c r="E3029" s="2" t="s">
        <v>12</v>
      </c>
      <c r="F3029">
        <f t="shared" si="47"/>
        <v>4.3626000000000005</v>
      </c>
      <c r="G3029" t="s">
        <v>16</v>
      </c>
      <c r="J3029" t="str">
        <f>"01/14/2010 23:45"</f>
        <v>01/14/2010 23:45</v>
      </c>
    </row>
    <row r="3030" spans="1:10" x14ac:dyDescent="0.3">
      <c r="A3030" t="s">
        <v>6</v>
      </c>
      <c r="B3030" t="str">
        <f>"01/15/2010 00:00"</f>
        <v>01/15/2010 00:00</v>
      </c>
      <c r="C3030">
        <v>2.23</v>
      </c>
      <c r="D3030" t="s">
        <v>7</v>
      </c>
      <c r="E3030" s="2" t="s">
        <v>12</v>
      </c>
      <c r="F3030">
        <f t="shared" si="47"/>
        <v>4.4220899999999999</v>
      </c>
      <c r="G3030" t="s">
        <v>16</v>
      </c>
      <c r="J3030" t="str">
        <f>"01/15/2010 23:45"</f>
        <v>01/15/2010 23:45</v>
      </c>
    </row>
    <row r="3031" spans="1:10" x14ac:dyDescent="0.3">
      <c r="A3031" t="s">
        <v>6</v>
      </c>
      <c r="B3031" t="str">
        <f>"01/16/2010 00:00"</f>
        <v>01/16/2010 00:00</v>
      </c>
      <c r="C3031">
        <v>2.23</v>
      </c>
      <c r="D3031" t="s">
        <v>7</v>
      </c>
      <c r="E3031" s="2" t="s">
        <v>12</v>
      </c>
      <c r="F3031">
        <f t="shared" si="47"/>
        <v>4.4220899999999999</v>
      </c>
      <c r="G3031" t="s">
        <v>16</v>
      </c>
      <c r="J3031" t="str">
        <f>"01/16/2010 23:45"</f>
        <v>01/16/2010 23:45</v>
      </c>
    </row>
    <row r="3032" spans="1:10" x14ac:dyDescent="0.3">
      <c r="A3032" t="s">
        <v>6</v>
      </c>
      <c r="B3032" t="str">
        <f>"01/17/2010 00:00"</f>
        <v>01/17/2010 00:00</v>
      </c>
      <c r="C3032">
        <v>2.23</v>
      </c>
      <c r="D3032" t="s">
        <v>7</v>
      </c>
      <c r="E3032" s="2" t="s">
        <v>12</v>
      </c>
      <c r="F3032">
        <f t="shared" si="47"/>
        <v>4.4220899999999999</v>
      </c>
      <c r="G3032" t="s">
        <v>16</v>
      </c>
      <c r="J3032" t="str">
        <f>"01/17/2010 23:45"</f>
        <v>01/17/2010 23:45</v>
      </c>
    </row>
    <row r="3033" spans="1:10" x14ac:dyDescent="0.3">
      <c r="A3033" t="s">
        <v>6</v>
      </c>
      <c r="B3033" t="str">
        <f>"01/18/2010 00:00"</f>
        <v>01/18/2010 00:00</v>
      </c>
      <c r="C3033">
        <v>2.23</v>
      </c>
      <c r="D3033" t="s">
        <v>7</v>
      </c>
      <c r="E3033" s="2" t="s">
        <v>12</v>
      </c>
      <c r="F3033">
        <f t="shared" si="47"/>
        <v>4.4220899999999999</v>
      </c>
      <c r="G3033" t="s">
        <v>16</v>
      </c>
      <c r="J3033" t="str">
        <f>"01/18/2010 23:45"</f>
        <v>01/18/2010 23:45</v>
      </c>
    </row>
    <row r="3034" spans="1:10" x14ac:dyDescent="0.3">
      <c r="A3034" t="s">
        <v>6</v>
      </c>
      <c r="B3034" t="str">
        <f>"01/19/2010 00:00"</f>
        <v>01/19/2010 00:00</v>
      </c>
      <c r="C3034">
        <v>2.5099999999999998</v>
      </c>
      <c r="D3034" t="s">
        <v>7</v>
      </c>
      <c r="E3034" s="2" t="s">
        <v>12</v>
      </c>
      <c r="F3034">
        <f t="shared" si="47"/>
        <v>4.9773300000000003</v>
      </c>
      <c r="G3034" t="s">
        <v>16</v>
      </c>
      <c r="J3034" t="str">
        <f>"01/19/2010 23:45"</f>
        <v>01/19/2010 23:45</v>
      </c>
    </row>
    <row r="3035" spans="1:10" x14ac:dyDescent="0.3">
      <c r="A3035" t="s">
        <v>6</v>
      </c>
      <c r="B3035" t="str">
        <f>"01/20/2010 00:00"</f>
        <v>01/20/2010 00:00</v>
      </c>
      <c r="C3035">
        <v>2.56</v>
      </c>
      <c r="D3035" t="s">
        <v>7</v>
      </c>
      <c r="E3035" s="2" t="s">
        <v>12</v>
      </c>
      <c r="F3035">
        <f t="shared" si="47"/>
        <v>5.0764800000000001</v>
      </c>
      <c r="G3035" t="s">
        <v>16</v>
      </c>
      <c r="J3035" t="str">
        <f>"01/20/2010 23:45"</f>
        <v>01/20/2010 23:45</v>
      </c>
    </row>
    <row r="3036" spans="1:10" x14ac:dyDescent="0.3">
      <c r="A3036" t="s">
        <v>6</v>
      </c>
      <c r="B3036" t="str">
        <f>"01/21/2010 00:00"</f>
        <v>01/21/2010 00:00</v>
      </c>
      <c r="C3036">
        <v>2.56</v>
      </c>
      <c r="D3036" t="s">
        <v>7</v>
      </c>
      <c r="E3036" s="2" t="s">
        <v>12</v>
      </c>
      <c r="F3036">
        <f t="shared" si="47"/>
        <v>5.0764800000000001</v>
      </c>
      <c r="G3036" t="s">
        <v>16</v>
      </c>
      <c r="J3036" t="str">
        <f>"01/21/2010 23:45"</f>
        <v>01/21/2010 23:45</v>
      </c>
    </row>
    <row r="3037" spans="1:10" x14ac:dyDescent="0.3">
      <c r="A3037" t="s">
        <v>6</v>
      </c>
      <c r="B3037" t="str">
        <f>"01/22/2010 00:00"</f>
        <v>01/22/2010 00:00</v>
      </c>
      <c r="C3037">
        <v>2.56</v>
      </c>
      <c r="D3037" t="s">
        <v>7</v>
      </c>
      <c r="E3037" s="2" t="s">
        <v>12</v>
      </c>
      <c r="F3037">
        <f t="shared" si="47"/>
        <v>5.0764800000000001</v>
      </c>
      <c r="G3037" t="s">
        <v>16</v>
      </c>
      <c r="J3037" t="str">
        <f>"01/22/2010 23:45"</f>
        <v>01/22/2010 23:45</v>
      </c>
    </row>
    <row r="3038" spans="1:10" x14ac:dyDescent="0.3">
      <c r="A3038" t="s">
        <v>6</v>
      </c>
      <c r="B3038" t="str">
        <f>"01/23/2010 00:00"</f>
        <v>01/23/2010 00:00</v>
      </c>
      <c r="C3038">
        <v>2.88</v>
      </c>
      <c r="D3038" t="s">
        <v>7</v>
      </c>
      <c r="E3038" s="2" t="s">
        <v>12</v>
      </c>
      <c r="F3038">
        <f t="shared" si="47"/>
        <v>5.7110399999999997</v>
      </c>
      <c r="G3038" t="s">
        <v>16</v>
      </c>
      <c r="J3038" t="str">
        <f>"01/23/2010 23:45"</f>
        <v>01/23/2010 23:45</v>
      </c>
    </row>
    <row r="3039" spans="1:10" x14ac:dyDescent="0.3">
      <c r="A3039" t="s">
        <v>6</v>
      </c>
      <c r="B3039" t="str">
        <f>"01/24/2010 00:00"</f>
        <v>01/24/2010 00:00</v>
      </c>
      <c r="C3039">
        <v>2.5299999999999998</v>
      </c>
      <c r="D3039" t="s">
        <v>7</v>
      </c>
      <c r="E3039" s="2" t="s">
        <v>12</v>
      </c>
      <c r="F3039">
        <f t="shared" si="47"/>
        <v>5.0169899999999998</v>
      </c>
      <c r="G3039" t="s">
        <v>16</v>
      </c>
      <c r="J3039" t="str">
        <f>"01/24/2010 23:45"</f>
        <v>01/24/2010 23:45</v>
      </c>
    </row>
    <row r="3040" spans="1:10" x14ac:dyDescent="0.3">
      <c r="A3040" t="s">
        <v>6</v>
      </c>
      <c r="B3040" t="str">
        <f>"01/25/2010 00:00"</f>
        <v>01/25/2010 00:00</v>
      </c>
      <c r="C3040">
        <v>2.23</v>
      </c>
      <c r="D3040" t="s">
        <v>7</v>
      </c>
      <c r="E3040" s="2" t="s">
        <v>12</v>
      </c>
      <c r="F3040">
        <f t="shared" si="47"/>
        <v>4.4220899999999999</v>
      </c>
      <c r="G3040" t="s">
        <v>16</v>
      </c>
      <c r="J3040" t="str">
        <f>"01/25/2010 23:45"</f>
        <v>01/25/2010 23:45</v>
      </c>
    </row>
    <row r="3041" spans="1:10" x14ac:dyDescent="0.3">
      <c r="A3041" t="s">
        <v>6</v>
      </c>
      <c r="B3041" t="str">
        <f>"01/26/2010 00:00"</f>
        <v>01/26/2010 00:00</v>
      </c>
      <c r="C3041">
        <v>2.23</v>
      </c>
      <c r="D3041" t="s">
        <v>7</v>
      </c>
      <c r="E3041" s="2" t="s">
        <v>12</v>
      </c>
      <c r="F3041">
        <f t="shared" si="47"/>
        <v>4.4220899999999999</v>
      </c>
      <c r="G3041" t="s">
        <v>16</v>
      </c>
      <c r="J3041" t="str">
        <f>"01/26/2010 23:45"</f>
        <v>01/26/2010 23:45</v>
      </c>
    </row>
    <row r="3042" spans="1:10" x14ac:dyDescent="0.3">
      <c r="A3042" t="s">
        <v>6</v>
      </c>
      <c r="B3042" t="str">
        <f>"01/27/2010 00:00"</f>
        <v>01/27/2010 00:00</v>
      </c>
      <c r="C3042">
        <v>2.15</v>
      </c>
      <c r="D3042" t="s">
        <v>7</v>
      </c>
      <c r="E3042" s="2" t="s">
        <v>12</v>
      </c>
      <c r="F3042">
        <f t="shared" si="47"/>
        <v>4.2634499999999997</v>
      </c>
      <c r="G3042" t="s">
        <v>16</v>
      </c>
      <c r="J3042" t="str">
        <f>"01/27/2010 23:45"</f>
        <v>01/27/2010 23:45</v>
      </c>
    </row>
    <row r="3043" spans="1:10" x14ac:dyDescent="0.3">
      <c r="A3043" t="s">
        <v>6</v>
      </c>
      <c r="B3043" t="str">
        <f>"01/28/2010 00:00"</f>
        <v>01/28/2010 00:00</v>
      </c>
      <c r="C3043">
        <v>1.92</v>
      </c>
      <c r="D3043" t="s">
        <v>7</v>
      </c>
      <c r="E3043" s="2" t="s">
        <v>12</v>
      </c>
      <c r="F3043">
        <f t="shared" si="47"/>
        <v>3.8073600000000001</v>
      </c>
      <c r="G3043" t="s">
        <v>16</v>
      </c>
      <c r="J3043" t="str">
        <f>"01/28/2010 23:45"</f>
        <v>01/28/2010 23:45</v>
      </c>
    </row>
    <row r="3044" spans="1:10" x14ac:dyDescent="0.3">
      <c r="A3044" t="s">
        <v>6</v>
      </c>
      <c r="B3044" t="str">
        <f>"01/29/2010 00:00"</f>
        <v>01/29/2010 00:00</v>
      </c>
      <c r="C3044">
        <v>2.27</v>
      </c>
      <c r="D3044" t="s">
        <v>7</v>
      </c>
      <c r="E3044" s="2" t="s">
        <v>12</v>
      </c>
      <c r="F3044">
        <f t="shared" si="47"/>
        <v>4.5014099999999999</v>
      </c>
      <c r="G3044" t="s">
        <v>16</v>
      </c>
      <c r="J3044" t="str">
        <f>"01/29/2010 23:45"</f>
        <v>01/29/2010 23:45</v>
      </c>
    </row>
    <row r="3045" spans="1:10" x14ac:dyDescent="0.3">
      <c r="A3045" t="s">
        <v>6</v>
      </c>
      <c r="B3045" t="str">
        <f>"01/30/2010 00:00"</f>
        <v>01/30/2010 00:00</v>
      </c>
      <c r="C3045">
        <v>2.1</v>
      </c>
      <c r="D3045" t="s">
        <v>7</v>
      </c>
      <c r="E3045" s="2" t="s">
        <v>12</v>
      </c>
      <c r="F3045">
        <f t="shared" si="47"/>
        <v>4.1643000000000008</v>
      </c>
      <c r="G3045" t="s">
        <v>16</v>
      </c>
      <c r="J3045" t="str">
        <f>"01/30/2010 23:45"</f>
        <v>01/30/2010 23:45</v>
      </c>
    </row>
    <row r="3046" spans="1:10" x14ac:dyDescent="0.3">
      <c r="A3046" t="s">
        <v>6</v>
      </c>
      <c r="B3046" t="str">
        <f>"01/31/2010 00:00"</f>
        <v>01/31/2010 00:00</v>
      </c>
      <c r="C3046">
        <v>2.12</v>
      </c>
      <c r="D3046" t="s">
        <v>7</v>
      </c>
      <c r="E3046" s="2" t="s">
        <v>12</v>
      </c>
      <c r="F3046">
        <f t="shared" si="47"/>
        <v>4.2039600000000004</v>
      </c>
      <c r="G3046" t="s">
        <v>16</v>
      </c>
      <c r="J3046" t="str">
        <f>"01/31/2010 23:45"</f>
        <v>01/31/2010 23:45</v>
      </c>
    </row>
    <row r="3047" spans="1:10" x14ac:dyDescent="0.3">
      <c r="A3047" t="s">
        <v>6</v>
      </c>
      <c r="B3047" t="str">
        <f>"02/01/2010 00:00"</f>
        <v>02/01/2010 00:00</v>
      </c>
      <c r="C3047">
        <v>2.23</v>
      </c>
      <c r="D3047" t="s">
        <v>7</v>
      </c>
      <c r="E3047" s="2" t="s">
        <v>12</v>
      </c>
      <c r="F3047">
        <f t="shared" si="47"/>
        <v>4.4220899999999999</v>
      </c>
      <c r="G3047" t="s">
        <v>16</v>
      </c>
      <c r="J3047" t="str">
        <f>"02/01/2010 23:45"</f>
        <v>02/01/2010 23:45</v>
      </c>
    </row>
    <row r="3048" spans="1:10" x14ac:dyDescent="0.3">
      <c r="A3048" t="s">
        <v>6</v>
      </c>
      <c r="B3048" t="str">
        <f>"02/02/2010 00:00"</f>
        <v>02/02/2010 00:00</v>
      </c>
      <c r="C3048">
        <v>2.23</v>
      </c>
      <c r="D3048" t="s">
        <v>7</v>
      </c>
      <c r="E3048" s="2" t="s">
        <v>12</v>
      </c>
      <c r="F3048">
        <f t="shared" si="47"/>
        <v>4.4220899999999999</v>
      </c>
      <c r="G3048" t="s">
        <v>16</v>
      </c>
      <c r="J3048" t="str">
        <f>"02/02/2010 23:45"</f>
        <v>02/02/2010 23:45</v>
      </c>
    </row>
    <row r="3049" spans="1:10" x14ac:dyDescent="0.3">
      <c r="A3049" t="s">
        <v>6</v>
      </c>
      <c r="B3049" t="str">
        <f>"02/03/2010 00:00"</f>
        <v>02/03/2010 00:00</v>
      </c>
      <c r="C3049">
        <v>2.23</v>
      </c>
      <c r="D3049" t="s">
        <v>7</v>
      </c>
      <c r="E3049" s="2" t="s">
        <v>12</v>
      </c>
      <c r="F3049">
        <f t="shared" si="47"/>
        <v>4.4220899999999999</v>
      </c>
      <c r="G3049" t="s">
        <v>16</v>
      </c>
      <c r="J3049" t="str">
        <f>"02/03/2010 23:45"</f>
        <v>02/03/2010 23:45</v>
      </c>
    </row>
    <row r="3050" spans="1:10" x14ac:dyDescent="0.3">
      <c r="A3050" t="s">
        <v>6</v>
      </c>
      <c r="B3050" t="str">
        <f>"02/04/2010 00:00"</f>
        <v>02/04/2010 00:00</v>
      </c>
      <c r="C3050">
        <v>2.23</v>
      </c>
      <c r="D3050" t="s">
        <v>7</v>
      </c>
      <c r="E3050" s="2" t="s">
        <v>12</v>
      </c>
      <c r="F3050">
        <f t="shared" si="47"/>
        <v>4.4220899999999999</v>
      </c>
      <c r="G3050" t="s">
        <v>16</v>
      </c>
      <c r="J3050" t="str">
        <f>"02/04/2010 23:45"</f>
        <v>02/04/2010 23:45</v>
      </c>
    </row>
    <row r="3051" spans="1:10" x14ac:dyDescent="0.3">
      <c r="A3051" t="s">
        <v>6</v>
      </c>
      <c r="B3051" t="str">
        <f>"02/05/2010 00:00"</f>
        <v>02/05/2010 00:00</v>
      </c>
      <c r="C3051">
        <v>2.23</v>
      </c>
      <c r="D3051" t="s">
        <v>7</v>
      </c>
      <c r="E3051" s="2" t="s">
        <v>12</v>
      </c>
      <c r="F3051">
        <f t="shared" si="47"/>
        <v>4.4220899999999999</v>
      </c>
      <c r="G3051" t="s">
        <v>16</v>
      </c>
      <c r="J3051" t="str">
        <f>"02/05/2010 23:45"</f>
        <v>02/05/2010 23:45</v>
      </c>
    </row>
    <row r="3052" spans="1:10" x14ac:dyDescent="0.3">
      <c r="A3052" t="s">
        <v>6</v>
      </c>
      <c r="B3052" t="str">
        <f>"02/06/2010 00:00"</f>
        <v>02/06/2010 00:00</v>
      </c>
      <c r="C3052">
        <v>2.23</v>
      </c>
      <c r="D3052" t="s">
        <v>7</v>
      </c>
      <c r="E3052" s="2" t="s">
        <v>12</v>
      </c>
      <c r="F3052">
        <f t="shared" si="47"/>
        <v>4.4220899999999999</v>
      </c>
      <c r="G3052" t="s">
        <v>16</v>
      </c>
      <c r="J3052" t="str">
        <f>"02/06/2010 23:45"</f>
        <v>02/06/2010 23:45</v>
      </c>
    </row>
    <row r="3053" spans="1:10" x14ac:dyDescent="0.3">
      <c r="A3053" t="s">
        <v>6</v>
      </c>
      <c r="B3053" t="str">
        <f>"02/07/2010 00:00"</f>
        <v>02/07/2010 00:00</v>
      </c>
      <c r="C3053">
        <v>2.23</v>
      </c>
      <c r="D3053" t="s">
        <v>7</v>
      </c>
      <c r="E3053" s="2" t="s">
        <v>12</v>
      </c>
      <c r="F3053">
        <f t="shared" si="47"/>
        <v>4.4220899999999999</v>
      </c>
      <c r="G3053" t="s">
        <v>16</v>
      </c>
      <c r="J3053" t="str">
        <f>"02/07/2010 23:45"</f>
        <v>02/07/2010 23:45</v>
      </c>
    </row>
    <row r="3054" spans="1:10" x14ac:dyDescent="0.3">
      <c r="A3054" t="s">
        <v>6</v>
      </c>
      <c r="B3054" t="str">
        <f>"02/08/2010 00:00"</f>
        <v>02/08/2010 00:00</v>
      </c>
      <c r="C3054">
        <v>2.23</v>
      </c>
      <c r="D3054" t="s">
        <v>7</v>
      </c>
      <c r="E3054" s="2" t="s">
        <v>12</v>
      </c>
      <c r="F3054">
        <f t="shared" si="47"/>
        <v>4.4220899999999999</v>
      </c>
      <c r="G3054" t="s">
        <v>16</v>
      </c>
      <c r="J3054" t="str">
        <f>"02/08/2010 23:45"</f>
        <v>02/08/2010 23:45</v>
      </c>
    </row>
    <row r="3055" spans="1:10" x14ac:dyDescent="0.3">
      <c r="A3055" t="s">
        <v>6</v>
      </c>
      <c r="B3055" t="str">
        <f>"02/09/2010 00:00"</f>
        <v>02/09/2010 00:00</v>
      </c>
      <c r="C3055">
        <v>2.31</v>
      </c>
      <c r="D3055" t="s">
        <v>7</v>
      </c>
      <c r="E3055" s="2" t="s">
        <v>12</v>
      </c>
      <c r="F3055">
        <f t="shared" si="47"/>
        <v>4.58073</v>
      </c>
      <c r="G3055" t="s">
        <v>16</v>
      </c>
      <c r="J3055" t="str">
        <f>"02/09/2010 23:45"</f>
        <v>02/09/2010 23:45</v>
      </c>
    </row>
    <row r="3056" spans="1:10" x14ac:dyDescent="0.3">
      <c r="A3056" t="s">
        <v>6</v>
      </c>
      <c r="B3056" t="str">
        <f>"02/10/2010 00:00"</f>
        <v>02/10/2010 00:00</v>
      </c>
      <c r="C3056">
        <v>2.23</v>
      </c>
      <c r="D3056" t="s">
        <v>7</v>
      </c>
      <c r="E3056" s="2" t="s">
        <v>12</v>
      </c>
      <c r="F3056">
        <f t="shared" si="47"/>
        <v>4.4220899999999999</v>
      </c>
      <c r="G3056" t="s">
        <v>16</v>
      </c>
      <c r="J3056" t="str">
        <f>"02/10/2010 23:45"</f>
        <v>02/10/2010 23:45</v>
      </c>
    </row>
    <row r="3057" spans="1:10" x14ac:dyDescent="0.3">
      <c r="A3057" t="s">
        <v>6</v>
      </c>
      <c r="B3057" t="str">
        <f>"02/11/2010 00:00"</f>
        <v>02/11/2010 00:00</v>
      </c>
      <c r="C3057">
        <v>2.23</v>
      </c>
      <c r="D3057" t="s">
        <v>7</v>
      </c>
      <c r="E3057" s="2" t="s">
        <v>12</v>
      </c>
      <c r="F3057">
        <f t="shared" si="47"/>
        <v>4.4220899999999999</v>
      </c>
      <c r="G3057" t="s">
        <v>16</v>
      </c>
      <c r="J3057" t="str">
        <f>"02/11/2010 23:45"</f>
        <v>02/11/2010 23:45</v>
      </c>
    </row>
    <row r="3058" spans="1:10" x14ac:dyDescent="0.3">
      <c r="A3058" t="s">
        <v>6</v>
      </c>
      <c r="B3058" t="str">
        <f>"02/12/2010 00:00"</f>
        <v>02/12/2010 00:00</v>
      </c>
      <c r="C3058">
        <v>2.23</v>
      </c>
      <c r="D3058" t="s">
        <v>7</v>
      </c>
      <c r="E3058" s="2" t="s">
        <v>12</v>
      </c>
      <c r="F3058">
        <f t="shared" si="47"/>
        <v>4.4220899999999999</v>
      </c>
      <c r="G3058" t="s">
        <v>16</v>
      </c>
      <c r="J3058" t="str">
        <f>"02/12/2010 23:45"</f>
        <v>02/12/2010 23:45</v>
      </c>
    </row>
    <row r="3059" spans="1:10" x14ac:dyDescent="0.3">
      <c r="A3059" t="s">
        <v>6</v>
      </c>
      <c r="B3059" t="str">
        <f>"02/13/2010 00:00"</f>
        <v>02/13/2010 00:00</v>
      </c>
      <c r="C3059">
        <v>2.23</v>
      </c>
      <c r="D3059" t="s">
        <v>7</v>
      </c>
      <c r="E3059" s="2" t="s">
        <v>12</v>
      </c>
      <c r="F3059">
        <f t="shared" si="47"/>
        <v>4.4220899999999999</v>
      </c>
      <c r="G3059" t="s">
        <v>16</v>
      </c>
      <c r="J3059" t="str">
        <f>"02/13/2010 23:45"</f>
        <v>02/13/2010 23:45</v>
      </c>
    </row>
    <row r="3060" spans="1:10" x14ac:dyDescent="0.3">
      <c r="A3060" t="s">
        <v>6</v>
      </c>
      <c r="B3060" t="str">
        <f>"02/14/2010 00:00"</f>
        <v>02/14/2010 00:00</v>
      </c>
      <c r="C3060">
        <v>2.42</v>
      </c>
      <c r="D3060" t="s">
        <v>7</v>
      </c>
      <c r="E3060" s="2" t="s">
        <v>12</v>
      </c>
      <c r="F3060">
        <f t="shared" si="47"/>
        <v>4.7988600000000003</v>
      </c>
      <c r="G3060" t="s">
        <v>16</v>
      </c>
      <c r="J3060" t="str">
        <f>"02/14/2010 23:45"</f>
        <v>02/14/2010 23:45</v>
      </c>
    </row>
    <row r="3061" spans="1:10" x14ac:dyDescent="0.3">
      <c r="A3061" t="s">
        <v>6</v>
      </c>
      <c r="B3061" t="str">
        <f>"02/15/2010 00:00"</f>
        <v>02/15/2010 00:00</v>
      </c>
      <c r="C3061">
        <v>2.56</v>
      </c>
      <c r="D3061" t="s">
        <v>7</v>
      </c>
      <c r="E3061" s="2" t="s">
        <v>12</v>
      </c>
      <c r="F3061">
        <f t="shared" si="47"/>
        <v>5.0764800000000001</v>
      </c>
      <c r="G3061" t="s">
        <v>16</v>
      </c>
      <c r="J3061" t="str">
        <f>"02/15/2010 23:45"</f>
        <v>02/15/2010 23:45</v>
      </c>
    </row>
    <row r="3062" spans="1:10" x14ac:dyDescent="0.3">
      <c r="A3062" t="s">
        <v>6</v>
      </c>
      <c r="B3062" t="str">
        <f>"02/16/2010 00:00"</f>
        <v>02/16/2010 00:00</v>
      </c>
      <c r="C3062">
        <v>2.52</v>
      </c>
      <c r="D3062" t="s">
        <v>7</v>
      </c>
      <c r="E3062" s="2" t="s">
        <v>12</v>
      </c>
      <c r="F3062">
        <f t="shared" si="47"/>
        <v>4.99716</v>
      </c>
      <c r="G3062" t="s">
        <v>16</v>
      </c>
      <c r="J3062" t="str">
        <f>"02/16/2010 23:45"</f>
        <v>02/16/2010 23:45</v>
      </c>
    </row>
    <row r="3063" spans="1:10" x14ac:dyDescent="0.3">
      <c r="A3063" t="s">
        <v>6</v>
      </c>
      <c r="B3063" t="str">
        <f>"02/17/2010 00:00"</f>
        <v>02/17/2010 00:00</v>
      </c>
      <c r="C3063">
        <v>2.42</v>
      </c>
      <c r="D3063" t="s">
        <v>7</v>
      </c>
      <c r="E3063" s="2" t="s">
        <v>12</v>
      </c>
      <c r="F3063">
        <f t="shared" si="47"/>
        <v>4.7988600000000003</v>
      </c>
      <c r="G3063" t="s">
        <v>16</v>
      </c>
      <c r="J3063" t="str">
        <f>"02/17/2010 23:45"</f>
        <v>02/17/2010 23:45</v>
      </c>
    </row>
    <row r="3064" spans="1:10" x14ac:dyDescent="0.3">
      <c r="A3064" t="s">
        <v>6</v>
      </c>
      <c r="B3064" t="str">
        <f>"02/18/2010 00:00"</f>
        <v>02/18/2010 00:00</v>
      </c>
      <c r="C3064">
        <v>2.5499999999999998</v>
      </c>
      <c r="D3064" t="s">
        <v>7</v>
      </c>
      <c r="E3064" s="2" t="s">
        <v>12</v>
      </c>
      <c r="F3064">
        <f t="shared" si="47"/>
        <v>5.0566500000000003</v>
      </c>
      <c r="G3064" t="s">
        <v>16</v>
      </c>
      <c r="J3064" t="str">
        <f>"02/18/2010 23:45"</f>
        <v>02/18/2010 23:45</v>
      </c>
    </row>
    <row r="3065" spans="1:10" x14ac:dyDescent="0.3">
      <c r="A3065" t="s">
        <v>6</v>
      </c>
      <c r="B3065" t="str">
        <f>"02/19/2010 00:00"</f>
        <v>02/19/2010 00:00</v>
      </c>
      <c r="C3065">
        <v>2.56</v>
      </c>
      <c r="D3065" t="s">
        <v>7</v>
      </c>
      <c r="E3065" s="2" t="s">
        <v>12</v>
      </c>
      <c r="F3065">
        <f t="shared" si="47"/>
        <v>5.0764800000000001</v>
      </c>
      <c r="G3065" t="s">
        <v>16</v>
      </c>
      <c r="J3065" t="str">
        <f>"02/19/2010 23:45"</f>
        <v>02/19/2010 23:45</v>
      </c>
    </row>
    <row r="3066" spans="1:10" x14ac:dyDescent="0.3">
      <c r="A3066" t="s">
        <v>6</v>
      </c>
      <c r="B3066" t="str">
        <f>"02/20/2010 00:00"</f>
        <v>02/20/2010 00:00</v>
      </c>
      <c r="C3066">
        <v>2.56</v>
      </c>
      <c r="D3066" t="s">
        <v>7</v>
      </c>
      <c r="E3066" s="2" t="s">
        <v>12</v>
      </c>
      <c r="F3066">
        <f t="shared" si="47"/>
        <v>5.0764800000000001</v>
      </c>
      <c r="G3066" t="s">
        <v>16</v>
      </c>
      <c r="J3066" t="str">
        <f>"02/20/2010 23:45"</f>
        <v>02/20/2010 23:45</v>
      </c>
    </row>
    <row r="3067" spans="1:10" x14ac:dyDescent="0.3">
      <c r="A3067" t="s">
        <v>6</v>
      </c>
      <c r="B3067" t="str">
        <f>"02/21/2010 00:00"</f>
        <v>02/21/2010 00:00</v>
      </c>
      <c r="C3067">
        <v>2.56</v>
      </c>
      <c r="D3067" t="s">
        <v>7</v>
      </c>
      <c r="E3067" s="2" t="s">
        <v>12</v>
      </c>
      <c r="F3067">
        <f t="shared" si="47"/>
        <v>5.0764800000000001</v>
      </c>
      <c r="G3067" t="s">
        <v>16</v>
      </c>
      <c r="J3067" t="str">
        <f>"02/21/2010 23:45"</f>
        <v>02/21/2010 23:45</v>
      </c>
    </row>
    <row r="3068" spans="1:10" x14ac:dyDescent="0.3">
      <c r="A3068" t="s">
        <v>6</v>
      </c>
      <c r="B3068" t="str">
        <f>"02/22/2010 00:00"</f>
        <v>02/22/2010 00:00</v>
      </c>
      <c r="C3068">
        <v>2.83</v>
      </c>
      <c r="D3068" t="s">
        <v>7</v>
      </c>
      <c r="E3068" s="2" t="s">
        <v>12</v>
      </c>
      <c r="F3068">
        <f t="shared" si="47"/>
        <v>5.6118900000000007</v>
      </c>
      <c r="G3068" t="s">
        <v>16</v>
      </c>
      <c r="J3068" t="str">
        <f>"02/22/2010 23:45"</f>
        <v>02/22/2010 23:45</v>
      </c>
    </row>
    <row r="3069" spans="1:10" x14ac:dyDescent="0.3">
      <c r="A3069" t="s">
        <v>6</v>
      </c>
      <c r="B3069" t="str">
        <f>"02/23/2010 00:00"</f>
        <v>02/23/2010 00:00</v>
      </c>
      <c r="C3069">
        <v>3.31</v>
      </c>
      <c r="D3069" t="s">
        <v>7</v>
      </c>
      <c r="E3069" s="2" t="s">
        <v>12</v>
      </c>
      <c r="F3069">
        <f t="shared" si="47"/>
        <v>6.5637300000000005</v>
      </c>
      <c r="G3069" t="s">
        <v>16</v>
      </c>
      <c r="J3069" t="str">
        <f>"02/23/2010 23:45"</f>
        <v>02/23/2010 23:45</v>
      </c>
    </row>
    <row r="3070" spans="1:10" x14ac:dyDescent="0.3">
      <c r="A3070" t="s">
        <v>6</v>
      </c>
      <c r="B3070" t="str">
        <f>"02/24/2010 00:00"</f>
        <v>02/24/2010 00:00</v>
      </c>
      <c r="C3070">
        <v>3.63</v>
      </c>
      <c r="D3070" t="s">
        <v>7</v>
      </c>
      <c r="E3070" s="2" t="s">
        <v>12</v>
      </c>
      <c r="F3070">
        <f t="shared" si="47"/>
        <v>7.1982900000000001</v>
      </c>
      <c r="G3070" t="s">
        <v>16</v>
      </c>
      <c r="J3070" t="str">
        <f>"02/24/2010 23:45"</f>
        <v>02/24/2010 23:45</v>
      </c>
    </row>
    <row r="3071" spans="1:10" x14ac:dyDescent="0.3">
      <c r="A3071" t="s">
        <v>6</v>
      </c>
      <c r="B3071" t="str">
        <f>"02/25/2010 00:00"</f>
        <v>02/25/2010 00:00</v>
      </c>
      <c r="C3071">
        <v>3.66</v>
      </c>
      <c r="D3071" t="s">
        <v>7</v>
      </c>
      <c r="E3071" s="2" t="s">
        <v>12</v>
      </c>
      <c r="F3071">
        <f t="shared" si="47"/>
        <v>7.2577800000000003</v>
      </c>
      <c r="G3071" t="s">
        <v>16</v>
      </c>
      <c r="J3071" t="str">
        <f>"02/25/2010 23:45"</f>
        <v>02/25/2010 23:45</v>
      </c>
    </row>
    <row r="3072" spans="1:10" x14ac:dyDescent="0.3">
      <c r="A3072" t="s">
        <v>6</v>
      </c>
      <c r="B3072" t="str">
        <f>"02/26/2010 00:00"</f>
        <v>02/26/2010 00:00</v>
      </c>
      <c r="C3072">
        <v>3.66</v>
      </c>
      <c r="D3072" t="s">
        <v>7</v>
      </c>
      <c r="E3072" s="2" t="s">
        <v>12</v>
      </c>
      <c r="F3072">
        <f t="shared" si="47"/>
        <v>7.2577800000000003</v>
      </c>
      <c r="G3072" t="s">
        <v>16</v>
      </c>
      <c r="J3072" t="str">
        <f>"02/26/2010 23:45"</f>
        <v>02/26/2010 23:45</v>
      </c>
    </row>
    <row r="3073" spans="1:10" x14ac:dyDescent="0.3">
      <c r="A3073" t="s">
        <v>6</v>
      </c>
      <c r="B3073" t="str">
        <f>"02/27/2010 00:00"</f>
        <v>02/27/2010 00:00</v>
      </c>
      <c r="C3073">
        <v>3.43</v>
      </c>
      <c r="D3073" t="s">
        <v>7</v>
      </c>
      <c r="E3073" s="2" t="s">
        <v>12</v>
      </c>
      <c r="F3073">
        <f t="shared" si="47"/>
        <v>6.8016900000000007</v>
      </c>
      <c r="G3073" t="s">
        <v>16</v>
      </c>
      <c r="J3073" t="str">
        <f>"02/27/2010 23:45"</f>
        <v>02/27/2010 23:45</v>
      </c>
    </row>
    <row r="3074" spans="1:10" x14ac:dyDescent="0.3">
      <c r="A3074" t="s">
        <v>6</v>
      </c>
      <c r="B3074" t="str">
        <f>"02/28/2010 00:00"</f>
        <v>02/28/2010 00:00</v>
      </c>
      <c r="C3074">
        <v>3.63</v>
      </c>
      <c r="D3074" t="s">
        <v>7</v>
      </c>
      <c r="E3074" s="2" t="s">
        <v>12</v>
      </c>
      <c r="F3074">
        <f t="shared" si="47"/>
        <v>7.1982900000000001</v>
      </c>
      <c r="G3074" t="s">
        <v>16</v>
      </c>
      <c r="J3074" t="str">
        <f>"02/28/2010 23:45"</f>
        <v>02/28/2010 23:45</v>
      </c>
    </row>
    <row r="3075" spans="1:10" x14ac:dyDescent="0.3">
      <c r="A3075" t="s">
        <v>6</v>
      </c>
      <c r="B3075" t="str">
        <f>"03/01/2010 00:00"</f>
        <v>03/01/2010 00:00</v>
      </c>
      <c r="C3075">
        <v>4.0599999999999996</v>
      </c>
      <c r="D3075" t="s">
        <v>7</v>
      </c>
      <c r="E3075" s="2" t="s">
        <v>12</v>
      </c>
      <c r="F3075">
        <f t="shared" si="47"/>
        <v>8.0509799999999991</v>
      </c>
      <c r="G3075" t="s">
        <v>16</v>
      </c>
      <c r="J3075" t="str">
        <f>"03/01/2010 23:45"</f>
        <v>03/01/2010 23:45</v>
      </c>
    </row>
    <row r="3076" spans="1:10" x14ac:dyDescent="0.3">
      <c r="A3076" t="s">
        <v>6</v>
      </c>
      <c r="B3076" t="str">
        <f>"03/02/2010 00:00"</f>
        <v>03/02/2010 00:00</v>
      </c>
      <c r="C3076">
        <v>3.71</v>
      </c>
      <c r="D3076" t="s">
        <v>7</v>
      </c>
      <c r="E3076" s="2" t="s">
        <v>12</v>
      </c>
      <c r="F3076">
        <f t="shared" ref="F3076:F3139" si="48">C3076*1.983</f>
        <v>7.3569300000000002</v>
      </c>
      <c r="G3076" t="s">
        <v>16</v>
      </c>
      <c r="J3076" t="str">
        <f>"03/02/2010 23:45"</f>
        <v>03/02/2010 23:45</v>
      </c>
    </row>
    <row r="3077" spans="1:10" x14ac:dyDescent="0.3">
      <c r="A3077" t="s">
        <v>6</v>
      </c>
      <c r="B3077" t="str">
        <f>"03/03/2010 00:00"</f>
        <v>03/03/2010 00:00</v>
      </c>
      <c r="C3077">
        <v>4.0599999999999996</v>
      </c>
      <c r="D3077" t="s">
        <v>7</v>
      </c>
      <c r="E3077" s="2" t="s">
        <v>12</v>
      </c>
      <c r="F3077">
        <f t="shared" si="48"/>
        <v>8.0509799999999991</v>
      </c>
      <c r="G3077" t="s">
        <v>16</v>
      </c>
      <c r="J3077" t="str">
        <f>"03/03/2010 23:45"</f>
        <v>03/03/2010 23:45</v>
      </c>
    </row>
    <row r="3078" spans="1:10" x14ac:dyDescent="0.3">
      <c r="A3078" t="s">
        <v>6</v>
      </c>
      <c r="B3078" t="str">
        <f>"03/04/2010 00:00"</f>
        <v>03/04/2010 00:00</v>
      </c>
      <c r="C3078">
        <v>4.0999999999999996</v>
      </c>
      <c r="D3078" t="s">
        <v>7</v>
      </c>
      <c r="E3078" s="2" t="s">
        <v>12</v>
      </c>
      <c r="F3078">
        <f t="shared" si="48"/>
        <v>8.1303000000000001</v>
      </c>
      <c r="G3078" t="s">
        <v>16</v>
      </c>
      <c r="J3078" t="str">
        <f>"03/04/2010 23:45"</f>
        <v>03/04/2010 23:45</v>
      </c>
    </row>
    <row r="3079" spans="1:10" x14ac:dyDescent="0.3">
      <c r="A3079" t="s">
        <v>6</v>
      </c>
      <c r="B3079" t="str">
        <f>"03/05/2010 00:00"</f>
        <v>03/05/2010 00:00</v>
      </c>
      <c r="C3079">
        <v>4.45</v>
      </c>
      <c r="D3079" t="s">
        <v>7</v>
      </c>
      <c r="E3079" s="2" t="s">
        <v>12</v>
      </c>
      <c r="F3079">
        <f t="shared" si="48"/>
        <v>8.8243500000000008</v>
      </c>
      <c r="G3079" t="s">
        <v>16</v>
      </c>
      <c r="J3079" t="str">
        <f>"03/05/2010 23:45"</f>
        <v>03/05/2010 23:45</v>
      </c>
    </row>
    <row r="3080" spans="1:10" x14ac:dyDescent="0.3">
      <c r="A3080" t="s">
        <v>6</v>
      </c>
      <c r="B3080" t="str">
        <f>"03/06/2010 00:00"</f>
        <v>03/06/2010 00:00</v>
      </c>
      <c r="C3080">
        <v>4.4800000000000004</v>
      </c>
      <c r="D3080" t="s">
        <v>7</v>
      </c>
      <c r="E3080" s="2" t="s">
        <v>12</v>
      </c>
      <c r="F3080">
        <f t="shared" si="48"/>
        <v>8.8838400000000011</v>
      </c>
      <c r="G3080" t="s">
        <v>16</v>
      </c>
      <c r="J3080" t="str">
        <f>"03/06/2010 23:45"</f>
        <v>03/06/2010 23:45</v>
      </c>
    </row>
    <row r="3081" spans="1:10" x14ac:dyDescent="0.3">
      <c r="A3081" t="s">
        <v>6</v>
      </c>
      <c r="B3081" t="str">
        <f>"03/07/2010 00:00"</f>
        <v>03/07/2010 00:00</v>
      </c>
      <c r="C3081">
        <v>4.21</v>
      </c>
      <c r="D3081" t="s">
        <v>7</v>
      </c>
      <c r="E3081" s="2" t="s">
        <v>12</v>
      </c>
      <c r="F3081">
        <f t="shared" si="48"/>
        <v>8.3484300000000005</v>
      </c>
      <c r="G3081" t="s">
        <v>16</v>
      </c>
      <c r="J3081" t="str">
        <f>"03/07/2010 23:45"</f>
        <v>03/07/2010 23:45</v>
      </c>
    </row>
    <row r="3082" spans="1:10" x14ac:dyDescent="0.3">
      <c r="A3082" t="s">
        <v>6</v>
      </c>
      <c r="B3082" t="str">
        <f>"03/08/2010 00:00"</f>
        <v>03/08/2010 00:00</v>
      </c>
      <c r="C3082">
        <v>4.45</v>
      </c>
      <c r="D3082" t="s">
        <v>7</v>
      </c>
      <c r="E3082" s="2" t="s">
        <v>12</v>
      </c>
      <c r="F3082">
        <f t="shared" si="48"/>
        <v>8.8243500000000008</v>
      </c>
      <c r="G3082" t="s">
        <v>16</v>
      </c>
      <c r="J3082" t="str">
        <f>"03/08/2010 23:45"</f>
        <v>03/08/2010 23:45</v>
      </c>
    </row>
    <row r="3083" spans="1:10" x14ac:dyDescent="0.3">
      <c r="A3083" t="s">
        <v>6</v>
      </c>
      <c r="B3083" t="str">
        <f>"03/09/2010 00:00"</f>
        <v>03/09/2010 00:00</v>
      </c>
      <c r="C3083">
        <v>4.78</v>
      </c>
      <c r="D3083" t="s">
        <v>7</v>
      </c>
      <c r="E3083" s="2" t="s">
        <v>12</v>
      </c>
      <c r="F3083">
        <f t="shared" si="48"/>
        <v>9.4787400000000002</v>
      </c>
      <c r="G3083" t="s">
        <v>16</v>
      </c>
      <c r="J3083" t="str">
        <f>"03/09/2010 23:45"</f>
        <v>03/09/2010 23:45</v>
      </c>
    </row>
    <row r="3084" spans="1:10" x14ac:dyDescent="0.3">
      <c r="A3084" t="s">
        <v>6</v>
      </c>
      <c r="B3084" t="str">
        <f>"03/10/2010 00:00"</f>
        <v>03/10/2010 00:00</v>
      </c>
      <c r="C3084">
        <v>4.91</v>
      </c>
      <c r="D3084" t="s">
        <v>7</v>
      </c>
      <c r="E3084" s="2" t="s">
        <v>12</v>
      </c>
      <c r="F3084">
        <f t="shared" si="48"/>
        <v>9.7365300000000001</v>
      </c>
      <c r="G3084" t="s">
        <v>16</v>
      </c>
      <c r="J3084" t="str">
        <f>"03/10/2010 23:45"</f>
        <v>03/10/2010 23:45</v>
      </c>
    </row>
    <row r="3085" spans="1:10" x14ac:dyDescent="0.3">
      <c r="A3085" t="s">
        <v>6</v>
      </c>
      <c r="B3085" t="str">
        <f>"03/11/2010 00:00"</f>
        <v>03/11/2010 00:00</v>
      </c>
      <c r="C3085">
        <v>5.21</v>
      </c>
      <c r="D3085" t="s">
        <v>7</v>
      </c>
      <c r="E3085" s="2" t="s">
        <v>12</v>
      </c>
      <c r="F3085">
        <f t="shared" si="48"/>
        <v>10.331430000000001</v>
      </c>
      <c r="G3085" t="s">
        <v>16</v>
      </c>
      <c r="J3085" t="str">
        <f>"03/11/2010 23:45"</f>
        <v>03/11/2010 23:45</v>
      </c>
    </row>
    <row r="3086" spans="1:10" x14ac:dyDescent="0.3">
      <c r="A3086" t="s">
        <v>6</v>
      </c>
      <c r="B3086" t="str">
        <f>"03/12/2010 00:00"</f>
        <v>03/12/2010 00:00</v>
      </c>
      <c r="C3086">
        <v>5.35</v>
      </c>
      <c r="D3086" t="s">
        <v>7</v>
      </c>
      <c r="E3086" s="2" t="s">
        <v>12</v>
      </c>
      <c r="F3086">
        <f t="shared" si="48"/>
        <v>10.60905</v>
      </c>
      <c r="G3086" t="s">
        <v>16</v>
      </c>
      <c r="J3086" t="str">
        <f>"03/12/2010 23:45"</f>
        <v>03/12/2010 23:45</v>
      </c>
    </row>
    <row r="3087" spans="1:10" x14ac:dyDescent="0.3">
      <c r="A3087" t="s">
        <v>6</v>
      </c>
      <c r="B3087" t="str">
        <f>"03/13/2010 00:00"</f>
        <v>03/13/2010 00:00</v>
      </c>
      <c r="C3087">
        <v>5.35</v>
      </c>
      <c r="D3087" t="s">
        <v>7</v>
      </c>
      <c r="E3087" s="2" t="s">
        <v>12</v>
      </c>
      <c r="F3087">
        <f t="shared" si="48"/>
        <v>10.60905</v>
      </c>
      <c r="G3087" t="s">
        <v>16</v>
      </c>
      <c r="J3087" t="str">
        <f>"03/13/2010 23:45"</f>
        <v>03/13/2010 23:45</v>
      </c>
    </row>
    <row r="3088" spans="1:10" x14ac:dyDescent="0.3">
      <c r="A3088" t="s">
        <v>6</v>
      </c>
      <c r="B3088" t="str">
        <f>"03/14/2010 00:00"</f>
        <v>03/14/2010 00:00</v>
      </c>
      <c r="C3088">
        <v>5.55</v>
      </c>
      <c r="D3088" t="s">
        <v>7</v>
      </c>
      <c r="E3088" s="2" t="s">
        <v>12</v>
      </c>
      <c r="F3088">
        <f t="shared" si="48"/>
        <v>11.005650000000001</v>
      </c>
      <c r="G3088" t="s">
        <v>16</v>
      </c>
      <c r="J3088" t="str">
        <f>"03/14/2010 23:45"</f>
        <v>03/14/2010 23:45</v>
      </c>
    </row>
    <row r="3089" spans="1:10" x14ac:dyDescent="0.3">
      <c r="A3089" t="s">
        <v>6</v>
      </c>
      <c r="B3089" t="str">
        <f>"03/15/2010 00:00"</f>
        <v>03/15/2010 00:00</v>
      </c>
      <c r="C3089">
        <v>5.81</v>
      </c>
      <c r="D3089" t="s">
        <v>7</v>
      </c>
      <c r="E3089" s="2" t="s">
        <v>12</v>
      </c>
      <c r="F3089">
        <f t="shared" si="48"/>
        <v>11.521229999999999</v>
      </c>
      <c r="G3089" t="s">
        <v>16</v>
      </c>
      <c r="J3089" t="str">
        <f>"03/15/2010 23:45"</f>
        <v>03/15/2010 23:45</v>
      </c>
    </row>
    <row r="3090" spans="1:10" x14ac:dyDescent="0.3">
      <c r="A3090" t="s">
        <v>6</v>
      </c>
      <c r="B3090" t="str">
        <f>"03/16/2010 00:00"</f>
        <v>03/16/2010 00:00</v>
      </c>
      <c r="C3090">
        <v>6.48</v>
      </c>
      <c r="D3090" t="s">
        <v>7</v>
      </c>
      <c r="E3090" s="2" t="s">
        <v>12</v>
      </c>
      <c r="F3090">
        <f t="shared" si="48"/>
        <v>12.849840000000002</v>
      </c>
      <c r="G3090" t="s">
        <v>16</v>
      </c>
      <c r="J3090" t="str">
        <f>"03/16/2010 23:45"</f>
        <v>03/16/2010 23:45</v>
      </c>
    </row>
    <row r="3091" spans="1:10" x14ac:dyDescent="0.3">
      <c r="A3091" t="s">
        <v>6</v>
      </c>
      <c r="B3091" t="str">
        <f>"03/17/2010 00:00"</f>
        <v>03/17/2010 00:00</v>
      </c>
      <c r="C3091">
        <v>9.44</v>
      </c>
      <c r="D3091" t="s">
        <v>7</v>
      </c>
      <c r="E3091" s="2" t="s">
        <v>12</v>
      </c>
      <c r="F3091">
        <f t="shared" si="48"/>
        <v>18.719519999999999</v>
      </c>
      <c r="G3091" t="s">
        <v>16</v>
      </c>
      <c r="J3091" t="str">
        <f>"03/17/2010 23:45"</f>
        <v>03/17/2010 23:45</v>
      </c>
    </row>
    <row r="3092" spans="1:10" x14ac:dyDescent="0.3">
      <c r="A3092" t="s">
        <v>6</v>
      </c>
      <c r="B3092" t="str">
        <f>"03/18/2010 00:00"</f>
        <v>03/18/2010 00:00</v>
      </c>
      <c r="C3092">
        <v>12.7</v>
      </c>
      <c r="D3092" t="s">
        <v>7</v>
      </c>
      <c r="E3092" s="2" t="s">
        <v>12</v>
      </c>
      <c r="F3092">
        <f t="shared" si="48"/>
        <v>25.184100000000001</v>
      </c>
      <c r="G3092" t="s">
        <v>16</v>
      </c>
      <c r="J3092" t="str">
        <f>"03/18/2010 23:45"</f>
        <v>03/18/2010 23:45</v>
      </c>
    </row>
    <row r="3093" spans="1:10" x14ac:dyDescent="0.3">
      <c r="A3093" t="s">
        <v>6</v>
      </c>
      <c r="B3093" t="str">
        <f>"03/19/2010 00:00"</f>
        <v>03/19/2010 00:00</v>
      </c>
      <c r="C3093">
        <v>11.5</v>
      </c>
      <c r="D3093" t="s">
        <v>7</v>
      </c>
      <c r="E3093" s="2" t="s">
        <v>12</v>
      </c>
      <c r="F3093">
        <f t="shared" si="48"/>
        <v>22.804500000000001</v>
      </c>
      <c r="G3093" t="s">
        <v>16</v>
      </c>
      <c r="J3093" t="str">
        <f>"03/19/2010 23:45"</f>
        <v>03/19/2010 23:45</v>
      </c>
    </row>
    <row r="3094" spans="1:10" x14ac:dyDescent="0.3">
      <c r="A3094" t="s">
        <v>6</v>
      </c>
      <c r="B3094" t="str">
        <f>"03/20/2010 00:00"</f>
        <v>03/20/2010 00:00</v>
      </c>
      <c r="C3094">
        <v>10.5</v>
      </c>
      <c r="D3094" t="s">
        <v>7</v>
      </c>
      <c r="E3094" s="2" t="s">
        <v>12</v>
      </c>
      <c r="F3094">
        <f t="shared" si="48"/>
        <v>20.8215</v>
      </c>
      <c r="G3094" t="s">
        <v>16</v>
      </c>
      <c r="J3094" t="str">
        <f>"03/20/2010 23:45"</f>
        <v>03/20/2010 23:45</v>
      </c>
    </row>
    <row r="3095" spans="1:10" x14ac:dyDescent="0.3">
      <c r="A3095" t="s">
        <v>6</v>
      </c>
      <c r="B3095" t="str">
        <f>"03/21/2010 00:00"</f>
        <v>03/21/2010 00:00</v>
      </c>
      <c r="C3095">
        <v>10.5</v>
      </c>
      <c r="D3095" t="s">
        <v>7</v>
      </c>
      <c r="E3095" s="2" t="s">
        <v>12</v>
      </c>
      <c r="F3095">
        <f t="shared" si="48"/>
        <v>20.8215</v>
      </c>
      <c r="G3095" t="s">
        <v>16</v>
      </c>
      <c r="J3095" t="str">
        <f>"03/21/2010 23:45"</f>
        <v>03/21/2010 23:45</v>
      </c>
    </row>
    <row r="3096" spans="1:10" x14ac:dyDescent="0.3">
      <c r="A3096" t="s">
        <v>6</v>
      </c>
      <c r="B3096" t="str">
        <f>"03/22/2010 00:00"</f>
        <v>03/22/2010 00:00</v>
      </c>
      <c r="C3096">
        <v>13.7</v>
      </c>
      <c r="D3096" t="s">
        <v>7</v>
      </c>
      <c r="E3096" s="2" t="s">
        <v>12</v>
      </c>
      <c r="F3096">
        <f t="shared" si="48"/>
        <v>27.167100000000001</v>
      </c>
      <c r="G3096" t="s">
        <v>16</v>
      </c>
      <c r="J3096" t="str">
        <f>"03/22/2010 23:45"</f>
        <v>03/22/2010 23:45</v>
      </c>
    </row>
    <row r="3097" spans="1:10" x14ac:dyDescent="0.3">
      <c r="A3097" t="s">
        <v>6</v>
      </c>
      <c r="B3097" t="str">
        <f>"03/23/2010 00:00"</f>
        <v>03/23/2010 00:00</v>
      </c>
      <c r="C3097">
        <v>19.7</v>
      </c>
      <c r="D3097" t="s">
        <v>7</v>
      </c>
      <c r="E3097" s="2" t="s">
        <v>12</v>
      </c>
      <c r="F3097">
        <f t="shared" si="48"/>
        <v>39.065100000000001</v>
      </c>
      <c r="G3097" t="s">
        <v>16</v>
      </c>
      <c r="J3097" t="str">
        <f>"03/23/2010 23:45"</f>
        <v>03/23/2010 23:45</v>
      </c>
    </row>
    <row r="3098" spans="1:10" x14ac:dyDescent="0.3">
      <c r="A3098" t="s">
        <v>6</v>
      </c>
      <c r="B3098" t="str">
        <f>"03/24/2010 00:00"</f>
        <v>03/24/2010 00:00</v>
      </c>
      <c r="C3098">
        <v>22</v>
      </c>
      <c r="D3098" t="s">
        <v>7</v>
      </c>
      <c r="E3098" s="2" t="s">
        <v>12</v>
      </c>
      <c r="F3098">
        <f t="shared" si="48"/>
        <v>43.626000000000005</v>
      </c>
      <c r="G3098" t="s">
        <v>16</v>
      </c>
      <c r="J3098" t="str">
        <f>"03/24/2010 23:45"</f>
        <v>03/24/2010 23:45</v>
      </c>
    </row>
    <row r="3099" spans="1:10" x14ac:dyDescent="0.3">
      <c r="A3099" t="s">
        <v>6</v>
      </c>
      <c r="B3099" t="str">
        <f>"03/25/2010 00:00"</f>
        <v>03/25/2010 00:00</v>
      </c>
      <c r="C3099">
        <v>22</v>
      </c>
      <c r="D3099" t="s">
        <v>7</v>
      </c>
      <c r="E3099" s="2" t="s">
        <v>12</v>
      </c>
      <c r="F3099">
        <f t="shared" si="48"/>
        <v>43.626000000000005</v>
      </c>
      <c r="G3099" t="s">
        <v>16</v>
      </c>
      <c r="J3099" t="str">
        <f>"03/25/2010 23:45"</f>
        <v>03/25/2010 23:45</v>
      </c>
    </row>
    <row r="3100" spans="1:10" x14ac:dyDescent="0.3">
      <c r="A3100" t="s">
        <v>6</v>
      </c>
      <c r="B3100" t="str">
        <f>"03/26/2010 00:00"</f>
        <v>03/26/2010 00:00</v>
      </c>
      <c r="C3100">
        <v>24.1</v>
      </c>
      <c r="D3100" t="s">
        <v>7</v>
      </c>
      <c r="E3100" s="2" t="s">
        <v>12</v>
      </c>
      <c r="F3100">
        <f t="shared" si="48"/>
        <v>47.790300000000002</v>
      </c>
      <c r="G3100" t="s">
        <v>16</v>
      </c>
      <c r="J3100" t="str">
        <f>"03/26/2010 23:45"</f>
        <v>03/26/2010 23:45</v>
      </c>
    </row>
    <row r="3101" spans="1:10" x14ac:dyDescent="0.3">
      <c r="A3101" t="s">
        <v>6</v>
      </c>
      <c r="B3101" t="str">
        <f>"03/27/2010 00:00"</f>
        <v>03/27/2010 00:00</v>
      </c>
      <c r="C3101">
        <v>25.2</v>
      </c>
      <c r="D3101" t="s">
        <v>7</v>
      </c>
      <c r="E3101" s="2" t="s">
        <v>12</v>
      </c>
      <c r="F3101">
        <f t="shared" si="48"/>
        <v>49.971600000000002</v>
      </c>
      <c r="G3101" t="s">
        <v>16</v>
      </c>
      <c r="J3101" t="str">
        <f>"03/27/2010 23:45"</f>
        <v>03/27/2010 23:45</v>
      </c>
    </row>
    <row r="3102" spans="1:10" x14ac:dyDescent="0.3">
      <c r="A3102" t="s">
        <v>6</v>
      </c>
      <c r="B3102" t="str">
        <f>"03/28/2010 00:00"</f>
        <v>03/28/2010 00:00</v>
      </c>
      <c r="C3102">
        <v>25.2</v>
      </c>
      <c r="D3102" t="s">
        <v>7</v>
      </c>
      <c r="E3102" s="2" t="s">
        <v>12</v>
      </c>
      <c r="F3102">
        <f t="shared" si="48"/>
        <v>49.971600000000002</v>
      </c>
      <c r="G3102" t="s">
        <v>16</v>
      </c>
      <c r="J3102" t="str">
        <f>"03/28/2010 23:45"</f>
        <v>03/28/2010 23:45</v>
      </c>
    </row>
    <row r="3103" spans="1:10" x14ac:dyDescent="0.3">
      <c r="A3103" t="s">
        <v>6</v>
      </c>
      <c r="B3103" t="str">
        <f>"03/29/2010 00:00"</f>
        <v>03/29/2010 00:00</v>
      </c>
      <c r="C3103">
        <v>25.2</v>
      </c>
      <c r="D3103" t="s">
        <v>7</v>
      </c>
      <c r="E3103" s="2" t="s">
        <v>12</v>
      </c>
      <c r="F3103">
        <f t="shared" si="48"/>
        <v>49.971600000000002</v>
      </c>
      <c r="G3103" t="s">
        <v>16</v>
      </c>
      <c r="J3103" t="str">
        <f>"03/29/2010 23:45"</f>
        <v>03/29/2010 23:45</v>
      </c>
    </row>
    <row r="3104" spans="1:10" x14ac:dyDescent="0.3">
      <c r="A3104" t="s">
        <v>6</v>
      </c>
      <c r="B3104" t="str">
        <f>"03/30/2010 00:00"</f>
        <v>03/30/2010 00:00</v>
      </c>
      <c r="C3104">
        <v>25.2</v>
      </c>
      <c r="D3104" t="s">
        <v>7</v>
      </c>
      <c r="E3104" s="2" t="s">
        <v>12</v>
      </c>
      <c r="F3104">
        <f t="shared" si="48"/>
        <v>49.971600000000002</v>
      </c>
      <c r="G3104" t="s">
        <v>16</v>
      </c>
      <c r="J3104" t="str">
        <f>"03/30/2010 23:45"</f>
        <v>03/30/2010 23:45</v>
      </c>
    </row>
    <row r="3105" spans="1:10" x14ac:dyDescent="0.3">
      <c r="A3105" t="s">
        <v>6</v>
      </c>
      <c r="B3105" t="str">
        <f>"03/31/2010 00:00"</f>
        <v>03/31/2010 00:00</v>
      </c>
      <c r="C3105">
        <v>25.2</v>
      </c>
      <c r="D3105" t="s">
        <v>7</v>
      </c>
      <c r="E3105" s="2" t="s">
        <v>12</v>
      </c>
      <c r="F3105">
        <f t="shared" si="48"/>
        <v>49.971600000000002</v>
      </c>
      <c r="G3105" t="s">
        <v>16</v>
      </c>
      <c r="J3105" t="str">
        <f>"03/31/2010 23:45"</f>
        <v>03/31/2010 23:45</v>
      </c>
    </row>
    <row r="3106" spans="1:10" x14ac:dyDescent="0.3">
      <c r="A3106" t="s">
        <v>6</v>
      </c>
      <c r="B3106" t="str">
        <f>"04/01/2010 00:00"</f>
        <v>04/01/2010 00:00</v>
      </c>
      <c r="C3106">
        <v>25</v>
      </c>
      <c r="D3106" t="s">
        <v>7</v>
      </c>
      <c r="E3106" s="2" t="s">
        <v>12</v>
      </c>
      <c r="F3106">
        <f t="shared" si="48"/>
        <v>49.575000000000003</v>
      </c>
      <c r="G3106" t="s">
        <v>16</v>
      </c>
      <c r="J3106" t="str">
        <f>"04/01/2010 23:45"</f>
        <v>04/01/2010 23:45</v>
      </c>
    </row>
    <row r="3107" spans="1:10" x14ac:dyDescent="0.3">
      <c r="A3107" t="s">
        <v>6</v>
      </c>
      <c r="B3107" t="str">
        <f>"04/02/2010 00:00"</f>
        <v>04/02/2010 00:00</v>
      </c>
      <c r="C3107">
        <v>25.2</v>
      </c>
      <c r="D3107" t="s">
        <v>7</v>
      </c>
      <c r="E3107" s="2" t="s">
        <v>12</v>
      </c>
      <c r="F3107">
        <f t="shared" si="48"/>
        <v>49.971600000000002</v>
      </c>
      <c r="G3107" t="s">
        <v>16</v>
      </c>
      <c r="J3107" t="str">
        <f>"04/02/2010 23:45"</f>
        <v>04/02/2010 23:45</v>
      </c>
    </row>
    <row r="3108" spans="1:10" x14ac:dyDescent="0.3">
      <c r="A3108" t="s">
        <v>6</v>
      </c>
      <c r="B3108" t="str">
        <f>"04/03/2010 00:00"</f>
        <v>04/03/2010 00:00</v>
      </c>
      <c r="C3108">
        <v>25.2</v>
      </c>
      <c r="D3108" t="s">
        <v>7</v>
      </c>
      <c r="E3108" s="2" t="s">
        <v>12</v>
      </c>
      <c r="F3108">
        <f t="shared" si="48"/>
        <v>49.971600000000002</v>
      </c>
      <c r="G3108" t="s">
        <v>16</v>
      </c>
      <c r="J3108" t="str">
        <f>"04/03/2010 23:45"</f>
        <v>04/03/2010 23:45</v>
      </c>
    </row>
    <row r="3109" spans="1:10" x14ac:dyDescent="0.3">
      <c r="A3109" t="s">
        <v>6</v>
      </c>
      <c r="B3109" t="str">
        <f>"04/04/2010 00:00"</f>
        <v>04/04/2010 00:00</v>
      </c>
      <c r="C3109">
        <v>25.2</v>
      </c>
      <c r="D3109" t="s">
        <v>7</v>
      </c>
      <c r="E3109" s="2" t="s">
        <v>12</v>
      </c>
      <c r="F3109">
        <f t="shared" si="48"/>
        <v>49.971600000000002</v>
      </c>
      <c r="G3109" t="s">
        <v>16</v>
      </c>
      <c r="J3109" t="str">
        <f>"04/04/2010 23:45"</f>
        <v>04/04/2010 23:45</v>
      </c>
    </row>
    <row r="3110" spans="1:10" x14ac:dyDescent="0.3">
      <c r="A3110" t="s">
        <v>6</v>
      </c>
      <c r="B3110" t="str">
        <f>"04/05/2010 00:00"</f>
        <v>04/05/2010 00:00</v>
      </c>
      <c r="C3110">
        <v>25.2</v>
      </c>
      <c r="D3110" t="s">
        <v>7</v>
      </c>
      <c r="E3110" s="2" t="s">
        <v>12</v>
      </c>
      <c r="F3110">
        <f t="shared" si="48"/>
        <v>49.971600000000002</v>
      </c>
      <c r="G3110" t="s">
        <v>16</v>
      </c>
      <c r="J3110" t="str">
        <f>"04/05/2010 23:45"</f>
        <v>04/05/2010 23:45</v>
      </c>
    </row>
    <row r="3111" spans="1:10" x14ac:dyDescent="0.3">
      <c r="A3111" t="s">
        <v>6</v>
      </c>
      <c r="B3111" t="str">
        <f>"04/06/2010 00:00"</f>
        <v>04/06/2010 00:00</v>
      </c>
      <c r="C3111">
        <v>25.1</v>
      </c>
      <c r="D3111" t="s">
        <v>7</v>
      </c>
      <c r="E3111" s="2" t="s">
        <v>12</v>
      </c>
      <c r="F3111">
        <f t="shared" si="48"/>
        <v>49.773300000000006</v>
      </c>
      <c r="G3111" t="s">
        <v>16</v>
      </c>
      <c r="J3111" t="str">
        <f>"04/06/2010 23:45"</f>
        <v>04/06/2010 23:45</v>
      </c>
    </row>
    <row r="3112" spans="1:10" x14ac:dyDescent="0.3">
      <c r="A3112" t="s">
        <v>6</v>
      </c>
      <c r="B3112" t="str">
        <f>"04/07/2010 00:00"</f>
        <v>04/07/2010 00:00</v>
      </c>
      <c r="C3112">
        <v>25.2</v>
      </c>
      <c r="D3112" t="s">
        <v>7</v>
      </c>
      <c r="E3112" s="2" t="s">
        <v>12</v>
      </c>
      <c r="F3112">
        <f t="shared" si="48"/>
        <v>49.971600000000002</v>
      </c>
      <c r="G3112" t="s">
        <v>16</v>
      </c>
      <c r="J3112" t="str">
        <f>"04/07/2010 23:45"</f>
        <v>04/07/2010 23:45</v>
      </c>
    </row>
    <row r="3113" spans="1:10" x14ac:dyDescent="0.3">
      <c r="A3113" t="s">
        <v>6</v>
      </c>
      <c r="B3113" t="str">
        <f>"04/08/2010 00:00"</f>
        <v>04/08/2010 00:00</v>
      </c>
      <c r="C3113">
        <v>25.2</v>
      </c>
      <c r="D3113" t="s">
        <v>7</v>
      </c>
      <c r="E3113" s="2" t="s">
        <v>12</v>
      </c>
      <c r="F3113">
        <f t="shared" si="48"/>
        <v>49.971600000000002</v>
      </c>
      <c r="G3113" t="s">
        <v>16</v>
      </c>
      <c r="J3113" t="str">
        <f>"04/08/2010 23:45"</f>
        <v>04/08/2010 23:45</v>
      </c>
    </row>
    <row r="3114" spans="1:10" x14ac:dyDescent="0.3">
      <c r="A3114" t="s">
        <v>6</v>
      </c>
      <c r="B3114" t="str">
        <f>"04/09/2010 00:00"</f>
        <v>04/09/2010 00:00</v>
      </c>
      <c r="C3114">
        <v>29.2</v>
      </c>
      <c r="D3114" t="s">
        <v>7</v>
      </c>
      <c r="E3114" s="2" t="s">
        <v>12</v>
      </c>
      <c r="F3114">
        <f t="shared" si="48"/>
        <v>57.903600000000004</v>
      </c>
      <c r="G3114" t="s">
        <v>16</v>
      </c>
      <c r="J3114" t="str">
        <f>"04/09/2010 23:45"</f>
        <v>04/09/2010 23:45</v>
      </c>
    </row>
    <row r="3115" spans="1:10" x14ac:dyDescent="0.3">
      <c r="A3115" t="s">
        <v>6</v>
      </c>
      <c r="B3115" t="str">
        <f>"04/10/2010 00:00"</f>
        <v>04/10/2010 00:00</v>
      </c>
      <c r="C3115">
        <v>31</v>
      </c>
      <c r="D3115" t="s">
        <v>7</v>
      </c>
      <c r="E3115" s="2" t="s">
        <v>12</v>
      </c>
      <c r="F3115">
        <f t="shared" si="48"/>
        <v>61.473000000000006</v>
      </c>
      <c r="G3115" t="s">
        <v>16</v>
      </c>
      <c r="J3115" t="str">
        <f>"04/10/2010 23:45"</f>
        <v>04/10/2010 23:45</v>
      </c>
    </row>
    <row r="3116" spans="1:10" x14ac:dyDescent="0.3">
      <c r="A3116" t="s">
        <v>6</v>
      </c>
      <c r="B3116" t="str">
        <f>"04/11/2010 00:00"</f>
        <v>04/11/2010 00:00</v>
      </c>
      <c r="C3116">
        <v>31</v>
      </c>
      <c r="D3116" t="s">
        <v>7</v>
      </c>
      <c r="E3116" s="2" t="s">
        <v>12</v>
      </c>
      <c r="F3116">
        <f t="shared" si="48"/>
        <v>61.473000000000006</v>
      </c>
      <c r="G3116" t="s">
        <v>16</v>
      </c>
      <c r="J3116" t="str">
        <f>"04/11/2010 23:45"</f>
        <v>04/11/2010 23:45</v>
      </c>
    </row>
    <row r="3117" spans="1:10" x14ac:dyDescent="0.3">
      <c r="A3117" t="s">
        <v>6</v>
      </c>
      <c r="B3117" t="str">
        <f>"04/12/2010 00:00"</f>
        <v>04/12/2010 00:00</v>
      </c>
      <c r="C3117">
        <v>31</v>
      </c>
      <c r="D3117" t="s">
        <v>7</v>
      </c>
      <c r="E3117" s="2" t="s">
        <v>12</v>
      </c>
      <c r="F3117">
        <f t="shared" si="48"/>
        <v>61.473000000000006</v>
      </c>
      <c r="G3117" t="s">
        <v>16</v>
      </c>
      <c r="J3117" t="str">
        <f>"04/12/2010 23:45"</f>
        <v>04/12/2010 23:45</v>
      </c>
    </row>
    <row r="3118" spans="1:10" x14ac:dyDescent="0.3">
      <c r="A3118" t="s">
        <v>6</v>
      </c>
      <c r="B3118" t="str">
        <f>"04/13/2010 00:00"</f>
        <v>04/13/2010 00:00</v>
      </c>
      <c r="C3118">
        <v>31</v>
      </c>
      <c r="D3118" t="s">
        <v>7</v>
      </c>
      <c r="E3118" s="2" t="s">
        <v>12</v>
      </c>
      <c r="F3118">
        <f t="shared" si="48"/>
        <v>61.473000000000006</v>
      </c>
      <c r="G3118" t="s">
        <v>16</v>
      </c>
      <c r="J3118" t="str">
        <f>"04/13/2010 23:45"</f>
        <v>04/13/2010 23:45</v>
      </c>
    </row>
    <row r="3119" spans="1:10" x14ac:dyDescent="0.3">
      <c r="A3119" t="s">
        <v>6</v>
      </c>
      <c r="B3119" t="str">
        <f>"04/14/2010 00:00"</f>
        <v>04/14/2010 00:00</v>
      </c>
      <c r="C3119">
        <v>31</v>
      </c>
      <c r="D3119" t="s">
        <v>7</v>
      </c>
      <c r="E3119" s="2" t="s">
        <v>12</v>
      </c>
      <c r="F3119">
        <f t="shared" si="48"/>
        <v>61.473000000000006</v>
      </c>
      <c r="G3119" t="s">
        <v>16</v>
      </c>
      <c r="J3119" t="str">
        <f>"04/14/2010 23:45"</f>
        <v>04/14/2010 23:45</v>
      </c>
    </row>
    <row r="3120" spans="1:10" x14ac:dyDescent="0.3">
      <c r="A3120" t="s">
        <v>6</v>
      </c>
      <c r="B3120" t="str">
        <f>"04/15/2010 00:00"</f>
        <v>04/15/2010 00:00</v>
      </c>
      <c r="C3120">
        <v>42.8</v>
      </c>
      <c r="D3120" t="s">
        <v>7</v>
      </c>
      <c r="E3120" s="2" t="s">
        <v>12</v>
      </c>
      <c r="F3120">
        <f t="shared" si="48"/>
        <v>84.872399999999999</v>
      </c>
      <c r="G3120" t="s">
        <v>16</v>
      </c>
      <c r="J3120" t="str">
        <f>"04/15/2010 23:45"</f>
        <v>04/15/2010 23:45</v>
      </c>
    </row>
    <row r="3121" spans="1:10" x14ac:dyDescent="0.3">
      <c r="A3121" t="s">
        <v>6</v>
      </c>
      <c r="B3121" t="str">
        <f>"04/16/2010 00:00"</f>
        <v>04/16/2010 00:00</v>
      </c>
      <c r="C3121">
        <v>88.9</v>
      </c>
      <c r="D3121" t="s">
        <v>7</v>
      </c>
      <c r="E3121" s="2" t="s">
        <v>12</v>
      </c>
      <c r="F3121">
        <f t="shared" si="48"/>
        <v>176.28870000000001</v>
      </c>
      <c r="G3121" t="s">
        <v>16</v>
      </c>
      <c r="J3121" t="str">
        <f>"04/16/2010 23:45"</f>
        <v>04/16/2010 23:45</v>
      </c>
    </row>
    <row r="3122" spans="1:10" x14ac:dyDescent="0.3">
      <c r="A3122" t="s">
        <v>6</v>
      </c>
      <c r="B3122" t="str">
        <f>"04/17/2010 00:00"</f>
        <v>04/17/2010 00:00</v>
      </c>
      <c r="C3122">
        <v>117</v>
      </c>
      <c r="D3122" t="s">
        <v>7</v>
      </c>
      <c r="E3122" s="2" t="s">
        <v>12</v>
      </c>
      <c r="F3122">
        <f t="shared" si="48"/>
        <v>232.01100000000002</v>
      </c>
      <c r="G3122" t="s">
        <v>16</v>
      </c>
      <c r="J3122" t="str">
        <f>"04/17/2010 23:45"</f>
        <v>04/17/2010 23:45</v>
      </c>
    </row>
    <row r="3123" spans="1:10" x14ac:dyDescent="0.3">
      <c r="A3123" t="s">
        <v>6</v>
      </c>
      <c r="B3123" t="str">
        <f>"04/18/2010 00:00"</f>
        <v>04/18/2010 00:00</v>
      </c>
      <c r="C3123">
        <v>128</v>
      </c>
      <c r="D3123" t="s">
        <v>7</v>
      </c>
      <c r="E3123" s="2" t="s">
        <v>12</v>
      </c>
      <c r="F3123">
        <f t="shared" si="48"/>
        <v>253.82400000000001</v>
      </c>
      <c r="G3123" t="s">
        <v>16</v>
      </c>
      <c r="J3123" t="str">
        <f>"04/18/2010 23:45"</f>
        <v>04/18/2010 23:45</v>
      </c>
    </row>
    <row r="3124" spans="1:10" x14ac:dyDescent="0.3">
      <c r="A3124" t="s">
        <v>6</v>
      </c>
      <c r="B3124" t="str">
        <f>"04/19/2010 00:00"</f>
        <v>04/19/2010 00:00</v>
      </c>
      <c r="C3124">
        <v>140</v>
      </c>
      <c r="D3124" t="s">
        <v>7</v>
      </c>
      <c r="E3124" s="2" t="s">
        <v>12</v>
      </c>
      <c r="F3124">
        <f t="shared" si="48"/>
        <v>277.62</v>
      </c>
      <c r="G3124" t="s">
        <v>16</v>
      </c>
      <c r="J3124" t="str">
        <f>"04/19/2010 23:45"</f>
        <v>04/19/2010 23:45</v>
      </c>
    </row>
    <row r="3125" spans="1:10" x14ac:dyDescent="0.3">
      <c r="A3125" t="s">
        <v>6</v>
      </c>
      <c r="B3125" t="str">
        <f>"04/20/2010 00:00"</f>
        <v>04/20/2010 00:00</v>
      </c>
      <c r="C3125">
        <v>140</v>
      </c>
      <c r="D3125" t="s">
        <v>7</v>
      </c>
      <c r="E3125" s="2" t="s">
        <v>12</v>
      </c>
      <c r="F3125">
        <f t="shared" si="48"/>
        <v>277.62</v>
      </c>
      <c r="G3125" t="s">
        <v>16</v>
      </c>
      <c r="J3125" t="str">
        <f>"04/20/2010 23:45"</f>
        <v>04/20/2010 23:45</v>
      </c>
    </row>
    <row r="3126" spans="1:10" x14ac:dyDescent="0.3">
      <c r="A3126" t="s">
        <v>6</v>
      </c>
      <c r="B3126" t="str">
        <f>"04/21/2010 00:00"</f>
        <v>04/21/2010 00:00</v>
      </c>
      <c r="C3126">
        <v>141</v>
      </c>
      <c r="D3126" t="s">
        <v>7</v>
      </c>
      <c r="E3126" s="2" t="s">
        <v>12</v>
      </c>
      <c r="F3126">
        <f t="shared" si="48"/>
        <v>279.60300000000001</v>
      </c>
      <c r="G3126" t="s">
        <v>16</v>
      </c>
      <c r="J3126" t="str">
        <f>"04/21/2010 23:45"</f>
        <v>04/21/2010 23:45</v>
      </c>
    </row>
    <row r="3127" spans="1:10" x14ac:dyDescent="0.3">
      <c r="A3127" t="s">
        <v>6</v>
      </c>
      <c r="B3127" t="str">
        <f>"04/22/2010 00:00"</f>
        <v>04/22/2010 00:00</v>
      </c>
      <c r="C3127">
        <v>76.400000000000006</v>
      </c>
      <c r="D3127" t="s">
        <v>7</v>
      </c>
      <c r="E3127" s="2" t="s">
        <v>12</v>
      </c>
      <c r="F3127">
        <f t="shared" si="48"/>
        <v>151.50120000000001</v>
      </c>
      <c r="G3127" t="s">
        <v>16</v>
      </c>
      <c r="J3127" t="str">
        <f>"04/22/2010 23:45"</f>
        <v>04/22/2010 23:45</v>
      </c>
    </row>
    <row r="3128" spans="1:10" x14ac:dyDescent="0.3">
      <c r="A3128" t="s">
        <v>6</v>
      </c>
      <c r="B3128" t="str">
        <f>"04/23/2010 00:00"</f>
        <v>04/23/2010 00:00</v>
      </c>
      <c r="C3128">
        <v>2.77</v>
      </c>
      <c r="D3128" t="s">
        <v>7</v>
      </c>
      <c r="E3128" s="2" t="s">
        <v>12</v>
      </c>
      <c r="F3128">
        <f t="shared" si="48"/>
        <v>5.4929100000000002</v>
      </c>
      <c r="G3128" t="s">
        <v>16</v>
      </c>
      <c r="J3128" t="str">
        <f>"04/23/2010 23:45"</f>
        <v>04/23/2010 23:45</v>
      </c>
    </row>
    <row r="3129" spans="1:10" x14ac:dyDescent="0.3">
      <c r="A3129" t="s">
        <v>6</v>
      </c>
      <c r="B3129" t="str">
        <f>"04/24/2010 00:00"</f>
        <v>04/24/2010 00:00</v>
      </c>
      <c r="C3129">
        <v>2.91</v>
      </c>
      <c r="D3129" t="s">
        <v>7</v>
      </c>
      <c r="E3129" s="2" t="s">
        <v>12</v>
      </c>
      <c r="F3129">
        <f t="shared" si="48"/>
        <v>5.7705300000000008</v>
      </c>
      <c r="G3129" t="s">
        <v>16</v>
      </c>
      <c r="J3129" t="str">
        <f>"04/24/2010 23:45"</f>
        <v>04/24/2010 23:45</v>
      </c>
    </row>
    <row r="3130" spans="1:10" x14ac:dyDescent="0.3">
      <c r="A3130" t="s">
        <v>6</v>
      </c>
      <c r="B3130" t="str">
        <f>"04/25/2010 00:00"</f>
        <v>04/25/2010 00:00</v>
      </c>
      <c r="C3130">
        <v>2.91</v>
      </c>
      <c r="D3130" t="s">
        <v>7</v>
      </c>
      <c r="E3130" s="2" t="s">
        <v>12</v>
      </c>
      <c r="F3130">
        <f t="shared" si="48"/>
        <v>5.7705300000000008</v>
      </c>
      <c r="G3130" t="s">
        <v>16</v>
      </c>
      <c r="J3130" t="str">
        <f>"04/25/2010 23:45"</f>
        <v>04/25/2010 23:45</v>
      </c>
    </row>
    <row r="3131" spans="1:10" x14ac:dyDescent="0.3">
      <c r="A3131" t="s">
        <v>6</v>
      </c>
      <c r="B3131" t="str">
        <f>"04/26/2010 00:00"</f>
        <v>04/26/2010 00:00</v>
      </c>
      <c r="C3131">
        <v>2.91</v>
      </c>
      <c r="D3131" t="s">
        <v>7</v>
      </c>
      <c r="E3131" s="2" t="s">
        <v>12</v>
      </c>
      <c r="F3131">
        <f t="shared" si="48"/>
        <v>5.7705300000000008</v>
      </c>
      <c r="G3131" t="s">
        <v>16</v>
      </c>
      <c r="J3131" t="str">
        <f>"04/26/2010 23:45"</f>
        <v>04/26/2010 23:45</v>
      </c>
    </row>
    <row r="3132" spans="1:10" x14ac:dyDescent="0.3">
      <c r="A3132" t="s">
        <v>6</v>
      </c>
      <c r="B3132" t="str">
        <f>"04/27/2010 00:00"</f>
        <v>04/27/2010 00:00</v>
      </c>
      <c r="C3132">
        <v>2.91</v>
      </c>
      <c r="D3132" t="s">
        <v>7</v>
      </c>
      <c r="E3132" s="2" t="s">
        <v>12</v>
      </c>
      <c r="F3132">
        <f t="shared" si="48"/>
        <v>5.7705300000000008</v>
      </c>
      <c r="G3132" t="s">
        <v>16</v>
      </c>
      <c r="J3132" t="str">
        <f>"04/27/2010 23:45"</f>
        <v>04/27/2010 23:45</v>
      </c>
    </row>
    <row r="3133" spans="1:10" x14ac:dyDescent="0.3">
      <c r="A3133" t="s">
        <v>6</v>
      </c>
      <c r="B3133" t="str">
        <f>"04/28/2010 00:00"</f>
        <v>04/28/2010 00:00</v>
      </c>
      <c r="C3133">
        <v>2.91</v>
      </c>
      <c r="D3133" t="s">
        <v>7</v>
      </c>
      <c r="E3133" s="2" t="s">
        <v>12</v>
      </c>
      <c r="F3133">
        <f t="shared" si="48"/>
        <v>5.7705300000000008</v>
      </c>
      <c r="G3133" t="s">
        <v>16</v>
      </c>
      <c r="J3133" t="str">
        <f>"04/28/2010 23:45"</f>
        <v>04/28/2010 23:45</v>
      </c>
    </row>
    <row r="3134" spans="1:10" x14ac:dyDescent="0.3">
      <c r="A3134" t="s">
        <v>6</v>
      </c>
      <c r="B3134" t="str">
        <f>"04/29/2010 00:00"</f>
        <v>04/29/2010 00:00</v>
      </c>
      <c r="C3134">
        <v>2.91</v>
      </c>
      <c r="D3134" t="s">
        <v>7</v>
      </c>
      <c r="E3134" s="2" t="s">
        <v>12</v>
      </c>
      <c r="F3134">
        <f t="shared" si="48"/>
        <v>5.7705300000000008</v>
      </c>
      <c r="G3134" t="s">
        <v>16</v>
      </c>
      <c r="J3134" t="str">
        <f>"04/29/2010 23:45"</f>
        <v>04/29/2010 23:45</v>
      </c>
    </row>
    <row r="3135" spans="1:10" x14ac:dyDescent="0.3">
      <c r="A3135" t="s">
        <v>6</v>
      </c>
      <c r="B3135" t="str">
        <f>"04/30/2010 00:00"</f>
        <v>04/30/2010 00:00</v>
      </c>
      <c r="C3135">
        <v>3.06</v>
      </c>
      <c r="D3135" t="s">
        <v>7</v>
      </c>
      <c r="E3135" s="2" t="s">
        <v>12</v>
      </c>
      <c r="F3135">
        <f t="shared" si="48"/>
        <v>6.0679800000000004</v>
      </c>
      <c r="G3135" t="s">
        <v>16</v>
      </c>
      <c r="J3135" t="str">
        <f>"04/30/2010 23:45"</f>
        <v>04/30/2010 23:45</v>
      </c>
    </row>
    <row r="3136" spans="1:10" x14ac:dyDescent="0.3">
      <c r="A3136" t="s">
        <v>6</v>
      </c>
      <c r="B3136" t="str">
        <f>"05/01/2010 00:00"</f>
        <v>05/01/2010 00:00</v>
      </c>
      <c r="C3136">
        <v>3.28</v>
      </c>
      <c r="D3136" t="s">
        <v>7</v>
      </c>
      <c r="E3136" s="2" t="s">
        <v>12</v>
      </c>
      <c r="F3136">
        <f t="shared" si="48"/>
        <v>6.5042400000000002</v>
      </c>
      <c r="G3136" t="s">
        <v>16</v>
      </c>
      <c r="J3136" t="str">
        <f>"05/01/2010 23:45"</f>
        <v>05/01/2010 23:45</v>
      </c>
    </row>
    <row r="3137" spans="1:10" x14ac:dyDescent="0.3">
      <c r="A3137" t="s">
        <v>6</v>
      </c>
      <c r="B3137" t="str">
        <f>"05/02/2010 00:00"</f>
        <v>05/02/2010 00:00</v>
      </c>
      <c r="C3137">
        <v>3.28</v>
      </c>
      <c r="D3137" t="s">
        <v>7</v>
      </c>
      <c r="E3137" s="2" t="s">
        <v>12</v>
      </c>
      <c r="F3137">
        <f t="shared" si="48"/>
        <v>6.5042400000000002</v>
      </c>
      <c r="G3137" t="s">
        <v>16</v>
      </c>
      <c r="J3137" t="str">
        <f>"05/02/2010 23:45"</f>
        <v>05/02/2010 23:45</v>
      </c>
    </row>
    <row r="3138" spans="1:10" x14ac:dyDescent="0.3">
      <c r="A3138" t="s">
        <v>6</v>
      </c>
      <c r="B3138" t="str">
        <f>"05/03/2010 00:00"</f>
        <v>05/03/2010 00:00</v>
      </c>
      <c r="C3138">
        <v>3.26</v>
      </c>
      <c r="D3138" t="s">
        <v>7</v>
      </c>
      <c r="E3138" s="2" t="s">
        <v>12</v>
      </c>
      <c r="F3138">
        <f t="shared" si="48"/>
        <v>6.4645799999999998</v>
      </c>
      <c r="G3138" t="s">
        <v>16</v>
      </c>
      <c r="J3138" t="str">
        <f>"05/03/2010 23:45"</f>
        <v>05/03/2010 23:45</v>
      </c>
    </row>
    <row r="3139" spans="1:10" x14ac:dyDescent="0.3">
      <c r="A3139" t="s">
        <v>6</v>
      </c>
      <c r="B3139" t="str">
        <f>"05/04/2010 00:00"</f>
        <v>05/04/2010 00:00</v>
      </c>
      <c r="C3139">
        <v>3.13</v>
      </c>
      <c r="D3139" t="s">
        <v>7</v>
      </c>
      <c r="E3139" s="2" t="s">
        <v>12</v>
      </c>
      <c r="F3139">
        <f t="shared" si="48"/>
        <v>6.2067899999999998</v>
      </c>
      <c r="G3139" t="s">
        <v>16</v>
      </c>
      <c r="J3139" t="str">
        <f>"05/04/2010 23:45"</f>
        <v>05/04/2010 23:45</v>
      </c>
    </row>
    <row r="3140" spans="1:10" x14ac:dyDescent="0.3">
      <c r="A3140" t="s">
        <v>6</v>
      </c>
      <c r="B3140" t="str">
        <f>"05/05/2010 00:00"</f>
        <v>05/05/2010 00:00</v>
      </c>
      <c r="C3140">
        <v>3.23</v>
      </c>
      <c r="D3140" t="s">
        <v>7</v>
      </c>
      <c r="E3140" s="2" t="s">
        <v>12</v>
      </c>
      <c r="F3140">
        <f t="shared" ref="F3140:F3203" si="49">C3140*1.983</f>
        <v>6.4050900000000004</v>
      </c>
      <c r="G3140" t="s">
        <v>16</v>
      </c>
      <c r="J3140" t="str">
        <f>"05/05/2010 23:45"</f>
        <v>05/05/2010 23:45</v>
      </c>
    </row>
    <row r="3141" spans="1:10" x14ac:dyDescent="0.3">
      <c r="A3141" t="s">
        <v>6</v>
      </c>
      <c r="B3141" t="str">
        <f>"05/06/2010 00:00"</f>
        <v>05/06/2010 00:00</v>
      </c>
      <c r="C3141">
        <v>3.27</v>
      </c>
      <c r="D3141" t="s">
        <v>7</v>
      </c>
      <c r="E3141" s="2" t="s">
        <v>12</v>
      </c>
      <c r="F3141">
        <f t="shared" si="49"/>
        <v>6.4844100000000005</v>
      </c>
      <c r="G3141" t="s">
        <v>16</v>
      </c>
      <c r="J3141" t="str">
        <f>"05/06/2010 23:45"</f>
        <v>05/06/2010 23:45</v>
      </c>
    </row>
    <row r="3142" spans="1:10" x14ac:dyDescent="0.3">
      <c r="A3142" t="s">
        <v>6</v>
      </c>
      <c r="B3142" t="str">
        <f>"05/07/2010 00:00"</f>
        <v>05/07/2010 00:00</v>
      </c>
      <c r="C3142">
        <v>3.28</v>
      </c>
      <c r="D3142" t="s">
        <v>7</v>
      </c>
      <c r="E3142" s="2" t="s">
        <v>12</v>
      </c>
      <c r="F3142">
        <f t="shared" si="49"/>
        <v>6.5042400000000002</v>
      </c>
      <c r="G3142" t="s">
        <v>16</v>
      </c>
      <c r="J3142" t="str">
        <f>"05/07/2010 23:45"</f>
        <v>05/07/2010 23:45</v>
      </c>
    </row>
    <row r="3143" spans="1:10" x14ac:dyDescent="0.3">
      <c r="A3143" t="s">
        <v>6</v>
      </c>
      <c r="B3143" t="str">
        <f>"05/08/2010 00:00"</f>
        <v>05/08/2010 00:00</v>
      </c>
      <c r="C3143">
        <v>3.28</v>
      </c>
      <c r="D3143" t="s">
        <v>7</v>
      </c>
      <c r="E3143" s="2" t="s">
        <v>12</v>
      </c>
      <c r="F3143">
        <f t="shared" si="49"/>
        <v>6.5042400000000002</v>
      </c>
      <c r="G3143" t="s">
        <v>16</v>
      </c>
      <c r="J3143" t="str">
        <f>"05/08/2010 23:45"</f>
        <v>05/08/2010 23:45</v>
      </c>
    </row>
    <row r="3144" spans="1:10" x14ac:dyDescent="0.3">
      <c r="A3144" t="s">
        <v>6</v>
      </c>
      <c r="B3144" t="str">
        <f>"05/09/2010 00:00"</f>
        <v>05/09/2010 00:00</v>
      </c>
      <c r="C3144">
        <v>3.28</v>
      </c>
      <c r="D3144" t="s">
        <v>7</v>
      </c>
      <c r="E3144" s="2" t="s">
        <v>12</v>
      </c>
      <c r="F3144">
        <f t="shared" si="49"/>
        <v>6.5042400000000002</v>
      </c>
      <c r="G3144" t="s">
        <v>16</v>
      </c>
      <c r="J3144" t="str">
        <f>"05/09/2010 23:45"</f>
        <v>05/09/2010 23:45</v>
      </c>
    </row>
    <row r="3145" spans="1:10" x14ac:dyDescent="0.3">
      <c r="A3145" t="s">
        <v>6</v>
      </c>
      <c r="B3145" t="str">
        <f>"05/10/2010 00:00"</f>
        <v>05/10/2010 00:00</v>
      </c>
      <c r="C3145">
        <v>3.28</v>
      </c>
      <c r="D3145" t="s">
        <v>7</v>
      </c>
      <c r="E3145" s="2" t="s">
        <v>12</v>
      </c>
      <c r="F3145">
        <f t="shared" si="49"/>
        <v>6.5042400000000002</v>
      </c>
      <c r="G3145" t="s">
        <v>16</v>
      </c>
      <c r="J3145" t="str">
        <f>"05/10/2010 23:45"</f>
        <v>05/10/2010 23:45</v>
      </c>
    </row>
    <row r="3146" spans="1:10" x14ac:dyDescent="0.3">
      <c r="A3146" t="s">
        <v>6</v>
      </c>
      <c r="B3146" t="str">
        <f>"05/11/2010 00:00"</f>
        <v>05/11/2010 00:00</v>
      </c>
      <c r="C3146">
        <v>3.28</v>
      </c>
      <c r="D3146" t="s">
        <v>7</v>
      </c>
      <c r="E3146" s="2" t="s">
        <v>12</v>
      </c>
      <c r="F3146">
        <f t="shared" si="49"/>
        <v>6.5042400000000002</v>
      </c>
      <c r="G3146" t="s">
        <v>16</v>
      </c>
      <c r="J3146" t="str">
        <f>"05/11/2010 23:45"</f>
        <v>05/11/2010 23:45</v>
      </c>
    </row>
    <row r="3147" spans="1:10" x14ac:dyDescent="0.3">
      <c r="A3147" t="s">
        <v>6</v>
      </c>
      <c r="B3147" t="str">
        <f>"05/12/2010 00:00"</f>
        <v>05/12/2010 00:00</v>
      </c>
      <c r="C3147">
        <v>3.28</v>
      </c>
      <c r="D3147" t="s">
        <v>7</v>
      </c>
      <c r="E3147" s="2" t="s">
        <v>12</v>
      </c>
      <c r="F3147">
        <f t="shared" si="49"/>
        <v>6.5042400000000002</v>
      </c>
      <c r="G3147" t="s">
        <v>16</v>
      </c>
      <c r="J3147" t="str">
        <f>"05/12/2010 23:45"</f>
        <v>05/12/2010 23:45</v>
      </c>
    </row>
    <row r="3148" spans="1:10" x14ac:dyDescent="0.3">
      <c r="A3148" t="s">
        <v>6</v>
      </c>
      <c r="B3148" t="str">
        <f>"05/13/2010 00:00"</f>
        <v>05/13/2010 00:00</v>
      </c>
      <c r="C3148">
        <v>3.28</v>
      </c>
      <c r="D3148" t="s">
        <v>7</v>
      </c>
      <c r="E3148" s="2" t="s">
        <v>12</v>
      </c>
      <c r="F3148">
        <f t="shared" si="49"/>
        <v>6.5042400000000002</v>
      </c>
      <c r="G3148" t="s">
        <v>16</v>
      </c>
      <c r="J3148" t="str">
        <f>"05/13/2010 23:45"</f>
        <v>05/13/2010 23:45</v>
      </c>
    </row>
    <row r="3149" spans="1:10" x14ac:dyDescent="0.3">
      <c r="A3149" t="s">
        <v>6</v>
      </c>
      <c r="B3149" t="str">
        <f>"05/14/2010 00:00"</f>
        <v>05/14/2010 00:00</v>
      </c>
      <c r="C3149">
        <v>2.88</v>
      </c>
      <c r="D3149" t="s">
        <v>7</v>
      </c>
      <c r="E3149" s="2" t="s">
        <v>12</v>
      </c>
      <c r="F3149">
        <f t="shared" si="49"/>
        <v>5.7110399999999997</v>
      </c>
      <c r="G3149" t="s">
        <v>16</v>
      </c>
      <c r="J3149" t="str">
        <f>"05/14/2010 23:45"</f>
        <v>05/14/2010 23:45</v>
      </c>
    </row>
    <row r="3150" spans="1:10" x14ac:dyDescent="0.3">
      <c r="A3150" t="s">
        <v>6</v>
      </c>
      <c r="B3150" t="str">
        <f>"05/15/2010 00:00"</f>
        <v>05/15/2010 00:00</v>
      </c>
      <c r="C3150">
        <v>2.84</v>
      </c>
      <c r="D3150" t="s">
        <v>7</v>
      </c>
      <c r="E3150" s="2" t="s">
        <v>12</v>
      </c>
      <c r="F3150">
        <f t="shared" si="49"/>
        <v>5.6317199999999996</v>
      </c>
      <c r="G3150" t="s">
        <v>16</v>
      </c>
      <c r="J3150" t="str">
        <f>"05/15/2010 23:45"</f>
        <v>05/15/2010 23:45</v>
      </c>
    </row>
    <row r="3151" spans="1:10" x14ac:dyDescent="0.3">
      <c r="A3151" t="s">
        <v>6</v>
      </c>
      <c r="B3151" t="str">
        <f>"05/16/2010 00:00"</f>
        <v>05/16/2010 00:00</v>
      </c>
      <c r="C3151">
        <v>2.91</v>
      </c>
      <c r="D3151" t="s">
        <v>7</v>
      </c>
      <c r="E3151" s="2" t="s">
        <v>12</v>
      </c>
      <c r="F3151">
        <f t="shared" si="49"/>
        <v>5.7705300000000008</v>
      </c>
      <c r="G3151" t="s">
        <v>16</v>
      </c>
      <c r="J3151" t="str">
        <f>"05/16/2010 23:45"</f>
        <v>05/16/2010 23:45</v>
      </c>
    </row>
    <row r="3152" spans="1:10" x14ac:dyDescent="0.3">
      <c r="A3152" t="s">
        <v>6</v>
      </c>
      <c r="B3152" t="str">
        <f>"05/17/2010 00:00"</f>
        <v>05/17/2010 00:00</v>
      </c>
      <c r="C3152">
        <v>2.48</v>
      </c>
      <c r="D3152" t="s">
        <v>7</v>
      </c>
      <c r="E3152" s="2" t="s">
        <v>12</v>
      </c>
      <c r="F3152">
        <f t="shared" si="49"/>
        <v>4.91784</v>
      </c>
      <c r="G3152" t="s">
        <v>16</v>
      </c>
      <c r="J3152" t="str">
        <f>"05/17/2010 23:45"</f>
        <v>05/17/2010 23:45</v>
      </c>
    </row>
    <row r="3153" spans="1:10" x14ac:dyDescent="0.3">
      <c r="A3153" t="s">
        <v>6</v>
      </c>
      <c r="B3153" t="str">
        <f>"05/18/2010 00:00"</f>
        <v>05/18/2010 00:00</v>
      </c>
      <c r="C3153">
        <v>2.79</v>
      </c>
      <c r="D3153" t="s">
        <v>7</v>
      </c>
      <c r="E3153" s="2" t="s">
        <v>12</v>
      </c>
      <c r="F3153">
        <f t="shared" si="49"/>
        <v>5.5325700000000007</v>
      </c>
      <c r="G3153" t="s">
        <v>16</v>
      </c>
      <c r="J3153" t="str">
        <f>"05/18/2010 23:45"</f>
        <v>05/18/2010 23:45</v>
      </c>
    </row>
    <row r="3154" spans="1:10" x14ac:dyDescent="0.3">
      <c r="A3154" t="s">
        <v>6</v>
      </c>
      <c r="B3154" t="str">
        <f>"05/19/2010 00:00"</f>
        <v>05/19/2010 00:00</v>
      </c>
      <c r="C3154">
        <v>2.91</v>
      </c>
      <c r="D3154" t="s">
        <v>7</v>
      </c>
      <c r="E3154" s="2" t="s">
        <v>12</v>
      </c>
      <c r="F3154">
        <f t="shared" si="49"/>
        <v>5.7705300000000008</v>
      </c>
      <c r="G3154" t="s">
        <v>16</v>
      </c>
      <c r="J3154" t="str">
        <f>"05/19/2010 23:45"</f>
        <v>05/19/2010 23:45</v>
      </c>
    </row>
    <row r="3155" spans="1:10" x14ac:dyDescent="0.3">
      <c r="A3155" t="s">
        <v>6</v>
      </c>
      <c r="B3155" t="str">
        <f>"05/20/2010 00:00"</f>
        <v>05/20/2010 00:00</v>
      </c>
      <c r="C3155">
        <v>2.91</v>
      </c>
      <c r="D3155" t="s">
        <v>7</v>
      </c>
      <c r="E3155" s="2" t="s">
        <v>12</v>
      </c>
      <c r="F3155">
        <f t="shared" si="49"/>
        <v>5.7705300000000008</v>
      </c>
      <c r="G3155" t="s">
        <v>16</v>
      </c>
      <c r="J3155" t="str">
        <f>"05/20/2010 23:45"</f>
        <v>05/20/2010 23:45</v>
      </c>
    </row>
    <row r="3156" spans="1:10" x14ac:dyDescent="0.3">
      <c r="A3156" t="s">
        <v>6</v>
      </c>
      <c r="B3156" t="str">
        <f>"05/21/2010 00:00"</f>
        <v>05/21/2010 00:00</v>
      </c>
      <c r="C3156">
        <v>3.08</v>
      </c>
      <c r="D3156" t="s">
        <v>7</v>
      </c>
      <c r="E3156" s="2" t="s">
        <v>12</v>
      </c>
      <c r="F3156">
        <f t="shared" si="49"/>
        <v>6.1076400000000008</v>
      </c>
      <c r="G3156" t="s">
        <v>16</v>
      </c>
      <c r="J3156" t="str">
        <f>"05/21/2010 23:45"</f>
        <v>05/21/2010 23:45</v>
      </c>
    </row>
    <row r="3157" spans="1:10" x14ac:dyDescent="0.3">
      <c r="A3157" t="s">
        <v>6</v>
      </c>
      <c r="B3157" t="str">
        <f>"05/22/2010 00:00"</f>
        <v>05/22/2010 00:00</v>
      </c>
      <c r="C3157">
        <v>3.15</v>
      </c>
      <c r="D3157" t="s">
        <v>7</v>
      </c>
      <c r="E3157" s="2" t="s">
        <v>12</v>
      </c>
      <c r="F3157">
        <f t="shared" si="49"/>
        <v>6.2464500000000003</v>
      </c>
      <c r="G3157" t="s">
        <v>16</v>
      </c>
      <c r="J3157" t="str">
        <f>"05/22/2010 23:45"</f>
        <v>05/22/2010 23:45</v>
      </c>
    </row>
    <row r="3158" spans="1:10" x14ac:dyDescent="0.3">
      <c r="A3158" t="s">
        <v>6</v>
      </c>
      <c r="B3158" t="str">
        <f>"05/23/2010 00:00"</f>
        <v>05/23/2010 00:00</v>
      </c>
      <c r="C3158">
        <v>3.28</v>
      </c>
      <c r="D3158" t="s">
        <v>7</v>
      </c>
      <c r="E3158" s="2" t="s">
        <v>12</v>
      </c>
      <c r="F3158">
        <f t="shared" si="49"/>
        <v>6.5042400000000002</v>
      </c>
      <c r="G3158" t="s">
        <v>16</v>
      </c>
      <c r="J3158" t="str">
        <f>"05/23/2010 23:45"</f>
        <v>05/23/2010 23:45</v>
      </c>
    </row>
    <row r="3159" spans="1:10" x14ac:dyDescent="0.3">
      <c r="A3159" t="s">
        <v>6</v>
      </c>
      <c r="B3159" t="str">
        <f>"05/24/2010 00:00"</f>
        <v>05/24/2010 00:00</v>
      </c>
      <c r="C3159">
        <v>2.71</v>
      </c>
      <c r="D3159" t="s">
        <v>7</v>
      </c>
      <c r="E3159" s="2" t="s">
        <v>12</v>
      </c>
      <c r="F3159">
        <f t="shared" si="49"/>
        <v>5.3739300000000005</v>
      </c>
      <c r="G3159" t="s">
        <v>16</v>
      </c>
      <c r="J3159" t="str">
        <f>"05/24/2010 23:45"</f>
        <v>05/24/2010 23:45</v>
      </c>
    </row>
    <row r="3160" spans="1:10" x14ac:dyDescent="0.3">
      <c r="A3160" t="s">
        <v>6</v>
      </c>
      <c r="B3160" t="str">
        <f>"05/25/2010 00:00"</f>
        <v>05/25/2010 00:00</v>
      </c>
      <c r="C3160">
        <v>2.91</v>
      </c>
      <c r="D3160" t="s">
        <v>7</v>
      </c>
      <c r="E3160" s="2" t="s">
        <v>12</v>
      </c>
      <c r="F3160">
        <f t="shared" si="49"/>
        <v>5.7705300000000008</v>
      </c>
      <c r="G3160" t="s">
        <v>16</v>
      </c>
      <c r="J3160" t="str">
        <f>"05/25/2010 23:45"</f>
        <v>05/25/2010 23:45</v>
      </c>
    </row>
    <row r="3161" spans="1:10" x14ac:dyDescent="0.3">
      <c r="A3161" t="s">
        <v>6</v>
      </c>
      <c r="B3161" t="str">
        <f>"05/26/2010 00:00"</f>
        <v>05/26/2010 00:00</v>
      </c>
      <c r="C3161">
        <v>2.92</v>
      </c>
      <c r="D3161" t="s">
        <v>7</v>
      </c>
      <c r="E3161" s="2" t="s">
        <v>12</v>
      </c>
      <c r="F3161">
        <f t="shared" si="49"/>
        <v>5.7903599999999997</v>
      </c>
      <c r="G3161" t="s">
        <v>16</v>
      </c>
      <c r="J3161" t="str">
        <f>"05/26/2010 23:45"</f>
        <v>05/26/2010 23:45</v>
      </c>
    </row>
    <row r="3162" spans="1:10" x14ac:dyDescent="0.3">
      <c r="A3162" t="s">
        <v>6</v>
      </c>
      <c r="B3162" t="str">
        <f>"05/27/2010 00:00"</f>
        <v>05/27/2010 00:00</v>
      </c>
      <c r="C3162">
        <v>3.26</v>
      </c>
      <c r="D3162" t="s">
        <v>7</v>
      </c>
      <c r="E3162" s="2" t="s">
        <v>12</v>
      </c>
      <c r="F3162">
        <f t="shared" si="49"/>
        <v>6.4645799999999998</v>
      </c>
      <c r="G3162" t="s">
        <v>16</v>
      </c>
      <c r="J3162" t="str">
        <f>"05/27/2010 23:45"</f>
        <v>05/27/2010 23:45</v>
      </c>
    </row>
    <row r="3163" spans="1:10" x14ac:dyDescent="0.3">
      <c r="A3163" t="s">
        <v>6</v>
      </c>
      <c r="B3163" t="str">
        <f>"05/28/2010 00:00"</f>
        <v>05/28/2010 00:00</v>
      </c>
      <c r="C3163">
        <v>3.28</v>
      </c>
      <c r="D3163" t="s">
        <v>7</v>
      </c>
      <c r="E3163" s="2" t="s">
        <v>12</v>
      </c>
      <c r="F3163">
        <f t="shared" si="49"/>
        <v>6.5042400000000002</v>
      </c>
      <c r="G3163" t="s">
        <v>16</v>
      </c>
      <c r="J3163" t="str">
        <f>"05/28/2010 23:45"</f>
        <v>05/28/2010 23:45</v>
      </c>
    </row>
    <row r="3164" spans="1:10" x14ac:dyDescent="0.3">
      <c r="A3164" t="s">
        <v>6</v>
      </c>
      <c r="B3164" t="str">
        <f>"05/29/2010 00:00"</f>
        <v>05/29/2010 00:00</v>
      </c>
      <c r="C3164">
        <v>2.78</v>
      </c>
      <c r="D3164" t="s">
        <v>7</v>
      </c>
      <c r="E3164" s="2" t="s">
        <v>12</v>
      </c>
      <c r="F3164">
        <f t="shared" si="49"/>
        <v>5.51274</v>
      </c>
      <c r="G3164" t="s">
        <v>16</v>
      </c>
      <c r="J3164" t="str">
        <f>"05/29/2010 23:45"</f>
        <v>05/29/2010 23:45</v>
      </c>
    </row>
    <row r="3165" spans="1:10" x14ac:dyDescent="0.3">
      <c r="A3165" t="s">
        <v>6</v>
      </c>
      <c r="B3165" t="str">
        <f>"05/30/2010 00:00"</f>
        <v>05/30/2010 00:00</v>
      </c>
      <c r="C3165">
        <v>2.88</v>
      </c>
      <c r="D3165" t="s">
        <v>7</v>
      </c>
      <c r="E3165" s="2" t="s">
        <v>12</v>
      </c>
      <c r="F3165">
        <f t="shared" si="49"/>
        <v>5.7110399999999997</v>
      </c>
      <c r="G3165" t="s">
        <v>16</v>
      </c>
      <c r="J3165" t="str">
        <f>"05/30/2010 23:45"</f>
        <v>05/30/2010 23:45</v>
      </c>
    </row>
    <row r="3166" spans="1:10" x14ac:dyDescent="0.3">
      <c r="A3166" t="s">
        <v>6</v>
      </c>
      <c r="B3166" t="str">
        <f>"05/31/2010 00:00"</f>
        <v>05/31/2010 00:00</v>
      </c>
      <c r="C3166">
        <v>3.25</v>
      </c>
      <c r="D3166" t="s">
        <v>7</v>
      </c>
      <c r="E3166" s="2" t="s">
        <v>12</v>
      </c>
      <c r="F3166">
        <f t="shared" si="49"/>
        <v>6.44475</v>
      </c>
      <c r="G3166" t="s">
        <v>16</v>
      </c>
      <c r="J3166" t="str">
        <f>"05/31/2010 23:45"</f>
        <v>05/31/2010 23:45</v>
      </c>
    </row>
    <row r="3167" spans="1:10" x14ac:dyDescent="0.3">
      <c r="A3167" t="s">
        <v>6</v>
      </c>
      <c r="B3167" t="str">
        <f>"06/01/2010 00:00"</f>
        <v>06/01/2010 00:00</v>
      </c>
      <c r="C3167">
        <v>3.28</v>
      </c>
      <c r="D3167" t="s">
        <v>7</v>
      </c>
      <c r="E3167" s="2" t="s">
        <v>12</v>
      </c>
      <c r="F3167">
        <f t="shared" si="49"/>
        <v>6.5042400000000002</v>
      </c>
      <c r="G3167" t="s">
        <v>16</v>
      </c>
      <c r="J3167" t="str">
        <f>"06/01/2010 23:45"</f>
        <v>06/01/2010 23:45</v>
      </c>
    </row>
    <row r="3168" spans="1:10" x14ac:dyDescent="0.3">
      <c r="A3168" t="s">
        <v>6</v>
      </c>
      <c r="B3168" t="str">
        <f>"06/02/2010 00:00"</f>
        <v>06/02/2010 00:00</v>
      </c>
      <c r="C3168">
        <v>3.28</v>
      </c>
      <c r="D3168" t="s">
        <v>7</v>
      </c>
      <c r="E3168" s="2" t="s">
        <v>12</v>
      </c>
      <c r="F3168">
        <f t="shared" si="49"/>
        <v>6.5042400000000002</v>
      </c>
      <c r="G3168" t="s">
        <v>16</v>
      </c>
      <c r="J3168" t="str">
        <f>"06/02/2010 23:45"</f>
        <v>06/02/2010 23:45</v>
      </c>
    </row>
    <row r="3169" spans="1:10" x14ac:dyDescent="0.3">
      <c r="A3169" t="s">
        <v>6</v>
      </c>
      <c r="B3169" t="str">
        <f>"06/03/2010 00:00"</f>
        <v>06/03/2010 00:00</v>
      </c>
      <c r="C3169">
        <v>3.34</v>
      </c>
      <c r="D3169" t="s">
        <v>7</v>
      </c>
      <c r="E3169" s="2" t="s">
        <v>12</v>
      </c>
      <c r="F3169">
        <f t="shared" si="49"/>
        <v>6.6232199999999999</v>
      </c>
      <c r="G3169" t="s">
        <v>16</v>
      </c>
      <c r="J3169" t="str">
        <f>"06/03/2010 23:45"</f>
        <v>06/03/2010 23:45</v>
      </c>
    </row>
    <row r="3170" spans="1:10" x14ac:dyDescent="0.3">
      <c r="A3170" t="s">
        <v>6</v>
      </c>
      <c r="B3170" t="str">
        <f>"06/04/2010 00:00"</f>
        <v>06/04/2010 00:00</v>
      </c>
      <c r="C3170">
        <v>3.66</v>
      </c>
      <c r="D3170" t="s">
        <v>7</v>
      </c>
      <c r="E3170" s="2" t="s">
        <v>12</v>
      </c>
      <c r="F3170">
        <f t="shared" si="49"/>
        <v>7.2577800000000003</v>
      </c>
      <c r="G3170" t="s">
        <v>16</v>
      </c>
      <c r="J3170" t="str">
        <f>"06/04/2010 23:45"</f>
        <v>06/04/2010 23:45</v>
      </c>
    </row>
    <row r="3171" spans="1:10" x14ac:dyDescent="0.3">
      <c r="A3171" t="s">
        <v>6</v>
      </c>
      <c r="B3171" t="str">
        <f>"06/05/2010 00:00"</f>
        <v>06/05/2010 00:00</v>
      </c>
      <c r="C3171">
        <v>3.68</v>
      </c>
      <c r="D3171" t="s">
        <v>7</v>
      </c>
      <c r="E3171" s="2" t="s">
        <v>12</v>
      </c>
      <c r="F3171">
        <f t="shared" si="49"/>
        <v>7.2974400000000008</v>
      </c>
      <c r="G3171" t="s">
        <v>16</v>
      </c>
      <c r="J3171" t="str">
        <f>"06/05/2010 23:45"</f>
        <v>06/05/2010 23:45</v>
      </c>
    </row>
    <row r="3172" spans="1:10" x14ac:dyDescent="0.3">
      <c r="A3172" t="s">
        <v>6</v>
      </c>
      <c r="B3172" t="str">
        <f>"06/06/2010 00:00"</f>
        <v>06/06/2010 00:00</v>
      </c>
      <c r="C3172">
        <v>88.4</v>
      </c>
      <c r="D3172" t="s">
        <v>7</v>
      </c>
      <c r="E3172" s="2" t="s">
        <v>12</v>
      </c>
      <c r="F3172">
        <f t="shared" si="49"/>
        <v>175.29720000000003</v>
      </c>
      <c r="G3172" t="s">
        <v>16</v>
      </c>
      <c r="J3172" t="str">
        <f>"06/06/2010 23:45"</f>
        <v>06/06/2010 23:45</v>
      </c>
    </row>
    <row r="3173" spans="1:10" x14ac:dyDescent="0.3">
      <c r="A3173" t="s">
        <v>6</v>
      </c>
      <c r="B3173" t="str">
        <f>"06/07/2010 00:00"</f>
        <v>06/07/2010 00:00</v>
      </c>
      <c r="C3173">
        <v>277</v>
      </c>
      <c r="D3173" t="s">
        <v>7</v>
      </c>
      <c r="E3173" s="2" t="s">
        <v>12</v>
      </c>
      <c r="F3173">
        <f t="shared" si="49"/>
        <v>549.29100000000005</v>
      </c>
      <c r="G3173" t="s">
        <v>16</v>
      </c>
      <c r="J3173" t="str">
        <f>"06/07/2010 23:45"</f>
        <v>06/07/2010 23:45</v>
      </c>
    </row>
    <row r="3174" spans="1:10" x14ac:dyDescent="0.3">
      <c r="A3174" t="s">
        <v>6</v>
      </c>
      <c r="B3174" t="str">
        <f>"06/08/2010 00:00"</f>
        <v>06/08/2010 00:00</v>
      </c>
      <c r="C3174">
        <v>360</v>
      </c>
      <c r="D3174" t="s">
        <v>7</v>
      </c>
      <c r="E3174" s="2" t="s">
        <v>12</v>
      </c>
      <c r="F3174">
        <f t="shared" si="49"/>
        <v>713.88</v>
      </c>
      <c r="G3174" t="s">
        <v>16</v>
      </c>
      <c r="J3174" t="str">
        <f>"06/08/2010 23:45"</f>
        <v>06/08/2010 23:45</v>
      </c>
    </row>
    <row r="3175" spans="1:10" x14ac:dyDescent="0.3">
      <c r="A3175" t="s">
        <v>6</v>
      </c>
      <c r="B3175" t="str">
        <f>"06/09/2010 00:00"</f>
        <v>06/09/2010 00:00</v>
      </c>
      <c r="C3175">
        <v>358</v>
      </c>
      <c r="D3175" t="s">
        <v>7</v>
      </c>
      <c r="E3175" s="2" t="s">
        <v>12</v>
      </c>
      <c r="F3175">
        <f t="shared" si="49"/>
        <v>709.91399999999999</v>
      </c>
      <c r="G3175" t="s">
        <v>16</v>
      </c>
      <c r="J3175" t="str">
        <f>"06/09/2010 23:45"</f>
        <v>06/09/2010 23:45</v>
      </c>
    </row>
    <row r="3176" spans="1:10" x14ac:dyDescent="0.3">
      <c r="A3176" t="s">
        <v>6</v>
      </c>
      <c r="B3176" t="str">
        <f>"06/10/2010 00:00"</f>
        <v>06/10/2010 00:00</v>
      </c>
      <c r="C3176">
        <v>358</v>
      </c>
      <c r="D3176" t="s">
        <v>7</v>
      </c>
      <c r="E3176" s="2" t="s">
        <v>12</v>
      </c>
      <c r="F3176">
        <f t="shared" si="49"/>
        <v>709.91399999999999</v>
      </c>
      <c r="G3176" t="s">
        <v>16</v>
      </c>
      <c r="J3176" t="str">
        <f>"06/10/2010 23:45"</f>
        <v>06/10/2010 23:45</v>
      </c>
    </row>
    <row r="3177" spans="1:10" x14ac:dyDescent="0.3">
      <c r="A3177" t="s">
        <v>6</v>
      </c>
      <c r="B3177" t="str">
        <f>"06/11/2010 00:00"</f>
        <v>06/11/2010 00:00</v>
      </c>
      <c r="C3177">
        <v>175</v>
      </c>
      <c r="D3177" t="s">
        <v>7</v>
      </c>
      <c r="E3177" s="2" t="s">
        <v>12</v>
      </c>
      <c r="F3177">
        <f t="shared" si="49"/>
        <v>347.02500000000003</v>
      </c>
      <c r="G3177" t="s">
        <v>16</v>
      </c>
      <c r="J3177" t="str">
        <f>"06/11/2010 23:45"</f>
        <v>06/11/2010 23:45</v>
      </c>
    </row>
    <row r="3178" spans="1:10" x14ac:dyDescent="0.3">
      <c r="A3178" t="s">
        <v>6</v>
      </c>
      <c r="B3178" t="str">
        <f>"06/12/2010 00:00"</f>
        <v>06/12/2010 00:00</v>
      </c>
      <c r="C3178">
        <v>3.66</v>
      </c>
      <c r="D3178" t="s">
        <v>7</v>
      </c>
      <c r="E3178" s="2" t="s">
        <v>12</v>
      </c>
      <c r="F3178">
        <f t="shared" si="49"/>
        <v>7.2577800000000003</v>
      </c>
      <c r="G3178" t="s">
        <v>16</v>
      </c>
      <c r="J3178" t="str">
        <f>"06/12/2010 23:45"</f>
        <v>06/12/2010 23:45</v>
      </c>
    </row>
    <row r="3179" spans="1:10" x14ac:dyDescent="0.3">
      <c r="A3179" t="s">
        <v>6</v>
      </c>
      <c r="B3179" t="str">
        <f>"06/13/2010 00:00"</f>
        <v>06/13/2010 00:00</v>
      </c>
      <c r="C3179">
        <v>3.91</v>
      </c>
      <c r="D3179" t="s">
        <v>7</v>
      </c>
      <c r="E3179" s="2" t="s">
        <v>12</v>
      </c>
      <c r="F3179">
        <f t="shared" si="49"/>
        <v>7.7535300000000005</v>
      </c>
      <c r="G3179" t="s">
        <v>16</v>
      </c>
      <c r="J3179" t="str">
        <f>"06/13/2010 23:45"</f>
        <v>06/13/2010 23:45</v>
      </c>
    </row>
    <row r="3180" spans="1:10" x14ac:dyDescent="0.3">
      <c r="A3180" t="s">
        <v>6</v>
      </c>
      <c r="B3180" t="str">
        <f>"06/14/2010 00:00"</f>
        <v>06/14/2010 00:00</v>
      </c>
      <c r="C3180">
        <v>3.89</v>
      </c>
      <c r="D3180" t="s">
        <v>7</v>
      </c>
      <c r="E3180" s="2" t="s">
        <v>12</v>
      </c>
      <c r="F3180">
        <f t="shared" si="49"/>
        <v>7.7138700000000009</v>
      </c>
      <c r="G3180" t="s">
        <v>16</v>
      </c>
      <c r="J3180" t="str">
        <f>"06/14/2010 23:45"</f>
        <v>06/14/2010 23:45</v>
      </c>
    </row>
    <row r="3181" spans="1:10" x14ac:dyDescent="0.3">
      <c r="A3181" t="s">
        <v>6</v>
      </c>
      <c r="B3181" t="str">
        <f>"06/15/2010 00:00"</f>
        <v>06/15/2010 00:00</v>
      </c>
      <c r="C3181">
        <v>3.85</v>
      </c>
      <c r="D3181" t="s">
        <v>7</v>
      </c>
      <c r="E3181" s="2" t="s">
        <v>12</v>
      </c>
      <c r="F3181">
        <f t="shared" si="49"/>
        <v>7.6345500000000008</v>
      </c>
      <c r="G3181" t="s">
        <v>16</v>
      </c>
      <c r="J3181" t="str">
        <f>"06/15/2010 23:45"</f>
        <v>06/15/2010 23:45</v>
      </c>
    </row>
    <row r="3182" spans="1:10" x14ac:dyDescent="0.3">
      <c r="A3182" t="s">
        <v>6</v>
      </c>
      <c r="B3182" t="str">
        <f>"06/16/2010 00:00"</f>
        <v>06/16/2010 00:00</v>
      </c>
      <c r="C3182">
        <v>3.66</v>
      </c>
      <c r="D3182" t="s">
        <v>7</v>
      </c>
      <c r="E3182" s="2" t="s">
        <v>12</v>
      </c>
      <c r="F3182">
        <f t="shared" si="49"/>
        <v>7.2577800000000003</v>
      </c>
      <c r="G3182" t="s">
        <v>16</v>
      </c>
      <c r="J3182" t="str">
        <f>"06/16/2010 23:45"</f>
        <v>06/16/2010 23:45</v>
      </c>
    </row>
    <row r="3183" spans="1:10" x14ac:dyDescent="0.3">
      <c r="A3183" t="s">
        <v>6</v>
      </c>
      <c r="B3183" t="str">
        <f>"06/17/2010 00:00"</f>
        <v>06/17/2010 00:00</v>
      </c>
      <c r="C3183">
        <v>3.66</v>
      </c>
      <c r="D3183" t="s">
        <v>7</v>
      </c>
      <c r="E3183" s="2" t="s">
        <v>12</v>
      </c>
      <c r="F3183">
        <f t="shared" si="49"/>
        <v>7.2577800000000003</v>
      </c>
      <c r="G3183" t="s">
        <v>16</v>
      </c>
      <c r="J3183" t="str">
        <f>"06/17/2010 23:45"</f>
        <v>06/17/2010 23:45</v>
      </c>
    </row>
    <row r="3184" spans="1:10" x14ac:dyDescent="0.3">
      <c r="A3184" t="s">
        <v>6</v>
      </c>
      <c r="B3184" t="str">
        <f>"06/18/2010 00:00"</f>
        <v>06/18/2010 00:00</v>
      </c>
      <c r="C3184">
        <v>3.66</v>
      </c>
      <c r="D3184" t="s">
        <v>7</v>
      </c>
      <c r="E3184" s="2" t="s">
        <v>12</v>
      </c>
      <c r="F3184">
        <f t="shared" si="49"/>
        <v>7.2577800000000003</v>
      </c>
      <c r="G3184" t="s">
        <v>16</v>
      </c>
      <c r="J3184" t="str">
        <f>"06/18/2010 23:45"</f>
        <v>06/18/2010 23:45</v>
      </c>
    </row>
    <row r="3185" spans="1:10" x14ac:dyDescent="0.3">
      <c r="A3185" t="s">
        <v>6</v>
      </c>
      <c r="B3185" t="str">
        <f>"06/19/2010 00:00"</f>
        <v>06/19/2010 00:00</v>
      </c>
      <c r="C3185">
        <v>3.66</v>
      </c>
      <c r="D3185" t="s">
        <v>7</v>
      </c>
      <c r="E3185" s="2" t="s">
        <v>12</v>
      </c>
      <c r="F3185">
        <f t="shared" si="49"/>
        <v>7.2577800000000003</v>
      </c>
      <c r="G3185" t="s">
        <v>16</v>
      </c>
      <c r="J3185" t="str">
        <f>"06/19/2010 23:45"</f>
        <v>06/19/2010 23:45</v>
      </c>
    </row>
    <row r="3186" spans="1:10" x14ac:dyDescent="0.3">
      <c r="A3186" t="s">
        <v>6</v>
      </c>
      <c r="B3186" t="str">
        <f>"06/20/2010 00:00"</f>
        <v>06/20/2010 00:00</v>
      </c>
      <c r="C3186">
        <v>3.66</v>
      </c>
      <c r="D3186" t="s">
        <v>7</v>
      </c>
      <c r="E3186" s="2" t="s">
        <v>12</v>
      </c>
      <c r="F3186">
        <f t="shared" si="49"/>
        <v>7.2577800000000003</v>
      </c>
      <c r="G3186" t="s">
        <v>16</v>
      </c>
      <c r="J3186" t="str">
        <f>"06/20/2010 23:45"</f>
        <v>06/20/2010 23:45</v>
      </c>
    </row>
    <row r="3187" spans="1:10" x14ac:dyDescent="0.3">
      <c r="A3187" t="s">
        <v>6</v>
      </c>
      <c r="B3187" t="str">
        <f>"06/21/2010 00:00"</f>
        <v>06/21/2010 00:00</v>
      </c>
      <c r="C3187">
        <v>3.66</v>
      </c>
      <c r="D3187" t="s">
        <v>7</v>
      </c>
      <c r="E3187" s="2" t="s">
        <v>12</v>
      </c>
      <c r="F3187">
        <f t="shared" si="49"/>
        <v>7.2577800000000003</v>
      </c>
      <c r="G3187" t="s">
        <v>16</v>
      </c>
      <c r="J3187" t="str">
        <f>"06/21/2010 23:45"</f>
        <v>06/21/2010 23:45</v>
      </c>
    </row>
    <row r="3188" spans="1:10" x14ac:dyDescent="0.3">
      <c r="A3188" t="s">
        <v>6</v>
      </c>
      <c r="B3188" t="str">
        <f>"06/22/2010 00:00"</f>
        <v>06/22/2010 00:00</v>
      </c>
      <c r="C3188">
        <v>3.66</v>
      </c>
      <c r="D3188" t="s">
        <v>7</v>
      </c>
      <c r="E3188" s="2" t="s">
        <v>12</v>
      </c>
      <c r="F3188">
        <f t="shared" si="49"/>
        <v>7.2577800000000003</v>
      </c>
      <c r="G3188" t="s">
        <v>16</v>
      </c>
      <c r="J3188" t="str">
        <f>"06/22/2010 23:45"</f>
        <v>06/22/2010 23:45</v>
      </c>
    </row>
    <row r="3189" spans="1:10" x14ac:dyDescent="0.3">
      <c r="A3189" t="s">
        <v>6</v>
      </c>
      <c r="B3189" t="str">
        <f>"06/23/2010 00:00"</f>
        <v>06/23/2010 00:00</v>
      </c>
      <c r="C3189">
        <v>3.66</v>
      </c>
      <c r="D3189" t="s">
        <v>7</v>
      </c>
      <c r="E3189" s="2" t="s">
        <v>12</v>
      </c>
      <c r="F3189">
        <f t="shared" si="49"/>
        <v>7.2577800000000003</v>
      </c>
      <c r="G3189" t="s">
        <v>16</v>
      </c>
      <c r="J3189" t="str">
        <f>"06/23/2010 23:45"</f>
        <v>06/23/2010 23:45</v>
      </c>
    </row>
    <row r="3190" spans="1:10" x14ac:dyDescent="0.3">
      <c r="A3190" t="s">
        <v>6</v>
      </c>
      <c r="B3190" t="str">
        <f>"06/24/2010 00:00"</f>
        <v>06/24/2010 00:00</v>
      </c>
      <c r="C3190">
        <v>55.8</v>
      </c>
      <c r="D3190" t="s">
        <v>7</v>
      </c>
      <c r="E3190" s="2" t="s">
        <v>12</v>
      </c>
      <c r="F3190">
        <f t="shared" si="49"/>
        <v>110.6514</v>
      </c>
      <c r="G3190" t="s">
        <v>16</v>
      </c>
      <c r="J3190" t="str">
        <f>"06/24/2010 23:45"</f>
        <v>06/24/2010 23:45</v>
      </c>
    </row>
    <row r="3191" spans="1:10" x14ac:dyDescent="0.3">
      <c r="A3191" t="s">
        <v>6</v>
      </c>
      <c r="B3191" t="str">
        <f>"06/25/2010 00:00"</f>
        <v>06/25/2010 00:00</v>
      </c>
      <c r="C3191">
        <v>98</v>
      </c>
      <c r="D3191" t="s">
        <v>7</v>
      </c>
      <c r="E3191" s="2" t="s">
        <v>12</v>
      </c>
      <c r="F3191">
        <f t="shared" si="49"/>
        <v>194.334</v>
      </c>
      <c r="G3191" t="s">
        <v>16</v>
      </c>
      <c r="J3191" t="str">
        <f>"06/25/2010 23:45"</f>
        <v>06/25/2010 23:45</v>
      </c>
    </row>
    <row r="3192" spans="1:10" x14ac:dyDescent="0.3">
      <c r="A3192" t="s">
        <v>6</v>
      </c>
      <c r="B3192" t="str">
        <f>"06/26/2010 00:00"</f>
        <v>06/26/2010 00:00</v>
      </c>
      <c r="C3192">
        <v>98</v>
      </c>
      <c r="D3192" t="s">
        <v>7</v>
      </c>
      <c r="E3192" s="2" t="s">
        <v>12</v>
      </c>
      <c r="F3192">
        <f t="shared" si="49"/>
        <v>194.334</v>
      </c>
      <c r="G3192" t="s">
        <v>16</v>
      </c>
      <c r="J3192" t="str">
        <f>"06/26/2010 23:45"</f>
        <v>06/26/2010 23:45</v>
      </c>
    </row>
    <row r="3193" spans="1:10" x14ac:dyDescent="0.3">
      <c r="A3193" t="s">
        <v>6</v>
      </c>
      <c r="B3193" t="str">
        <f>"06/27/2010 00:00"</f>
        <v>06/27/2010 00:00</v>
      </c>
      <c r="C3193">
        <v>98</v>
      </c>
      <c r="D3193" t="s">
        <v>7</v>
      </c>
      <c r="E3193" s="2" t="s">
        <v>12</v>
      </c>
      <c r="F3193">
        <f t="shared" si="49"/>
        <v>194.334</v>
      </c>
      <c r="G3193" t="s">
        <v>16</v>
      </c>
      <c r="J3193" t="str">
        <f>"06/27/2010 23:45"</f>
        <v>06/27/2010 23:45</v>
      </c>
    </row>
    <row r="3194" spans="1:10" x14ac:dyDescent="0.3">
      <c r="A3194" t="s">
        <v>6</v>
      </c>
      <c r="B3194" t="str">
        <f>"06/28/2010 00:00"</f>
        <v>06/28/2010 00:00</v>
      </c>
      <c r="C3194">
        <v>98</v>
      </c>
      <c r="D3194" t="s">
        <v>7</v>
      </c>
      <c r="E3194" s="2" t="s">
        <v>12</v>
      </c>
      <c r="F3194">
        <f t="shared" si="49"/>
        <v>194.334</v>
      </c>
      <c r="G3194" t="s">
        <v>16</v>
      </c>
      <c r="J3194" t="str">
        <f>"06/28/2010 23:45"</f>
        <v>06/28/2010 23:45</v>
      </c>
    </row>
    <row r="3195" spans="1:10" x14ac:dyDescent="0.3">
      <c r="A3195" t="s">
        <v>6</v>
      </c>
      <c r="B3195" t="str">
        <f>"06/29/2010 00:00"</f>
        <v>06/29/2010 00:00</v>
      </c>
      <c r="C3195">
        <v>98</v>
      </c>
      <c r="D3195" t="s">
        <v>7</v>
      </c>
      <c r="E3195" s="2" t="s">
        <v>12</v>
      </c>
      <c r="F3195">
        <f t="shared" si="49"/>
        <v>194.334</v>
      </c>
      <c r="G3195" t="s">
        <v>16</v>
      </c>
      <c r="J3195" t="str">
        <f>"06/29/2010 23:45"</f>
        <v>06/29/2010 23:45</v>
      </c>
    </row>
    <row r="3196" spans="1:10" x14ac:dyDescent="0.3">
      <c r="A3196" t="s">
        <v>6</v>
      </c>
      <c r="B3196" t="str">
        <f>"06/30/2010 00:00"</f>
        <v>06/30/2010 00:00</v>
      </c>
      <c r="C3196">
        <v>98.2</v>
      </c>
      <c r="D3196" t="s">
        <v>7</v>
      </c>
      <c r="E3196" s="2" t="s">
        <v>12</v>
      </c>
      <c r="F3196">
        <f t="shared" si="49"/>
        <v>194.73060000000001</v>
      </c>
      <c r="G3196" t="s">
        <v>16</v>
      </c>
      <c r="J3196" t="str">
        <f>"06/30/2010 23:45"</f>
        <v>06/30/2010 23:45</v>
      </c>
    </row>
    <row r="3197" spans="1:10" x14ac:dyDescent="0.3">
      <c r="A3197" t="s">
        <v>6</v>
      </c>
      <c r="B3197" t="str">
        <f>"07/01/2010 00:00"</f>
        <v>07/01/2010 00:00</v>
      </c>
      <c r="C3197">
        <v>157</v>
      </c>
      <c r="D3197" t="s">
        <v>7</v>
      </c>
      <c r="E3197" s="2" t="s">
        <v>12</v>
      </c>
      <c r="F3197">
        <f t="shared" si="49"/>
        <v>311.33100000000002</v>
      </c>
      <c r="G3197" t="s">
        <v>16</v>
      </c>
      <c r="J3197" t="str">
        <f>"07/01/2010 23:45"</f>
        <v>07/01/2010 23:45</v>
      </c>
    </row>
    <row r="3198" spans="1:10" x14ac:dyDescent="0.3">
      <c r="A3198" t="s">
        <v>6</v>
      </c>
      <c r="B3198" t="str">
        <f>"07/02/2010 00:00"</f>
        <v>07/02/2010 00:00</v>
      </c>
      <c r="C3198">
        <v>254</v>
      </c>
      <c r="D3198" t="s">
        <v>7</v>
      </c>
      <c r="E3198" s="2" t="s">
        <v>12</v>
      </c>
      <c r="F3198">
        <f t="shared" si="49"/>
        <v>503.68200000000002</v>
      </c>
      <c r="G3198" t="s">
        <v>16</v>
      </c>
      <c r="J3198" t="str">
        <f>"07/02/2010 23:45"</f>
        <v>07/02/2010 23:45</v>
      </c>
    </row>
    <row r="3199" spans="1:10" x14ac:dyDescent="0.3">
      <c r="A3199" t="s">
        <v>6</v>
      </c>
      <c r="B3199" t="str">
        <f>"07/03/2010 00:00"</f>
        <v>07/03/2010 00:00</v>
      </c>
      <c r="C3199">
        <v>305</v>
      </c>
      <c r="D3199" t="s">
        <v>7</v>
      </c>
      <c r="E3199" s="2" t="s">
        <v>12</v>
      </c>
      <c r="F3199">
        <f t="shared" si="49"/>
        <v>604.81500000000005</v>
      </c>
      <c r="G3199" t="s">
        <v>16</v>
      </c>
      <c r="J3199" t="str">
        <f>"07/03/2010 23:45"</f>
        <v>07/03/2010 23:45</v>
      </c>
    </row>
    <row r="3200" spans="1:10" x14ac:dyDescent="0.3">
      <c r="A3200" t="s">
        <v>6</v>
      </c>
      <c r="B3200" t="str">
        <f>"07/04/2010 00:00"</f>
        <v>07/04/2010 00:00</v>
      </c>
      <c r="C3200">
        <v>334</v>
      </c>
      <c r="D3200" t="s">
        <v>7</v>
      </c>
      <c r="E3200" s="2" t="s">
        <v>12</v>
      </c>
      <c r="F3200">
        <f t="shared" si="49"/>
        <v>662.322</v>
      </c>
      <c r="G3200" t="s">
        <v>16</v>
      </c>
      <c r="J3200" t="str">
        <f>"07/04/2010 23:45"</f>
        <v>07/04/2010 23:45</v>
      </c>
    </row>
    <row r="3201" spans="1:10" x14ac:dyDescent="0.3">
      <c r="A3201" t="s">
        <v>6</v>
      </c>
      <c r="B3201" t="str">
        <f>"07/05/2010 00:00"</f>
        <v>07/05/2010 00:00</v>
      </c>
      <c r="C3201">
        <v>354</v>
      </c>
      <c r="D3201" t="s">
        <v>7</v>
      </c>
      <c r="E3201" s="2" t="s">
        <v>12</v>
      </c>
      <c r="F3201">
        <f t="shared" si="49"/>
        <v>701.98200000000008</v>
      </c>
      <c r="G3201" t="s">
        <v>16</v>
      </c>
      <c r="J3201" t="str">
        <f>"07/05/2010 23:45"</f>
        <v>07/05/2010 23:45</v>
      </c>
    </row>
    <row r="3202" spans="1:10" x14ac:dyDescent="0.3">
      <c r="A3202" t="s">
        <v>6</v>
      </c>
      <c r="B3202" t="str">
        <f>"07/06/2010 00:00"</f>
        <v>07/06/2010 00:00</v>
      </c>
      <c r="C3202">
        <v>305</v>
      </c>
      <c r="D3202" t="s">
        <v>7</v>
      </c>
      <c r="E3202" s="2" t="s">
        <v>12</v>
      </c>
      <c r="F3202">
        <f t="shared" si="49"/>
        <v>604.81500000000005</v>
      </c>
      <c r="G3202" t="s">
        <v>16</v>
      </c>
      <c r="J3202" t="str">
        <f>"07/06/2010 23:45"</f>
        <v>07/06/2010 23:45</v>
      </c>
    </row>
    <row r="3203" spans="1:10" x14ac:dyDescent="0.3">
      <c r="A3203" t="s">
        <v>6</v>
      </c>
      <c r="B3203" t="str">
        <f>"07/07/2010 00:00"</f>
        <v>07/07/2010 00:00</v>
      </c>
      <c r="C3203">
        <v>155</v>
      </c>
      <c r="D3203" t="s">
        <v>7</v>
      </c>
      <c r="E3203" s="2" t="s">
        <v>12</v>
      </c>
      <c r="F3203">
        <f t="shared" si="49"/>
        <v>307.36500000000001</v>
      </c>
      <c r="G3203" t="s">
        <v>16</v>
      </c>
      <c r="J3203" t="str">
        <f>"07/07/2010 23:45"</f>
        <v>07/07/2010 23:45</v>
      </c>
    </row>
    <row r="3204" spans="1:10" x14ac:dyDescent="0.3">
      <c r="A3204" t="s">
        <v>6</v>
      </c>
      <c r="B3204" t="str">
        <f>"07/08/2010 00:00"</f>
        <v>07/08/2010 00:00</v>
      </c>
      <c r="C3204">
        <v>31.3</v>
      </c>
      <c r="D3204" t="s">
        <v>7</v>
      </c>
      <c r="E3204" s="2" t="s">
        <v>12</v>
      </c>
      <c r="F3204">
        <f t="shared" ref="F3204:F3267" si="50">C3204*1.983</f>
        <v>62.067900000000002</v>
      </c>
      <c r="G3204" t="s">
        <v>16</v>
      </c>
      <c r="J3204" t="str">
        <f>"07/08/2010 23:45"</f>
        <v>07/08/2010 23:45</v>
      </c>
    </row>
    <row r="3205" spans="1:10" x14ac:dyDescent="0.3">
      <c r="A3205" t="s">
        <v>6</v>
      </c>
      <c r="B3205" t="str">
        <f>"07/09/2010 00:00"</f>
        <v>07/09/2010 00:00</v>
      </c>
      <c r="C3205">
        <v>1.92</v>
      </c>
      <c r="D3205" t="s">
        <v>7</v>
      </c>
      <c r="E3205" s="2" t="s">
        <v>12</v>
      </c>
      <c r="F3205">
        <f t="shared" si="50"/>
        <v>3.8073600000000001</v>
      </c>
      <c r="G3205" t="s">
        <v>16</v>
      </c>
      <c r="J3205" t="str">
        <f>"07/09/2010 23:45"</f>
        <v>07/09/2010 23:45</v>
      </c>
    </row>
    <row r="3206" spans="1:10" x14ac:dyDescent="0.3">
      <c r="A3206" t="s">
        <v>6</v>
      </c>
      <c r="B3206" t="str">
        <f>"07/10/2010 00:00"</f>
        <v>07/10/2010 00:00</v>
      </c>
      <c r="C3206">
        <v>1.92</v>
      </c>
      <c r="D3206" t="s">
        <v>7</v>
      </c>
      <c r="E3206" s="2" t="s">
        <v>12</v>
      </c>
      <c r="F3206">
        <f t="shared" si="50"/>
        <v>3.8073600000000001</v>
      </c>
      <c r="G3206" t="s">
        <v>16</v>
      </c>
      <c r="J3206" t="str">
        <f>"07/10/2010 23:45"</f>
        <v>07/10/2010 23:45</v>
      </c>
    </row>
    <row r="3207" spans="1:10" x14ac:dyDescent="0.3">
      <c r="A3207" t="s">
        <v>6</v>
      </c>
      <c r="B3207" t="str">
        <f>"07/11/2010 00:00"</f>
        <v>07/11/2010 00:00</v>
      </c>
      <c r="C3207">
        <v>37.799999999999997</v>
      </c>
      <c r="D3207" t="s">
        <v>7</v>
      </c>
      <c r="E3207" s="2" t="s">
        <v>12</v>
      </c>
      <c r="F3207">
        <f t="shared" si="50"/>
        <v>74.957399999999993</v>
      </c>
      <c r="G3207" t="s">
        <v>16</v>
      </c>
      <c r="J3207" t="str">
        <f>"07/11/2010 23:45"</f>
        <v>07/11/2010 23:45</v>
      </c>
    </row>
    <row r="3208" spans="1:10" x14ac:dyDescent="0.3">
      <c r="A3208" t="s">
        <v>6</v>
      </c>
      <c r="B3208" t="str">
        <f>"07/12/2010 00:00"</f>
        <v>07/12/2010 00:00</v>
      </c>
      <c r="C3208">
        <v>117</v>
      </c>
      <c r="D3208" t="s">
        <v>7</v>
      </c>
      <c r="E3208" s="2" t="s">
        <v>12</v>
      </c>
      <c r="F3208">
        <f t="shared" si="50"/>
        <v>232.01100000000002</v>
      </c>
      <c r="G3208" t="s">
        <v>16</v>
      </c>
      <c r="J3208" t="str">
        <f>"07/12/2010 23:45"</f>
        <v>07/12/2010 23:45</v>
      </c>
    </row>
    <row r="3209" spans="1:10" x14ac:dyDescent="0.3">
      <c r="A3209" t="s">
        <v>6</v>
      </c>
      <c r="B3209" t="str">
        <f>"07/13/2010 00:00"</f>
        <v>07/13/2010 00:00</v>
      </c>
      <c r="C3209">
        <v>182</v>
      </c>
      <c r="D3209" t="s">
        <v>7</v>
      </c>
      <c r="E3209" s="2" t="s">
        <v>12</v>
      </c>
      <c r="F3209">
        <f t="shared" si="50"/>
        <v>360.90600000000001</v>
      </c>
      <c r="G3209" t="s">
        <v>16</v>
      </c>
      <c r="J3209" t="str">
        <f>"07/13/2010 23:45"</f>
        <v>07/13/2010 23:45</v>
      </c>
    </row>
    <row r="3210" spans="1:10" x14ac:dyDescent="0.3">
      <c r="A3210" t="s">
        <v>6</v>
      </c>
      <c r="B3210" t="str">
        <f>"07/14/2010 00:00"</f>
        <v>07/14/2010 00:00</v>
      </c>
      <c r="C3210">
        <v>241</v>
      </c>
      <c r="D3210" t="s">
        <v>7</v>
      </c>
      <c r="E3210" s="2" t="s">
        <v>12</v>
      </c>
      <c r="F3210">
        <f t="shared" si="50"/>
        <v>477.90300000000002</v>
      </c>
      <c r="G3210" t="s">
        <v>16</v>
      </c>
      <c r="J3210" t="str">
        <f>"07/14/2010 23:45"</f>
        <v>07/14/2010 23:45</v>
      </c>
    </row>
    <row r="3211" spans="1:10" x14ac:dyDescent="0.3">
      <c r="A3211" t="s">
        <v>6</v>
      </c>
      <c r="B3211" t="str">
        <f>"07/15/2010 00:00"</f>
        <v>07/15/2010 00:00</v>
      </c>
      <c r="C3211">
        <v>283</v>
      </c>
      <c r="D3211" t="s">
        <v>7</v>
      </c>
      <c r="E3211" s="2" t="s">
        <v>12</v>
      </c>
      <c r="F3211">
        <f t="shared" si="50"/>
        <v>561.18900000000008</v>
      </c>
      <c r="G3211" t="s">
        <v>16</v>
      </c>
      <c r="J3211" t="str">
        <f>"07/15/2010 23:45"</f>
        <v>07/15/2010 23:45</v>
      </c>
    </row>
    <row r="3212" spans="1:10" x14ac:dyDescent="0.3">
      <c r="A3212" t="s">
        <v>6</v>
      </c>
      <c r="B3212" t="str">
        <f>"07/16/2010 00:00"</f>
        <v>07/16/2010 00:00</v>
      </c>
      <c r="C3212">
        <v>327</v>
      </c>
      <c r="D3212" t="s">
        <v>7</v>
      </c>
      <c r="E3212" s="2" t="s">
        <v>12</v>
      </c>
      <c r="F3212">
        <f t="shared" si="50"/>
        <v>648.44100000000003</v>
      </c>
      <c r="G3212" t="s">
        <v>16</v>
      </c>
      <c r="J3212" t="str">
        <f>"07/16/2010 23:45"</f>
        <v>07/16/2010 23:45</v>
      </c>
    </row>
    <row r="3213" spans="1:10" x14ac:dyDescent="0.3">
      <c r="A3213" t="s">
        <v>6</v>
      </c>
      <c r="B3213" t="str">
        <f>"07/17/2010 00:00"</f>
        <v>07/17/2010 00:00</v>
      </c>
      <c r="C3213">
        <v>345</v>
      </c>
      <c r="D3213" t="s">
        <v>7</v>
      </c>
      <c r="E3213" s="2" t="s">
        <v>12</v>
      </c>
      <c r="F3213">
        <f t="shared" si="50"/>
        <v>684.13499999999999</v>
      </c>
      <c r="G3213" t="s">
        <v>16</v>
      </c>
      <c r="J3213" t="str">
        <f>"07/17/2010 23:45"</f>
        <v>07/17/2010 23:45</v>
      </c>
    </row>
    <row r="3214" spans="1:10" x14ac:dyDescent="0.3">
      <c r="A3214" t="s">
        <v>6</v>
      </c>
      <c r="B3214" t="str">
        <f>"07/18/2010 00:00"</f>
        <v>07/18/2010 00:00</v>
      </c>
      <c r="C3214">
        <v>357</v>
      </c>
      <c r="D3214" t="s">
        <v>7</v>
      </c>
      <c r="E3214" s="2" t="s">
        <v>12</v>
      </c>
      <c r="F3214">
        <f t="shared" si="50"/>
        <v>707.93100000000004</v>
      </c>
      <c r="G3214" t="s">
        <v>16</v>
      </c>
      <c r="J3214" t="str">
        <f>"07/18/2010 23:45"</f>
        <v>07/18/2010 23:45</v>
      </c>
    </row>
    <row r="3215" spans="1:10" x14ac:dyDescent="0.3">
      <c r="A3215" t="s">
        <v>6</v>
      </c>
      <c r="B3215" t="str">
        <f>"07/19/2010 00:00"</f>
        <v>07/19/2010 00:00</v>
      </c>
      <c r="C3215">
        <v>367</v>
      </c>
      <c r="D3215" t="s">
        <v>7</v>
      </c>
      <c r="E3215" s="2" t="s">
        <v>12</v>
      </c>
      <c r="F3215">
        <f t="shared" si="50"/>
        <v>727.76100000000008</v>
      </c>
      <c r="G3215" t="s">
        <v>16</v>
      </c>
      <c r="J3215" t="str">
        <f>"07/19/2010 23:45"</f>
        <v>07/19/2010 23:45</v>
      </c>
    </row>
    <row r="3216" spans="1:10" x14ac:dyDescent="0.3">
      <c r="A3216" t="s">
        <v>6</v>
      </c>
      <c r="B3216" t="str">
        <f>"07/20/2010 00:00"</f>
        <v>07/20/2010 00:00</v>
      </c>
      <c r="C3216">
        <v>367</v>
      </c>
      <c r="D3216" t="s">
        <v>7</v>
      </c>
      <c r="E3216" s="2" t="s">
        <v>12</v>
      </c>
      <c r="F3216">
        <f t="shared" si="50"/>
        <v>727.76100000000008</v>
      </c>
      <c r="G3216" t="s">
        <v>16</v>
      </c>
      <c r="J3216" t="str">
        <f>"07/20/2010 23:45"</f>
        <v>07/20/2010 23:45</v>
      </c>
    </row>
    <row r="3217" spans="1:10" x14ac:dyDescent="0.3">
      <c r="A3217" t="s">
        <v>6</v>
      </c>
      <c r="B3217" t="str">
        <f>"07/21/2010 00:00"</f>
        <v>07/21/2010 00:00</v>
      </c>
      <c r="C3217">
        <v>194</v>
      </c>
      <c r="D3217" t="s">
        <v>7</v>
      </c>
      <c r="E3217" s="2" t="s">
        <v>12</v>
      </c>
      <c r="F3217">
        <f t="shared" si="50"/>
        <v>384.702</v>
      </c>
      <c r="G3217" t="s">
        <v>16</v>
      </c>
      <c r="J3217" t="str">
        <f>"07/21/2010 23:45"</f>
        <v>07/21/2010 23:45</v>
      </c>
    </row>
    <row r="3218" spans="1:10" x14ac:dyDescent="0.3">
      <c r="A3218" t="s">
        <v>6</v>
      </c>
      <c r="B3218" t="str">
        <f>"07/22/2010 00:00"</f>
        <v>07/22/2010 00:00</v>
      </c>
      <c r="C3218">
        <v>1.92</v>
      </c>
      <c r="D3218" t="s">
        <v>7</v>
      </c>
      <c r="E3218" s="2" t="s">
        <v>12</v>
      </c>
      <c r="F3218">
        <f t="shared" si="50"/>
        <v>3.8073600000000001</v>
      </c>
      <c r="G3218" t="s">
        <v>16</v>
      </c>
      <c r="J3218" t="str">
        <f>"07/22/2010 23:45"</f>
        <v>07/22/2010 23:45</v>
      </c>
    </row>
    <row r="3219" spans="1:10" x14ac:dyDescent="0.3">
      <c r="A3219" t="s">
        <v>6</v>
      </c>
      <c r="B3219" t="str">
        <f>"07/23/2010 00:00"</f>
        <v>07/23/2010 00:00</v>
      </c>
      <c r="C3219">
        <v>32.4</v>
      </c>
      <c r="D3219" t="s">
        <v>7</v>
      </c>
      <c r="E3219" s="2" t="s">
        <v>12</v>
      </c>
      <c r="F3219">
        <f t="shared" si="50"/>
        <v>64.249200000000002</v>
      </c>
      <c r="G3219" t="s">
        <v>16</v>
      </c>
      <c r="J3219" t="str">
        <f>"07/23/2010 23:45"</f>
        <v>07/23/2010 23:45</v>
      </c>
    </row>
    <row r="3220" spans="1:10" x14ac:dyDescent="0.3">
      <c r="A3220" t="s">
        <v>6</v>
      </c>
      <c r="B3220" t="str">
        <f>"07/24/2010 00:00"</f>
        <v>07/24/2010 00:00</v>
      </c>
      <c r="C3220">
        <v>96.5</v>
      </c>
      <c r="D3220" t="s">
        <v>7</v>
      </c>
      <c r="E3220" s="2" t="s">
        <v>12</v>
      </c>
      <c r="F3220">
        <f t="shared" si="50"/>
        <v>191.3595</v>
      </c>
      <c r="G3220" t="s">
        <v>16</v>
      </c>
      <c r="J3220" t="str">
        <f>"07/24/2010 23:45"</f>
        <v>07/24/2010 23:45</v>
      </c>
    </row>
    <row r="3221" spans="1:10" x14ac:dyDescent="0.3">
      <c r="A3221" t="s">
        <v>6</v>
      </c>
      <c r="B3221" t="str">
        <f>"07/25/2010 00:00"</f>
        <v>07/25/2010 00:00</v>
      </c>
      <c r="C3221">
        <v>145</v>
      </c>
      <c r="D3221" t="s">
        <v>7</v>
      </c>
      <c r="E3221" s="2" t="s">
        <v>12</v>
      </c>
      <c r="F3221">
        <f t="shared" si="50"/>
        <v>287.53500000000003</v>
      </c>
      <c r="G3221" t="s">
        <v>16</v>
      </c>
      <c r="J3221" t="str">
        <f>"07/25/2010 23:45"</f>
        <v>07/25/2010 23:45</v>
      </c>
    </row>
    <row r="3222" spans="1:10" x14ac:dyDescent="0.3">
      <c r="A3222" t="s">
        <v>6</v>
      </c>
      <c r="B3222" t="str">
        <f>"07/26/2010 00:00"</f>
        <v>07/26/2010 00:00</v>
      </c>
      <c r="C3222">
        <v>159</v>
      </c>
      <c r="D3222" t="s">
        <v>7</v>
      </c>
      <c r="E3222" s="2" t="s">
        <v>12</v>
      </c>
      <c r="F3222">
        <f t="shared" si="50"/>
        <v>315.29700000000003</v>
      </c>
      <c r="G3222" t="s">
        <v>16</v>
      </c>
      <c r="J3222" t="str">
        <f>"07/26/2010 23:45"</f>
        <v>07/26/2010 23:45</v>
      </c>
    </row>
    <row r="3223" spans="1:10" x14ac:dyDescent="0.3">
      <c r="A3223" t="s">
        <v>6</v>
      </c>
      <c r="B3223" t="str">
        <f>"07/27/2010 00:00"</f>
        <v>07/27/2010 00:00</v>
      </c>
      <c r="C3223">
        <v>247</v>
      </c>
      <c r="D3223" t="s">
        <v>7</v>
      </c>
      <c r="E3223" s="2" t="s">
        <v>12</v>
      </c>
      <c r="F3223">
        <f t="shared" si="50"/>
        <v>489.80100000000004</v>
      </c>
      <c r="G3223" t="s">
        <v>16</v>
      </c>
      <c r="J3223" t="str">
        <f>"07/27/2010 23:45"</f>
        <v>07/27/2010 23:45</v>
      </c>
    </row>
    <row r="3224" spans="1:10" x14ac:dyDescent="0.3">
      <c r="A3224" t="s">
        <v>6</v>
      </c>
      <c r="B3224" t="str">
        <f>"07/28/2010 00:00"</f>
        <v>07/28/2010 00:00</v>
      </c>
      <c r="C3224">
        <v>314</v>
      </c>
      <c r="D3224" t="s">
        <v>7</v>
      </c>
      <c r="E3224" s="2" t="s">
        <v>12</v>
      </c>
      <c r="F3224">
        <f t="shared" si="50"/>
        <v>622.66200000000003</v>
      </c>
      <c r="G3224" t="s">
        <v>16</v>
      </c>
      <c r="J3224" t="str">
        <f>"07/28/2010 23:45"</f>
        <v>07/28/2010 23:45</v>
      </c>
    </row>
    <row r="3225" spans="1:10" x14ac:dyDescent="0.3">
      <c r="A3225" t="s">
        <v>6</v>
      </c>
      <c r="B3225" t="str">
        <f>"07/29/2010 00:00"</f>
        <v>07/29/2010 00:00</v>
      </c>
      <c r="C3225">
        <v>268</v>
      </c>
      <c r="D3225" t="s">
        <v>7</v>
      </c>
      <c r="E3225" s="2" t="s">
        <v>12</v>
      </c>
      <c r="F3225">
        <f t="shared" si="50"/>
        <v>531.44400000000007</v>
      </c>
      <c r="G3225" t="s">
        <v>16</v>
      </c>
      <c r="J3225" t="str">
        <f>"07/29/2010 23:45"</f>
        <v>07/29/2010 23:45</v>
      </c>
    </row>
    <row r="3226" spans="1:10" x14ac:dyDescent="0.3">
      <c r="A3226" t="s">
        <v>6</v>
      </c>
      <c r="B3226" t="str">
        <f>"07/30/2010 00:00"</f>
        <v>07/30/2010 00:00</v>
      </c>
      <c r="C3226">
        <v>151</v>
      </c>
      <c r="D3226" t="s">
        <v>7</v>
      </c>
      <c r="E3226" s="2" t="s">
        <v>12</v>
      </c>
      <c r="F3226">
        <f t="shared" si="50"/>
        <v>299.43299999999999</v>
      </c>
      <c r="G3226" t="s">
        <v>16</v>
      </c>
      <c r="J3226" t="str">
        <f>"07/30/2010 23:45"</f>
        <v>07/30/2010 23:45</v>
      </c>
    </row>
    <row r="3227" spans="1:10" x14ac:dyDescent="0.3">
      <c r="A3227" t="s">
        <v>6</v>
      </c>
      <c r="B3227" t="str">
        <f>"07/31/2010 00:00"</f>
        <v>07/31/2010 00:00</v>
      </c>
      <c r="C3227">
        <v>94.5</v>
      </c>
      <c r="D3227" t="s">
        <v>7</v>
      </c>
      <c r="E3227" s="2" t="s">
        <v>12</v>
      </c>
      <c r="F3227">
        <f t="shared" si="50"/>
        <v>187.39350000000002</v>
      </c>
      <c r="G3227" t="s">
        <v>16</v>
      </c>
      <c r="J3227" t="str">
        <f>"07/31/2010 23:45"</f>
        <v>07/31/2010 23:45</v>
      </c>
    </row>
    <row r="3228" spans="1:10" x14ac:dyDescent="0.3">
      <c r="A3228" t="s">
        <v>6</v>
      </c>
      <c r="B3228" t="str">
        <f>"08/01/2010 00:00"</f>
        <v>08/01/2010 00:00</v>
      </c>
      <c r="C3228">
        <v>44.4</v>
      </c>
      <c r="D3228" t="s">
        <v>7</v>
      </c>
      <c r="E3228" s="2" t="s">
        <v>12</v>
      </c>
      <c r="F3228">
        <f t="shared" si="50"/>
        <v>88.045200000000008</v>
      </c>
      <c r="G3228" t="s">
        <v>16</v>
      </c>
      <c r="J3228" t="str">
        <f>"08/01/2010 23:45"</f>
        <v>08/01/2010 23:45</v>
      </c>
    </row>
    <row r="3229" spans="1:10" x14ac:dyDescent="0.3">
      <c r="A3229" t="s">
        <v>6</v>
      </c>
      <c r="B3229" t="str">
        <f>"08/02/2010 00:00"</f>
        <v>08/02/2010 00:00</v>
      </c>
      <c r="C3229">
        <v>1.93</v>
      </c>
      <c r="D3229" t="s">
        <v>7</v>
      </c>
      <c r="E3229" s="2" t="s">
        <v>12</v>
      </c>
      <c r="F3229">
        <f t="shared" si="50"/>
        <v>3.8271899999999999</v>
      </c>
      <c r="G3229" t="s">
        <v>16</v>
      </c>
      <c r="J3229" t="str">
        <f>"08/02/2010 23:45"</f>
        <v>08/02/2010 23:45</v>
      </c>
    </row>
    <row r="3230" spans="1:10" x14ac:dyDescent="0.3">
      <c r="A3230" t="s">
        <v>6</v>
      </c>
      <c r="B3230" t="str">
        <f>"08/03/2010 00:00"</f>
        <v>08/03/2010 00:00</v>
      </c>
      <c r="C3230">
        <v>1.97</v>
      </c>
      <c r="D3230" t="s">
        <v>7</v>
      </c>
      <c r="E3230" s="2" t="s">
        <v>12</v>
      </c>
      <c r="F3230">
        <f t="shared" si="50"/>
        <v>3.9065099999999999</v>
      </c>
      <c r="G3230" t="s">
        <v>16</v>
      </c>
      <c r="J3230" t="str">
        <f>"08/03/2010 23:45"</f>
        <v>08/03/2010 23:45</v>
      </c>
    </row>
    <row r="3231" spans="1:10" x14ac:dyDescent="0.3">
      <c r="A3231" t="s">
        <v>6</v>
      </c>
      <c r="B3231" t="str">
        <f>"08/04/2010 00:00"</f>
        <v>08/04/2010 00:00</v>
      </c>
      <c r="C3231">
        <v>1.92</v>
      </c>
      <c r="D3231" t="s">
        <v>7</v>
      </c>
      <c r="E3231" s="2" t="s">
        <v>12</v>
      </c>
      <c r="F3231">
        <f t="shared" si="50"/>
        <v>3.8073600000000001</v>
      </c>
      <c r="G3231" t="s">
        <v>16</v>
      </c>
      <c r="J3231" t="str">
        <f>"08/04/2010 23:45"</f>
        <v>08/04/2010 23:45</v>
      </c>
    </row>
    <row r="3232" spans="1:10" x14ac:dyDescent="0.3">
      <c r="A3232" t="s">
        <v>6</v>
      </c>
      <c r="B3232" t="str">
        <f>"08/05/2010 00:00"</f>
        <v>08/05/2010 00:00</v>
      </c>
      <c r="C3232">
        <v>1.92</v>
      </c>
      <c r="D3232" t="s">
        <v>7</v>
      </c>
      <c r="E3232" s="2" t="s">
        <v>12</v>
      </c>
      <c r="F3232">
        <f t="shared" si="50"/>
        <v>3.8073600000000001</v>
      </c>
      <c r="G3232" t="s">
        <v>16</v>
      </c>
      <c r="J3232" t="str">
        <f>"08/05/2010 23:45"</f>
        <v>08/05/2010 23:45</v>
      </c>
    </row>
    <row r="3233" spans="1:10" x14ac:dyDescent="0.3">
      <c r="A3233" t="s">
        <v>6</v>
      </c>
      <c r="B3233" t="str">
        <f>"08/06/2010 00:00"</f>
        <v>08/06/2010 00:00</v>
      </c>
      <c r="C3233">
        <v>45.3</v>
      </c>
      <c r="D3233" t="s">
        <v>7</v>
      </c>
      <c r="E3233" s="2" t="s">
        <v>12</v>
      </c>
      <c r="F3233">
        <f t="shared" si="50"/>
        <v>89.829899999999995</v>
      </c>
      <c r="G3233" t="s">
        <v>16</v>
      </c>
      <c r="J3233" t="str">
        <f>"08/06/2010 23:45"</f>
        <v>08/06/2010 23:45</v>
      </c>
    </row>
    <row r="3234" spans="1:10" x14ac:dyDescent="0.3">
      <c r="A3234" t="s">
        <v>6</v>
      </c>
      <c r="B3234" t="str">
        <f>"08/07/2010 00:00"</f>
        <v>08/07/2010 00:00</v>
      </c>
      <c r="C3234">
        <v>146</v>
      </c>
      <c r="D3234" t="s">
        <v>7</v>
      </c>
      <c r="E3234" s="2" t="s">
        <v>12</v>
      </c>
      <c r="F3234">
        <f t="shared" si="50"/>
        <v>289.51800000000003</v>
      </c>
      <c r="G3234" t="s">
        <v>16</v>
      </c>
      <c r="J3234" t="str">
        <f>"08/07/2010 23:45"</f>
        <v>08/07/2010 23:45</v>
      </c>
    </row>
    <row r="3235" spans="1:10" x14ac:dyDescent="0.3">
      <c r="A3235" t="s">
        <v>6</v>
      </c>
      <c r="B3235" t="str">
        <f>"08/08/2010 00:00"</f>
        <v>08/08/2010 00:00</v>
      </c>
      <c r="C3235">
        <v>181</v>
      </c>
      <c r="D3235" t="s">
        <v>7</v>
      </c>
      <c r="E3235" s="2" t="s">
        <v>12</v>
      </c>
      <c r="F3235">
        <f t="shared" si="50"/>
        <v>358.923</v>
      </c>
      <c r="G3235" t="s">
        <v>16</v>
      </c>
      <c r="J3235" t="str">
        <f>"08/08/2010 23:45"</f>
        <v>08/08/2010 23:45</v>
      </c>
    </row>
    <row r="3236" spans="1:10" x14ac:dyDescent="0.3">
      <c r="A3236" t="s">
        <v>6</v>
      </c>
      <c r="B3236" t="str">
        <f>"08/09/2010 00:00"</f>
        <v>08/09/2010 00:00</v>
      </c>
      <c r="C3236">
        <v>148</v>
      </c>
      <c r="D3236" t="s">
        <v>7</v>
      </c>
      <c r="E3236" s="2" t="s">
        <v>12</v>
      </c>
      <c r="F3236">
        <f t="shared" si="50"/>
        <v>293.48400000000004</v>
      </c>
      <c r="G3236" t="s">
        <v>16</v>
      </c>
      <c r="J3236" t="str">
        <f>"08/09/2010 23:45"</f>
        <v>08/09/2010 23:45</v>
      </c>
    </row>
    <row r="3237" spans="1:10" x14ac:dyDescent="0.3">
      <c r="A3237" t="s">
        <v>6</v>
      </c>
      <c r="B3237" t="str">
        <f>"08/10/2010 00:00"</f>
        <v>08/10/2010 00:00</v>
      </c>
      <c r="C3237">
        <v>106</v>
      </c>
      <c r="D3237" t="s">
        <v>7</v>
      </c>
      <c r="E3237" s="2" t="s">
        <v>12</v>
      </c>
      <c r="F3237">
        <f t="shared" si="50"/>
        <v>210.19800000000001</v>
      </c>
      <c r="G3237" t="s">
        <v>16</v>
      </c>
      <c r="J3237" t="str">
        <f>"08/10/2010 23:45"</f>
        <v>08/10/2010 23:45</v>
      </c>
    </row>
    <row r="3238" spans="1:10" x14ac:dyDescent="0.3">
      <c r="A3238" t="s">
        <v>6</v>
      </c>
      <c r="B3238" t="str">
        <f>"08/11/2010 00:00"</f>
        <v>08/11/2010 00:00</v>
      </c>
      <c r="C3238">
        <v>91.5</v>
      </c>
      <c r="D3238" t="s">
        <v>7</v>
      </c>
      <c r="E3238" s="2" t="s">
        <v>12</v>
      </c>
      <c r="F3238">
        <f t="shared" si="50"/>
        <v>181.44450000000001</v>
      </c>
      <c r="G3238" t="s">
        <v>16</v>
      </c>
      <c r="J3238" t="str">
        <f>"08/11/2010 23:45"</f>
        <v>08/11/2010 23:45</v>
      </c>
    </row>
    <row r="3239" spans="1:10" x14ac:dyDescent="0.3">
      <c r="A3239" t="s">
        <v>6</v>
      </c>
      <c r="B3239" t="str">
        <f>"08/12/2010 00:00"</f>
        <v>08/12/2010 00:00</v>
      </c>
      <c r="C3239">
        <v>154</v>
      </c>
      <c r="D3239" t="s">
        <v>7</v>
      </c>
      <c r="E3239" s="2" t="s">
        <v>12</v>
      </c>
      <c r="F3239">
        <f t="shared" si="50"/>
        <v>305.38200000000001</v>
      </c>
      <c r="G3239" t="s">
        <v>16</v>
      </c>
      <c r="J3239" t="str">
        <f>"08/12/2010 23:45"</f>
        <v>08/12/2010 23:45</v>
      </c>
    </row>
    <row r="3240" spans="1:10" x14ac:dyDescent="0.3">
      <c r="A3240" t="s">
        <v>6</v>
      </c>
      <c r="B3240" t="str">
        <f>"08/13/2010 00:00"</f>
        <v>08/13/2010 00:00</v>
      </c>
      <c r="C3240">
        <v>245</v>
      </c>
      <c r="D3240" t="s">
        <v>7</v>
      </c>
      <c r="E3240" s="2" t="s">
        <v>12</v>
      </c>
      <c r="F3240">
        <f t="shared" si="50"/>
        <v>485.83500000000004</v>
      </c>
      <c r="G3240" t="s">
        <v>16</v>
      </c>
      <c r="J3240" t="str">
        <f>"08/13/2010 23:45"</f>
        <v>08/13/2010 23:45</v>
      </c>
    </row>
    <row r="3241" spans="1:10" x14ac:dyDescent="0.3">
      <c r="A3241" t="s">
        <v>6</v>
      </c>
      <c r="B3241" t="str">
        <f>"08/14/2010 00:00"</f>
        <v>08/14/2010 00:00</v>
      </c>
      <c r="C3241">
        <v>301</v>
      </c>
      <c r="D3241" t="s">
        <v>7</v>
      </c>
      <c r="E3241" s="2" t="s">
        <v>12</v>
      </c>
      <c r="F3241">
        <f t="shared" si="50"/>
        <v>596.88300000000004</v>
      </c>
      <c r="G3241" t="s">
        <v>16</v>
      </c>
      <c r="J3241" t="str">
        <f>"08/14/2010 23:45"</f>
        <v>08/14/2010 23:45</v>
      </c>
    </row>
    <row r="3242" spans="1:10" x14ac:dyDescent="0.3">
      <c r="A3242" t="s">
        <v>6</v>
      </c>
      <c r="B3242" t="str">
        <f>"08/15/2010 00:00"</f>
        <v>08/15/2010 00:00</v>
      </c>
      <c r="C3242">
        <v>301</v>
      </c>
      <c r="D3242" t="s">
        <v>7</v>
      </c>
      <c r="E3242" s="2" t="s">
        <v>12</v>
      </c>
      <c r="F3242">
        <f t="shared" si="50"/>
        <v>596.88300000000004</v>
      </c>
      <c r="G3242" t="s">
        <v>16</v>
      </c>
      <c r="J3242" t="str">
        <f>"08/15/2010 23:45"</f>
        <v>08/15/2010 23:45</v>
      </c>
    </row>
    <row r="3243" spans="1:10" x14ac:dyDescent="0.3">
      <c r="A3243" t="s">
        <v>6</v>
      </c>
      <c r="B3243" t="str">
        <f>"08/16/2010 00:00"</f>
        <v>08/16/2010 00:00</v>
      </c>
      <c r="C3243">
        <v>258</v>
      </c>
      <c r="D3243" t="s">
        <v>7</v>
      </c>
      <c r="E3243" s="2" t="s">
        <v>12</v>
      </c>
      <c r="F3243">
        <f t="shared" si="50"/>
        <v>511.61400000000003</v>
      </c>
      <c r="G3243" t="s">
        <v>16</v>
      </c>
      <c r="J3243" t="str">
        <f>"08/16/2010 23:45"</f>
        <v>08/16/2010 23:45</v>
      </c>
    </row>
    <row r="3244" spans="1:10" x14ac:dyDescent="0.3">
      <c r="A3244" t="s">
        <v>6</v>
      </c>
      <c r="B3244" t="str">
        <f>"08/17/2010 00:00"</f>
        <v>08/17/2010 00:00</v>
      </c>
      <c r="C3244">
        <v>175</v>
      </c>
      <c r="D3244" t="s">
        <v>7</v>
      </c>
      <c r="E3244" s="2" t="s">
        <v>12</v>
      </c>
      <c r="F3244">
        <f t="shared" si="50"/>
        <v>347.02500000000003</v>
      </c>
      <c r="G3244" t="s">
        <v>16</v>
      </c>
      <c r="J3244" t="str">
        <f>"08/17/2010 23:45"</f>
        <v>08/17/2010 23:45</v>
      </c>
    </row>
    <row r="3245" spans="1:10" x14ac:dyDescent="0.3">
      <c r="A3245" t="s">
        <v>6</v>
      </c>
      <c r="B3245" t="str">
        <f>"08/18/2010 00:00"</f>
        <v>08/18/2010 00:00</v>
      </c>
      <c r="C3245">
        <v>109</v>
      </c>
      <c r="D3245" t="s">
        <v>7</v>
      </c>
      <c r="E3245" s="2" t="s">
        <v>12</v>
      </c>
      <c r="F3245">
        <f t="shared" si="50"/>
        <v>216.14700000000002</v>
      </c>
      <c r="G3245" t="s">
        <v>16</v>
      </c>
      <c r="J3245" t="str">
        <f>"08/18/2010 23:45"</f>
        <v>08/18/2010 23:45</v>
      </c>
    </row>
    <row r="3246" spans="1:10" x14ac:dyDescent="0.3">
      <c r="A3246" t="s">
        <v>6</v>
      </c>
      <c r="B3246" t="str">
        <f>"08/19/2010 00:00"</f>
        <v>08/19/2010 00:00</v>
      </c>
      <c r="C3246">
        <v>95.3</v>
      </c>
      <c r="D3246" t="s">
        <v>7</v>
      </c>
      <c r="E3246" s="2" t="s">
        <v>12</v>
      </c>
      <c r="F3246">
        <f t="shared" si="50"/>
        <v>188.97990000000001</v>
      </c>
      <c r="G3246" t="s">
        <v>16</v>
      </c>
      <c r="J3246" t="str">
        <f>"08/19/2010 23:45"</f>
        <v>08/19/2010 23:45</v>
      </c>
    </row>
    <row r="3247" spans="1:10" x14ac:dyDescent="0.3">
      <c r="A3247" t="s">
        <v>6</v>
      </c>
      <c r="B3247" t="str">
        <f>"08/20/2010 00:00"</f>
        <v>08/20/2010 00:00</v>
      </c>
      <c r="C3247">
        <v>95.4</v>
      </c>
      <c r="D3247" t="s">
        <v>7</v>
      </c>
      <c r="E3247" s="2" t="s">
        <v>12</v>
      </c>
      <c r="F3247">
        <f t="shared" si="50"/>
        <v>189.17820000000003</v>
      </c>
      <c r="G3247" t="s">
        <v>16</v>
      </c>
      <c r="J3247" t="str">
        <f>"08/20/2010 23:45"</f>
        <v>08/20/2010 23:45</v>
      </c>
    </row>
    <row r="3248" spans="1:10" x14ac:dyDescent="0.3">
      <c r="A3248" t="s">
        <v>6</v>
      </c>
      <c r="B3248" t="str">
        <f>"08/21/2010 00:00"</f>
        <v>08/21/2010 00:00</v>
      </c>
      <c r="C3248">
        <v>156</v>
      </c>
      <c r="D3248" t="s">
        <v>7</v>
      </c>
      <c r="E3248" s="2" t="s">
        <v>12</v>
      </c>
      <c r="F3248">
        <f t="shared" si="50"/>
        <v>309.34800000000001</v>
      </c>
      <c r="G3248" t="s">
        <v>16</v>
      </c>
      <c r="J3248" t="str">
        <f>"08/21/2010 23:45"</f>
        <v>08/21/2010 23:45</v>
      </c>
    </row>
    <row r="3249" spans="1:10" x14ac:dyDescent="0.3">
      <c r="A3249" t="s">
        <v>6</v>
      </c>
      <c r="B3249" t="str">
        <f>"08/22/2010 00:00"</f>
        <v>08/22/2010 00:00</v>
      </c>
      <c r="C3249">
        <v>245</v>
      </c>
      <c r="D3249" t="s">
        <v>7</v>
      </c>
      <c r="E3249" s="2" t="s">
        <v>12</v>
      </c>
      <c r="F3249">
        <f t="shared" si="50"/>
        <v>485.83500000000004</v>
      </c>
      <c r="G3249" t="s">
        <v>16</v>
      </c>
      <c r="J3249" t="str">
        <f>"08/22/2010 23:45"</f>
        <v>08/22/2010 23:45</v>
      </c>
    </row>
    <row r="3250" spans="1:10" x14ac:dyDescent="0.3">
      <c r="A3250" t="s">
        <v>6</v>
      </c>
      <c r="B3250" t="str">
        <f>"08/23/2010 00:00"</f>
        <v>08/23/2010 00:00</v>
      </c>
      <c r="C3250">
        <v>294</v>
      </c>
      <c r="D3250" t="s">
        <v>7</v>
      </c>
      <c r="E3250" s="2" t="s">
        <v>12</v>
      </c>
      <c r="F3250">
        <f t="shared" si="50"/>
        <v>583.00200000000007</v>
      </c>
      <c r="G3250" t="s">
        <v>16</v>
      </c>
      <c r="J3250" t="str">
        <f>"08/23/2010 23:45"</f>
        <v>08/23/2010 23:45</v>
      </c>
    </row>
    <row r="3251" spans="1:10" x14ac:dyDescent="0.3">
      <c r="A3251" t="s">
        <v>6</v>
      </c>
      <c r="B3251" t="str">
        <f>"08/24/2010 00:00"</f>
        <v>08/24/2010 00:00</v>
      </c>
      <c r="C3251">
        <v>294</v>
      </c>
      <c r="D3251" t="s">
        <v>7</v>
      </c>
      <c r="E3251" s="2" t="s">
        <v>12</v>
      </c>
      <c r="F3251">
        <f t="shared" si="50"/>
        <v>583.00200000000007</v>
      </c>
      <c r="G3251" t="s">
        <v>16</v>
      </c>
      <c r="J3251" t="str">
        <f>"08/24/2010 23:45"</f>
        <v>08/24/2010 23:45</v>
      </c>
    </row>
    <row r="3252" spans="1:10" x14ac:dyDescent="0.3">
      <c r="A3252" t="s">
        <v>6</v>
      </c>
      <c r="B3252" t="str">
        <f>"08/25/2010 00:00"</f>
        <v>08/25/2010 00:00</v>
      </c>
      <c r="C3252">
        <v>237</v>
      </c>
      <c r="D3252" t="s">
        <v>7</v>
      </c>
      <c r="E3252" s="2" t="s">
        <v>12</v>
      </c>
      <c r="F3252">
        <f t="shared" si="50"/>
        <v>469.971</v>
      </c>
      <c r="G3252" t="s">
        <v>16</v>
      </c>
      <c r="J3252" t="str">
        <f>"08/25/2010 23:45"</f>
        <v>08/25/2010 23:45</v>
      </c>
    </row>
    <row r="3253" spans="1:10" x14ac:dyDescent="0.3">
      <c r="A3253" t="s">
        <v>6</v>
      </c>
      <c r="B3253" t="str">
        <f>"08/26/2010 00:00"</f>
        <v>08/26/2010 00:00</v>
      </c>
      <c r="C3253">
        <v>197</v>
      </c>
      <c r="D3253" t="s">
        <v>7</v>
      </c>
      <c r="E3253" s="2" t="s">
        <v>12</v>
      </c>
      <c r="F3253">
        <f t="shared" si="50"/>
        <v>390.65100000000001</v>
      </c>
      <c r="G3253" t="s">
        <v>16</v>
      </c>
      <c r="J3253" t="str">
        <f>"08/26/2010 23:45"</f>
        <v>08/26/2010 23:45</v>
      </c>
    </row>
    <row r="3254" spans="1:10" x14ac:dyDescent="0.3">
      <c r="A3254" t="s">
        <v>6</v>
      </c>
      <c r="B3254" t="str">
        <f>"08/27/2010 00:00"</f>
        <v>08/27/2010 00:00</v>
      </c>
      <c r="C3254">
        <v>245</v>
      </c>
      <c r="D3254" t="s">
        <v>7</v>
      </c>
      <c r="E3254" s="2" t="s">
        <v>12</v>
      </c>
      <c r="F3254">
        <f t="shared" si="50"/>
        <v>485.83500000000004</v>
      </c>
      <c r="G3254" t="s">
        <v>16</v>
      </c>
      <c r="J3254" t="str">
        <f>"08/27/2010 23:45"</f>
        <v>08/27/2010 23:45</v>
      </c>
    </row>
    <row r="3255" spans="1:10" x14ac:dyDescent="0.3">
      <c r="A3255" t="s">
        <v>6</v>
      </c>
      <c r="B3255" t="str">
        <f>"08/28/2010 00:00"</f>
        <v>08/28/2010 00:00</v>
      </c>
      <c r="C3255">
        <v>300</v>
      </c>
      <c r="D3255" t="s">
        <v>7</v>
      </c>
      <c r="E3255" s="2" t="s">
        <v>12</v>
      </c>
      <c r="F3255">
        <f t="shared" si="50"/>
        <v>594.9</v>
      </c>
      <c r="G3255" t="s">
        <v>16</v>
      </c>
      <c r="J3255" t="str">
        <f>"08/28/2010 23:45"</f>
        <v>08/28/2010 23:45</v>
      </c>
    </row>
    <row r="3256" spans="1:10" x14ac:dyDescent="0.3">
      <c r="A3256" t="s">
        <v>6</v>
      </c>
      <c r="B3256" t="str">
        <f>"08/29/2010 00:00"</f>
        <v>08/29/2010 00:00</v>
      </c>
      <c r="C3256">
        <v>298</v>
      </c>
      <c r="D3256" t="s">
        <v>7</v>
      </c>
      <c r="E3256" s="2" t="s">
        <v>12</v>
      </c>
      <c r="F3256">
        <f t="shared" si="50"/>
        <v>590.93400000000008</v>
      </c>
      <c r="G3256" t="s">
        <v>16</v>
      </c>
      <c r="J3256" t="str">
        <f>"08/29/2010 23:45"</f>
        <v>08/29/2010 23:45</v>
      </c>
    </row>
    <row r="3257" spans="1:10" x14ac:dyDescent="0.3">
      <c r="A3257" t="s">
        <v>6</v>
      </c>
      <c r="B3257" t="str">
        <f>"08/30/2010 00:00"</f>
        <v>08/30/2010 00:00</v>
      </c>
      <c r="C3257">
        <v>298</v>
      </c>
      <c r="D3257" t="s">
        <v>7</v>
      </c>
      <c r="E3257" s="2" t="s">
        <v>12</v>
      </c>
      <c r="F3257">
        <f t="shared" si="50"/>
        <v>590.93400000000008</v>
      </c>
      <c r="G3257" t="s">
        <v>16</v>
      </c>
      <c r="J3257" t="str">
        <f>"08/30/2010 23:45"</f>
        <v>08/30/2010 23:45</v>
      </c>
    </row>
    <row r="3258" spans="1:10" x14ac:dyDescent="0.3">
      <c r="A3258" t="s">
        <v>6</v>
      </c>
      <c r="B3258" t="str">
        <f>"08/31/2010 00:00"</f>
        <v>08/31/2010 00:00</v>
      </c>
      <c r="C3258">
        <v>297</v>
      </c>
      <c r="D3258" t="s">
        <v>7</v>
      </c>
      <c r="E3258" s="2" t="s">
        <v>12</v>
      </c>
      <c r="F3258">
        <f t="shared" si="50"/>
        <v>588.95100000000002</v>
      </c>
      <c r="G3258" t="s">
        <v>16</v>
      </c>
      <c r="J3258" t="str">
        <f>"08/31/2010 23:45"</f>
        <v>08/31/2010 23:45</v>
      </c>
    </row>
    <row r="3259" spans="1:10" x14ac:dyDescent="0.3">
      <c r="A3259" t="s">
        <v>6</v>
      </c>
      <c r="B3259" t="str">
        <f>"09/01/2010 00:00"</f>
        <v>09/01/2010 00:00</v>
      </c>
      <c r="C3259">
        <v>295</v>
      </c>
      <c r="D3259" t="s">
        <v>7</v>
      </c>
      <c r="E3259" s="2" t="s">
        <v>12</v>
      </c>
      <c r="F3259">
        <f t="shared" si="50"/>
        <v>584.98500000000001</v>
      </c>
      <c r="G3259" t="s">
        <v>16</v>
      </c>
      <c r="J3259" t="str">
        <f>"09/01/2010 23:45"</f>
        <v>09/01/2010 23:45</v>
      </c>
    </row>
    <row r="3260" spans="1:10" x14ac:dyDescent="0.3">
      <c r="A3260" t="s">
        <v>6</v>
      </c>
      <c r="B3260" t="str">
        <f>"09/02/2010 00:00"</f>
        <v>09/02/2010 00:00</v>
      </c>
      <c r="C3260">
        <v>295</v>
      </c>
      <c r="D3260" t="s">
        <v>7</v>
      </c>
      <c r="E3260" s="2" t="s">
        <v>12</v>
      </c>
      <c r="F3260">
        <f t="shared" si="50"/>
        <v>584.98500000000001</v>
      </c>
      <c r="G3260" t="s">
        <v>16</v>
      </c>
      <c r="J3260" t="str">
        <f>"09/02/2010 23:45"</f>
        <v>09/02/2010 23:45</v>
      </c>
    </row>
    <row r="3261" spans="1:10" x14ac:dyDescent="0.3">
      <c r="A3261" t="s">
        <v>6</v>
      </c>
      <c r="B3261" t="str">
        <f>"09/03/2010 00:00"</f>
        <v>09/03/2010 00:00</v>
      </c>
      <c r="C3261">
        <v>277</v>
      </c>
      <c r="D3261" t="s">
        <v>7</v>
      </c>
      <c r="E3261" s="2" t="s">
        <v>12</v>
      </c>
      <c r="F3261">
        <f t="shared" si="50"/>
        <v>549.29100000000005</v>
      </c>
      <c r="G3261" t="s">
        <v>16</v>
      </c>
      <c r="J3261" t="str">
        <f>"09/03/2010 23:45"</f>
        <v>09/03/2010 23:45</v>
      </c>
    </row>
    <row r="3262" spans="1:10" x14ac:dyDescent="0.3">
      <c r="A3262" t="s">
        <v>6</v>
      </c>
      <c r="B3262" t="str">
        <f>"09/04/2010 00:00"</f>
        <v>09/04/2010 00:00</v>
      </c>
      <c r="C3262">
        <v>283</v>
      </c>
      <c r="D3262" t="s">
        <v>7</v>
      </c>
      <c r="E3262" s="2" t="s">
        <v>12</v>
      </c>
      <c r="F3262">
        <f t="shared" si="50"/>
        <v>561.18900000000008</v>
      </c>
      <c r="G3262" t="s">
        <v>16</v>
      </c>
      <c r="J3262" t="str">
        <f>"09/04/2010 23:45"</f>
        <v>09/04/2010 23:45</v>
      </c>
    </row>
    <row r="3263" spans="1:10" x14ac:dyDescent="0.3">
      <c r="A3263" t="s">
        <v>6</v>
      </c>
      <c r="B3263" t="str">
        <f>"09/05/2010 00:00"</f>
        <v>09/05/2010 00:00</v>
      </c>
      <c r="C3263">
        <v>323</v>
      </c>
      <c r="D3263" t="s">
        <v>7</v>
      </c>
      <c r="E3263" s="2" t="s">
        <v>12</v>
      </c>
      <c r="F3263">
        <f t="shared" si="50"/>
        <v>640.50900000000001</v>
      </c>
      <c r="G3263" t="s">
        <v>16</v>
      </c>
      <c r="J3263" t="str">
        <f>"09/05/2010 23:45"</f>
        <v>09/05/2010 23:45</v>
      </c>
    </row>
    <row r="3264" spans="1:10" x14ac:dyDescent="0.3">
      <c r="A3264" t="s">
        <v>6</v>
      </c>
      <c r="B3264" t="str">
        <f>"09/06/2010 00:00"</f>
        <v>09/06/2010 00:00</v>
      </c>
      <c r="C3264">
        <v>345</v>
      </c>
      <c r="D3264" t="s">
        <v>7</v>
      </c>
      <c r="E3264" s="2" t="s">
        <v>12</v>
      </c>
      <c r="F3264">
        <f t="shared" si="50"/>
        <v>684.13499999999999</v>
      </c>
      <c r="G3264" t="s">
        <v>16</v>
      </c>
      <c r="J3264" t="str">
        <f>"09/06/2010 23:45"</f>
        <v>09/06/2010 23:45</v>
      </c>
    </row>
    <row r="3265" spans="1:10" x14ac:dyDescent="0.3">
      <c r="A3265" t="s">
        <v>6</v>
      </c>
      <c r="B3265" t="str">
        <f>"09/07/2010 00:00"</f>
        <v>09/07/2010 00:00</v>
      </c>
      <c r="C3265">
        <v>345</v>
      </c>
      <c r="D3265" t="s">
        <v>7</v>
      </c>
      <c r="E3265" s="2" t="s">
        <v>12</v>
      </c>
      <c r="F3265">
        <f t="shared" si="50"/>
        <v>684.13499999999999</v>
      </c>
      <c r="G3265" t="s">
        <v>16</v>
      </c>
      <c r="J3265" t="str">
        <f>"09/07/2010 23:45"</f>
        <v>09/07/2010 23:45</v>
      </c>
    </row>
    <row r="3266" spans="1:10" x14ac:dyDescent="0.3">
      <c r="A3266" t="s">
        <v>6</v>
      </c>
      <c r="B3266" t="str">
        <f>"09/08/2010 00:00"</f>
        <v>09/08/2010 00:00</v>
      </c>
      <c r="C3266">
        <v>345</v>
      </c>
      <c r="D3266" t="s">
        <v>7</v>
      </c>
      <c r="E3266" s="2" t="s">
        <v>12</v>
      </c>
      <c r="F3266">
        <f t="shared" si="50"/>
        <v>684.13499999999999</v>
      </c>
      <c r="G3266" t="s">
        <v>16</v>
      </c>
      <c r="J3266" t="str">
        <f>"09/08/2010 23:45"</f>
        <v>09/08/2010 23:45</v>
      </c>
    </row>
    <row r="3267" spans="1:10" x14ac:dyDescent="0.3">
      <c r="A3267" t="s">
        <v>6</v>
      </c>
      <c r="B3267" t="str">
        <f>"09/09/2010 00:00"</f>
        <v>09/09/2010 00:00</v>
      </c>
      <c r="C3267">
        <v>344</v>
      </c>
      <c r="D3267" t="s">
        <v>7</v>
      </c>
      <c r="E3267" s="2" t="s">
        <v>12</v>
      </c>
      <c r="F3267">
        <f t="shared" si="50"/>
        <v>682.15200000000004</v>
      </c>
      <c r="G3267" t="s">
        <v>16</v>
      </c>
      <c r="J3267" t="str">
        <f>"09/09/2010 23:45"</f>
        <v>09/09/2010 23:45</v>
      </c>
    </row>
    <row r="3268" spans="1:10" x14ac:dyDescent="0.3">
      <c r="A3268" t="s">
        <v>6</v>
      </c>
      <c r="B3268" t="str">
        <f>"09/10/2010 00:00"</f>
        <v>09/10/2010 00:00</v>
      </c>
      <c r="C3268">
        <v>288</v>
      </c>
      <c r="D3268" t="s">
        <v>7</v>
      </c>
      <c r="E3268" s="2" t="s">
        <v>12</v>
      </c>
      <c r="F3268">
        <f t="shared" ref="F3268:F3331" si="51">C3268*1.983</f>
        <v>571.10400000000004</v>
      </c>
      <c r="G3268" t="s">
        <v>16</v>
      </c>
      <c r="J3268" t="str">
        <f>"09/10/2010 23:45"</f>
        <v>09/10/2010 23:45</v>
      </c>
    </row>
    <row r="3269" spans="1:10" x14ac:dyDescent="0.3">
      <c r="A3269" t="s">
        <v>6</v>
      </c>
      <c r="B3269" t="str">
        <f>"09/11/2010 00:00"</f>
        <v>09/11/2010 00:00</v>
      </c>
      <c r="C3269">
        <v>198</v>
      </c>
      <c r="D3269" t="s">
        <v>7</v>
      </c>
      <c r="E3269" s="2" t="s">
        <v>12</v>
      </c>
      <c r="F3269">
        <f t="shared" si="51"/>
        <v>392.63400000000001</v>
      </c>
      <c r="G3269" t="s">
        <v>16</v>
      </c>
      <c r="J3269" t="str">
        <f>"09/11/2010 23:45"</f>
        <v>09/11/2010 23:45</v>
      </c>
    </row>
    <row r="3270" spans="1:10" x14ac:dyDescent="0.3">
      <c r="A3270" t="s">
        <v>6</v>
      </c>
      <c r="B3270" t="str">
        <f>"09/12/2010 00:00"</f>
        <v>09/12/2010 00:00</v>
      </c>
      <c r="C3270">
        <v>199</v>
      </c>
      <c r="D3270" t="s">
        <v>7</v>
      </c>
      <c r="E3270" s="2" t="s">
        <v>12</v>
      </c>
      <c r="F3270">
        <f t="shared" si="51"/>
        <v>394.61700000000002</v>
      </c>
      <c r="G3270" t="s">
        <v>16</v>
      </c>
      <c r="J3270" t="str">
        <f>"09/12/2010 23:45"</f>
        <v>09/12/2010 23:45</v>
      </c>
    </row>
    <row r="3271" spans="1:10" x14ac:dyDescent="0.3">
      <c r="A3271" t="s">
        <v>6</v>
      </c>
      <c r="B3271" t="str">
        <f>"09/13/2010 00:00"</f>
        <v>09/13/2010 00:00</v>
      </c>
      <c r="C3271">
        <v>199</v>
      </c>
      <c r="D3271" t="s">
        <v>7</v>
      </c>
      <c r="E3271" s="2" t="s">
        <v>12</v>
      </c>
      <c r="F3271">
        <f t="shared" si="51"/>
        <v>394.61700000000002</v>
      </c>
      <c r="G3271" t="s">
        <v>16</v>
      </c>
      <c r="J3271" t="str">
        <f>"09/13/2010 23:45"</f>
        <v>09/13/2010 23:45</v>
      </c>
    </row>
    <row r="3272" spans="1:10" x14ac:dyDescent="0.3">
      <c r="A3272" t="s">
        <v>6</v>
      </c>
      <c r="B3272" t="str">
        <f>"09/14/2010 00:00"</f>
        <v>09/14/2010 00:00</v>
      </c>
      <c r="C3272">
        <v>286</v>
      </c>
      <c r="D3272" t="s">
        <v>7</v>
      </c>
      <c r="E3272" s="2" t="s">
        <v>12</v>
      </c>
      <c r="F3272">
        <f t="shared" si="51"/>
        <v>567.13800000000003</v>
      </c>
      <c r="G3272" t="s">
        <v>16</v>
      </c>
      <c r="J3272" t="str">
        <f>"09/14/2010 23:45"</f>
        <v>09/14/2010 23:45</v>
      </c>
    </row>
    <row r="3273" spans="1:10" x14ac:dyDescent="0.3">
      <c r="A3273" t="s">
        <v>6</v>
      </c>
      <c r="B3273" t="str">
        <f>"09/15/2010 00:00"</f>
        <v>09/15/2010 00:00</v>
      </c>
      <c r="C3273">
        <v>348</v>
      </c>
      <c r="D3273" t="s">
        <v>7</v>
      </c>
      <c r="E3273" s="2" t="s">
        <v>12</v>
      </c>
      <c r="F3273">
        <f t="shared" si="51"/>
        <v>690.08400000000006</v>
      </c>
      <c r="G3273" t="s">
        <v>16</v>
      </c>
      <c r="J3273" t="str">
        <f>"09/15/2010 23:45"</f>
        <v>09/15/2010 23:45</v>
      </c>
    </row>
    <row r="3274" spans="1:10" x14ac:dyDescent="0.3">
      <c r="A3274" t="s">
        <v>6</v>
      </c>
      <c r="B3274" t="str">
        <f>"09/16/2010 00:00"</f>
        <v>09/16/2010 00:00</v>
      </c>
      <c r="C3274">
        <v>348</v>
      </c>
      <c r="D3274" t="s">
        <v>7</v>
      </c>
      <c r="E3274" s="2" t="s">
        <v>12</v>
      </c>
      <c r="F3274">
        <f t="shared" si="51"/>
        <v>690.08400000000006</v>
      </c>
      <c r="G3274" t="s">
        <v>16</v>
      </c>
      <c r="J3274" t="str">
        <f>"09/16/2010 23:45"</f>
        <v>09/16/2010 23:45</v>
      </c>
    </row>
    <row r="3275" spans="1:10" x14ac:dyDescent="0.3">
      <c r="A3275" t="s">
        <v>6</v>
      </c>
      <c r="B3275" t="str">
        <f>"09/17/2010 00:00"</f>
        <v>09/17/2010 00:00</v>
      </c>
      <c r="C3275">
        <v>328</v>
      </c>
      <c r="D3275" t="s">
        <v>7</v>
      </c>
      <c r="E3275" s="2" t="s">
        <v>12</v>
      </c>
      <c r="F3275">
        <f t="shared" si="51"/>
        <v>650.42399999999998</v>
      </c>
      <c r="G3275" t="s">
        <v>16</v>
      </c>
      <c r="J3275" t="str">
        <f>"09/17/2010 23:45"</f>
        <v>09/17/2010 23:45</v>
      </c>
    </row>
    <row r="3276" spans="1:10" x14ac:dyDescent="0.3">
      <c r="A3276" t="s">
        <v>6</v>
      </c>
      <c r="B3276" t="str">
        <f>"09/18/2010 00:00"</f>
        <v>09/18/2010 00:00</v>
      </c>
      <c r="C3276">
        <v>299</v>
      </c>
      <c r="D3276" t="s">
        <v>7</v>
      </c>
      <c r="E3276" s="2" t="s">
        <v>12</v>
      </c>
      <c r="F3276">
        <f t="shared" si="51"/>
        <v>592.91700000000003</v>
      </c>
      <c r="G3276" t="s">
        <v>16</v>
      </c>
      <c r="J3276" t="str">
        <f>"09/18/2010 23:45"</f>
        <v>09/18/2010 23:45</v>
      </c>
    </row>
    <row r="3277" spans="1:10" x14ac:dyDescent="0.3">
      <c r="A3277" t="s">
        <v>6</v>
      </c>
      <c r="B3277" t="str">
        <f>"09/19/2010 00:00"</f>
        <v>09/19/2010 00:00</v>
      </c>
      <c r="C3277">
        <v>301</v>
      </c>
      <c r="D3277" t="s">
        <v>7</v>
      </c>
      <c r="E3277" s="2" t="s">
        <v>12</v>
      </c>
      <c r="F3277">
        <f t="shared" si="51"/>
        <v>596.88300000000004</v>
      </c>
      <c r="G3277" t="s">
        <v>16</v>
      </c>
      <c r="J3277" t="str">
        <f>"09/19/2010 23:45"</f>
        <v>09/19/2010 23:45</v>
      </c>
    </row>
    <row r="3278" spans="1:10" x14ac:dyDescent="0.3">
      <c r="A3278" t="s">
        <v>6</v>
      </c>
      <c r="B3278" t="str">
        <f>"09/20/2010 00:00"</f>
        <v>09/20/2010 00:00</v>
      </c>
      <c r="C3278">
        <v>301</v>
      </c>
      <c r="D3278" t="s">
        <v>7</v>
      </c>
      <c r="E3278" s="2" t="s">
        <v>12</v>
      </c>
      <c r="F3278">
        <f t="shared" si="51"/>
        <v>596.88300000000004</v>
      </c>
      <c r="G3278" t="s">
        <v>16</v>
      </c>
      <c r="J3278" t="str">
        <f>"09/20/2010 23:45"</f>
        <v>09/20/2010 23:45</v>
      </c>
    </row>
    <row r="3279" spans="1:10" x14ac:dyDescent="0.3">
      <c r="A3279" t="s">
        <v>6</v>
      </c>
      <c r="B3279" t="str">
        <f>"09/21/2010 00:00"</f>
        <v>09/21/2010 00:00</v>
      </c>
      <c r="C3279">
        <v>301</v>
      </c>
      <c r="D3279" t="s">
        <v>7</v>
      </c>
      <c r="E3279" s="2" t="s">
        <v>12</v>
      </c>
      <c r="F3279">
        <f t="shared" si="51"/>
        <v>596.88300000000004</v>
      </c>
      <c r="G3279" t="s">
        <v>16</v>
      </c>
      <c r="J3279" t="str">
        <f>"09/21/2010 11:15"</f>
        <v>09/21/2010 11:15</v>
      </c>
    </row>
    <row r="3280" spans="1:10" x14ac:dyDescent="0.3">
      <c r="A3280" t="s">
        <v>6</v>
      </c>
      <c r="B3280" t="str">
        <f>"09/22/2010 00:00"</f>
        <v>09/22/2010 00:00</v>
      </c>
      <c r="C3280">
        <v>299</v>
      </c>
      <c r="D3280" t="s">
        <v>7</v>
      </c>
      <c r="E3280" s="2" t="s">
        <v>12</v>
      </c>
      <c r="F3280">
        <f t="shared" si="51"/>
        <v>592.91700000000003</v>
      </c>
      <c r="G3280" t="s">
        <v>16</v>
      </c>
      <c r="J3280" t="str">
        <f>"09/22/2010 23:45"</f>
        <v>09/22/2010 23:45</v>
      </c>
    </row>
    <row r="3281" spans="1:10" x14ac:dyDescent="0.3">
      <c r="A3281" t="s">
        <v>6</v>
      </c>
      <c r="B3281" t="str">
        <f>"09/23/2010 00:00"</f>
        <v>09/23/2010 00:00</v>
      </c>
      <c r="C3281">
        <v>263</v>
      </c>
      <c r="D3281" t="s">
        <v>7</v>
      </c>
      <c r="E3281" s="2" t="s">
        <v>12</v>
      </c>
      <c r="F3281">
        <f t="shared" si="51"/>
        <v>521.529</v>
      </c>
      <c r="G3281" t="s">
        <v>16</v>
      </c>
      <c r="I3281" t="s">
        <v>8</v>
      </c>
      <c r="J3281" t="str">
        <f>"09/23/2010 23:45"</f>
        <v>09/23/2010 23:45</v>
      </c>
    </row>
    <row r="3282" spans="1:10" x14ac:dyDescent="0.3">
      <c r="A3282" t="s">
        <v>6</v>
      </c>
      <c r="B3282" t="str">
        <f>"09/24/2010 00:00"</f>
        <v>09/24/2010 00:00</v>
      </c>
      <c r="C3282">
        <v>224</v>
      </c>
      <c r="D3282" t="s">
        <v>7</v>
      </c>
      <c r="E3282" s="2" t="s">
        <v>12</v>
      </c>
      <c r="F3282">
        <f t="shared" si="51"/>
        <v>444.19200000000001</v>
      </c>
      <c r="G3282" t="s">
        <v>16</v>
      </c>
      <c r="J3282" t="str">
        <f>"09/24/2010 23:45"</f>
        <v>09/24/2010 23:45</v>
      </c>
    </row>
    <row r="3283" spans="1:10" x14ac:dyDescent="0.3">
      <c r="A3283" t="s">
        <v>6</v>
      </c>
      <c r="B3283" t="str">
        <f>"09/25/2010 00:00"</f>
        <v>09/25/2010 00:00</v>
      </c>
      <c r="C3283">
        <v>223</v>
      </c>
      <c r="D3283" t="s">
        <v>7</v>
      </c>
      <c r="E3283" s="2" t="s">
        <v>12</v>
      </c>
      <c r="F3283">
        <f t="shared" si="51"/>
        <v>442.209</v>
      </c>
      <c r="G3283" t="s">
        <v>16</v>
      </c>
      <c r="J3283" t="str">
        <f>"09/25/2010 23:45"</f>
        <v>09/25/2010 23:45</v>
      </c>
    </row>
    <row r="3284" spans="1:10" x14ac:dyDescent="0.3">
      <c r="A3284" t="s">
        <v>6</v>
      </c>
      <c r="B3284" t="str">
        <f>"09/26/2010 00:00"</f>
        <v>09/26/2010 00:00</v>
      </c>
      <c r="C3284">
        <v>224</v>
      </c>
      <c r="D3284" t="s">
        <v>7</v>
      </c>
      <c r="E3284" s="2" t="s">
        <v>12</v>
      </c>
      <c r="F3284">
        <f t="shared" si="51"/>
        <v>444.19200000000001</v>
      </c>
      <c r="G3284" t="s">
        <v>16</v>
      </c>
      <c r="J3284" t="str">
        <f>"09/26/2010 23:45"</f>
        <v>09/26/2010 23:45</v>
      </c>
    </row>
    <row r="3285" spans="1:10" x14ac:dyDescent="0.3">
      <c r="A3285" t="s">
        <v>6</v>
      </c>
      <c r="B3285" t="str">
        <f>"09/27/2010 00:00"</f>
        <v>09/27/2010 00:00</v>
      </c>
      <c r="C3285">
        <v>282</v>
      </c>
      <c r="D3285" t="s">
        <v>7</v>
      </c>
      <c r="E3285" s="2" t="s">
        <v>12</v>
      </c>
      <c r="F3285">
        <f t="shared" si="51"/>
        <v>559.20600000000002</v>
      </c>
      <c r="G3285" t="s">
        <v>16</v>
      </c>
      <c r="J3285" t="str">
        <f>"09/27/2010 23:45"</f>
        <v>09/27/2010 23:45</v>
      </c>
    </row>
    <row r="3286" spans="1:10" x14ac:dyDescent="0.3">
      <c r="A3286" t="s">
        <v>6</v>
      </c>
      <c r="B3286" t="str">
        <f>"09/28/2010 00:00"</f>
        <v>09/28/2010 00:00</v>
      </c>
      <c r="C3286">
        <v>369</v>
      </c>
      <c r="D3286" t="s">
        <v>7</v>
      </c>
      <c r="E3286" s="2" t="s">
        <v>12</v>
      </c>
      <c r="F3286">
        <f t="shared" si="51"/>
        <v>731.72700000000009</v>
      </c>
      <c r="G3286" t="s">
        <v>16</v>
      </c>
      <c r="J3286" t="str">
        <f>"09/28/2010 23:45"</f>
        <v>09/28/2010 23:45</v>
      </c>
    </row>
    <row r="3287" spans="1:10" x14ac:dyDescent="0.3">
      <c r="A3287" t="s">
        <v>6</v>
      </c>
      <c r="B3287" t="str">
        <f>"09/29/2010 00:00"</f>
        <v>09/29/2010 00:00</v>
      </c>
      <c r="C3287">
        <v>396</v>
      </c>
      <c r="D3287" t="s">
        <v>7</v>
      </c>
      <c r="E3287" s="2" t="s">
        <v>12</v>
      </c>
      <c r="F3287">
        <f t="shared" si="51"/>
        <v>785.26800000000003</v>
      </c>
      <c r="G3287" t="s">
        <v>16</v>
      </c>
      <c r="J3287" t="str">
        <f>"09/29/2010 23:45"</f>
        <v>09/29/2010 23:45</v>
      </c>
    </row>
    <row r="3288" spans="1:10" x14ac:dyDescent="0.3">
      <c r="A3288" t="s">
        <v>6</v>
      </c>
      <c r="B3288" t="str">
        <f>"09/30/2010 00:00"</f>
        <v>09/30/2010 00:00</v>
      </c>
      <c r="C3288">
        <v>396</v>
      </c>
      <c r="D3288" t="s">
        <v>7</v>
      </c>
      <c r="E3288" s="2" t="s">
        <v>12</v>
      </c>
      <c r="F3288">
        <f t="shared" si="51"/>
        <v>785.26800000000003</v>
      </c>
      <c r="G3288" t="s">
        <v>16</v>
      </c>
      <c r="J3288" t="str">
        <f>"09/30/2010 23:45"</f>
        <v>09/30/2010 23:45</v>
      </c>
    </row>
    <row r="3289" spans="1:10" x14ac:dyDescent="0.3">
      <c r="A3289" t="s">
        <v>6</v>
      </c>
      <c r="B3289" t="str">
        <f>"10/01/2010 00:00"</f>
        <v>10/01/2010 00:00</v>
      </c>
      <c r="C3289">
        <v>396</v>
      </c>
      <c r="D3289" t="s">
        <v>7</v>
      </c>
      <c r="E3289" s="2" t="s">
        <v>12</v>
      </c>
      <c r="F3289">
        <f t="shared" si="51"/>
        <v>785.26800000000003</v>
      </c>
      <c r="G3289" t="s">
        <v>16</v>
      </c>
      <c r="J3289" t="str">
        <f>"10/01/2010 23:45"</f>
        <v>10/01/2010 23:45</v>
      </c>
    </row>
    <row r="3290" spans="1:10" x14ac:dyDescent="0.3">
      <c r="A3290" t="s">
        <v>6</v>
      </c>
      <c r="B3290" t="str">
        <f>"10/02/2010 00:00"</f>
        <v>10/02/2010 00:00</v>
      </c>
      <c r="C3290">
        <v>396</v>
      </c>
      <c r="D3290" t="s">
        <v>7</v>
      </c>
      <c r="E3290" s="2" t="s">
        <v>12</v>
      </c>
      <c r="F3290">
        <f t="shared" si="51"/>
        <v>785.26800000000003</v>
      </c>
      <c r="G3290" t="s">
        <v>16</v>
      </c>
      <c r="J3290" t="str">
        <f>"10/02/2010 23:45"</f>
        <v>10/02/2010 23:45</v>
      </c>
    </row>
    <row r="3291" spans="1:10" x14ac:dyDescent="0.3">
      <c r="A3291" t="s">
        <v>6</v>
      </c>
      <c r="B3291" t="str">
        <f>"10/03/2010 00:00"</f>
        <v>10/03/2010 00:00</v>
      </c>
      <c r="C3291">
        <v>396</v>
      </c>
      <c r="D3291" t="s">
        <v>7</v>
      </c>
      <c r="E3291" s="2" t="s">
        <v>12</v>
      </c>
      <c r="F3291">
        <f t="shared" si="51"/>
        <v>785.26800000000003</v>
      </c>
      <c r="G3291" t="s">
        <v>16</v>
      </c>
      <c r="J3291" t="str">
        <f>"10/03/2010 23:45"</f>
        <v>10/03/2010 23:45</v>
      </c>
    </row>
    <row r="3292" spans="1:10" x14ac:dyDescent="0.3">
      <c r="A3292" t="s">
        <v>6</v>
      </c>
      <c r="B3292" t="str">
        <f>"10/04/2010 00:00"</f>
        <v>10/04/2010 00:00</v>
      </c>
      <c r="C3292">
        <v>396</v>
      </c>
      <c r="D3292" t="s">
        <v>7</v>
      </c>
      <c r="E3292" s="2" t="s">
        <v>12</v>
      </c>
      <c r="F3292">
        <f t="shared" si="51"/>
        <v>785.26800000000003</v>
      </c>
      <c r="G3292" t="s">
        <v>16</v>
      </c>
      <c r="J3292" t="str">
        <f>"10/04/2010 23:45"</f>
        <v>10/04/2010 23:45</v>
      </c>
    </row>
    <row r="3293" spans="1:10" x14ac:dyDescent="0.3">
      <c r="A3293" t="s">
        <v>6</v>
      </c>
      <c r="B3293" t="str">
        <f>"10/05/2010 00:00"</f>
        <v>10/05/2010 00:00</v>
      </c>
      <c r="C3293">
        <v>396</v>
      </c>
      <c r="D3293" t="s">
        <v>7</v>
      </c>
      <c r="E3293" s="2" t="s">
        <v>12</v>
      </c>
      <c r="F3293">
        <f t="shared" si="51"/>
        <v>785.26800000000003</v>
      </c>
      <c r="G3293" t="s">
        <v>16</v>
      </c>
      <c r="J3293" t="str">
        <f>"10/05/2010 23:45"</f>
        <v>10/05/2010 23:45</v>
      </c>
    </row>
    <row r="3294" spans="1:10" x14ac:dyDescent="0.3">
      <c r="A3294" t="s">
        <v>6</v>
      </c>
      <c r="B3294" t="str">
        <f>"10/06/2010 00:00"</f>
        <v>10/06/2010 00:00</v>
      </c>
      <c r="C3294">
        <v>396</v>
      </c>
      <c r="D3294" t="s">
        <v>7</v>
      </c>
      <c r="E3294" s="2" t="s">
        <v>12</v>
      </c>
      <c r="F3294">
        <f t="shared" si="51"/>
        <v>785.26800000000003</v>
      </c>
      <c r="G3294" t="s">
        <v>16</v>
      </c>
      <c r="J3294" t="str">
        <f>"10/06/2010 23:45"</f>
        <v>10/06/2010 23:45</v>
      </c>
    </row>
    <row r="3295" spans="1:10" x14ac:dyDescent="0.3">
      <c r="A3295" t="s">
        <v>6</v>
      </c>
      <c r="B3295" t="str">
        <f>"10/07/2010 00:00"</f>
        <v>10/07/2010 00:00</v>
      </c>
      <c r="C3295">
        <v>396</v>
      </c>
      <c r="D3295" t="s">
        <v>7</v>
      </c>
      <c r="E3295" s="2" t="s">
        <v>12</v>
      </c>
      <c r="F3295">
        <f t="shared" si="51"/>
        <v>785.26800000000003</v>
      </c>
      <c r="G3295" t="s">
        <v>16</v>
      </c>
      <c r="J3295" t="str">
        <f>"10/07/2010 23:45"</f>
        <v>10/07/2010 23:45</v>
      </c>
    </row>
    <row r="3296" spans="1:10" x14ac:dyDescent="0.3">
      <c r="A3296" t="s">
        <v>6</v>
      </c>
      <c r="B3296" t="str">
        <f>"10/08/2010 00:00"</f>
        <v>10/08/2010 00:00</v>
      </c>
      <c r="C3296">
        <v>371</v>
      </c>
      <c r="D3296" t="s">
        <v>7</v>
      </c>
      <c r="E3296" s="2" t="s">
        <v>12</v>
      </c>
      <c r="F3296">
        <f t="shared" si="51"/>
        <v>735.69299999999998</v>
      </c>
      <c r="G3296" t="s">
        <v>16</v>
      </c>
      <c r="J3296" t="str">
        <f>"10/08/2010 23:45"</f>
        <v>10/08/2010 23:45</v>
      </c>
    </row>
    <row r="3297" spans="1:10" x14ac:dyDescent="0.3">
      <c r="A3297" t="s">
        <v>6</v>
      </c>
      <c r="B3297" t="str">
        <f>"10/09/2010 00:00"</f>
        <v>10/09/2010 00:00</v>
      </c>
      <c r="C3297">
        <v>346</v>
      </c>
      <c r="D3297" t="s">
        <v>7</v>
      </c>
      <c r="E3297" s="2" t="s">
        <v>12</v>
      </c>
      <c r="F3297">
        <f t="shared" si="51"/>
        <v>686.11800000000005</v>
      </c>
      <c r="G3297" t="s">
        <v>16</v>
      </c>
      <c r="J3297" t="str">
        <f>"10/09/2010 23:45"</f>
        <v>10/09/2010 23:45</v>
      </c>
    </row>
    <row r="3298" spans="1:10" x14ac:dyDescent="0.3">
      <c r="A3298" t="s">
        <v>6</v>
      </c>
      <c r="B3298" t="str">
        <f>"10/10/2010 00:00"</f>
        <v>10/10/2010 00:00</v>
      </c>
      <c r="C3298">
        <v>346</v>
      </c>
      <c r="D3298" t="s">
        <v>7</v>
      </c>
      <c r="E3298" s="2" t="s">
        <v>12</v>
      </c>
      <c r="F3298">
        <f t="shared" si="51"/>
        <v>686.11800000000005</v>
      </c>
      <c r="G3298" t="s">
        <v>16</v>
      </c>
      <c r="J3298" t="str">
        <f>"10/10/2010 23:45"</f>
        <v>10/10/2010 23:45</v>
      </c>
    </row>
    <row r="3299" spans="1:10" x14ac:dyDescent="0.3">
      <c r="A3299" t="s">
        <v>6</v>
      </c>
      <c r="B3299" t="str">
        <f>"10/11/2010 00:00"</f>
        <v>10/11/2010 00:00</v>
      </c>
      <c r="C3299">
        <v>346</v>
      </c>
      <c r="D3299" t="s">
        <v>7</v>
      </c>
      <c r="E3299" s="2" t="s">
        <v>12</v>
      </c>
      <c r="F3299">
        <f t="shared" si="51"/>
        <v>686.11800000000005</v>
      </c>
      <c r="G3299" t="s">
        <v>16</v>
      </c>
      <c r="J3299" t="str">
        <f>"10/11/2010 23:45"</f>
        <v>10/11/2010 23:45</v>
      </c>
    </row>
    <row r="3300" spans="1:10" x14ac:dyDescent="0.3">
      <c r="A3300" t="s">
        <v>6</v>
      </c>
      <c r="B3300" t="str">
        <f>"10/12/2010 00:00"</f>
        <v>10/12/2010 00:00</v>
      </c>
      <c r="C3300">
        <v>346</v>
      </c>
      <c r="D3300" t="s">
        <v>7</v>
      </c>
      <c r="E3300" s="2" t="s">
        <v>12</v>
      </c>
      <c r="F3300">
        <f t="shared" si="51"/>
        <v>686.11800000000005</v>
      </c>
      <c r="G3300" t="s">
        <v>16</v>
      </c>
      <c r="J3300" t="str">
        <f>"10/12/2010 23:45"</f>
        <v>10/12/2010 23:45</v>
      </c>
    </row>
    <row r="3301" spans="1:10" x14ac:dyDescent="0.3">
      <c r="A3301" t="s">
        <v>6</v>
      </c>
      <c r="B3301" t="str">
        <f>"10/13/2010 00:00"</f>
        <v>10/13/2010 00:00</v>
      </c>
      <c r="C3301">
        <v>287</v>
      </c>
      <c r="D3301" t="s">
        <v>7</v>
      </c>
      <c r="E3301" s="2" t="s">
        <v>12</v>
      </c>
      <c r="F3301">
        <f t="shared" si="51"/>
        <v>569.12099999999998</v>
      </c>
      <c r="G3301" t="s">
        <v>16</v>
      </c>
      <c r="J3301" t="str">
        <f>"10/13/2010 23:45"</f>
        <v>10/13/2010 23:45</v>
      </c>
    </row>
    <row r="3302" spans="1:10" x14ac:dyDescent="0.3">
      <c r="A3302" t="s">
        <v>6</v>
      </c>
      <c r="B3302" t="str">
        <f>"10/14/2010 00:00"</f>
        <v>10/14/2010 00:00</v>
      </c>
      <c r="C3302">
        <v>245</v>
      </c>
      <c r="D3302" t="s">
        <v>7</v>
      </c>
      <c r="E3302" s="2" t="s">
        <v>12</v>
      </c>
      <c r="F3302">
        <f t="shared" si="51"/>
        <v>485.83500000000004</v>
      </c>
      <c r="G3302" t="s">
        <v>16</v>
      </c>
      <c r="J3302" t="str">
        <f>"10/14/2010 23:45"</f>
        <v>10/14/2010 23:45</v>
      </c>
    </row>
    <row r="3303" spans="1:10" x14ac:dyDescent="0.3">
      <c r="A3303" t="s">
        <v>6</v>
      </c>
      <c r="B3303" t="str">
        <f>"10/15/2010 00:00"</f>
        <v>10/15/2010 00:00</v>
      </c>
      <c r="C3303">
        <v>223</v>
      </c>
      <c r="D3303" t="s">
        <v>7</v>
      </c>
      <c r="E3303" s="2" t="s">
        <v>12</v>
      </c>
      <c r="F3303">
        <f t="shared" si="51"/>
        <v>442.209</v>
      </c>
      <c r="G3303" t="s">
        <v>16</v>
      </c>
      <c r="J3303" t="str">
        <f>"10/15/2010 23:45"</f>
        <v>10/15/2010 23:45</v>
      </c>
    </row>
    <row r="3304" spans="1:10" x14ac:dyDescent="0.3">
      <c r="A3304" t="s">
        <v>6</v>
      </c>
      <c r="B3304" t="str">
        <f>"10/16/2010 00:00"</f>
        <v>10/16/2010 00:00</v>
      </c>
      <c r="C3304">
        <v>209</v>
      </c>
      <c r="D3304" t="s">
        <v>7</v>
      </c>
      <c r="E3304" s="2" t="s">
        <v>12</v>
      </c>
      <c r="F3304">
        <f t="shared" si="51"/>
        <v>414.447</v>
      </c>
      <c r="G3304" t="s">
        <v>16</v>
      </c>
      <c r="J3304" t="str">
        <f>"10/16/2010 23:45"</f>
        <v>10/16/2010 23:45</v>
      </c>
    </row>
    <row r="3305" spans="1:10" x14ac:dyDescent="0.3">
      <c r="A3305" t="s">
        <v>6</v>
      </c>
      <c r="B3305" t="str">
        <f>"10/17/2010 00:00"</f>
        <v>10/17/2010 00:00</v>
      </c>
      <c r="C3305">
        <v>209</v>
      </c>
      <c r="D3305" t="s">
        <v>7</v>
      </c>
      <c r="E3305" s="2" t="s">
        <v>12</v>
      </c>
      <c r="F3305">
        <f t="shared" si="51"/>
        <v>414.447</v>
      </c>
      <c r="G3305" t="s">
        <v>16</v>
      </c>
      <c r="J3305" t="str">
        <f>"10/17/2010 23:45"</f>
        <v>10/17/2010 23:45</v>
      </c>
    </row>
    <row r="3306" spans="1:10" x14ac:dyDescent="0.3">
      <c r="A3306" t="s">
        <v>6</v>
      </c>
      <c r="B3306" t="str">
        <f>"10/18/2010 00:00"</f>
        <v>10/18/2010 00:00</v>
      </c>
      <c r="C3306">
        <v>209</v>
      </c>
      <c r="D3306" t="s">
        <v>7</v>
      </c>
      <c r="E3306" s="2" t="s">
        <v>12</v>
      </c>
      <c r="F3306">
        <f t="shared" si="51"/>
        <v>414.447</v>
      </c>
      <c r="G3306" t="s">
        <v>16</v>
      </c>
      <c r="J3306" t="str">
        <f>"10/18/2010 23:45"</f>
        <v>10/18/2010 23:45</v>
      </c>
    </row>
    <row r="3307" spans="1:10" x14ac:dyDescent="0.3">
      <c r="A3307" t="s">
        <v>6</v>
      </c>
      <c r="B3307" t="str">
        <f>"10/19/2010 00:00"</f>
        <v>10/19/2010 00:00</v>
      </c>
      <c r="C3307">
        <v>184</v>
      </c>
      <c r="D3307" t="s">
        <v>7</v>
      </c>
      <c r="E3307" s="2" t="s">
        <v>12</v>
      </c>
      <c r="F3307">
        <f t="shared" si="51"/>
        <v>364.87200000000001</v>
      </c>
      <c r="G3307" t="s">
        <v>16</v>
      </c>
      <c r="J3307" t="str">
        <f>"10/19/2010 23:45"</f>
        <v>10/19/2010 23:45</v>
      </c>
    </row>
    <row r="3308" spans="1:10" x14ac:dyDescent="0.3">
      <c r="A3308" t="s">
        <v>6</v>
      </c>
      <c r="B3308" t="str">
        <f>"10/20/2010 00:00"</f>
        <v>10/20/2010 00:00</v>
      </c>
      <c r="C3308">
        <v>147</v>
      </c>
      <c r="D3308" t="s">
        <v>7</v>
      </c>
      <c r="E3308" s="2" t="s">
        <v>12</v>
      </c>
      <c r="F3308">
        <f t="shared" si="51"/>
        <v>291.50100000000003</v>
      </c>
      <c r="G3308" t="s">
        <v>16</v>
      </c>
      <c r="J3308" t="str">
        <f>"10/20/2010 23:45"</f>
        <v>10/20/2010 23:45</v>
      </c>
    </row>
    <row r="3309" spans="1:10" x14ac:dyDescent="0.3">
      <c r="A3309" t="s">
        <v>6</v>
      </c>
      <c r="B3309" t="str">
        <f>"10/21/2010 00:00"</f>
        <v>10/21/2010 00:00</v>
      </c>
      <c r="C3309">
        <v>137</v>
      </c>
      <c r="D3309" t="s">
        <v>7</v>
      </c>
      <c r="E3309" s="2" t="s">
        <v>12</v>
      </c>
      <c r="F3309">
        <f t="shared" si="51"/>
        <v>271.67099999999999</v>
      </c>
      <c r="G3309" t="s">
        <v>16</v>
      </c>
      <c r="J3309" t="str">
        <f>"10/21/2010 23:45"</f>
        <v>10/21/2010 23:45</v>
      </c>
    </row>
    <row r="3310" spans="1:10" x14ac:dyDescent="0.3">
      <c r="A3310" t="s">
        <v>6</v>
      </c>
      <c r="B3310" t="str">
        <f>"10/22/2010 00:00"</f>
        <v>10/22/2010 00:00</v>
      </c>
      <c r="C3310">
        <v>139</v>
      </c>
      <c r="D3310" t="s">
        <v>7</v>
      </c>
      <c r="E3310" s="2" t="s">
        <v>12</v>
      </c>
      <c r="F3310">
        <f t="shared" si="51"/>
        <v>275.637</v>
      </c>
      <c r="G3310" t="s">
        <v>16</v>
      </c>
      <c r="J3310" t="str">
        <f>"10/22/2010 23:45"</f>
        <v>10/22/2010 23:45</v>
      </c>
    </row>
    <row r="3311" spans="1:10" x14ac:dyDescent="0.3">
      <c r="A3311" t="s">
        <v>6</v>
      </c>
      <c r="B3311" t="str">
        <f>"10/23/2010 00:00"</f>
        <v>10/23/2010 00:00</v>
      </c>
      <c r="C3311">
        <v>141</v>
      </c>
      <c r="D3311" t="s">
        <v>7</v>
      </c>
      <c r="E3311" s="2" t="s">
        <v>12</v>
      </c>
      <c r="F3311">
        <f t="shared" si="51"/>
        <v>279.60300000000001</v>
      </c>
      <c r="G3311" t="s">
        <v>16</v>
      </c>
      <c r="J3311" t="str">
        <f>"10/23/2010 23:45"</f>
        <v>10/23/2010 23:45</v>
      </c>
    </row>
    <row r="3312" spans="1:10" x14ac:dyDescent="0.3">
      <c r="A3312" t="s">
        <v>6</v>
      </c>
      <c r="B3312" t="str">
        <f>"10/24/2010 00:00"</f>
        <v>10/24/2010 00:00</v>
      </c>
      <c r="C3312">
        <v>141</v>
      </c>
      <c r="D3312" t="s">
        <v>7</v>
      </c>
      <c r="E3312" s="2" t="s">
        <v>12</v>
      </c>
      <c r="F3312">
        <f t="shared" si="51"/>
        <v>279.60300000000001</v>
      </c>
      <c r="G3312" t="s">
        <v>16</v>
      </c>
      <c r="J3312" t="str">
        <f>"10/24/2010 23:45"</f>
        <v>10/24/2010 23:45</v>
      </c>
    </row>
    <row r="3313" spans="1:10" x14ac:dyDescent="0.3">
      <c r="A3313" t="s">
        <v>6</v>
      </c>
      <c r="B3313" t="str">
        <f>"10/25/2010 00:00"</f>
        <v>10/25/2010 00:00</v>
      </c>
      <c r="C3313">
        <v>120</v>
      </c>
      <c r="D3313" t="s">
        <v>7</v>
      </c>
      <c r="E3313" s="2" t="s">
        <v>12</v>
      </c>
      <c r="F3313">
        <f t="shared" si="51"/>
        <v>237.96</v>
      </c>
      <c r="G3313" t="s">
        <v>16</v>
      </c>
      <c r="J3313" t="str">
        <f>"10/25/2010 23:45"</f>
        <v>10/25/2010 23:45</v>
      </c>
    </row>
    <row r="3314" spans="1:10" x14ac:dyDescent="0.3">
      <c r="A3314" t="s">
        <v>6</v>
      </c>
      <c r="B3314" t="str">
        <f>"10/26/2010 00:00"</f>
        <v>10/26/2010 00:00</v>
      </c>
      <c r="C3314">
        <v>73</v>
      </c>
      <c r="D3314" t="s">
        <v>7</v>
      </c>
      <c r="E3314" s="2" t="s">
        <v>12</v>
      </c>
      <c r="F3314">
        <f t="shared" si="51"/>
        <v>144.75900000000001</v>
      </c>
      <c r="G3314" t="s">
        <v>16</v>
      </c>
      <c r="J3314" t="str">
        <f>"10/26/2010 23:45"</f>
        <v>10/26/2010 23:45</v>
      </c>
    </row>
    <row r="3315" spans="1:10" x14ac:dyDescent="0.3">
      <c r="A3315" t="s">
        <v>6</v>
      </c>
      <c r="B3315" t="str">
        <f>"10/27/2010 00:00"</f>
        <v>10/27/2010 00:00</v>
      </c>
      <c r="C3315">
        <v>52.3</v>
      </c>
      <c r="D3315" t="s">
        <v>7</v>
      </c>
      <c r="E3315" s="2" t="s">
        <v>12</v>
      </c>
      <c r="F3315">
        <f t="shared" si="51"/>
        <v>103.7109</v>
      </c>
      <c r="G3315" t="s">
        <v>16</v>
      </c>
      <c r="J3315" t="str">
        <f>"10/27/2010 23:45"</f>
        <v>10/27/2010 23:45</v>
      </c>
    </row>
    <row r="3316" spans="1:10" x14ac:dyDescent="0.3">
      <c r="A3316" t="s">
        <v>6</v>
      </c>
      <c r="B3316" t="str">
        <f>"10/28/2010 00:00"</f>
        <v>10/28/2010 00:00</v>
      </c>
      <c r="C3316">
        <v>52.3</v>
      </c>
      <c r="D3316" t="s">
        <v>7</v>
      </c>
      <c r="E3316" s="2" t="s">
        <v>12</v>
      </c>
      <c r="F3316">
        <f t="shared" si="51"/>
        <v>103.7109</v>
      </c>
      <c r="G3316" t="s">
        <v>16</v>
      </c>
      <c r="J3316" t="str">
        <f>"10/28/2010 23:45"</f>
        <v>10/28/2010 23:45</v>
      </c>
    </row>
    <row r="3317" spans="1:10" x14ac:dyDescent="0.3">
      <c r="A3317" t="s">
        <v>6</v>
      </c>
      <c r="B3317" t="str">
        <f>"10/29/2010 00:00"</f>
        <v>10/29/2010 00:00</v>
      </c>
      <c r="C3317">
        <v>52.4</v>
      </c>
      <c r="D3317" t="s">
        <v>7</v>
      </c>
      <c r="E3317" s="2" t="s">
        <v>12</v>
      </c>
      <c r="F3317">
        <f t="shared" si="51"/>
        <v>103.9092</v>
      </c>
      <c r="G3317" t="s">
        <v>16</v>
      </c>
      <c r="J3317" t="str">
        <f>"10/29/2010 23:45"</f>
        <v>10/29/2010 23:45</v>
      </c>
    </row>
    <row r="3318" spans="1:10" x14ac:dyDescent="0.3">
      <c r="A3318" t="s">
        <v>6</v>
      </c>
      <c r="B3318" t="str">
        <f>"10/30/2010 00:00"</f>
        <v>10/30/2010 00:00</v>
      </c>
      <c r="C3318">
        <v>52.7</v>
      </c>
      <c r="D3318" t="s">
        <v>7</v>
      </c>
      <c r="E3318" s="2" t="s">
        <v>12</v>
      </c>
      <c r="F3318">
        <f t="shared" si="51"/>
        <v>104.50410000000001</v>
      </c>
      <c r="G3318" t="s">
        <v>16</v>
      </c>
      <c r="J3318" t="str">
        <f>"10/30/2010 23:45"</f>
        <v>10/30/2010 23:45</v>
      </c>
    </row>
    <row r="3319" spans="1:10" x14ac:dyDescent="0.3">
      <c r="A3319" t="s">
        <v>6</v>
      </c>
      <c r="B3319" t="str">
        <f>"10/31/2010 00:00"</f>
        <v>10/31/2010 00:00</v>
      </c>
      <c r="C3319">
        <v>52.7</v>
      </c>
      <c r="D3319" t="s">
        <v>7</v>
      </c>
      <c r="E3319" s="2" t="s">
        <v>12</v>
      </c>
      <c r="F3319">
        <f t="shared" si="51"/>
        <v>104.50410000000001</v>
      </c>
      <c r="G3319" t="s">
        <v>16</v>
      </c>
      <c r="J3319" t="str">
        <f>"10/31/2010 23:45"</f>
        <v>10/31/2010 23:45</v>
      </c>
    </row>
    <row r="3320" spans="1:10" x14ac:dyDescent="0.3">
      <c r="A3320" t="s">
        <v>6</v>
      </c>
      <c r="B3320" t="str">
        <f>"11/01/2010 00:00"</f>
        <v>11/01/2010 00:00</v>
      </c>
      <c r="C3320">
        <v>65.900000000000006</v>
      </c>
      <c r="D3320" t="s">
        <v>7</v>
      </c>
      <c r="E3320" s="2" t="s">
        <v>12</v>
      </c>
      <c r="F3320">
        <f t="shared" si="51"/>
        <v>130.67970000000003</v>
      </c>
      <c r="G3320" t="s">
        <v>16</v>
      </c>
      <c r="J3320" t="str">
        <f>"11/01/2010 23:45"</f>
        <v>11/01/2010 23:45</v>
      </c>
    </row>
    <row r="3321" spans="1:10" x14ac:dyDescent="0.3">
      <c r="A3321" t="s">
        <v>6</v>
      </c>
      <c r="B3321" t="str">
        <f>"11/02/2010 00:00"</f>
        <v>11/02/2010 00:00</v>
      </c>
      <c r="C3321">
        <v>117</v>
      </c>
      <c r="D3321" t="s">
        <v>7</v>
      </c>
      <c r="E3321" s="2" t="s">
        <v>12</v>
      </c>
      <c r="F3321">
        <f t="shared" si="51"/>
        <v>232.01100000000002</v>
      </c>
      <c r="G3321" t="s">
        <v>16</v>
      </c>
      <c r="J3321" t="str">
        <f>"11/02/2010 23:45"</f>
        <v>11/02/2010 23:45</v>
      </c>
    </row>
    <row r="3322" spans="1:10" x14ac:dyDescent="0.3">
      <c r="A3322" t="s">
        <v>6</v>
      </c>
      <c r="B3322" t="str">
        <f>"11/03/2010 00:00"</f>
        <v>11/03/2010 00:00</v>
      </c>
      <c r="C3322">
        <v>182</v>
      </c>
      <c r="D3322" t="s">
        <v>7</v>
      </c>
      <c r="E3322" s="2" t="s">
        <v>12</v>
      </c>
      <c r="F3322">
        <f t="shared" si="51"/>
        <v>360.90600000000001</v>
      </c>
      <c r="G3322" t="s">
        <v>16</v>
      </c>
      <c r="J3322" t="str">
        <f>"11/03/2010 23:45"</f>
        <v>11/03/2010 23:45</v>
      </c>
    </row>
    <row r="3323" spans="1:10" x14ac:dyDescent="0.3">
      <c r="A3323" t="s">
        <v>6</v>
      </c>
      <c r="B3323" t="str">
        <f>"11/04/2010 00:00"</f>
        <v>11/04/2010 00:00</v>
      </c>
      <c r="C3323">
        <v>175</v>
      </c>
      <c r="D3323" t="s">
        <v>7</v>
      </c>
      <c r="E3323" s="2" t="s">
        <v>12</v>
      </c>
      <c r="F3323">
        <f t="shared" si="51"/>
        <v>347.02500000000003</v>
      </c>
      <c r="G3323" t="s">
        <v>16</v>
      </c>
      <c r="J3323" t="str">
        <f>"11/04/2010 23:45"</f>
        <v>11/04/2010 23:45</v>
      </c>
    </row>
    <row r="3324" spans="1:10" x14ac:dyDescent="0.3">
      <c r="A3324" t="s">
        <v>6</v>
      </c>
      <c r="B3324" t="str">
        <f>"11/05/2010 00:00"</f>
        <v>11/05/2010 00:00</v>
      </c>
      <c r="C3324">
        <v>123</v>
      </c>
      <c r="D3324" t="s">
        <v>7</v>
      </c>
      <c r="E3324" s="2" t="s">
        <v>12</v>
      </c>
      <c r="F3324">
        <f t="shared" si="51"/>
        <v>243.90900000000002</v>
      </c>
      <c r="G3324" t="s">
        <v>16</v>
      </c>
      <c r="J3324" t="str">
        <f>"11/05/2010 23:45"</f>
        <v>11/05/2010 23:45</v>
      </c>
    </row>
    <row r="3325" spans="1:10" x14ac:dyDescent="0.3">
      <c r="A3325" t="s">
        <v>6</v>
      </c>
      <c r="B3325" t="str">
        <f>"11/06/2010 00:00"</f>
        <v>11/06/2010 00:00</v>
      </c>
      <c r="C3325">
        <v>123</v>
      </c>
      <c r="D3325" t="s">
        <v>7</v>
      </c>
      <c r="E3325" s="2" t="s">
        <v>12</v>
      </c>
      <c r="F3325">
        <f t="shared" si="51"/>
        <v>243.90900000000002</v>
      </c>
      <c r="G3325" t="s">
        <v>16</v>
      </c>
      <c r="J3325" t="str">
        <f>"11/06/2010 23:45"</f>
        <v>11/06/2010 23:45</v>
      </c>
    </row>
    <row r="3326" spans="1:10" x14ac:dyDescent="0.3">
      <c r="A3326" t="s">
        <v>6</v>
      </c>
      <c r="B3326" t="str">
        <f>"11/07/2010 00:00"</f>
        <v>11/07/2010 00:00</v>
      </c>
      <c r="C3326">
        <v>109</v>
      </c>
      <c r="D3326" t="s">
        <v>7</v>
      </c>
      <c r="E3326" s="2" t="s">
        <v>12</v>
      </c>
      <c r="F3326">
        <f t="shared" si="51"/>
        <v>216.14700000000002</v>
      </c>
      <c r="G3326" t="s">
        <v>16</v>
      </c>
      <c r="J3326" t="str">
        <f>"11/07/2010 23:45"</f>
        <v>11/07/2010 23:45</v>
      </c>
    </row>
    <row r="3327" spans="1:10" x14ac:dyDescent="0.3">
      <c r="A3327" t="s">
        <v>6</v>
      </c>
      <c r="B3327" t="str">
        <f>"11/08/2010 00:00"</f>
        <v>11/08/2010 00:00</v>
      </c>
      <c r="C3327">
        <v>97.2</v>
      </c>
      <c r="D3327" t="s">
        <v>7</v>
      </c>
      <c r="E3327" s="2" t="s">
        <v>12</v>
      </c>
      <c r="F3327">
        <f t="shared" si="51"/>
        <v>192.74760000000001</v>
      </c>
      <c r="G3327" t="s">
        <v>16</v>
      </c>
      <c r="J3327" t="str">
        <f>"11/08/2010 23:45"</f>
        <v>11/08/2010 23:45</v>
      </c>
    </row>
    <row r="3328" spans="1:10" x14ac:dyDescent="0.3">
      <c r="A3328" t="s">
        <v>6</v>
      </c>
      <c r="B3328" t="str">
        <f>"11/09/2010 00:00"</f>
        <v>11/09/2010 00:00</v>
      </c>
      <c r="C3328">
        <v>97.5</v>
      </c>
      <c r="D3328" t="s">
        <v>7</v>
      </c>
      <c r="E3328" s="2" t="s">
        <v>12</v>
      </c>
      <c r="F3328">
        <f t="shared" si="51"/>
        <v>193.3425</v>
      </c>
      <c r="G3328" t="s">
        <v>16</v>
      </c>
      <c r="J3328" t="str">
        <f>"11/09/2010 23:45"</f>
        <v>11/09/2010 23:45</v>
      </c>
    </row>
    <row r="3329" spans="1:10" x14ac:dyDescent="0.3">
      <c r="A3329" t="s">
        <v>6</v>
      </c>
      <c r="B3329" t="str">
        <f>"11/10/2010 00:00"</f>
        <v>11/10/2010 00:00</v>
      </c>
      <c r="C3329">
        <v>132</v>
      </c>
      <c r="D3329" t="s">
        <v>7</v>
      </c>
      <c r="E3329" s="2" t="s">
        <v>12</v>
      </c>
      <c r="F3329">
        <f t="shared" si="51"/>
        <v>261.75600000000003</v>
      </c>
      <c r="G3329" t="s">
        <v>16</v>
      </c>
      <c r="J3329" t="str">
        <f>"11/10/2010 23:45"</f>
        <v>11/10/2010 23:45</v>
      </c>
    </row>
    <row r="3330" spans="1:10" x14ac:dyDescent="0.3">
      <c r="A3330" t="s">
        <v>6</v>
      </c>
      <c r="B3330" t="str">
        <f>"11/11/2010 00:00"</f>
        <v>11/11/2010 00:00</v>
      </c>
      <c r="C3330">
        <v>153</v>
      </c>
      <c r="D3330" t="s">
        <v>7</v>
      </c>
      <c r="E3330" s="2" t="s">
        <v>12</v>
      </c>
      <c r="F3330">
        <f t="shared" si="51"/>
        <v>303.399</v>
      </c>
      <c r="G3330" t="s">
        <v>16</v>
      </c>
      <c r="J3330" t="str">
        <f>"11/11/2010 23:45"</f>
        <v>11/11/2010 23:45</v>
      </c>
    </row>
    <row r="3331" spans="1:10" x14ac:dyDescent="0.3">
      <c r="A3331" t="s">
        <v>6</v>
      </c>
      <c r="B3331" t="str">
        <f>"11/12/2010 00:00"</f>
        <v>11/12/2010 00:00</v>
      </c>
      <c r="C3331">
        <v>93.9</v>
      </c>
      <c r="D3331" t="s">
        <v>7</v>
      </c>
      <c r="E3331" s="2" t="s">
        <v>12</v>
      </c>
      <c r="F3331">
        <f t="shared" si="51"/>
        <v>186.20370000000003</v>
      </c>
      <c r="G3331" t="s">
        <v>16</v>
      </c>
      <c r="J3331" t="str">
        <f>"11/12/2010 23:45"</f>
        <v>11/12/2010 23:45</v>
      </c>
    </row>
    <row r="3332" spans="1:10" x14ac:dyDescent="0.3">
      <c r="A3332" t="s">
        <v>6</v>
      </c>
      <c r="B3332" t="str">
        <f>"11/13/2010 00:00"</f>
        <v>11/13/2010 00:00</v>
      </c>
      <c r="C3332">
        <v>51.2</v>
      </c>
      <c r="D3332" t="s">
        <v>7</v>
      </c>
      <c r="E3332" s="2" t="s">
        <v>12</v>
      </c>
      <c r="F3332">
        <f t="shared" ref="F3332:F3395" si="52">C3332*1.983</f>
        <v>101.52960000000002</v>
      </c>
      <c r="G3332" t="s">
        <v>16</v>
      </c>
      <c r="J3332" t="str">
        <f>"11/13/2010 23:45"</f>
        <v>11/13/2010 23:45</v>
      </c>
    </row>
    <row r="3333" spans="1:10" x14ac:dyDescent="0.3">
      <c r="A3333" t="s">
        <v>6</v>
      </c>
      <c r="B3333" t="str">
        <f>"11/14/2010 00:00"</f>
        <v>11/14/2010 00:00</v>
      </c>
      <c r="C3333">
        <v>51.2</v>
      </c>
      <c r="D3333" t="s">
        <v>7</v>
      </c>
      <c r="E3333" s="2" t="s">
        <v>12</v>
      </c>
      <c r="F3333">
        <f t="shared" si="52"/>
        <v>101.52960000000002</v>
      </c>
      <c r="G3333" t="s">
        <v>16</v>
      </c>
      <c r="J3333" t="str">
        <f>"11/14/2010 23:45"</f>
        <v>11/14/2010 23:45</v>
      </c>
    </row>
    <row r="3334" spans="1:10" x14ac:dyDescent="0.3">
      <c r="A3334" t="s">
        <v>6</v>
      </c>
      <c r="B3334" t="str">
        <f>"11/15/2010 00:00"</f>
        <v>11/15/2010 00:00</v>
      </c>
      <c r="C3334">
        <v>51.2</v>
      </c>
      <c r="D3334" t="s">
        <v>7</v>
      </c>
      <c r="E3334" s="2" t="s">
        <v>12</v>
      </c>
      <c r="F3334">
        <f t="shared" si="52"/>
        <v>101.52960000000002</v>
      </c>
      <c r="G3334" t="s">
        <v>16</v>
      </c>
      <c r="J3334" t="str">
        <f>"11/15/2010 23:45"</f>
        <v>11/15/2010 23:45</v>
      </c>
    </row>
    <row r="3335" spans="1:10" x14ac:dyDescent="0.3">
      <c r="A3335" t="s">
        <v>6</v>
      </c>
      <c r="B3335" t="str">
        <f>"11/16/2010 00:00"</f>
        <v>11/16/2010 00:00</v>
      </c>
      <c r="C3335">
        <v>50.8</v>
      </c>
      <c r="D3335" t="s">
        <v>7</v>
      </c>
      <c r="E3335" s="2" t="s">
        <v>12</v>
      </c>
      <c r="F3335">
        <f t="shared" si="52"/>
        <v>100.7364</v>
      </c>
      <c r="G3335" t="s">
        <v>16</v>
      </c>
      <c r="J3335" t="str">
        <f>"11/16/2010 23:45"</f>
        <v>11/16/2010 23:45</v>
      </c>
    </row>
    <row r="3336" spans="1:10" x14ac:dyDescent="0.3">
      <c r="A3336" t="s">
        <v>6</v>
      </c>
      <c r="B3336" t="str">
        <f>"11/17/2010 00:00"</f>
        <v>11/17/2010 00:00</v>
      </c>
      <c r="C3336">
        <v>46.4</v>
      </c>
      <c r="D3336" t="s">
        <v>7</v>
      </c>
      <c r="E3336" s="2" t="s">
        <v>12</v>
      </c>
      <c r="F3336">
        <f t="shared" si="52"/>
        <v>92.011200000000002</v>
      </c>
      <c r="G3336" t="s">
        <v>16</v>
      </c>
      <c r="J3336" t="str">
        <f>"11/17/2010 23:45"</f>
        <v>11/17/2010 23:45</v>
      </c>
    </row>
    <row r="3337" spans="1:10" x14ac:dyDescent="0.3">
      <c r="A3337" t="s">
        <v>6</v>
      </c>
      <c r="B3337" t="str">
        <f>"11/18/2010 00:00"</f>
        <v>11/18/2010 00:00</v>
      </c>
      <c r="C3337">
        <v>45.1</v>
      </c>
      <c r="D3337" t="s">
        <v>7</v>
      </c>
      <c r="E3337" s="2" t="s">
        <v>12</v>
      </c>
      <c r="F3337">
        <f t="shared" si="52"/>
        <v>89.433300000000003</v>
      </c>
      <c r="G3337" t="s">
        <v>16</v>
      </c>
      <c r="J3337" t="str">
        <f>"11/18/2010 23:45"</f>
        <v>11/18/2010 23:45</v>
      </c>
    </row>
    <row r="3338" spans="1:10" x14ac:dyDescent="0.3">
      <c r="A3338" t="s">
        <v>6</v>
      </c>
      <c r="B3338" t="str">
        <f>"11/19/2010 00:00"</f>
        <v>11/19/2010 00:00</v>
      </c>
      <c r="C3338">
        <v>45.1</v>
      </c>
      <c r="D3338" t="s">
        <v>7</v>
      </c>
      <c r="E3338" s="2" t="s">
        <v>12</v>
      </c>
      <c r="F3338">
        <f t="shared" si="52"/>
        <v>89.433300000000003</v>
      </c>
      <c r="G3338" t="s">
        <v>16</v>
      </c>
      <c r="J3338" t="str">
        <f>"11/19/2010 23:45"</f>
        <v>11/19/2010 23:45</v>
      </c>
    </row>
    <row r="3339" spans="1:10" x14ac:dyDescent="0.3">
      <c r="A3339" t="s">
        <v>6</v>
      </c>
      <c r="B3339" t="str">
        <f>"11/20/2010 00:00"</f>
        <v>11/20/2010 00:00</v>
      </c>
      <c r="C3339">
        <v>45.1</v>
      </c>
      <c r="D3339" t="s">
        <v>7</v>
      </c>
      <c r="E3339" s="2" t="s">
        <v>12</v>
      </c>
      <c r="F3339">
        <f t="shared" si="52"/>
        <v>89.433300000000003</v>
      </c>
      <c r="G3339" t="s">
        <v>16</v>
      </c>
      <c r="J3339" t="str">
        <f>"11/20/2010 23:45"</f>
        <v>11/20/2010 23:45</v>
      </c>
    </row>
    <row r="3340" spans="1:10" x14ac:dyDescent="0.3">
      <c r="A3340" t="s">
        <v>6</v>
      </c>
      <c r="B3340" t="str">
        <f>"11/21/2010 00:00"</f>
        <v>11/21/2010 00:00</v>
      </c>
      <c r="C3340">
        <v>45.1</v>
      </c>
      <c r="D3340" t="s">
        <v>7</v>
      </c>
      <c r="E3340" s="2" t="s">
        <v>12</v>
      </c>
      <c r="F3340">
        <f t="shared" si="52"/>
        <v>89.433300000000003</v>
      </c>
      <c r="G3340" t="s">
        <v>16</v>
      </c>
      <c r="J3340" t="str">
        <f>"11/21/2010 23:45"</f>
        <v>11/21/2010 23:45</v>
      </c>
    </row>
    <row r="3341" spans="1:10" x14ac:dyDescent="0.3">
      <c r="A3341" t="s">
        <v>6</v>
      </c>
      <c r="B3341" t="str">
        <f>"11/22/2010 00:00"</f>
        <v>11/22/2010 00:00</v>
      </c>
      <c r="C3341">
        <v>45.1</v>
      </c>
      <c r="D3341" t="s">
        <v>7</v>
      </c>
      <c r="E3341" s="2" t="s">
        <v>12</v>
      </c>
      <c r="F3341">
        <f t="shared" si="52"/>
        <v>89.433300000000003</v>
      </c>
      <c r="G3341" t="s">
        <v>16</v>
      </c>
      <c r="J3341" t="str">
        <f>"11/22/2010 23:45"</f>
        <v>11/22/2010 23:45</v>
      </c>
    </row>
    <row r="3342" spans="1:10" x14ac:dyDescent="0.3">
      <c r="A3342" t="s">
        <v>6</v>
      </c>
      <c r="B3342" t="str">
        <f>"11/23/2010 00:00"</f>
        <v>11/23/2010 00:00</v>
      </c>
      <c r="C3342">
        <v>45.1</v>
      </c>
      <c r="D3342" t="s">
        <v>7</v>
      </c>
      <c r="E3342" s="2" t="s">
        <v>12</v>
      </c>
      <c r="F3342">
        <f t="shared" si="52"/>
        <v>89.433300000000003</v>
      </c>
      <c r="G3342" t="s">
        <v>16</v>
      </c>
      <c r="J3342" t="str">
        <f>"11/23/2010 23:45"</f>
        <v>11/23/2010 23:45</v>
      </c>
    </row>
    <row r="3343" spans="1:10" x14ac:dyDescent="0.3">
      <c r="A3343" t="s">
        <v>6</v>
      </c>
      <c r="B3343" t="str">
        <f>"11/24/2010 00:00"</f>
        <v>11/24/2010 00:00</v>
      </c>
      <c r="C3343">
        <v>45.1</v>
      </c>
      <c r="D3343" t="s">
        <v>7</v>
      </c>
      <c r="E3343" s="2" t="s">
        <v>12</v>
      </c>
      <c r="F3343">
        <f t="shared" si="52"/>
        <v>89.433300000000003</v>
      </c>
      <c r="G3343" t="s">
        <v>16</v>
      </c>
      <c r="J3343" t="str">
        <f>"11/24/2010 23:45"</f>
        <v>11/24/2010 23:45</v>
      </c>
    </row>
    <row r="3344" spans="1:10" x14ac:dyDescent="0.3">
      <c r="A3344" t="s">
        <v>6</v>
      </c>
      <c r="B3344" t="str">
        <f>"11/25/2010 00:00"</f>
        <v>11/25/2010 00:00</v>
      </c>
      <c r="C3344">
        <v>45.1</v>
      </c>
      <c r="D3344" t="s">
        <v>7</v>
      </c>
      <c r="E3344" s="2" t="s">
        <v>12</v>
      </c>
      <c r="F3344">
        <f t="shared" si="52"/>
        <v>89.433300000000003</v>
      </c>
      <c r="G3344" t="s">
        <v>16</v>
      </c>
      <c r="J3344" t="str">
        <f>"11/25/2010 23:45"</f>
        <v>11/25/2010 23:45</v>
      </c>
    </row>
    <row r="3345" spans="1:10" x14ac:dyDescent="0.3">
      <c r="A3345" t="s">
        <v>6</v>
      </c>
      <c r="B3345" t="str">
        <f>"11/26/2010 00:00"</f>
        <v>11/26/2010 00:00</v>
      </c>
      <c r="C3345">
        <v>45</v>
      </c>
      <c r="D3345" t="s">
        <v>7</v>
      </c>
      <c r="E3345" s="2" t="s">
        <v>12</v>
      </c>
      <c r="F3345">
        <f t="shared" si="52"/>
        <v>89.234999999999999</v>
      </c>
      <c r="G3345" t="s">
        <v>16</v>
      </c>
      <c r="J3345" t="str">
        <f>"11/26/2010 23:45"</f>
        <v>11/26/2010 23:45</v>
      </c>
    </row>
    <row r="3346" spans="1:10" x14ac:dyDescent="0.3">
      <c r="A3346" t="s">
        <v>6</v>
      </c>
      <c r="B3346" t="str">
        <f>"11/27/2010 00:00"</f>
        <v>11/27/2010 00:00</v>
      </c>
      <c r="C3346">
        <v>45.1</v>
      </c>
      <c r="D3346" t="s">
        <v>7</v>
      </c>
      <c r="E3346" s="2" t="s">
        <v>12</v>
      </c>
      <c r="F3346">
        <f t="shared" si="52"/>
        <v>89.433300000000003</v>
      </c>
      <c r="G3346" t="s">
        <v>16</v>
      </c>
      <c r="J3346" t="str">
        <f>"11/27/2010 23:45"</f>
        <v>11/27/2010 23:45</v>
      </c>
    </row>
    <row r="3347" spans="1:10" x14ac:dyDescent="0.3">
      <c r="A3347" t="s">
        <v>6</v>
      </c>
      <c r="B3347" t="str">
        <f>"11/28/2010 00:00"</f>
        <v>11/28/2010 00:00</v>
      </c>
      <c r="C3347">
        <v>45.1</v>
      </c>
      <c r="D3347" t="s">
        <v>7</v>
      </c>
      <c r="E3347" s="2" t="s">
        <v>12</v>
      </c>
      <c r="F3347">
        <f t="shared" si="52"/>
        <v>89.433300000000003</v>
      </c>
      <c r="G3347" t="s">
        <v>16</v>
      </c>
      <c r="J3347" t="str">
        <f>"11/28/2010 23:45"</f>
        <v>11/28/2010 23:45</v>
      </c>
    </row>
    <row r="3348" spans="1:10" x14ac:dyDescent="0.3">
      <c r="A3348" t="s">
        <v>6</v>
      </c>
      <c r="B3348" t="str">
        <f>"11/29/2010 00:00"</f>
        <v>11/29/2010 00:00</v>
      </c>
      <c r="C3348">
        <v>45.1</v>
      </c>
      <c r="D3348" t="s">
        <v>7</v>
      </c>
      <c r="E3348" s="2" t="s">
        <v>12</v>
      </c>
      <c r="F3348">
        <f t="shared" si="52"/>
        <v>89.433300000000003</v>
      </c>
      <c r="G3348" t="s">
        <v>16</v>
      </c>
      <c r="J3348" t="str">
        <f>"11/29/2010 23:45"</f>
        <v>11/29/2010 23:45</v>
      </c>
    </row>
    <row r="3349" spans="1:10" x14ac:dyDescent="0.3">
      <c r="A3349" t="s">
        <v>6</v>
      </c>
      <c r="B3349" t="str">
        <f>"11/30/2010 00:00"</f>
        <v>11/30/2010 00:00</v>
      </c>
      <c r="C3349">
        <v>39.6</v>
      </c>
      <c r="D3349" t="s">
        <v>7</v>
      </c>
      <c r="E3349" s="2" t="s">
        <v>12</v>
      </c>
      <c r="F3349">
        <f t="shared" si="52"/>
        <v>78.526800000000009</v>
      </c>
      <c r="G3349" t="s">
        <v>16</v>
      </c>
      <c r="J3349" t="str">
        <f>"11/30/2010 23:45"</f>
        <v>11/30/2010 23:45</v>
      </c>
    </row>
    <row r="3350" spans="1:10" x14ac:dyDescent="0.3">
      <c r="A3350" t="s">
        <v>6</v>
      </c>
      <c r="B3350" t="str">
        <f>"12/01/2010 00:00"</f>
        <v>12/01/2010 00:00</v>
      </c>
      <c r="C3350">
        <v>36.4</v>
      </c>
      <c r="D3350" t="s">
        <v>7</v>
      </c>
      <c r="E3350" s="2" t="s">
        <v>12</v>
      </c>
      <c r="F3350">
        <f t="shared" si="52"/>
        <v>72.181200000000004</v>
      </c>
      <c r="G3350" t="s">
        <v>16</v>
      </c>
      <c r="J3350" t="str">
        <f>"12/01/2010 23:45"</f>
        <v>12/01/2010 23:45</v>
      </c>
    </row>
    <row r="3351" spans="1:10" x14ac:dyDescent="0.3">
      <c r="A3351" t="s">
        <v>6</v>
      </c>
      <c r="B3351" t="str">
        <f>"12/02/2010 00:00"</f>
        <v>12/02/2010 00:00</v>
      </c>
      <c r="C3351">
        <v>36.4</v>
      </c>
      <c r="D3351" t="s">
        <v>7</v>
      </c>
      <c r="E3351" s="2" t="s">
        <v>12</v>
      </c>
      <c r="F3351">
        <f t="shared" si="52"/>
        <v>72.181200000000004</v>
      </c>
      <c r="G3351" t="s">
        <v>16</v>
      </c>
      <c r="J3351" t="str">
        <f>"12/02/2010 23:45"</f>
        <v>12/02/2010 23:45</v>
      </c>
    </row>
    <row r="3352" spans="1:10" x14ac:dyDescent="0.3">
      <c r="A3352" t="s">
        <v>6</v>
      </c>
      <c r="B3352" t="str">
        <f>"12/03/2010 00:00"</f>
        <v>12/03/2010 00:00</v>
      </c>
      <c r="C3352">
        <v>36.4</v>
      </c>
      <c r="D3352" t="s">
        <v>7</v>
      </c>
      <c r="E3352" s="2" t="s">
        <v>12</v>
      </c>
      <c r="F3352">
        <f t="shared" si="52"/>
        <v>72.181200000000004</v>
      </c>
      <c r="G3352" t="s">
        <v>16</v>
      </c>
      <c r="J3352" t="str">
        <f>"12/03/2010 23:45"</f>
        <v>12/03/2010 23:45</v>
      </c>
    </row>
    <row r="3353" spans="1:10" x14ac:dyDescent="0.3">
      <c r="A3353" t="s">
        <v>6</v>
      </c>
      <c r="B3353" t="str">
        <f>"12/04/2010 00:00"</f>
        <v>12/04/2010 00:00</v>
      </c>
      <c r="C3353">
        <v>36.4</v>
      </c>
      <c r="D3353" t="s">
        <v>7</v>
      </c>
      <c r="E3353" s="2" t="s">
        <v>12</v>
      </c>
      <c r="F3353">
        <f t="shared" si="52"/>
        <v>72.181200000000004</v>
      </c>
      <c r="G3353" t="s">
        <v>16</v>
      </c>
      <c r="J3353" t="str">
        <f>"12/04/2010 23:45"</f>
        <v>12/04/2010 23:45</v>
      </c>
    </row>
    <row r="3354" spans="1:10" x14ac:dyDescent="0.3">
      <c r="A3354" t="s">
        <v>6</v>
      </c>
      <c r="B3354" t="str">
        <f>"12/05/2010 00:00"</f>
        <v>12/05/2010 00:00</v>
      </c>
      <c r="C3354">
        <v>36.4</v>
      </c>
      <c r="D3354" t="s">
        <v>7</v>
      </c>
      <c r="E3354" s="2" t="s">
        <v>12</v>
      </c>
      <c r="F3354">
        <f t="shared" si="52"/>
        <v>72.181200000000004</v>
      </c>
      <c r="G3354" t="s">
        <v>16</v>
      </c>
      <c r="J3354" t="str">
        <f>"12/05/2010 23:45"</f>
        <v>12/05/2010 23:45</v>
      </c>
    </row>
    <row r="3355" spans="1:10" x14ac:dyDescent="0.3">
      <c r="A3355" t="s">
        <v>6</v>
      </c>
      <c r="B3355" t="str">
        <f>"12/06/2010 00:00"</f>
        <v>12/06/2010 00:00</v>
      </c>
      <c r="C3355">
        <v>36.4</v>
      </c>
      <c r="D3355" t="s">
        <v>7</v>
      </c>
      <c r="E3355" s="2" t="s">
        <v>12</v>
      </c>
      <c r="F3355">
        <f t="shared" si="52"/>
        <v>72.181200000000004</v>
      </c>
      <c r="G3355" t="s">
        <v>16</v>
      </c>
      <c r="J3355" t="str">
        <f>"12/06/2010 23:45"</f>
        <v>12/06/2010 23:45</v>
      </c>
    </row>
    <row r="3356" spans="1:10" x14ac:dyDescent="0.3">
      <c r="A3356" t="s">
        <v>6</v>
      </c>
      <c r="B3356" t="str">
        <f>"12/07/2010 00:00"</f>
        <v>12/07/2010 00:00</v>
      </c>
      <c r="C3356">
        <v>36.5</v>
      </c>
      <c r="D3356" t="s">
        <v>7</v>
      </c>
      <c r="E3356" s="2" t="s">
        <v>12</v>
      </c>
      <c r="F3356">
        <f t="shared" si="52"/>
        <v>72.379500000000007</v>
      </c>
      <c r="G3356" t="s">
        <v>16</v>
      </c>
      <c r="J3356" t="str">
        <f>"12/07/2010 23:45"</f>
        <v>12/07/2010 23:45</v>
      </c>
    </row>
    <row r="3357" spans="1:10" x14ac:dyDescent="0.3">
      <c r="A3357" t="s">
        <v>6</v>
      </c>
      <c r="B3357" t="str">
        <f>"12/08/2010 00:00"</f>
        <v>12/08/2010 00:00</v>
      </c>
      <c r="C3357">
        <v>36.5</v>
      </c>
      <c r="D3357" t="s">
        <v>7</v>
      </c>
      <c r="E3357" s="2" t="s">
        <v>12</v>
      </c>
      <c r="F3357">
        <f t="shared" si="52"/>
        <v>72.379500000000007</v>
      </c>
      <c r="G3357" t="s">
        <v>16</v>
      </c>
      <c r="J3357" t="str">
        <f>"12/08/2010 23:45"</f>
        <v>12/08/2010 23:45</v>
      </c>
    </row>
    <row r="3358" spans="1:10" x14ac:dyDescent="0.3">
      <c r="A3358" t="s">
        <v>6</v>
      </c>
      <c r="B3358" t="str">
        <f>"12/09/2010 00:00"</f>
        <v>12/09/2010 00:00</v>
      </c>
      <c r="C3358">
        <v>36.6</v>
      </c>
      <c r="D3358" t="s">
        <v>7</v>
      </c>
      <c r="E3358" s="2" t="s">
        <v>12</v>
      </c>
      <c r="F3358">
        <f t="shared" si="52"/>
        <v>72.577800000000011</v>
      </c>
      <c r="G3358" t="s">
        <v>16</v>
      </c>
      <c r="J3358" t="str">
        <f>"12/09/2010 23:45"</f>
        <v>12/09/2010 23:45</v>
      </c>
    </row>
    <row r="3359" spans="1:10" x14ac:dyDescent="0.3">
      <c r="A3359" t="s">
        <v>6</v>
      </c>
      <c r="B3359" t="str">
        <f>"12/10/2010 00:00"</f>
        <v>12/10/2010 00:00</v>
      </c>
      <c r="C3359">
        <v>36.799999999999997</v>
      </c>
      <c r="D3359" t="s">
        <v>7</v>
      </c>
      <c r="E3359" s="2" t="s">
        <v>12</v>
      </c>
      <c r="F3359">
        <f t="shared" si="52"/>
        <v>72.974400000000003</v>
      </c>
      <c r="G3359" t="s">
        <v>16</v>
      </c>
      <c r="J3359" t="str">
        <f>"12/10/2010 23:45"</f>
        <v>12/10/2010 23:45</v>
      </c>
    </row>
    <row r="3360" spans="1:10" x14ac:dyDescent="0.3">
      <c r="A3360" t="s">
        <v>6</v>
      </c>
      <c r="B3360" t="str">
        <f>"12/11/2010 00:00"</f>
        <v>12/11/2010 00:00</v>
      </c>
      <c r="C3360">
        <v>37.1</v>
      </c>
      <c r="D3360" t="s">
        <v>7</v>
      </c>
      <c r="E3360" s="2" t="s">
        <v>12</v>
      </c>
      <c r="F3360">
        <f t="shared" si="52"/>
        <v>73.569300000000013</v>
      </c>
      <c r="G3360" t="s">
        <v>16</v>
      </c>
      <c r="J3360" t="str">
        <f>"12/11/2010 23:45"</f>
        <v>12/11/2010 23:45</v>
      </c>
    </row>
    <row r="3361" spans="1:10" x14ac:dyDescent="0.3">
      <c r="A3361" t="s">
        <v>6</v>
      </c>
      <c r="B3361" t="str">
        <f>"12/12/2010 00:00"</f>
        <v>12/12/2010 00:00</v>
      </c>
      <c r="C3361">
        <v>37.299999999999997</v>
      </c>
      <c r="D3361" t="s">
        <v>7</v>
      </c>
      <c r="E3361" s="2" t="s">
        <v>12</v>
      </c>
      <c r="F3361">
        <f t="shared" si="52"/>
        <v>73.965900000000005</v>
      </c>
      <c r="G3361" t="s">
        <v>16</v>
      </c>
      <c r="J3361" t="str">
        <f>"12/12/2010 23:45"</f>
        <v>12/12/2010 23:45</v>
      </c>
    </row>
    <row r="3362" spans="1:10" x14ac:dyDescent="0.3">
      <c r="A3362" t="s">
        <v>6</v>
      </c>
      <c r="B3362" t="str">
        <f>"12/13/2010 00:00"</f>
        <v>12/13/2010 00:00</v>
      </c>
      <c r="C3362">
        <v>37</v>
      </c>
      <c r="D3362" t="s">
        <v>7</v>
      </c>
      <c r="E3362" s="2" t="s">
        <v>12</v>
      </c>
      <c r="F3362">
        <f t="shared" si="52"/>
        <v>73.371000000000009</v>
      </c>
      <c r="G3362" t="s">
        <v>16</v>
      </c>
      <c r="J3362" t="str">
        <f>"12/13/2010 23:45"</f>
        <v>12/13/2010 23:45</v>
      </c>
    </row>
    <row r="3363" spans="1:10" x14ac:dyDescent="0.3">
      <c r="A3363" t="s">
        <v>6</v>
      </c>
      <c r="B3363" t="str">
        <f>"12/14/2010 00:00"</f>
        <v>12/14/2010 00:00</v>
      </c>
      <c r="C3363">
        <v>37.200000000000003</v>
      </c>
      <c r="D3363" t="s">
        <v>7</v>
      </c>
      <c r="E3363" s="2" t="s">
        <v>12</v>
      </c>
      <c r="F3363">
        <f t="shared" si="52"/>
        <v>73.767600000000016</v>
      </c>
      <c r="G3363" t="s">
        <v>16</v>
      </c>
      <c r="J3363" t="str">
        <f>"12/14/2010 23:45"</f>
        <v>12/14/2010 23:45</v>
      </c>
    </row>
    <row r="3364" spans="1:10" x14ac:dyDescent="0.3">
      <c r="A3364" t="s">
        <v>6</v>
      </c>
      <c r="B3364" t="str">
        <f>"12/15/2010 00:00"</f>
        <v>12/15/2010 00:00</v>
      </c>
      <c r="C3364">
        <v>62.1</v>
      </c>
      <c r="D3364" t="s">
        <v>7</v>
      </c>
      <c r="E3364" s="2" t="s">
        <v>12</v>
      </c>
      <c r="F3364">
        <f t="shared" si="52"/>
        <v>123.14430000000002</v>
      </c>
      <c r="G3364" t="s">
        <v>16</v>
      </c>
      <c r="J3364" t="str">
        <f>"12/15/2010 23:45"</f>
        <v>12/15/2010 23:45</v>
      </c>
    </row>
    <row r="3365" spans="1:10" x14ac:dyDescent="0.3">
      <c r="A3365" t="s">
        <v>6</v>
      </c>
      <c r="B3365" t="str">
        <f>"12/16/2010 00:00"</f>
        <v>12/16/2010 00:00</v>
      </c>
      <c r="C3365">
        <v>87.9</v>
      </c>
      <c r="D3365" t="s">
        <v>7</v>
      </c>
      <c r="E3365" s="2" t="s">
        <v>12</v>
      </c>
      <c r="F3365">
        <f t="shared" si="52"/>
        <v>174.30570000000003</v>
      </c>
      <c r="G3365" t="s">
        <v>16</v>
      </c>
      <c r="J3365" t="str">
        <f>"12/16/2010 23:45"</f>
        <v>12/16/2010 23:45</v>
      </c>
    </row>
    <row r="3366" spans="1:10" x14ac:dyDescent="0.3">
      <c r="A3366" t="s">
        <v>6</v>
      </c>
      <c r="B3366" t="str">
        <f>"12/17/2010 00:00"</f>
        <v>12/17/2010 00:00</v>
      </c>
      <c r="C3366">
        <v>7.03</v>
      </c>
      <c r="D3366" t="s">
        <v>7</v>
      </c>
      <c r="E3366" s="2" t="s">
        <v>12</v>
      </c>
      <c r="F3366">
        <f t="shared" si="52"/>
        <v>13.94049</v>
      </c>
      <c r="G3366" t="s">
        <v>16</v>
      </c>
      <c r="J3366" t="str">
        <f>"12/17/2010 23:45"</f>
        <v>12/17/2010 23:45</v>
      </c>
    </row>
    <row r="3367" spans="1:10" x14ac:dyDescent="0.3">
      <c r="A3367" t="s">
        <v>6</v>
      </c>
      <c r="B3367" t="str">
        <f>"12/18/2010 00:00"</f>
        <v>12/18/2010 00:00</v>
      </c>
      <c r="C3367">
        <v>1.33</v>
      </c>
      <c r="D3367" t="s">
        <v>7</v>
      </c>
      <c r="E3367" s="2" t="s">
        <v>12</v>
      </c>
      <c r="F3367">
        <f t="shared" si="52"/>
        <v>2.6373900000000003</v>
      </c>
      <c r="G3367" t="s">
        <v>16</v>
      </c>
      <c r="J3367" t="str">
        <f>"12/18/2010 23:45"</f>
        <v>12/18/2010 23:45</v>
      </c>
    </row>
    <row r="3368" spans="1:10" x14ac:dyDescent="0.3">
      <c r="A3368" t="s">
        <v>6</v>
      </c>
      <c r="B3368" t="str">
        <f>"12/19/2010 00:00"</f>
        <v>12/19/2010 00:00</v>
      </c>
      <c r="C3368">
        <v>1.08</v>
      </c>
      <c r="D3368" t="s">
        <v>7</v>
      </c>
      <c r="E3368" s="2" t="s">
        <v>12</v>
      </c>
      <c r="F3368">
        <f t="shared" si="52"/>
        <v>2.1416400000000002</v>
      </c>
      <c r="G3368" t="s">
        <v>16</v>
      </c>
      <c r="J3368" t="str">
        <f>"12/19/2010 23:45"</f>
        <v>12/19/2010 23:45</v>
      </c>
    </row>
    <row r="3369" spans="1:10" x14ac:dyDescent="0.3">
      <c r="A3369" t="s">
        <v>6</v>
      </c>
      <c r="B3369" t="str">
        <f>"12/20/2010 00:00"</f>
        <v>12/20/2010 00:00</v>
      </c>
      <c r="C3369">
        <v>1.08</v>
      </c>
      <c r="D3369" t="s">
        <v>7</v>
      </c>
      <c r="E3369" s="2" t="s">
        <v>12</v>
      </c>
      <c r="F3369">
        <f t="shared" si="52"/>
        <v>2.1416400000000002</v>
      </c>
      <c r="G3369" t="s">
        <v>16</v>
      </c>
      <c r="J3369" t="str">
        <f>"12/20/2010 23:45"</f>
        <v>12/20/2010 23:45</v>
      </c>
    </row>
    <row r="3370" spans="1:10" x14ac:dyDescent="0.3">
      <c r="A3370" t="s">
        <v>6</v>
      </c>
      <c r="B3370" t="str">
        <f>"12/21/2010 00:00"</f>
        <v>12/21/2010 00:00</v>
      </c>
      <c r="C3370">
        <v>0.96299999999999997</v>
      </c>
      <c r="D3370" t="s">
        <v>7</v>
      </c>
      <c r="E3370" s="2" t="s">
        <v>12</v>
      </c>
      <c r="F3370">
        <f t="shared" si="52"/>
        <v>1.909629</v>
      </c>
      <c r="G3370" t="s">
        <v>16</v>
      </c>
      <c r="J3370" t="str">
        <f>"12/21/2010 23:45"</f>
        <v>12/21/2010 23:45</v>
      </c>
    </row>
    <row r="3371" spans="1:10" x14ac:dyDescent="0.3">
      <c r="A3371" t="s">
        <v>6</v>
      </c>
      <c r="B3371" t="str">
        <f>"12/22/2010 00:00"</f>
        <v>12/22/2010 00:00</v>
      </c>
      <c r="C3371">
        <v>0.84599999999999997</v>
      </c>
      <c r="D3371" t="s">
        <v>7</v>
      </c>
      <c r="E3371" s="2" t="s">
        <v>12</v>
      </c>
      <c r="F3371">
        <f t="shared" si="52"/>
        <v>1.6776180000000001</v>
      </c>
      <c r="G3371" t="s">
        <v>16</v>
      </c>
      <c r="J3371" t="str">
        <f>"12/22/2010 23:45"</f>
        <v>12/22/2010 23:45</v>
      </c>
    </row>
    <row r="3372" spans="1:10" x14ac:dyDescent="0.3">
      <c r="A3372" t="s">
        <v>6</v>
      </c>
      <c r="B3372" t="str">
        <f>"12/23/2010 00:00"</f>
        <v>12/23/2010 00:00</v>
      </c>
      <c r="C3372">
        <v>0.84599999999999997</v>
      </c>
      <c r="D3372" t="s">
        <v>7</v>
      </c>
      <c r="E3372" s="2" t="s">
        <v>12</v>
      </c>
      <c r="F3372">
        <f t="shared" si="52"/>
        <v>1.6776180000000001</v>
      </c>
      <c r="G3372" t="s">
        <v>16</v>
      </c>
      <c r="J3372" t="str">
        <f>"12/23/2010 23:45"</f>
        <v>12/23/2010 23:45</v>
      </c>
    </row>
    <row r="3373" spans="1:10" x14ac:dyDescent="0.3">
      <c r="A3373" t="s">
        <v>6</v>
      </c>
      <c r="B3373" t="str">
        <f>"12/24/2010 00:00"</f>
        <v>12/24/2010 00:00</v>
      </c>
      <c r="C3373">
        <v>0.84599999999999997</v>
      </c>
      <c r="D3373" t="s">
        <v>7</v>
      </c>
      <c r="E3373" s="2" t="s">
        <v>12</v>
      </c>
      <c r="F3373">
        <f t="shared" si="52"/>
        <v>1.6776180000000001</v>
      </c>
      <c r="G3373" t="s">
        <v>16</v>
      </c>
      <c r="J3373" t="str">
        <f>"12/24/2010 23:45"</f>
        <v>12/24/2010 23:45</v>
      </c>
    </row>
    <row r="3374" spans="1:10" x14ac:dyDescent="0.3">
      <c r="A3374" t="s">
        <v>6</v>
      </c>
      <c r="B3374" t="str">
        <f>"12/25/2010 00:00"</f>
        <v>12/25/2010 00:00</v>
      </c>
      <c r="C3374">
        <v>0.84599999999999997</v>
      </c>
      <c r="D3374" t="s">
        <v>7</v>
      </c>
      <c r="E3374" s="2" t="s">
        <v>12</v>
      </c>
      <c r="F3374">
        <f t="shared" si="52"/>
        <v>1.6776180000000001</v>
      </c>
      <c r="G3374" t="s">
        <v>16</v>
      </c>
      <c r="J3374" t="str">
        <f>"12/25/2010 23:45"</f>
        <v>12/25/2010 23:45</v>
      </c>
    </row>
    <row r="3375" spans="1:10" x14ac:dyDescent="0.3">
      <c r="A3375" t="s">
        <v>6</v>
      </c>
      <c r="B3375" t="str">
        <f>"12/26/2010 00:00"</f>
        <v>12/26/2010 00:00</v>
      </c>
      <c r="C3375">
        <v>0.84599999999999997</v>
      </c>
      <c r="D3375" t="s">
        <v>7</v>
      </c>
      <c r="E3375" s="2" t="s">
        <v>12</v>
      </c>
      <c r="F3375">
        <f t="shared" si="52"/>
        <v>1.6776180000000001</v>
      </c>
      <c r="G3375" t="s">
        <v>16</v>
      </c>
      <c r="J3375" t="str">
        <f>"12/26/2010 23:45"</f>
        <v>12/26/2010 23:45</v>
      </c>
    </row>
    <row r="3376" spans="1:10" x14ac:dyDescent="0.3">
      <c r="A3376" t="s">
        <v>6</v>
      </c>
      <c r="B3376" t="str">
        <f>"12/27/2010 00:00"</f>
        <v>12/27/2010 00:00</v>
      </c>
      <c r="C3376">
        <v>0.84599999999999997</v>
      </c>
      <c r="D3376" t="s">
        <v>7</v>
      </c>
      <c r="E3376" s="2" t="s">
        <v>12</v>
      </c>
      <c r="F3376">
        <f t="shared" si="52"/>
        <v>1.6776180000000001</v>
      </c>
      <c r="G3376" t="s">
        <v>16</v>
      </c>
      <c r="J3376" t="str">
        <f>"12/27/2010 23:45"</f>
        <v>12/27/2010 23:45</v>
      </c>
    </row>
    <row r="3377" spans="1:10" x14ac:dyDescent="0.3">
      <c r="A3377" t="s">
        <v>6</v>
      </c>
      <c r="B3377" t="str">
        <f>"12/28/2010 00:00"</f>
        <v>12/28/2010 00:00</v>
      </c>
      <c r="C3377">
        <v>0.84199999999999997</v>
      </c>
      <c r="D3377" t="s">
        <v>7</v>
      </c>
      <c r="E3377" s="2" t="s">
        <v>12</v>
      </c>
      <c r="F3377">
        <f t="shared" si="52"/>
        <v>1.669686</v>
      </c>
      <c r="G3377" t="s">
        <v>16</v>
      </c>
      <c r="J3377" t="str">
        <f>"12/28/2010 23:45"</f>
        <v>12/28/2010 23:45</v>
      </c>
    </row>
    <row r="3378" spans="1:10" x14ac:dyDescent="0.3">
      <c r="A3378" t="s">
        <v>6</v>
      </c>
      <c r="B3378" t="str">
        <f>"12/29/2010 00:00"</f>
        <v>12/29/2010 00:00</v>
      </c>
      <c r="C3378">
        <v>0.63200000000000001</v>
      </c>
      <c r="D3378" t="s">
        <v>7</v>
      </c>
      <c r="E3378" s="2" t="s">
        <v>12</v>
      </c>
      <c r="F3378">
        <f t="shared" si="52"/>
        <v>1.2532560000000001</v>
      </c>
      <c r="G3378" t="s">
        <v>16</v>
      </c>
      <c r="J3378" t="str">
        <f>"12/29/2010 23:45"</f>
        <v>12/29/2010 23:45</v>
      </c>
    </row>
    <row r="3379" spans="1:10" x14ac:dyDescent="0.3">
      <c r="A3379" t="s">
        <v>6</v>
      </c>
      <c r="B3379" t="str">
        <f>"12/30/2010 00:00"</f>
        <v>12/30/2010 00:00</v>
      </c>
      <c r="C3379">
        <v>0.63200000000000001</v>
      </c>
      <c r="D3379" t="s">
        <v>7</v>
      </c>
      <c r="E3379" s="2" t="s">
        <v>12</v>
      </c>
      <c r="F3379">
        <f t="shared" si="52"/>
        <v>1.2532560000000001</v>
      </c>
      <c r="G3379" t="s">
        <v>16</v>
      </c>
      <c r="J3379" t="str">
        <f>"12/30/2010 23:45"</f>
        <v>12/30/2010 23:45</v>
      </c>
    </row>
    <row r="3380" spans="1:10" x14ac:dyDescent="0.3">
      <c r="A3380" t="s">
        <v>6</v>
      </c>
      <c r="B3380" t="str">
        <f>"12/31/2010 00:00"</f>
        <v>12/31/2010 00:00</v>
      </c>
      <c r="C3380">
        <v>0.63200000000000001</v>
      </c>
      <c r="D3380" t="s">
        <v>7</v>
      </c>
      <c r="E3380" s="2" t="s">
        <v>12</v>
      </c>
      <c r="F3380">
        <f t="shared" si="52"/>
        <v>1.2532560000000001</v>
      </c>
      <c r="G3380" t="s">
        <v>16</v>
      </c>
      <c r="J3380" t="str">
        <f>"12/31/2010 23:45"</f>
        <v>12/31/2010 23:45</v>
      </c>
    </row>
    <row r="3381" spans="1:10" x14ac:dyDescent="0.3">
      <c r="A3381" t="s">
        <v>6</v>
      </c>
      <c r="B3381" t="str">
        <f>"01/01/2011 00:00"</f>
        <v>01/01/2011 00:00</v>
      </c>
      <c r="C3381">
        <v>0.63200000000000001</v>
      </c>
      <c r="D3381" t="s">
        <v>7</v>
      </c>
      <c r="E3381" s="2" t="s">
        <v>12</v>
      </c>
      <c r="F3381">
        <f t="shared" si="52"/>
        <v>1.2532560000000001</v>
      </c>
      <c r="G3381" t="s">
        <v>16</v>
      </c>
      <c r="J3381" t="str">
        <f>"01/01/2011 23:45"</f>
        <v>01/01/2011 23:45</v>
      </c>
    </row>
    <row r="3382" spans="1:10" x14ac:dyDescent="0.3">
      <c r="A3382" t="s">
        <v>6</v>
      </c>
      <c r="B3382" t="str">
        <f>"01/02/2011 00:00"</f>
        <v>01/02/2011 00:00</v>
      </c>
      <c r="C3382">
        <v>0.63200000000000001</v>
      </c>
      <c r="D3382" t="s">
        <v>7</v>
      </c>
      <c r="E3382" s="2" t="s">
        <v>12</v>
      </c>
      <c r="F3382">
        <f t="shared" si="52"/>
        <v>1.2532560000000001</v>
      </c>
      <c r="G3382" t="s">
        <v>16</v>
      </c>
      <c r="J3382" t="str">
        <f>"01/02/2011 23:45"</f>
        <v>01/02/2011 23:45</v>
      </c>
    </row>
    <row r="3383" spans="1:10" x14ac:dyDescent="0.3">
      <c r="A3383" t="s">
        <v>6</v>
      </c>
      <c r="B3383" t="str">
        <f>"01/03/2011 00:00"</f>
        <v>01/03/2011 00:00</v>
      </c>
      <c r="C3383">
        <v>0.63200000000000001</v>
      </c>
      <c r="D3383" t="s">
        <v>7</v>
      </c>
      <c r="E3383" s="2" t="s">
        <v>12</v>
      </c>
      <c r="F3383">
        <f t="shared" si="52"/>
        <v>1.2532560000000001</v>
      </c>
      <c r="G3383" t="s">
        <v>16</v>
      </c>
      <c r="J3383" t="str">
        <f>"01/03/2011 23:45"</f>
        <v>01/03/2011 23:45</v>
      </c>
    </row>
    <row r="3384" spans="1:10" x14ac:dyDescent="0.3">
      <c r="A3384" t="s">
        <v>6</v>
      </c>
      <c r="B3384" t="str">
        <f>"01/04/2011 00:00"</f>
        <v>01/04/2011 00:00</v>
      </c>
      <c r="C3384">
        <v>0.63200000000000001</v>
      </c>
      <c r="D3384" t="s">
        <v>7</v>
      </c>
      <c r="E3384" s="2" t="s">
        <v>12</v>
      </c>
      <c r="F3384">
        <f t="shared" si="52"/>
        <v>1.2532560000000001</v>
      </c>
      <c r="G3384" t="s">
        <v>16</v>
      </c>
      <c r="J3384" t="str">
        <f>"01/04/2011 23:45"</f>
        <v>01/04/2011 23:45</v>
      </c>
    </row>
    <row r="3385" spans="1:10" x14ac:dyDescent="0.3">
      <c r="A3385" t="s">
        <v>6</v>
      </c>
      <c r="B3385" t="str">
        <f>"01/05/2011 00:00"</f>
        <v>01/05/2011 00:00</v>
      </c>
      <c r="C3385">
        <v>0.63200000000000001</v>
      </c>
      <c r="D3385" t="s">
        <v>7</v>
      </c>
      <c r="E3385" s="2" t="s">
        <v>12</v>
      </c>
      <c r="F3385">
        <f t="shared" si="52"/>
        <v>1.2532560000000001</v>
      </c>
      <c r="G3385" t="s">
        <v>16</v>
      </c>
      <c r="J3385" t="str">
        <f>"01/05/2011 23:45"</f>
        <v>01/05/2011 23:45</v>
      </c>
    </row>
    <row r="3386" spans="1:10" x14ac:dyDescent="0.3">
      <c r="A3386" t="s">
        <v>6</v>
      </c>
      <c r="B3386" t="str">
        <f>"01/06/2011 00:00"</f>
        <v>01/06/2011 00:00</v>
      </c>
      <c r="C3386">
        <v>0.63200000000000001</v>
      </c>
      <c r="D3386" t="s">
        <v>7</v>
      </c>
      <c r="E3386" s="2" t="s">
        <v>12</v>
      </c>
      <c r="F3386">
        <f t="shared" si="52"/>
        <v>1.2532560000000001</v>
      </c>
      <c r="G3386" t="s">
        <v>16</v>
      </c>
      <c r="J3386" t="str">
        <f>"01/06/2011 23:45"</f>
        <v>01/06/2011 23:45</v>
      </c>
    </row>
    <row r="3387" spans="1:10" x14ac:dyDescent="0.3">
      <c r="A3387" t="s">
        <v>6</v>
      </c>
      <c r="B3387" t="str">
        <f>"01/07/2011 00:00"</f>
        <v>01/07/2011 00:00</v>
      </c>
      <c r="C3387">
        <v>0.63200000000000001</v>
      </c>
      <c r="D3387" t="s">
        <v>7</v>
      </c>
      <c r="E3387" s="2" t="s">
        <v>12</v>
      </c>
      <c r="F3387">
        <f t="shared" si="52"/>
        <v>1.2532560000000001</v>
      </c>
      <c r="G3387" t="s">
        <v>16</v>
      </c>
      <c r="J3387" t="str">
        <f>"01/07/2011 23:45"</f>
        <v>01/07/2011 23:45</v>
      </c>
    </row>
    <row r="3388" spans="1:10" x14ac:dyDescent="0.3">
      <c r="A3388" t="s">
        <v>6</v>
      </c>
      <c r="B3388" t="str">
        <f>"01/08/2011 00:00"</f>
        <v>01/08/2011 00:00</v>
      </c>
      <c r="C3388">
        <v>0.63200000000000001</v>
      </c>
      <c r="D3388" t="s">
        <v>7</v>
      </c>
      <c r="E3388" s="2" t="s">
        <v>12</v>
      </c>
      <c r="F3388">
        <f t="shared" si="52"/>
        <v>1.2532560000000001</v>
      </c>
      <c r="G3388" t="s">
        <v>16</v>
      </c>
      <c r="J3388" t="str">
        <f>"01/08/2011 23:45"</f>
        <v>01/08/2011 23:45</v>
      </c>
    </row>
    <row r="3389" spans="1:10" x14ac:dyDescent="0.3">
      <c r="A3389" t="s">
        <v>6</v>
      </c>
      <c r="B3389" t="str">
        <f>"01/09/2011 00:00"</f>
        <v>01/09/2011 00:00</v>
      </c>
      <c r="C3389">
        <v>0.63200000000000001</v>
      </c>
      <c r="D3389" t="s">
        <v>7</v>
      </c>
      <c r="E3389" s="2" t="s">
        <v>12</v>
      </c>
      <c r="F3389">
        <f t="shared" si="52"/>
        <v>1.2532560000000001</v>
      </c>
      <c r="G3389" t="s">
        <v>16</v>
      </c>
      <c r="J3389" t="str">
        <f>"01/09/2011 23:45"</f>
        <v>01/09/2011 23:45</v>
      </c>
    </row>
    <row r="3390" spans="1:10" x14ac:dyDescent="0.3">
      <c r="A3390" t="s">
        <v>6</v>
      </c>
      <c r="B3390" t="str">
        <f>"01/10/2011 00:00"</f>
        <v>01/10/2011 00:00</v>
      </c>
      <c r="C3390">
        <v>0.63200000000000001</v>
      </c>
      <c r="D3390" t="s">
        <v>7</v>
      </c>
      <c r="E3390" s="2" t="s">
        <v>12</v>
      </c>
      <c r="F3390">
        <f t="shared" si="52"/>
        <v>1.2532560000000001</v>
      </c>
      <c r="G3390" t="s">
        <v>16</v>
      </c>
      <c r="J3390" t="str">
        <f>"01/10/2011 23:45"</f>
        <v>01/10/2011 23:45</v>
      </c>
    </row>
    <row r="3391" spans="1:10" x14ac:dyDescent="0.3">
      <c r="A3391" t="s">
        <v>6</v>
      </c>
      <c r="B3391" t="str">
        <f>"01/11/2011 00:00"</f>
        <v>01/11/2011 00:00</v>
      </c>
      <c r="C3391">
        <v>0.63200000000000001</v>
      </c>
      <c r="D3391" t="s">
        <v>7</v>
      </c>
      <c r="E3391" s="2" t="s">
        <v>12</v>
      </c>
      <c r="F3391">
        <f t="shared" si="52"/>
        <v>1.2532560000000001</v>
      </c>
      <c r="G3391" t="s">
        <v>16</v>
      </c>
      <c r="J3391" t="str">
        <f>"01/11/2011 23:45"</f>
        <v>01/11/2011 23:45</v>
      </c>
    </row>
    <row r="3392" spans="1:10" x14ac:dyDescent="0.3">
      <c r="A3392" t="s">
        <v>6</v>
      </c>
      <c r="B3392" t="str">
        <f>"01/12/2011 00:00"</f>
        <v>01/12/2011 00:00</v>
      </c>
      <c r="C3392">
        <v>0.63200000000000001</v>
      </c>
      <c r="D3392" t="s">
        <v>7</v>
      </c>
      <c r="E3392" s="2" t="s">
        <v>12</v>
      </c>
      <c r="F3392">
        <f t="shared" si="52"/>
        <v>1.2532560000000001</v>
      </c>
      <c r="G3392" t="s">
        <v>16</v>
      </c>
      <c r="J3392" t="str">
        <f>"01/12/2011 23:45"</f>
        <v>01/12/2011 23:45</v>
      </c>
    </row>
    <row r="3393" spans="1:10" x14ac:dyDescent="0.3">
      <c r="A3393" t="s">
        <v>6</v>
      </c>
      <c r="B3393" t="str">
        <f>"01/13/2011 00:00"</f>
        <v>01/13/2011 00:00</v>
      </c>
      <c r="C3393">
        <v>0.63200000000000001</v>
      </c>
      <c r="D3393" t="s">
        <v>7</v>
      </c>
      <c r="E3393" s="2" t="s">
        <v>12</v>
      </c>
      <c r="F3393">
        <f t="shared" si="52"/>
        <v>1.2532560000000001</v>
      </c>
      <c r="G3393" t="s">
        <v>16</v>
      </c>
      <c r="J3393" t="str">
        <f>"01/13/2011 23:45"</f>
        <v>01/13/2011 23:45</v>
      </c>
    </row>
    <row r="3394" spans="1:10" x14ac:dyDescent="0.3">
      <c r="A3394" t="s">
        <v>6</v>
      </c>
      <c r="B3394" t="str">
        <f>"01/14/2011 00:00"</f>
        <v>01/14/2011 00:00</v>
      </c>
      <c r="C3394">
        <v>0.63200000000000001</v>
      </c>
      <c r="D3394" t="s">
        <v>7</v>
      </c>
      <c r="E3394" s="2" t="s">
        <v>12</v>
      </c>
      <c r="F3394">
        <f t="shared" si="52"/>
        <v>1.2532560000000001</v>
      </c>
      <c r="G3394" t="s">
        <v>16</v>
      </c>
      <c r="J3394" t="str">
        <f>"01/14/2011 23:45"</f>
        <v>01/14/2011 23:45</v>
      </c>
    </row>
    <row r="3395" spans="1:10" x14ac:dyDescent="0.3">
      <c r="A3395" t="s">
        <v>6</v>
      </c>
      <c r="B3395" t="str">
        <f>"01/15/2011 00:00"</f>
        <v>01/15/2011 00:00</v>
      </c>
      <c r="C3395">
        <v>0.68600000000000005</v>
      </c>
      <c r="D3395" t="s">
        <v>7</v>
      </c>
      <c r="E3395" s="2" t="s">
        <v>12</v>
      </c>
      <c r="F3395">
        <f t="shared" si="52"/>
        <v>1.3603380000000003</v>
      </c>
      <c r="G3395" t="s">
        <v>16</v>
      </c>
      <c r="J3395" t="str">
        <f>"01/15/2011 23:45"</f>
        <v>01/15/2011 23:45</v>
      </c>
    </row>
    <row r="3396" spans="1:10" x14ac:dyDescent="0.3">
      <c r="A3396" t="s">
        <v>6</v>
      </c>
      <c r="B3396" t="str">
        <f>"01/16/2011 00:00"</f>
        <v>01/16/2011 00:00</v>
      </c>
      <c r="C3396">
        <v>0.63200000000000001</v>
      </c>
      <c r="D3396" t="s">
        <v>7</v>
      </c>
      <c r="E3396" s="2" t="s">
        <v>12</v>
      </c>
      <c r="F3396">
        <f t="shared" ref="F3396:F3459" si="53">C3396*1.983</f>
        <v>1.2532560000000001</v>
      </c>
      <c r="G3396" t="s">
        <v>16</v>
      </c>
      <c r="I3396" t="s">
        <v>8</v>
      </c>
      <c r="J3396" t="str">
        <f>"01/16/2011 23:45"</f>
        <v>01/16/2011 23:45</v>
      </c>
    </row>
    <row r="3397" spans="1:10" x14ac:dyDescent="0.3">
      <c r="A3397" t="s">
        <v>6</v>
      </c>
      <c r="B3397" t="str">
        <f>"01/17/2011 00:00"</f>
        <v>01/17/2011 00:00</v>
      </c>
      <c r="C3397">
        <v>0.63200000000000001</v>
      </c>
      <c r="D3397" t="s">
        <v>7</v>
      </c>
      <c r="E3397" s="2" t="s">
        <v>12</v>
      </c>
      <c r="F3397">
        <f t="shared" si="53"/>
        <v>1.2532560000000001</v>
      </c>
      <c r="G3397" t="s">
        <v>16</v>
      </c>
      <c r="J3397" t="str">
        <f>"01/17/2011 23:15"</f>
        <v>01/17/2011 23:15</v>
      </c>
    </row>
    <row r="3398" spans="1:10" x14ac:dyDescent="0.3">
      <c r="A3398" t="s">
        <v>6</v>
      </c>
      <c r="B3398" t="str">
        <f>"01/18/2011 00:00"</f>
        <v>01/18/2011 00:00</v>
      </c>
      <c r="C3398">
        <v>0.63200000000000001</v>
      </c>
      <c r="D3398" t="s">
        <v>7</v>
      </c>
      <c r="E3398" s="2" t="s">
        <v>12</v>
      </c>
      <c r="F3398">
        <f t="shared" si="53"/>
        <v>1.2532560000000001</v>
      </c>
      <c r="G3398" t="s">
        <v>16</v>
      </c>
      <c r="J3398" t="str">
        <f>"01/18/2011 23:15"</f>
        <v>01/18/2011 23:15</v>
      </c>
    </row>
    <row r="3399" spans="1:10" x14ac:dyDescent="0.3">
      <c r="A3399" t="s">
        <v>6</v>
      </c>
      <c r="B3399" t="str">
        <f>"01/19/2011 00:00"</f>
        <v>01/19/2011 00:00</v>
      </c>
      <c r="C3399">
        <v>0.14599999999999999</v>
      </c>
      <c r="D3399" t="s">
        <v>7</v>
      </c>
      <c r="E3399" s="2" t="s">
        <v>12</v>
      </c>
      <c r="F3399">
        <f t="shared" si="53"/>
        <v>0.289518</v>
      </c>
      <c r="G3399" t="s">
        <v>16</v>
      </c>
      <c r="J3399" t="str">
        <f>"01/19/2011 00:15"</f>
        <v>01/19/2011 00:15</v>
      </c>
    </row>
    <row r="3400" spans="1:10" x14ac:dyDescent="0.3">
      <c r="A3400" t="s">
        <v>6</v>
      </c>
      <c r="B3400" t="str">
        <f>"01/20/2011 00:00"</f>
        <v>01/20/2011 00:00</v>
      </c>
      <c r="D3400" t="s">
        <v>7</v>
      </c>
      <c r="E3400" s="2" t="s">
        <v>12</v>
      </c>
      <c r="F3400">
        <f t="shared" si="53"/>
        <v>0</v>
      </c>
      <c r="G3400" t="s">
        <v>16</v>
      </c>
    </row>
    <row r="3401" spans="1:10" x14ac:dyDescent="0.3">
      <c r="A3401" t="s">
        <v>6</v>
      </c>
      <c r="B3401" t="str">
        <f>"01/21/2011 00:00"</f>
        <v>01/21/2011 00:00</v>
      </c>
      <c r="D3401" t="s">
        <v>7</v>
      </c>
      <c r="E3401" s="2" t="s">
        <v>12</v>
      </c>
      <c r="F3401">
        <f t="shared" si="53"/>
        <v>0</v>
      </c>
      <c r="G3401" t="s">
        <v>16</v>
      </c>
    </row>
    <row r="3402" spans="1:10" x14ac:dyDescent="0.3">
      <c r="A3402" t="s">
        <v>6</v>
      </c>
      <c r="B3402" t="str">
        <f>"01/22/2011 00:00"</f>
        <v>01/22/2011 00:00</v>
      </c>
      <c r="D3402" t="s">
        <v>7</v>
      </c>
      <c r="E3402" s="2" t="s">
        <v>12</v>
      </c>
      <c r="F3402">
        <f t="shared" si="53"/>
        <v>0</v>
      </c>
      <c r="G3402" t="s">
        <v>16</v>
      </c>
    </row>
    <row r="3403" spans="1:10" x14ac:dyDescent="0.3">
      <c r="A3403" t="s">
        <v>6</v>
      </c>
      <c r="B3403" t="str">
        <f>"01/23/2011 00:00"</f>
        <v>01/23/2011 00:00</v>
      </c>
      <c r="D3403" t="s">
        <v>7</v>
      </c>
      <c r="E3403" s="2" t="s">
        <v>12</v>
      </c>
      <c r="F3403">
        <f t="shared" si="53"/>
        <v>0</v>
      </c>
      <c r="G3403" t="s">
        <v>16</v>
      </c>
    </row>
    <row r="3404" spans="1:10" x14ac:dyDescent="0.3">
      <c r="A3404" t="s">
        <v>6</v>
      </c>
      <c r="B3404" t="str">
        <f>"01/24/2011 00:00"</f>
        <v>01/24/2011 00:00</v>
      </c>
      <c r="D3404" t="s">
        <v>7</v>
      </c>
      <c r="E3404" s="2" t="s">
        <v>12</v>
      </c>
      <c r="F3404">
        <f t="shared" si="53"/>
        <v>0</v>
      </c>
      <c r="G3404" t="s">
        <v>16</v>
      </c>
    </row>
    <row r="3405" spans="1:10" x14ac:dyDescent="0.3">
      <c r="A3405" t="s">
        <v>6</v>
      </c>
      <c r="B3405" t="str">
        <f>"01/25/2011 00:00"</f>
        <v>01/25/2011 00:00</v>
      </c>
      <c r="D3405" t="s">
        <v>7</v>
      </c>
      <c r="E3405" s="2" t="s">
        <v>12</v>
      </c>
      <c r="F3405">
        <f t="shared" si="53"/>
        <v>0</v>
      </c>
      <c r="G3405" t="s">
        <v>16</v>
      </c>
    </row>
    <row r="3406" spans="1:10" x14ac:dyDescent="0.3">
      <c r="A3406" t="s">
        <v>6</v>
      </c>
      <c r="B3406" t="str">
        <f>"01/26/2011 00:00"</f>
        <v>01/26/2011 00:00</v>
      </c>
      <c r="D3406" t="s">
        <v>7</v>
      </c>
      <c r="E3406" s="2" t="s">
        <v>12</v>
      </c>
      <c r="F3406">
        <f t="shared" si="53"/>
        <v>0</v>
      </c>
      <c r="G3406" t="s">
        <v>16</v>
      </c>
    </row>
    <row r="3407" spans="1:10" x14ac:dyDescent="0.3">
      <c r="A3407" t="s">
        <v>6</v>
      </c>
      <c r="B3407" t="str">
        <f>"01/27/2011 00:00"</f>
        <v>01/27/2011 00:00</v>
      </c>
      <c r="C3407">
        <v>0.442</v>
      </c>
      <c r="D3407" t="s">
        <v>7</v>
      </c>
      <c r="E3407" s="2" t="s">
        <v>12</v>
      </c>
      <c r="F3407">
        <f t="shared" si="53"/>
        <v>0.8764860000000001</v>
      </c>
      <c r="G3407" t="s">
        <v>16</v>
      </c>
      <c r="J3407" t="str">
        <f>"01/27/2011 23:45"</f>
        <v>01/27/2011 23:45</v>
      </c>
    </row>
    <row r="3408" spans="1:10" x14ac:dyDescent="0.3">
      <c r="A3408" t="s">
        <v>6</v>
      </c>
      <c r="B3408" t="str">
        <f>"01/28/2011 00:00"</f>
        <v>01/28/2011 00:00</v>
      </c>
      <c r="C3408">
        <v>0.442</v>
      </c>
      <c r="D3408" t="s">
        <v>7</v>
      </c>
      <c r="E3408" s="2" t="s">
        <v>12</v>
      </c>
      <c r="F3408">
        <f t="shared" si="53"/>
        <v>0.8764860000000001</v>
      </c>
      <c r="G3408" t="s">
        <v>16</v>
      </c>
      <c r="J3408" t="str">
        <f>"01/28/2011 23:45"</f>
        <v>01/28/2011 23:45</v>
      </c>
    </row>
    <row r="3409" spans="1:10" x14ac:dyDescent="0.3">
      <c r="A3409" t="s">
        <v>6</v>
      </c>
      <c r="B3409" t="str">
        <f>"01/29/2011 00:00"</f>
        <v>01/29/2011 00:00</v>
      </c>
      <c r="C3409">
        <v>0.442</v>
      </c>
      <c r="D3409" t="s">
        <v>7</v>
      </c>
      <c r="E3409" s="2" t="s">
        <v>12</v>
      </c>
      <c r="F3409">
        <f t="shared" si="53"/>
        <v>0.8764860000000001</v>
      </c>
      <c r="G3409" t="s">
        <v>16</v>
      </c>
      <c r="J3409" t="str">
        <f>"01/29/2011 23:45"</f>
        <v>01/29/2011 23:45</v>
      </c>
    </row>
    <row r="3410" spans="1:10" x14ac:dyDescent="0.3">
      <c r="A3410" t="s">
        <v>6</v>
      </c>
      <c r="B3410" t="str">
        <f>"01/30/2011 00:00"</f>
        <v>01/30/2011 00:00</v>
      </c>
      <c r="C3410">
        <v>0.442</v>
      </c>
      <c r="D3410" t="s">
        <v>7</v>
      </c>
      <c r="E3410" s="2" t="s">
        <v>12</v>
      </c>
      <c r="F3410">
        <f t="shared" si="53"/>
        <v>0.8764860000000001</v>
      </c>
      <c r="G3410" t="s">
        <v>16</v>
      </c>
      <c r="J3410" t="str">
        <f>"01/30/2011 23:45"</f>
        <v>01/30/2011 23:45</v>
      </c>
    </row>
    <row r="3411" spans="1:10" x14ac:dyDescent="0.3">
      <c r="A3411" t="s">
        <v>6</v>
      </c>
      <c r="B3411" t="str">
        <f>"01/31/2011 00:00"</f>
        <v>01/31/2011 00:00</v>
      </c>
      <c r="C3411">
        <v>0.442</v>
      </c>
      <c r="D3411" t="s">
        <v>7</v>
      </c>
      <c r="E3411" s="2" t="s">
        <v>12</v>
      </c>
      <c r="F3411">
        <f t="shared" si="53"/>
        <v>0.8764860000000001</v>
      </c>
      <c r="G3411" t="s">
        <v>16</v>
      </c>
      <c r="J3411" t="str">
        <f>"01/31/2011 23:45"</f>
        <v>01/31/2011 23:45</v>
      </c>
    </row>
    <row r="3412" spans="1:10" x14ac:dyDescent="0.3">
      <c r="A3412" t="s">
        <v>6</v>
      </c>
      <c r="B3412" t="str">
        <f>"02/01/2011 00:00"</f>
        <v>02/01/2011 00:00</v>
      </c>
      <c r="C3412">
        <v>0.442</v>
      </c>
      <c r="D3412" t="s">
        <v>7</v>
      </c>
      <c r="E3412" s="2" t="s">
        <v>12</v>
      </c>
      <c r="F3412">
        <f t="shared" si="53"/>
        <v>0.8764860000000001</v>
      </c>
      <c r="G3412" t="s">
        <v>16</v>
      </c>
      <c r="J3412" t="str">
        <f>"02/01/2011 23:45"</f>
        <v>02/01/2011 23:45</v>
      </c>
    </row>
    <row r="3413" spans="1:10" x14ac:dyDescent="0.3">
      <c r="A3413" t="s">
        <v>6</v>
      </c>
      <c r="B3413" t="str">
        <f>"02/02/2011 00:00"</f>
        <v>02/02/2011 00:00</v>
      </c>
      <c r="C3413">
        <v>0.442</v>
      </c>
      <c r="D3413" t="s">
        <v>7</v>
      </c>
      <c r="E3413" s="2" t="s">
        <v>12</v>
      </c>
      <c r="F3413">
        <f t="shared" si="53"/>
        <v>0.8764860000000001</v>
      </c>
      <c r="G3413" t="s">
        <v>16</v>
      </c>
      <c r="J3413" t="str">
        <f>"02/02/2011 23:45"</f>
        <v>02/02/2011 23:45</v>
      </c>
    </row>
    <row r="3414" spans="1:10" x14ac:dyDescent="0.3">
      <c r="A3414" t="s">
        <v>6</v>
      </c>
      <c r="B3414" t="str">
        <f>"02/03/2011 00:00"</f>
        <v>02/03/2011 00:00</v>
      </c>
      <c r="C3414">
        <v>0.442</v>
      </c>
      <c r="D3414" t="s">
        <v>7</v>
      </c>
      <c r="E3414" s="2" t="s">
        <v>12</v>
      </c>
      <c r="F3414">
        <f t="shared" si="53"/>
        <v>0.8764860000000001</v>
      </c>
      <c r="G3414" t="s">
        <v>16</v>
      </c>
      <c r="J3414" t="str">
        <f>"02/03/2011 23:45"</f>
        <v>02/03/2011 23:45</v>
      </c>
    </row>
    <row r="3415" spans="1:10" x14ac:dyDescent="0.3">
      <c r="A3415" t="s">
        <v>6</v>
      </c>
      <c r="B3415" t="str">
        <f>"02/04/2011 00:00"</f>
        <v>02/04/2011 00:00</v>
      </c>
      <c r="C3415">
        <v>0.442</v>
      </c>
      <c r="D3415" t="s">
        <v>7</v>
      </c>
      <c r="E3415" s="2" t="s">
        <v>12</v>
      </c>
      <c r="F3415">
        <f t="shared" si="53"/>
        <v>0.8764860000000001</v>
      </c>
      <c r="G3415" t="s">
        <v>16</v>
      </c>
      <c r="J3415" t="str">
        <f>"02/04/2011 23:45"</f>
        <v>02/04/2011 23:45</v>
      </c>
    </row>
    <row r="3416" spans="1:10" x14ac:dyDescent="0.3">
      <c r="A3416" t="s">
        <v>6</v>
      </c>
      <c r="B3416" t="str">
        <f>"02/05/2011 00:00"</f>
        <v>02/05/2011 00:00</v>
      </c>
      <c r="C3416">
        <v>0.442</v>
      </c>
      <c r="D3416" t="s">
        <v>7</v>
      </c>
      <c r="E3416" s="2" t="s">
        <v>12</v>
      </c>
      <c r="F3416">
        <f t="shared" si="53"/>
        <v>0.8764860000000001</v>
      </c>
      <c r="G3416" t="s">
        <v>16</v>
      </c>
      <c r="J3416" t="str">
        <f>"02/05/2011 23:45"</f>
        <v>02/05/2011 23:45</v>
      </c>
    </row>
    <row r="3417" spans="1:10" x14ac:dyDescent="0.3">
      <c r="A3417" t="s">
        <v>6</v>
      </c>
      <c r="B3417" t="str">
        <f>"02/06/2011 00:00"</f>
        <v>02/06/2011 00:00</v>
      </c>
      <c r="C3417">
        <v>0.35899999999999999</v>
      </c>
      <c r="D3417" t="s">
        <v>7</v>
      </c>
      <c r="E3417" s="2" t="s">
        <v>12</v>
      </c>
      <c r="F3417">
        <f t="shared" si="53"/>
        <v>0.711897</v>
      </c>
      <c r="G3417" t="s">
        <v>16</v>
      </c>
      <c r="J3417" t="str">
        <f>"02/06/2011 23:45"</f>
        <v>02/06/2011 23:45</v>
      </c>
    </row>
    <row r="3418" spans="1:10" x14ac:dyDescent="0.3">
      <c r="A3418" t="s">
        <v>6</v>
      </c>
      <c r="B3418" t="str">
        <f>"02/07/2011 00:00"</f>
        <v>02/07/2011 00:00</v>
      </c>
      <c r="C3418">
        <v>0.27900000000000003</v>
      </c>
      <c r="D3418" t="s">
        <v>7</v>
      </c>
      <c r="E3418" s="2" t="s">
        <v>12</v>
      </c>
      <c r="F3418">
        <f t="shared" si="53"/>
        <v>0.55325700000000011</v>
      </c>
      <c r="G3418" t="s">
        <v>16</v>
      </c>
      <c r="J3418" t="str">
        <f>"02/07/2011 23:45"</f>
        <v>02/07/2011 23:45</v>
      </c>
    </row>
    <row r="3419" spans="1:10" x14ac:dyDescent="0.3">
      <c r="A3419" t="s">
        <v>6</v>
      </c>
      <c r="B3419" t="str">
        <f>"02/08/2011 00:00"</f>
        <v>02/08/2011 00:00</v>
      </c>
      <c r="C3419">
        <v>0.23699999999999999</v>
      </c>
      <c r="D3419" t="s">
        <v>7</v>
      </c>
      <c r="E3419" s="2" t="s">
        <v>12</v>
      </c>
      <c r="F3419">
        <f t="shared" si="53"/>
        <v>0.46997099999999997</v>
      </c>
      <c r="G3419" t="s">
        <v>16</v>
      </c>
      <c r="J3419" t="str">
        <f>"02/08/2011 23:45"</f>
        <v>02/08/2011 23:45</v>
      </c>
    </row>
    <row r="3420" spans="1:10" x14ac:dyDescent="0.3">
      <c r="A3420" t="s">
        <v>6</v>
      </c>
      <c r="B3420" t="str">
        <f>"02/09/2011 00:00"</f>
        <v>02/09/2011 00:00</v>
      </c>
      <c r="C3420">
        <v>0.14599999999999999</v>
      </c>
      <c r="D3420" t="s">
        <v>7</v>
      </c>
      <c r="E3420" s="2" t="s">
        <v>12</v>
      </c>
      <c r="F3420">
        <f t="shared" si="53"/>
        <v>0.289518</v>
      </c>
      <c r="G3420" t="s">
        <v>16</v>
      </c>
      <c r="J3420" t="str">
        <f>"02/09/2011 23:45"</f>
        <v>02/09/2011 23:45</v>
      </c>
    </row>
    <row r="3421" spans="1:10" x14ac:dyDescent="0.3">
      <c r="A3421" t="s">
        <v>6</v>
      </c>
      <c r="B3421" t="str">
        <f>"02/10/2011 00:00"</f>
        <v>02/10/2011 00:00</v>
      </c>
      <c r="C3421">
        <v>0.14599999999999999</v>
      </c>
      <c r="D3421" t="s">
        <v>7</v>
      </c>
      <c r="E3421" s="2" t="s">
        <v>12</v>
      </c>
      <c r="F3421">
        <f t="shared" si="53"/>
        <v>0.289518</v>
      </c>
      <c r="G3421" t="s">
        <v>16</v>
      </c>
      <c r="J3421" t="str">
        <f>"02/10/2011 23:45"</f>
        <v>02/10/2011 23:45</v>
      </c>
    </row>
    <row r="3422" spans="1:10" x14ac:dyDescent="0.3">
      <c r="A3422" t="s">
        <v>6</v>
      </c>
      <c r="B3422" t="str">
        <f>"02/11/2011 00:00"</f>
        <v>02/11/2011 00:00</v>
      </c>
      <c r="C3422">
        <v>0.14599999999999999</v>
      </c>
      <c r="D3422" t="s">
        <v>7</v>
      </c>
      <c r="E3422" s="2" t="s">
        <v>12</v>
      </c>
      <c r="F3422">
        <f t="shared" si="53"/>
        <v>0.289518</v>
      </c>
      <c r="G3422" t="s">
        <v>16</v>
      </c>
      <c r="J3422" t="str">
        <f>"02/11/2011 23:45"</f>
        <v>02/11/2011 23:45</v>
      </c>
    </row>
    <row r="3423" spans="1:10" x14ac:dyDescent="0.3">
      <c r="A3423" t="s">
        <v>6</v>
      </c>
      <c r="B3423" t="str">
        <f>"02/12/2011 00:00"</f>
        <v>02/12/2011 00:00</v>
      </c>
      <c r="C3423">
        <v>0.14599999999999999</v>
      </c>
      <c r="D3423" t="s">
        <v>7</v>
      </c>
      <c r="E3423" s="2" t="s">
        <v>12</v>
      </c>
      <c r="F3423">
        <f t="shared" si="53"/>
        <v>0.289518</v>
      </c>
      <c r="G3423" t="s">
        <v>16</v>
      </c>
      <c r="J3423" t="str">
        <f>"02/12/2011 23:45"</f>
        <v>02/12/2011 23:45</v>
      </c>
    </row>
    <row r="3424" spans="1:10" x14ac:dyDescent="0.3">
      <c r="A3424" t="s">
        <v>6</v>
      </c>
      <c r="B3424" t="str">
        <f>"02/13/2011 00:00"</f>
        <v>02/13/2011 00:00</v>
      </c>
      <c r="C3424">
        <v>0.26900000000000002</v>
      </c>
      <c r="D3424" t="s">
        <v>7</v>
      </c>
      <c r="E3424" s="2" t="s">
        <v>12</v>
      </c>
      <c r="F3424">
        <f t="shared" si="53"/>
        <v>0.5334270000000001</v>
      </c>
      <c r="G3424" t="s">
        <v>16</v>
      </c>
      <c r="J3424" t="str">
        <f>"02/13/2011 23:45"</f>
        <v>02/13/2011 23:45</v>
      </c>
    </row>
    <row r="3425" spans="1:10" x14ac:dyDescent="0.3">
      <c r="A3425" t="s">
        <v>6</v>
      </c>
      <c r="B3425" t="str">
        <f>"02/14/2011 00:00"</f>
        <v>02/14/2011 00:00</v>
      </c>
      <c r="C3425">
        <v>0.30099999999999999</v>
      </c>
      <c r="D3425" t="s">
        <v>7</v>
      </c>
      <c r="E3425" s="2" t="s">
        <v>12</v>
      </c>
      <c r="F3425">
        <f t="shared" si="53"/>
        <v>0.59688300000000005</v>
      </c>
      <c r="G3425" t="s">
        <v>16</v>
      </c>
      <c r="J3425" t="str">
        <f>"02/14/2011 23:45"</f>
        <v>02/14/2011 23:45</v>
      </c>
    </row>
    <row r="3426" spans="1:10" x14ac:dyDescent="0.3">
      <c r="A3426" t="s">
        <v>6</v>
      </c>
      <c r="B3426" t="str">
        <f>"02/15/2011 00:00"</f>
        <v>02/15/2011 00:00</v>
      </c>
      <c r="C3426">
        <v>0.36099999999999999</v>
      </c>
      <c r="D3426" t="s">
        <v>7</v>
      </c>
      <c r="E3426" s="2" t="s">
        <v>12</v>
      </c>
      <c r="F3426">
        <f t="shared" si="53"/>
        <v>0.71586300000000003</v>
      </c>
      <c r="G3426" t="s">
        <v>16</v>
      </c>
      <c r="J3426" t="str">
        <f>"02/15/2011 23:45"</f>
        <v>02/15/2011 23:45</v>
      </c>
    </row>
    <row r="3427" spans="1:10" x14ac:dyDescent="0.3">
      <c r="A3427" t="s">
        <v>6</v>
      </c>
      <c r="B3427" t="str">
        <f>"02/16/2011 00:00"</f>
        <v>02/16/2011 00:00</v>
      </c>
      <c r="C3427">
        <v>0.374</v>
      </c>
      <c r="D3427" t="s">
        <v>7</v>
      </c>
      <c r="E3427" s="2" t="s">
        <v>12</v>
      </c>
      <c r="F3427">
        <f t="shared" si="53"/>
        <v>0.74164200000000002</v>
      </c>
      <c r="G3427" t="s">
        <v>16</v>
      </c>
      <c r="J3427" t="str">
        <f>"02/16/2011 23:45"</f>
        <v>02/16/2011 23:45</v>
      </c>
    </row>
    <row r="3428" spans="1:10" x14ac:dyDescent="0.3">
      <c r="A3428" t="s">
        <v>6</v>
      </c>
      <c r="B3428" t="str">
        <f>"02/17/2011 00:00"</f>
        <v>02/17/2011 00:00</v>
      </c>
      <c r="C3428">
        <v>0.35499999999999998</v>
      </c>
      <c r="D3428" t="s">
        <v>7</v>
      </c>
      <c r="E3428" s="2" t="s">
        <v>12</v>
      </c>
      <c r="F3428">
        <f t="shared" si="53"/>
        <v>0.70396499999999995</v>
      </c>
      <c r="G3428" t="s">
        <v>16</v>
      </c>
      <c r="J3428" t="str">
        <f>"02/17/2011 23:45"</f>
        <v>02/17/2011 23:45</v>
      </c>
    </row>
    <row r="3429" spans="1:10" x14ac:dyDescent="0.3">
      <c r="A3429" t="s">
        <v>6</v>
      </c>
      <c r="B3429" t="str">
        <f>"02/18/2011 00:00"</f>
        <v>02/18/2011 00:00</v>
      </c>
      <c r="C3429">
        <v>0.29799999999999999</v>
      </c>
      <c r="D3429" t="s">
        <v>7</v>
      </c>
      <c r="E3429" s="2" t="s">
        <v>12</v>
      </c>
      <c r="F3429">
        <f t="shared" si="53"/>
        <v>0.59093399999999996</v>
      </c>
      <c r="G3429" t="s">
        <v>16</v>
      </c>
      <c r="J3429" t="str">
        <f>"02/18/2011 23:45"</f>
        <v>02/18/2011 23:45</v>
      </c>
    </row>
    <row r="3430" spans="1:10" x14ac:dyDescent="0.3">
      <c r="A3430" t="s">
        <v>6</v>
      </c>
      <c r="B3430" t="str">
        <f>"02/19/2011 00:00"</f>
        <v>02/19/2011 00:00</v>
      </c>
      <c r="C3430">
        <v>0.27900000000000003</v>
      </c>
      <c r="D3430" t="s">
        <v>7</v>
      </c>
      <c r="E3430" s="2" t="s">
        <v>12</v>
      </c>
      <c r="F3430">
        <f t="shared" si="53"/>
        <v>0.55325700000000011</v>
      </c>
      <c r="G3430" t="s">
        <v>16</v>
      </c>
      <c r="J3430" t="str">
        <f>"02/19/2011 23:45"</f>
        <v>02/19/2011 23:45</v>
      </c>
    </row>
    <row r="3431" spans="1:10" x14ac:dyDescent="0.3">
      <c r="A3431" t="s">
        <v>6</v>
      </c>
      <c r="B3431" t="str">
        <f>"02/20/2011 00:00"</f>
        <v>02/20/2011 00:00</v>
      </c>
      <c r="C3431">
        <v>1.23</v>
      </c>
      <c r="D3431" t="s">
        <v>7</v>
      </c>
      <c r="E3431" s="2" t="s">
        <v>12</v>
      </c>
      <c r="F3431">
        <f t="shared" si="53"/>
        <v>2.4390900000000002</v>
      </c>
      <c r="G3431" t="s">
        <v>16</v>
      </c>
      <c r="J3431" t="str">
        <f>"02/20/2011 23:45"</f>
        <v>02/20/2011 23:45</v>
      </c>
    </row>
    <row r="3432" spans="1:10" x14ac:dyDescent="0.3">
      <c r="A3432" t="s">
        <v>6</v>
      </c>
      <c r="B3432" t="str">
        <f>"02/21/2011 00:00"</f>
        <v>02/21/2011 00:00</v>
      </c>
      <c r="C3432">
        <v>1.96</v>
      </c>
      <c r="D3432" t="s">
        <v>7</v>
      </c>
      <c r="E3432" s="2" t="s">
        <v>12</v>
      </c>
      <c r="F3432">
        <f t="shared" si="53"/>
        <v>3.8866800000000001</v>
      </c>
      <c r="G3432" t="s">
        <v>16</v>
      </c>
      <c r="J3432" t="str">
        <f>"02/21/2011 23:45"</f>
        <v>02/21/2011 23:45</v>
      </c>
    </row>
    <row r="3433" spans="1:10" x14ac:dyDescent="0.3">
      <c r="A3433" t="s">
        <v>6</v>
      </c>
      <c r="B3433" t="str">
        <f>"02/22/2011 00:00"</f>
        <v>02/22/2011 00:00</v>
      </c>
      <c r="C3433">
        <v>1.08</v>
      </c>
      <c r="D3433" t="s">
        <v>7</v>
      </c>
      <c r="E3433" s="2" t="s">
        <v>12</v>
      </c>
      <c r="F3433">
        <f t="shared" si="53"/>
        <v>2.1416400000000002</v>
      </c>
      <c r="G3433" t="s">
        <v>16</v>
      </c>
      <c r="J3433" t="str">
        <f>"02/22/2011 23:45"</f>
        <v>02/22/2011 23:45</v>
      </c>
    </row>
    <row r="3434" spans="1:10" x14ac:dyDescent="0.3">
      <c r="A3434" t="s">
        <v>6</v>
      </c>
      <c r="B3434" t="str">
        <f>"02/23/2011 00:00"</f>
        <v>02/23/2011 00:00</v>
      </c>
      <c r="C3434">
        <v>1.08</v>
      </c>
      <c r="D3434" t="s">
        <v>7</v>
      </c>
      <c r="E3434" s="2" t="s">
        <v>12</v>
      </c>
      <c r="F3434">
        <f t="shared" si="53"/>
        <v>2.1416400000000002</v>
      </c>
      <c r="G3434" t="s">
        <v>16</v>
      </c>
      <c r="J3434" t="str">
        <f>"02/23/2011 23:45"</f>
        <v>02/23/2011 23:45</v>
      </c>
    </row>
    <row r="3435" spans="1:10" x14ac:dyDescent="0.3">
      <c r="A3435" t="s">
        <v>6</v>
      </c>
      <c r="B3435" t="str">
        <f>"02/24/2011 00:00"</f>
        <v>02/24/2011 00:00</v>
      </c>
      <c r="C3435">
        <v>2.1</v>
      </c>
      <c r="D3435" t="s">
        <v>7</v>
      </c>
      <c r="E3435" s="2" t="s">
        <v>12</v>
      </c>
      <c r="F3435">
        <f t="shared" si="53"/>
        <v>4.1643000000000008</v>
      </c>
      <c r="G3435" t="s">
        <v>16</v>
      </c>
      <c r="J3435" t="str">
        <f>"02/24/2011 23:45"</f>
        <v>02/24/2011 23:45</v>
      </c>
    </row>
    <row r="3436" spans="1:10" x14ac:dyDescent="0.3">
      <c r="A3436" t="s">
        <v>6</v>
      </c>
      <c r="B3436" t="str">
        <f>"02/25/2011 00:00"</f>
        <v>02/25/2011 00:00</v>
      </c>
      <c r="C3436">
        <v>0.875</v>
      </c>
      <c r="D3436" t="s">
        <v>7</v>
      </c>
      <c r="E3436" s="2" t="s">
        <v>12</v>
      </c>
      <c r="F3436">
        <f t="shared" si="53"/>
        <v>1.735125</v>
      </c>
      <c r="G3436" t="s">
        <v>16</v>
      </c>
      <c r="J3436" t="str">
        <f>"02/25/2011 23:45"</f>
        <v>02/25/2011 23:45</v>
      </c>
    </row>
    <row r="3437" spans="1:10" x14ac:dyDescent="0.3">
      <c r="A3437" t="s">
        <v>6</v>
      </c>
      <c r="B3437" t="str">
        <f>"02/26/2011 00:00"</f>
        <v>02/26/2011 00:00</v>
      </c>
      <c r="C3437">
        <v>0.84599999999999997</v>
      </c>
      <c r="D3437" t="s">
        <v>7</v>
      </c>
      <c r="E3437" s="2" t="s">
        <v>12</v>
      </c>
      <c r="F3437">
        <f t="shared" si="53"/>
        <v>1.6776180000000001</v>
      </c>
      <c r="G3437" t="s">
        <v>16</v>
      </c>
      <c r="J3437" t="str">
        <f>"02/26/2011 23:45"</f>
        <v>02/26/2011 23:45</v>
      </c>
    </row>
    <row r="3438" spans="1:10" x14ac:dyDescent="0.3">
      <c r="A3438" t="s">
        <v>6</v>
      </c>
      <c r="B3438" t="str">
        <f>"02/27/2011 00:00"</f>
        <v>02/27/2011 00:00</v>
      </c>
      <c r="C3438">
        <v>0.84599999999999997</v>
      </c>
      <c r="D3438" t="s">
        <v>7</v>
      </c>
      <c r="E3438" s="2" t="s">
        <v>12</v>
      </c>
      <c r="F3438">
        <f t="shared" si="53"/>
        <v>1.6776180000000001</v>
      </c>
      <c r="G3438" t="s">
        <v>16</v>
      </c>
      <c r="J3438" t="str">
        <f>"02/27/2011 23:45"</f>
        <v>02/27/2011 23:45</v>
      </c>
    </row>
    <row r="3439" spans="1:10" x14ac:dyDescent="0.3">
      <c r="A3439" t="s">
        <v>6</v>
      </c>
      <c r="B3439" t="str">
        <f>"02/28/2011 00:00"</f>
        <v>02/28/2011 00:00</v>
      </c>
      <c r="C3439">
        <v>0.81699999999999995</v>
      </c>
      <c r="D3439" t="s">
        <v>7</v>
      </c>
      <c r="E3439" s="2" t="s">
        <v>12</v>
      </c>
      <c r="F3439">
        <f t="shared" si="53"/>
        <v>1.6201110000000001</v>
      </c>
      <c r="G3439" t="s">
        <v>16</v>
      </c>
      <c r="J3439" t="str">
        <f>"02/28/2011 23:45"</f>
        <v>02/28/2011 23:45</v>
      </c>
    </row>
    <row r="3440" spans="1:10" x14ac:dyDescent="0.3">
      <c r="A3440" t="s">
        <v>6</v>
      </c>
      <c r="B3440" t="str">
        <f>"03/01/2011 00:00"</f>
        <v>03/01/2011 00:00</v>
      </c>
      <c r="C3440">
        <v>0.65</v>
      </c>
      <c r="D3440" t="s">
        <v>7</v>
      </c>
      <c r="E3440" s="2" t="s">
        <v>12</v>
      </c>
      <c r="F3440">
        <f t="shared" si="53"/>
        <v>1.28895</v>
      </c>
      <c r="G3440" t="s">
        <v>16</v>
      </c>
      <c r="J3440" t="str">
        <f>"03/01/2011 23:45"</f>
        <v>03/01/2011 23:45</v>
      </c>
    </row>
    <row r="3441" spans="1:10" x14ac:dyDescent="0.3">
      <c r="A3441" t="s">
        <v>6</v>
      </c>
      <c r="B3441" t="str">
        <f>"03/02/2011 00:00"</f>
        <v>03/02/2011 00:00</v>
      </c>
      <c r="C3441">
        <v>0.63200000000000001</v>
      </c>
      <c r="D3441" t="s">
        <v>7</v>
      </c>
      <c r="E3441" s="2" t="s">
        <v>12</v>
      </c>
      <c r="F3441">
        <f t="shared" si="53"/>
        <v>1.2532560000000001</v>
      </c>
      <c r="G3441" t="s">
        <v>16</v>
      </c>
      <c r="J3441" t="str">
        <f>"03/02/2011 23:45"</f>
        <v>03/02/2011 23:45</v>
      </c>
    </row>
    <row r="3442" spans="1:10" x14ac:dyDescent="0.3">
      <c r="A3442" t="s">
        <v>6</v>
      </c>
      <c r="B3442" t="str">
        <f>"03/03/2011 00:00"</f>
        <v>03/03/2011 00:00</v>
      </c>
      <c r="C3442">
        <v>0.63200000000000001</v>
      </c>
      <c r="D3442" t="s">
        <v>7</v>
      </c>
      <c r="E3442" s="2" t="s">
        <v>12</v>
      </c>
      <c r="F3442">
        <f t="shared" si="53"/>
        <v>1.2532560000000001</v>
      </c>
      <c r="G3442" t="s">
        <v>16</v>
      </c>
      <c r="J3442" t="str">
        <f>"03/03/2011 23:45"</f>
        <v>03/03/2011 23:45</v>
      </c>
    </row>
    <row r="3443" spans="1:10" x14ac:dyDescent="0.3">
      <c r="A3443" t="s">
        <v>6</v>
      </c>
      <c r="B3443" t="str">
        <f>"03/04/2011 00:00"</f>
        <v>03/04/2011 00:00</v>
      </c>
      <c r="C3443">
        <v>0.63200000000000001</v>
      </c>
      <c r="D3443" t="s">
        <v>7</v>
      </c>
      <c r="E3443" s="2" t="s">
        <v>12</v>
      </c>
      <c r="F3443">
        <f t="shared" si="53"/>
        <v>1.2532560000000001</v>
      </c>
      <c r="G3443" t="s">
        <v>16</v>
      </c>
      <c r="J3443" t="str">
        <f>"03/04/2011 23:45"</f>
        <v>03/04/2011 23:45</v>
      </c>
    </row>
    <row r="3444" spans="1:10" x14ac:dyDescent="0.3">
      <c r="A3444" t="s">
        <v>6</v>
      </c>
      <c r="B3444" t="str">
        <f>"03/05/2011 00:00"</f>
        <v>03/05/2011 00:00</v>
      </c>
      <c r="C3444">
        <v>0.63200000000000001</v>
      </c>
      <c r="D3444" t="s">
        <v>7</v>
      </c>
      <c r="E3444" s="2" t="s">
        <v>12</v>
      </c>
      <c r="F3444">
        <f t="shared" si="53"/>
        <v>1.2532560000000001</v>
      </c>
      <c r="G3444" t="s">
        <v>16</v>
      </c>
      <c r="J3444" t="str">
        <f>"03/05/2011 23:45"</f>
        <v>03/05/2011 23:45</v>
      </c>
    </row>
    <row r="3445" spans="1:10" x14ac:dyDescent="0.3">
      <c r="A3445" t="s">
        <v>6</v>
      </c>
      <c r="B3445" t="str">
        <f>"03/06/2011 00:00"</f>
        <v>03/06/2011 00:00</v>
      </c>
      <c r="C3445">
        <v>0.63200000000000001</v>
      </c>
      <c r="D3445" t="s">
        <v>7</v>
      </c>
      <c r="E3445" s="2" t="s">
        <v>12</v>
      </c>
      <c r="F3445">
        <f t="shared" si="53"/>
        <v>1.2532560000000001</v>
      </c>
      <c r="G3445" t="s">
        <v>16</v>
      </c>
      <c r="J3445" t="str">
        <f>"03/06/2011 23:45"</f>
        <v>03/06/2011 23:45</v>
      </c>
    </row>
    <row r="3446" spans="1:10" x14ac:dyDescent="0.3">
      <c r="A3446" t="s">
        <v>6</v>
      </c>
      <c r="B3446" t="str">
        <f>"03/07/2011 00:00"</f>
        <v>03/07/2011 00:00</v>
      </c>
      <c r="C3446">
        <v>0.63200000000000001</v>
      </c>
      <c r="D3446" t="s">
        <v>7</v>
      </c>
      <c r="E3446" s="2" t="s">
        <v>12</v>
      </c>
      <c r="F3446">
        <f t="shared" si="53"/>
        <v>1.2532560000000001</v>
      </c>
      <c r="G3446" t="s">
        <v>16</v>
      </c>
      <c r="J3446" t="str">
        <f>"03/07/2011 23:45"</f>
        <v>03/07/2011 23:45</v>
      </c>
    </row>
    <row r="3447" spans="1:10" x14ac:dyDescent="0.3">
      <c r="A3447" t="s">
        <v>6</v>
      </c>
      <c r="B3447" t="str">
        <f>"03/08/2011 00:00"</f>
        <v>03/08/2011 00:00</v>
      </c>
      <c r="C3447">
        <v>0.63200000000000001</v>
      </c>
      <c r="D3447" t="s">
        <v>7</v>
      </c>
      <c r="E3447" s="2" t="s">
        <v>12</v>
      </c>
      <c r="F3447">
        <f t="shared" si="53"/>
        <v>1.2532560000000001</v>
      </c>
      <c r="G3447" t="s">
        <v>16</v>
      </c>
      <c r="J3447" t="str">
        <f>"03/08/2011 23:45"</f>
        <v>03/08/2011 23:45</v>
      </c>
    </row>
    <row r="3448" spans="1:10" x14ac:dyDescent="0.3">
      <c r="A3448" t="s">
        <v>6</v>
      </c>
      <c r="B3448" t="str">
        <f>"03/09/2011 00:00"</f>
        <v>03/09/2011 00:00</v>
      </c>
      <c r="C3448">
        <v>0.59399999999999997</v>
      </c>
      <c r="D3448" t="s">
        <v>7</v>
      </c>
      <c r="E3448" s="2" t="s">
        <v>12</v>
      </c>
      <c r="F3448">
        <f t="shared" si="53"/>
        <v>1.177902</v>
      </c>
      <c r="G3448" t="s">
        <v>16</v>
      </c>
      <c r="J3448" t="str">
        <f>"03/09/2011 23:45"</f>
        <v>03/09/2011 23:45</v>
      </c>
    </row>
    <row r="3449" spans="1:10" x14ac:dyDescent="0.3">
      <c r="A3449" t="s">
        <v>6</v>
      </c>
      <c r="B3449" t="str">
        <f>"03/10/2011 00:00"</f>
        <v>03/10/2011 00:00</v>
      </c>
      <c r="C3449">
        <v>0.48399999999999999</v>
      </c>
      <c r="D3449" t="s">
        <v>7</v>
      </c>
      <c r="E3449" s="2" t="s">
        <v>12</v>
      </c>
      <c r="F3449">
        <f t="shared" si="53"/>
        <v>0.95977200000000007</v>
      </c>
      <c r="G3449" t="s">
        <v>16</v>
      </c>
      <c r="J3449" t="str">
        <f>"03/10/2011 23:45"</f>
        <v>03/10/2011 23:45</v>
      </c>
    </row>
    <row r="3450" spans="1:10" x14ac:dyDescent="0.3">
      <c r="A3450" t="s">
        <v>6</v>
      </c>
      <c r="B3450" t="str">
        <f>"03/11/2011 00:00"</f>
        <v>03/11/2011 00:00</v>
      </c>
      <c r="C3450">
        <v>0.442</v>
      </c>
      <c r="D3450" t="s">
        <v>7</v>
      </c>
      <c r="E3450" s="2" t="s">
        <v>12</v>
      </c>
      <c r="F3450">
        <f t="shared" si="53"/>
        <v>0.8764860000000001</v>
      </c>
      <c r="G3450" t="s">
        <v>16</v>
      </c>
      <c r="J3450" t="str">
        <f>"03/11/2011 23:45"</f>
        <v>03/11/2011 23:45</v>
      </c>
    </row>
    <row r="3451" spans="1:10" x14ac:dyDescent="0.3">
      <c r="A3451" t="s">
        <v>6</v>
      </c>
      <c r="B3451" t="str">
        <f>"03/12/2011 00:00"</f>
        <v>03/12/2011 00:00</v>
      </c>
      <c r="C3451">
        <v>0.442</v>
      </c>
      <c r="D3451" t="s">
        <v>7</v>
      </c>
      <c r="E3451" s="2" t="s">
        <v>12</v>
      </c>
      <c r="F3451">
        <f t="shared" si="53"/>
        <v>0.8764860000000001</v>
      </c>
      <c r="G3451" t="s">
        <v>16</v>
      </c>
      <c r="J3451" t="str">
        <f>"03/12/2011 23:45"</f>
        <v>03/12/2011 23:45</v>
      </c>
    </row>
    <row r="3452" spans="1:10" x14ac:dyDescent="0.3">
      <c r="A3452" t="s">
        <v>6</v>
      </c>
      <c r="B3452" t="str">
        <f>"03/13/2011 00:00"</f>
        <v>03/13/2011 00:00</v>
      </c>
      <c r="C3452">
        <v>0.442</v>
      </c>
      <c r="D3452" t="s">
        <v>7</v>
      </c>
      <c r="E3452" s="2" t="s">
        <v>12</v>
      </c>
      <c r="F3452">
        <f t="shared" si="53"/>
        <v>0.8764860000000001</v>
      </c>
      <c r="G3452" t="s">
        <v>16</v>
      </c>
      <c r="J3452" t="str">
        <f>"03/13/2011 23:45"</f>
        <v>03/13/2011 23:45</v>
      </c>
    </row>
    <row r="3453" spans="1:10" x14ac:dyDescent="0.3">
      <c r="A3453" t="s">
        <v>6</v>
      </c>
      <c r="B3453" t="str">
        <f>"03/14/2011 00:00"</f>
        <v>03/14/2011 00:00</v>
      </c>
      <c r="C3453">
        <v>0.442</v>
      </c>
      <c r="D3453" t="s">
        <v>7</v>
      </c>
      <c r="E3453" s="2" t="s">
        <v>12</v>
      </c>
      <c r="F3453">
        <f t="shared" si="53"/>
        <v>0.8764860000000001</v>
      </c>
      <c r="G3453" t="s">
        <v>16</v>
      </c>
      <c r="J3453" t="str">
        <f>"03/14/2011 23:45"</f>
        <v>03/14/2011 23:45</v>
      </c>
    </row>
    <row r="3454" spans="1:10" x14ac:dyDescent="0.3">
      <c r="A3454" t="s">
        <v>6</v>
      </c>
      <c r="B3454" t="str">
        <f>"03/15/2011 00:00"</f>
        <v>03/15/2011 00:00</v>
      </c>
      <c r="C3454">
        <v>0.442</v>
      </c>
      <c r="D3454" t="s">
        <v>7</v>
      </c>
      <c r="E3454" s="2" t="s">
        <v>12</v>
      </c>
      <c r="F3454">
        <f t="shared" si="53"/>
        <v>0.8764860000000001</v>
      </c>
      <c r="G3454" t="s">
        <v>16</v>
      </c>
      <c r="J3454" t="str">
        <f>"03/15/2011 23:45"</f>
        <v>03/15/2011 23:45</v>
      </c>
    </row>
    <row r="3455" spans="1:10" x14ac:dyDescent="0.3">
      <c r="A3455" t="s">
        <v>6</v>
      </c>
      <c r="B3455" t="str">
        <f>"03/16/2011 00:00"</f>
        <v>03/16/2011 00:00</v>
      </c>
      <c r="C3455">
        <v>0.442</v>
      </c>
      <c r="D3455" t="s">
        <v>7</v>
      </c>
      <c r="E3455" s="2" t="s">
        <v>12</v>
      </c>
      <c r="F3455">
        <f t="shared" si="53"/>
        <v>0.8764860000000001</v>
      </c>
      <c r="G3455" t="s">
        <v>16</v>
      </c>
      <c r="J3455" t="str">
        <f>"03/16/2011 23:45"</f>
        <v>03/16/2011 23:45</v>
      </c>
    </row>
    <row r="3456" spans="1:10" x14ac:dyDescent="0.3">
      <c r="A3456" t="s">
        <v>6</v>
      </c>
      <c r="B3456" t="str">
        <f>"03/17/2011 00:00"</f>
        <v>03/17/2011 00:00</v>
      </c>
      <c r="C3456">
        <v>0.442</v>
      </c>
      <c r="D3456" t="s">
        <v>7</v>
      </c>
      <c r="E3456" s="2" t="s">
        <v>12</v>
      </c>
      <c r="F3456">
        <f t="shared" si="53"/>
        <v>0.8764860000000001</v>
      </c>
      <c r="G3456" t="s">
        <v>16</v>
      </c>
      <c r="J3456" t="str">
        <f>"03/17/2011 23:45"</f>
        <v>03/17/2011 23:45</v>
      </c>
    </row>
    <row r="3457" spans="1:10" x14ac:dyDescent="0.3">
      <c r="A3457" t="s">
        <v>6</v>
      </c>
      <c r="B3457" t="str">
        <f>"03/18/2011 00:00"</f>
        <v>03/18/2011 00:00</v>
      </c>
      <c r="C3457">
        <v>0.442</v>
      </c>
      <c r="D3457" t="s">
        <v>7</v>
      </c>
      <c r="E3457" s="2" t="s">
        <v>12</v>
      </c>
      <c r="F3457">
        <f t="shared" si="53"/>
        <v>0.8764860000000001</v>
      </c>
      <c r="G3457" t="s">
        <v>16</v>
      </c>
      <c r="J3457" t="str">
        <f>"03/18/2011 23:45"</f>
        <v>03/18/2011 23:45</v>
      </c>
    </row>
    <row r="3458" spans="1:10" x14ac:dyDescent="0.3">
      <c r="A3458" t="s">
        <v>6</v>
      </c>
      <c r="B3458" t="str">
        <f>"03/19/2011 00:00"</f>
        <v>03/19/2011 00:00</v>
      </c>
      <c r="C3458">
        <v>0.442</v>
      </c>
      <c r="D3458" t="s">
        <v>7</v>
      </c>
      <c r="E3458" s="2" t="s">
        <v>12</v>
      </c>
      <c r="F3458">
        <f t="shared" si="53"/>
        <v>0.8764860000000001</v>
      </c>
      <c r="G3458" t="s">
        <v>16</v>
      </c>
      <c r="J3458" t="str">
        <f>"03/19/2011 23:45"</f>
        <v>03/19/2011 23:45</v>
      </c>
    </row>
    <row r="3459" spans="1:10" x14ac:dyDescent="0.3">
      <c r="A3459" t="s">
        <v>6</v>
      </c>
      <c r="B3459" t="str">
        <f>"03/20/2011 00:00"</f>
        <v>03/20/2011 00:00</v>
      </c>
      <c r="C3459">
        <v>0.442</v>
      </c>
      <c r="D3459" t="s">
        <v>7</v>
      </c>
      <c r="E3459" s="2" t="s">
        <v>12</v>
      </c>
      <c r="F3459">
        <f t="shared" si="53"/>
        <v>0.8764860000000001</v>
      </c>
      <c r="G3459" t="s">
        <v>16</v>
      </c>
      <c r="J3459" t="str">
        <f>"03/20/2011 23:45"</f>
        <v>03/20/2011 23:45</v>
      </c>
    </row>
    <row r="3460" spans="1:10" x14ac:dyDescent="0.3">
      <c r="A3460" t="s">
        <v>6</v>
      </c>
      <c r="B3460" t="str">
        <f>"03/21/2011 00:00"</f>
        <v>03/21/2011 00:00</v>
      </c>
      <c r="C3460">
        <v>0.442</v>
      </c>
      <c r="D3460" t="s">
        <v>7</v>
      </c>
      <c r="E3460" s="2" t="s">
        <v>12</v>
      </c>
      <c r="F3460">
        <f t="shared" ref="F3460:F3523" si="54">C3460*1.983</f>
        <v>0.8764860000000001</v>
      </c>
      <c r="G3460" t="s">
        <v>16</v>
      </c>
      <c r="J3460" t="str">
        <f>"03/21/2011 23:45"</f>
        <v>03/21/2011 23:45</v>
      </c>
    </row>
    <row r="3461" spans="1:10" x14ac:dyDescent="0.3">
      <c r="A3461" t="s">
        <v>6</v>
      </c>
      <c r="B3461" t="str">
        <f>"03/22/2011 00:00"</f>
        <v>03/22/2011 00:00</v>
      </c>
      <c r="C3461">
        <v>0.442</v>
      </c>
      <c r="D3461" t="s">
        <v>7</v>
      </c>
      <c r="E3461" s="2" t="s">
        <v>12</v>
      </c>
      <c r="F3461">
        <f t="shared" si="54"/>
        <v>0.8764860000000001</v>
      </c>
      <c r="G3461" t="s">
        <v>16</v>
      </c>
      <c r="J3461" t="str">
        <f>"03/22/2011 23:45"</f>
        <v>03/22/2011 23:45</v>
      </c>
    </row>
    <row r="3462" spans="1:10" x14ac:dyDescent="0.3">
      <c r="A3462" t="s">
        <v>6</v>
      </c>
      <c r="B3462" t="str">
        <f>"03/23/2011 00:00"</f>
        <v>03/23/2011 00:00</v>
      </c>
      <c r="C3462">
        <v>0.442</v>
      </c>
      <c r="D3462" t="s">
        <v>7</v>
      </c>
      <c r="E3462" s="2" t="s">
        <v>12</v>
      </c>
      <c r="F3462">
        <f t="shared" si="54"/>
        <v>0.8764860000000001</v>
      </c>
      <c r="G3462" t="s">
        <v>16</v>
      </c>
      <c r="J3462" t="str">
        <f>"03/23/2011 23:45"</f>
        <v>03/23/2011 23:45</v>
      </c>
    </row>
    <row r="3463" spans="1:10" x14ac:dyDescent="0.3">
      <c r="A3463" t="s">
        <v>6</v>
      </c>
      <c r="B3463" t="str">
        <f>"03/24/2011 00:00"</f>
        <v>03/24/2011 00:00</v>
      </c>
      <c r="C3463">
        <v>0.442</v>
      </c>
      <c r="D3463" t="s">
        <v>7</v>
      </c>
      <c r="E3463" s="2" t="s">
        <v>12</v>
      </c>
      <c r="F3463">
        <f t="shared" si="54"/>
        <v>0.8764860000000001</v>
      </c>
      <c r="G3463" t="s">
        <v>16</v>
      </c>
      <c r="J3463" t="str">
        <f>"03/24/2011 23:45"</f>
        <v>03/24/2011 23:45</v>
      </c>
    </row>
    <row r="3464" spans="1:10" x14ac:dyDescent="0.3">
      <c r="A3464" t="s">
        <v>6</v>
      </c>
      <c r="B3464" t="str">
        <f>"03/25/2011 00:00"</f>
        <v>03/25/2011 00:00</v>
      </c>
      <c r="C3464">
        <v>0.442</v>
      </c>
      <c r="D3464" t="s">
        <v>7</v>
      </c>
      <c r="E3464" s="2" t="s">
        <v>12</v>
      </c>
      <c r="F3464">
        <f t="shared" si="54"/>
        <v>0.8764860000000001</v>
      </c>
      <c r="G3464" t="s">
        <v>16</v>
      </c>
      <c r="J3464" t="str">
        <f>"03/25/2011 23:45"</f>
        <v>03/25/2011 23:45</v>
      </c>
    </row>
    <row r="3465" spans="1:10" x14ac:dyDescent="0.3">
      <c r="A3465" t="s">
        <v>6</v>
      </c>
      <c r="B3465" t="str">
        <f>"03/26/2011 00:00"</f>
        <v>03/26/2011 00:00</v>
      </c>
      <c r="C3465">
        <v>0.442</v>
      </c>
      <c r="D3465" t="s">
        <v>7</v>
      </c>
      <c r="E3465" s="2" t="s">
        <v>12</v>
      </c>
      <c r="F3465">
        <f t="shared" si="54"/>
        <v>0.8764860000000001</v>
      </c>
      <c r="G3465" t="s">
        <v>16</v>
      </c>
      <c r="J3465" t="str">
        <f>"03/26/2011 23:45"</f>
        <v>03/26/2011 23:45</v>
      </c>
    </row>
    <row r="3466" spans="1:10" x14ac:dyDescent="0.3">
      <c r="A3466" t="s">
        <v>6</v>
      </c>
      <c r="B3466" t="str">
        <f>"03/27/2011 00:00"</f>
        <v>03/27/2011 00:00</v>
      </c>
      <c r="C3466">
        <v>0.442</v>
      </c>
      <c r="D3466" t="s">
        <v>7</v>
      </c>
      <c r="E3466" s="2" t="s">
        <v>12</v>
      </c>
      <c r="F3466">
        <f t="shared" si="54"/>
        <v>0.8764860000000001</v>
      </c>
      <c r="G3466" t="s">
        <v>16</v>
      </c>
      <c r="J3466" t="str">
        <f>"03/27/2011 23:45"</f>
        <v>03/27/2011 23:45</v>
      </c>
    </row>
    <row r="3467" spans="1:10" x14ac:dyDescent="0.3">
      <c r="A3467" t="s">
        <v>6</v>
      </c>
      <c r="B3467" t="str">
        <f>"03/28/2011 00:00"</f>
        <v>03/28/2011 00:00</v>
      </c>
      <c r="C3467">
        <v>0.442</v>
      </c>
      <c r="D3467" t="s">
        <v>7</v>
      </c>
      <c r="E3467" s="2" t="s">
        <v>12</v>
      </c>
      <c r="F3467">
        <f t="shared" si="54"/>
        <v>0.8764860000000001</v>
      </c>
      <c r="G3467" t="s">
        <v>16</v>
      </c>
      <c r="J3467" t="str">
        <f>"03/28/2011 23:45"</f>
        <v>03/28/2011 23:45</v>
      </c>
    </row>
    <row r="3468" spans="1:10" x14ac:dyDescent="0.3">
      <c r="A3468" t="s">
        <v>6</v>
      </c>
      <c r="B3468" t="str">
        <f>"03/29/2011 00:00"</f>
        <v>03/29/2011 00:00</v>
      </c>
      <c r="C3468">
        <v>0.442</v>
      </c>
      <c r="D3468" t="s">
        <v>7</v>
      </c>
      <c r="E3468" s="2" t="s">
        <v>12</v>
      </c>
      <c r="F3468">
        <f t="shared" si="54"/>
        <v>0.8764860000000001</v>
      </c>
      <c r="G3468" t="s">
        <v>16</v>
      </c>
      <c r="J3468" t="str">
        <f>"03/29/2011 23:45"</f>
        <v>03/29/2011 23:45</v>
      </c>
    </row>
    <row r="3469" spans="1:10" x14ac:dyDescent="0.3">
      <c r="A3469" t="s">
        <v>6</v>
      </c>
      <c r="B3469" t="str">
        <f>"03/30/2011 00:00"</f>
        <v>03/30/2011 00:00</v>
      </c>
      <c r="C3469">
        <v>0.442</v>
      </c>
      <c r="D3469" t="s">
        <v>7</v>
      </c>
      <c r="E3469" s="2" t="s">
        <v>12</v>
      </c>
      <c r="F3469">
        <f t="shared" si="54"/>
        <v>0.8764860000000001</v>
      </c>
      <c r="G3469" t="s">
        <v>16</v>
      </c>
      <c r="J3469" t="str">
        <f>"03/30/2011 23:45"</f>
        <v>03/30/2011 23:45</v>
      </c>
    </row>
    <row r="3470" spans="1:10" x14ac:dyDescent="0.3">
      <c r="A3470" t="s">
        <v>6</v>
      </c>
      <c r="B3470" t="str">
        <f>"03/31/2011 00:00"</f>
        <v>03/31/2011 00:00</v>
      </c>
      <c r="C3470">
        <v>0.442</v>
      </c>
      <c r="D3470" t="s">
        <v>7</v>
      </c>
      <c r="E3470" s="2" t="s">
        <v>12</v>
      </c>
      <c r="F3470">
        <f t="shared" si="54"/>
        <v>0.8764860000000001</v>
      </c>
      <c r="G3470" t="s">
        <v>16</v>
      </c>
      <c r="J3470" t="str">
        <f>"03/31/2011 23:45"</f>
        <v>03/31/2011 23:45</v>
      </c>
    </row>
    <row r="3471" spans="1:10" x14ac:dyDescent="0.3">
      <c r="A3471" t="s">
        <v>6</v>
      </c>
      <c r="B3471" t="str">
        <f>"04/01/2011 00:00"</f>
        <v>04/01/2011 00:00</v>
      </c>
      <c r="C3471">
        <v>0.40300000000000002</v>
      </c>
      <c r="D3471" t="s">
        <v>7</v>
      </c>
      <c r="E3471" s="2" t="s">
        <v>12</v>
      </c>
      <c r="F3471">
        <f t="shared" si="54"/>
        <v>0.79914900000000011</v>
      </c>
      <c r="G3471" t="s">
        <v>16</v>
      </c>
      <c r="J3471" t="str">
        <f>"04/01/2011 23:45"</f>
        <v>04/01/2011 23:45</v>
      </c>
    </row>
    <row r="3472" spans="1:10" x14ac:dyDescent="0.3">
      <c r="A3472" t="s">
        <v>6</v>
      </c>
      <c r="B3472" t="str">
        <f>"04/02/2011 00:00"</f>
        <v>04/02/2011 00:00</v>
      </c>
      <c r="C3472">
        <v>0.374</v>
      </c>
      <c r="D3472" t="s">
        <v>7</v>
      </c>
      <c r="E3472" s="2" t="s">
        <v>12</v>
      </c>
      <c r="F3472">
        <f t="shared" si="54"/>
        <v>0.74164200000000002</v>
      </c>
      <c r="G3472" t="s">
        <v>16</v>
      </c>
      <c r="J3472" t="str">
        <f>"04/02/2011 23:45"</f>
        <v>04/02/2011 23:45</v>
      </c>
    </row>
    <row r="3473" spans="1:10" x14ac:dyDescent="0.3">
      <c r="A3473" t="s">
        <v>6</v>
      </c>
      <c r="B3473" t="str">
        <f>"04/03/2011 00:00"</f>
        <v>04/03/2011 00:00</v>
      </c>
      <c r="C3473">
        <v>0.34899999999999998</v>
      </c>
      <c r="D3473" t="s">
        <v>7</v>
      </c>
      <c r="E3473" s="2" t="s">
        <v>12</v>
      </c>
      <c r="F3473">
        <f t="shared" si="54"/>
        <v>0.69206699999999999</v>
      </c>
      <c r="G3473" t="s">
        <v>16</v>
      </c>
      <c r="J3473" t="str">
        <f>"04/03/2011 23:45"</f>
        <v>04/03/2011 23:45</v>
      </c>
    </row>
    <row r="3474" spans="1:10" x14ac:dyDescent="0.3">
      <c r="A3474" t="s">
        <v>6</v>
      </c>
      <c r="B3474" t="str">
        <f>"04/04/2011 00:00"</f>
        <v>04/04/2011 00:00</v>
      </c>
      <c r="C3474">
        <v>0.28899999999999998</v>
      </c>
      <c r="D3474" t="s">
        <v>7</v>
      </c>
      <c r="E3474" s="2" t="s">
        <v>12</v>
      </c>
      <c r="F3474">
        <f t="shared" si="54"/>
        <v>0.57308700000000001</v>
      </c>
      <c r="G3474" t="s">
        <v>16</v>
      </c>
      <c r="J3474" t="str">
        <f>"04/04/2011 23:45"</f>
        <v>04/04/2011 23:45</v>
      </c>
    </row>
    <row r="3475" spans="1:10" x14ac:dyDescent="0.3">
      <c r="A3475" t="s">
        <v>6</v>
      </c>
      <c r="B3475" t="str">
        <f>"04/05/2011 00:00"</f>
        <v>04/05/2011 00:00</v>
      </c>
      <c r="C3475">
        <v>0.27900000000000003</v>
      </c>
      <c r="D3475" t="s">
        <v>7</v>
      </c>
      <c r="E3475" s="2" t="s">
        <v>12</v>
      </c>
      <c r="F3475">
        <f t="shared" si="54"/>
        <v>0.55325700000000011</v>
      </c>
      <c r="G3475" t="s">
        <v>16</v>
      </c>
      <c r="J3475" t="str">
        <f>"04/05/2011 23:45"</f>
        <v>04/05/2011 23:45</v>
      </c>
    </row>
    <row r="3476" spans="1:10" x14ac:dyDescent="0.3">
      <c r="A3476" t="s">
        <v>6</v>
      </c>
      <c r="B3476" t="str">
        <f>"04/06/2011 00:00"</f>
        <v>04/06/2011 00:00</v>
      </c>
      <c r="C3476">
        <v>0.27900000000000003</v>
      </c>
      <c r="D3476" t="s">
        <v>7</v>
      </c>
      <c r="E3476" s="2" t="s">
        <v>12</v>
      </c>
      <c r="F3476">
        <f t="shared" si="54"/>
        <v>0.55325700000000011</v>
      </c>
      <c r="G3476" t="s">
        <v>16</v>
      </c>
      <c r="J3476" t="str">
        <f>"04/06/2011 23:45"</f>
        <v>04/06/2011 23:45</v>
      </c>
    </row>
    <row r="3477" spans="1:10" x14ac:dyDescent="0.3">
      <c r="A3477" t="s">
        <v>6</v>
      </c>
      <c r="B3477" t="str">
        <f>"04/07/2011 00:00"</f>
        <v>04/07/2011 00:00</v>
      </c>
      <c r="C3477">
        <v>0.27900000000000003</v>
      </c>
      <c r="D3477" t="s">
        <v>7</v>
      </c>
      <c r="E3477" s="2" t="s">
        <v>12</v>
      </c>
      <c r="F3477">
        <f t="shared" si="54"/>
        <v>0.55325700000000011</v>
      </c>
      <c r="G3477" t="s">
        <v>16</v>
      </c>
      <c r="J3477" t="str">
        <f>"04/07/2011 23:45"</f>
        <v>04/07/2011 23:45</v>
      </c>
    </row>
    <row r="3478" spans="1:10" x14ac:dyDescent="0.3">
      <c r="A3478" t="s">
        <v>6</v>
      </c>
      <c r="B3478" t="str">
        <f>"04/08/2011 00:00"</f>
        <v>04/08/2011 00:00</v>
      </c>
      <c r="C3478">
        <v>0.27900000000000003</v>
      </c>
      <c r="D3478" t="s">
        <v>7</v>
      </c>
      <c r="E3478" s="2" t="s">
        <v>12</v>
      </c>
      <c r="F3478">
        <f t="shared" si="54"/>
        <v>0.55325700000000011</v>
      </c>
      <c r="G3478" t="s">
        <v>16</v>
      </c>
      <c r="J3478" t="str">
        <f>"04/08/2011 23:45"</f>
        <v>04/08/2011 23:45</v>
      </c>
    </row>
    <row r="3479" spans="1:10" x14ac:dyDescent="0.3">
      <c r="A3479" t="s">
        <v>6</v>
      </c>
      <c r="B3479" t="str">
        <f>"04/09/2011 00:00"</f>
        <v>04/09/2011 00:00</v>
      </c>
      <c r="C3479">
        <v>0.27900000000000003</v>
      </c>
      <c r="D3479" t="s">
        <v>7</v>
      </c>
      <c r="E3479" s="2" t="s">
        <v>12</v>
      </c>
      <c r="F3479">
        <f t="shared" si="54"/>
        <v>0.55325700000000011</v>
      </c>
      <c r="G3479" t="s">
        <v>16</v>
      </c>
      <c r="J3479" t="str">
        <f>"04/09/2011 23:45"</f>
        <v>04/09/2011 23:45</v>
      </c>
    </row>
    <row r="3480" spans="1:10" x14ac:dyDescent="0.3">
      <c r="A3480" t="s">
        <v>6</v>
      </c>
      <c r="B3480" t="str">
        <f>"04/10/2011 00:00"</f>
        <v>04/10/2011 00:00</v>
      </c>
      <c r="C3480">
        <v>0.27900000000000003</v>
      </c>
      <c r="D3480" t="s">
        <v>7</v>
      </c>
      <c r="E3480" s="2" t="s">
        <v>12</v>
      </c>
      <c r="F3480">
        <f t="shared" si="54"/>
        <v>0.55325700000000011</v>
      </c>
      <c r="G3480" t="s">
        <v>16</v>
      </c>
      <c r="J3480" t="str">
        <f>"04/10/2011 23:45"</f>
        <v>04/10/2011 23:45</v>
      </c>
    </row>
    <row r="3481" spans="1:10" x14ac:dyDescent="0.3">
      <c r="A3481" t="s">
        <v>6</v>
      </c>
      <c r="B3481" t="str">
        <f>"04/11/2011 00:00"</f>
        <v>04/11/2011 00:00</v>
      </c>
      <c r="C3481">
        <v>0.27900000000000003</v>
      </c>
      <c r="D3481" t="s">
        <v>7</v>
      </c>
      <c r="E3481" s="2" t="s">
        <v>12</v>
      </c>
      <c r="F3481">
        <f t="shared" si="54"/>
        <v>0.55325700000000011</v>
      </c>
      <c r="G3481" t="s">
        <v>16</v>
      </c>
      <c r="J3481" t="str">
        <f>"04/11/2011 23:45"</f>
        <v>04/11/2011 23:45</v>
      </c>
    </row>
    <row r="3482" spans="1:10" x14ac:dyDescent="0.3">
      <c r="A3482" t="s">
        <v>6</v>
      </c>
      <c r="B3482" t="str">
        <f>"04/12/2011 00:00"</f>
        <v>04/12/2011 00:00</v>
      </c>
      <c r="C3482">
        <v>23.9</v>
      </c>
      <c r="D3482" t="s">
        <v>7</v>
      </c>
      <c r="E3482" s="2" t="s">
        <v>12</v>
      </c>
      <c r="F3482">
        <f t="shared" si="54"/>
        <v>47.393700000000003</v>
      </c>
      <c r="G3482" t="s">
        <v>16</v>
      </c>
      <c r="J3482" t="str">
        <f>"04/12/2011 23:45"</f>
        <v>04/12/2011 23:45</v>
      </c>
    </row>
    <row r="3483" spans="1:10" x14ac:dyDescent="0.3">
      <c r="A3483" t="s">
        <v>6</v>
      </c>
      <c r="B3483" t="str">
        <f>"04/13/2011 00:00"</f>
        <v>04/13/2011 00:00</v>
      </c>
      <c r="C3483">
        <v>83.2</v>
      </c>
      <c r="D3483" t="s">
        <v>7</v>
      </c>
      <c r="E3483" s="2" t="s">
        <v>12</v>
      </c>
      <c r="F3483">
        <f t="shared" si="54"/>
        <v>164.98560000000001</v>
      </c>
      <c r="G3483" t="s">
        <v>16</v>
      </c>
      <c r="J3483" t="str">
        <f>"04/13/2011 23:45"</f>
        <v>04/13/2011 23:45</v>
      </c>
    </row>
    <row r="3484" spans="1:10" x14ac:dyDescent="0.3">
      <c r="A3484" t="s">
        <v>6</v>
      </c>
      <c r="B3484" t="str">
        <f>"04/14/2011 00:00"</f>
        <v>04/14/2011 00:00</v>
      </c>
      <c r="C3484">
        <v>170</v>
      </c>
      <c r="D3484" t="s">
        <v>7</v>
      </c>
      <c r="E3484" s="2" t="s">
        <v>12</v>
      </c>
      <c r="F3484">
        <f t="shared" si="54"/>
        <v>337.11</v>
      </c>
      <c r="G3484" t="s">
        <v>16</v>
      </c>
      <c r="J3484" t="str">
        <f>"04/14/2011 23:45"</f>
        <v>04/14/2011 23:45</v>
      </c>
    </row>
    <row r="3485" spans="1:10" x14ac:dyDescent="0.3">
      <c r="A3485" t="s">
        <v>6</v>
      </c>
      <c r="B3485" t="str">
        <f>"04/15/2011 00:00"</f>
        <v>04/15/2011 00:00</v>
      </c>
      <c r="C3485">
        <v>258</v>
      </c>
      <c r="D3485" t="s">
        <v>7</v>
      </c>
      <c r="E3485" s="2" t="s">
        <v>12</v>
      </c>
      <c r="F3485">
        <f t="shared" si="54"/>
        <v>511.61400000000003</v>
      </c>
      <c r="G3485" t="s">
        <v>16</v>
      </c>
      <c r="J3485" t="str">
        <f>"04/15/2011 23:45"</f>
        <v>04/15/2011 23:45</v>
      </c>
    </row>
    <row r="3486" spans="1:10" x14ac:dyDescent="0.3">
      <c r="A3486" t="s">
        <v>6</v>
      </c>
      <c r="B3486" t="str">
        <f>"04/16/2011 00:00"</f>
        <v>04/16/2011 00:00</v>
      </c>
      <c r="C3486">
        <v>146</v>
      </c>
      <c r="D3486" t="s">
        <v>7</v>
      </c>
      <c r="E3486" s="2" t="s">
        <v>12</v>
      </c>
      <c r="F3486">
        <f t="shared" si="54"/>
        <v>289.51800000000003</v>
      </c>
      <c r="G3486" t="s">
        <v>16</v>
      </c>
      <c r="J3486" t="str">
        <f>"04/16/2011 23:45"</f>
        <v>04/16/2011 23:45</v>
      </c>
    </row>
    <row r="3487" spans="1:10" x14ac:dyDescent="0.3">
      <c r="A3487" t="s">
        <v>6</v>
      </c>
      <c r="B3487" t="str">
        <f>"04/17/2011 00:00"</f>
        <v>04/17/2011 00:00</v>
      </c>
      <c r="C3487">
        <v>149</v>
      </c>
      <c r="D3487" t="s">
        <v>7</v>
      </c>
      <c r="E3487" s="2" t="s">
        <v>12</v>
      </c>
      <c r="F3487">
        <f t="shared" si="54"/>
        <v>295.46700000000004</v>
      </c>
      <c r="G3487" t="s">
        <v>16</v>
      </c>
      <c r="J3487" t="str">
        <f>"04/17/2011 23:45"</f>
        <v>04/17/2011 23:45</v>
      </c>
    </row>
    <row r="3488" spans="1:10" x14ac:dyDescent="0.3">
      <c r="A3488" t="s">
        <v>6</v>
      </c>
      <c r="B3488" t="str">
        <f>"04/18/2011 00:00"</f>
        <v>04/18/2011 00:00</v>
      </c>
      <c r="C3488">
        <v>207</v>
      </c>
      <c r="D3488" t="s">
        <v>7</v>
      </c>
      <c r="E3488" s="2" t="s">
        <v>12</v>
      </c>
      <c r="F3488">
        <f t="shared" si="54"/>
        <v>410.48099999999999</v>
      </c>
      <c r="G3488" t="s">
        <v>16</v>
      </c>
      <c r="J3488" t="str">
        <f>"04/18/2011 23:45"</f>
        <v>04/18/2011 23:45</v>
      </c>
    </row>
    <row r="3489" spans="1:10" x14ac:dyDescent="0.3">
      <c r="A3489" t="s">
        <v>6</v>
      </c>
      <c r="B3489" t="str">
        <f>"04/19/2011 00:00"</f>
        <v>04/19/2011 00:00</v>
      </c>
      <c r="C3489">
        <v>267</v>
      </c>
      <c r="D3489" t="s">
        <v>7</v>
      </c>
      <c r="E3489" s="2" t="s">
        <v>12</v>
      </c>
      <c r="F3489">
        <f t="shared" si="54"/>
        <v>529.46100000000001</v>
      </c>
      <c r="G3489" t="s">
        <v>16</v>
      </c>
      <c r="J3489" t="str">
        <f>"04/19/2011 23:45"</f>
        <v>04/19/2011 23:45</v>
      </c>
    </row>
    <row r="3490" spans="1:10" x14ac:dyDescent="0.3">
      <c r="A3490" t="s">
        <v>6</v>
      </c>
      <c r="B3490" t="str">
        <f>"04/20/2011 00:00"</f>
        <v>04/20/2011 00:00</v>
      </c>
      <c r="C3490">
        <v>245</v>
      </c>
      <c r="D3490" t="s">
        <v>7</v>
      </c>
      <c r="E3490" s="2" t="s">
        <v>12</v>
      </c>
      <c r="F3490">
        <f t="shared" si="54"/>
        <v>485.83500000000004</v>
      </c>
      <c r="G3490" t="s">
        <v>16</v>
      </c>
      <c r="J3490" t="str">
        <f>"04/20/2011 23:45"</f>
        <v>04/20/2011 23:45</v>
      </c>
    </row>
    <row r="3491" spans="1:10" x14ac:dyDescent="0.3">
      <c r="A3491" t="s">
        <v>6</v>
      </c>
      <c r="B3491" t="str">
        <f>"04/21/2011 00:00"</f>
        <v>04/21/2011 00:00</v>
      </c>
      <c r="C3491">
        <v>225</v>
      </c>
      <c r="D3491" t="s">
        <v>7</v>
      </c>
      <c r="E3491" s="2" t="s">
        <v>12</v>
      </c>
      <c r="F3491">
        <f t="shared" si="54"/>
        <v>446.17500000000001</v>
      </c>
      <c r="G3491" t="s">
        <v>16</v>
      </c>
      <c r="J3491" t="str">
        <f>"04/21/2011 23:45"</f>
        <v>04/21/2011 23:45</v>
      </c>
    </row>
    <row r="3492" spans="1:10" x14ac:dyDescent="0.3">
      <c r="A3492" t="s">
        <v>6</v>
      </c>
      <c r="B3492" t="str">
        <f>"04/22/2011 00:00"</f>
        <v>04/22/2011 00:00</v>
      </c>
      <c r="C3492">
        <v>251</v>
      </c>
      <c r="D3492" t="s">
        <v>7</v>
      </c>
      <c r="E3492" s="2" t="s">
        <v>12</v>
      </c>
      <c r="F3492">
        <f t="shared" si="54"/>
        <v>497.733</v>
      </c>
      <c r="G3492" t="s">
        <v>16</v>
      </c>
      <c r="J3492" t="str">
        <f>"04/22/2011 23:45"</f>
        <v>04/22/2011 23:45</v>
      </c>
    </row>
    <row r="3493" spans="1:10" x14ac:dyDescent="0.3">
      <c r="A3493" t="s">
        <v>6</v>
      </c>
      <c r="B3493" t="str">
        <f>"04/23/2011 00:00"</f>
        <v>04/23/2011 00:00</v>
      </c>
      <c r="C3493">
        <v>301</v>
      </c>
      <c r="D3493" t="s">
        <v>7</v>
      </c>
      <c r="E3493" s="2" t="s">
        <v>12</v>
      </c>
      <c r="F3493">
        <f t="shared" si="54"/>
        <v>596.88300000000004</v>
      </c>
      <c r="G3493" t="s">
        <v>16</v>
      </c>
      <c r="J3493" t="str">
        <f>"04/23/2011 23:45"</f>
        <v>04/23/2011 23:45</v>
      </c>
    </row>
    <row r="3494" spans="1:10" x14ac:dyDescent="0.3">
      <c r="A3494" t="s">
        <v>6</v>
      </c>
      <c r="B3494" t="str">
        <f>"04/24/2011 00:00"</f>
        <v>04/24/2011 00:00</v>
      </c>
      <c r="C3494">
        <v>278</v>
      </c>
      <c r="D3494" t="s">
        <v>7</v>
      </c>
      <c r="E3494" s="2" t="s">
        <v>12</v>
      </c>
      <c r="F3494">
        <f t="shared" si="54"/>
        <v>551.274</v>
      </c>
      <c r="G3494" t="s">
        <v>16</v>
      </c>
      <c r="J3494" t="str">
        <f>"04/24/2011 23:45"</f>
        <v>04/24/2011 23:45</v>
      </c>
    </row>
    <row r="3495" spans="1:10" x14ac:dyDescent="0.3">
      <c r="A3495" t="s">
        <v>6</v>
      </c>
      <c r="B3495" t="str">
        <f>"04/25/2011 00:00"</f>
        <v>04/25/2011 00:00</v>
      </c>
      <c r="C3495">
        <v>193</v>
      </c>
      <c r="D3495" t="s">
        <v>7</v>
      </c>
      <c r="E3495" s="2" t="s">
        <v>12</v>
      </c>
      <c r="F3495">
        <f t="shared" si="54"/>
        <v>382.71899999999999</v>
      </c>
      <c r="G3495" t="s">
        <v>16</v>
      </c>
      <c r="J3495" t="str">
        <f>"04/25/2011 23:45"</f>
        <v>04/25/2011 23:45</v>
      </c>
    </row>
    <row r="3496" spans="1:10" x14ac:dyDescent="0.3">
      <c r="A3496" t="s">
        <v>6</v>
      </c>
      <c r="B3496" t="str">
        <f>"04/26/2011 00:00"</f>
        <v>04/26/2011 00:00</v>
      </c>
      <c r="C3496">
        <v>151</v>
      </c>
      <c r="D3496" t="s">
        <v>7</v>
      </c>
      <c r="E3496" s="2" t="s">
        <v>12</v>
      </c>
      <c r="F3496">
        <f t="shared" si="54"/>
        <v>299.43299999999999</v>
      </c>
      <c r="G3496" t="s">
        <v>16</v>
      </c>
      <c r="J3496" t="str">
        <f>"04/26/2011 23:45"</f>
        <v>04/26/2011 23:45</v>
      </c>
    </row>
    <row r="3497" spans="1:10" x14ac:dyDescent="0.3">
      <c r="A3497" t="s">
        <v>6</v>
      </c>
      <c r="B3497" t="str">
        <f>"04/27/2011 00:00"</f>
        <v>04/27/2011 00:00</v>
      </c>
      <c r="C3497">
        <v>152</v>
      </c>
      <c r="D3497" t="s">
        <v>7</v>
      </c>
      <c r="E3497" s="2" t="s">
        <v>12</v>
      </c>
      <c r="F3497">
        <f t="shared" si="54"/>
        <v>301.416</v>
      </c>
      <c r="G3497" t="s">
        <v>16</v>
      </c>
      <c r="J3497" t="str">
        <f>"04/27/2011 23:45"</f>
        <v>04/27/2011 23:45</v>
      </c>
    </row>
    <row r="3498" spans="1:10" x14ac:dyDescent="0.3">
      <c r="A3498" t="s">
        <v>6</v>
      </c>
      <c r="B3498" t="str">
        <f>"04/28/2011 00:00"</f>
        <v>04/28/2011 00:00</v>
      </c>
      <c r="C3498">
        <v>151</v>
      </c>
      <c r="D3498" t="s">
        <v>7</v>
      </c>
      <c r="E3498" s="2" t="s">
        <v>12</v>
      </c>
      <c r="F3498">
        <f t="shared" si="54"/>
        <v>299.43299999999999</v>
      </c>
      <c r="G3498" t="s">
        <v>16</v>
      </c>
      <c r="J3498" t="str">
        <f>"04/28/2011 23:45"</f>
        <v>04/28/2011 23:45</v>
      </c>
    </row>
    <row r="3499" spans="1:10" x14ac:dyDescent="0.3">
      <c r="A3499" t="s">
        <v>6</v>
      </c>
      <c r="B3499" t="str">
        <f>"04/29/2011 00:00"</f>
        <v>04/29/2011 00:00</v>
      </c>
      <c r="C3499">
        <v>150</v>
      </c>
      <c r="D3499" t="s">
        <v>7</v>
      </c>
      <c r="E3499" s="2" t="s">
        <v>12</v>
      </c>
      <c r="F3499">
        <f t="shared" si="54"/>
        <v>297.45</v>
      </c>
      <c r="G3499" t="s">
        <v>16</v>
      </c>
      <c r="J3499" t="str">
        <f>"04/29/2011 23:45"</f>
        <v>04/29/2011 23:45</v>
      </c>
    </row>
    <row r="3500" spans="1:10" x14ac:dyDescent="0.3">
      <c r="A3500" t="s">
        <v>6</v>
      </c>
      <c r="B3500" t="str">
        <f>"04/30/2011 00:00"</f>
        <v>04/30/2011 00:00</v>
      </c>
      <c r="C3500">
        <v>183</v>
      </c>
      <c r="D3500" t="s">
        <v>7</v>
      </c>
      <c r="E3500" s="2" t="s">
        <v>12</v>
      </c>
      <c r="F3500">
        <f t="shared" si="54"/>
        <v>362.88900000000001</v>
      </c>
      <c r="G3500" t="s">
        <v>16</v>
      </c>
      <c r="J3500" t="str">
        <f>"04/30/2011 23:45"</f>
        <v>04/30/2011 23:45</v>
      </c>
    </row>
    <row r="3501" spans="1:10" x14ac:dyDescent="0.3">
      <c r="A3501" t="s">
        <v>6</v>
      </c>
      <c r="B3501" t="str">
        <f>"05/01/2011 00:00"</f>
        <v>05/01/2011 00:00</v>
      </c>
      <c r="C3501">
        <v>211</v>
      </c>
      <c r="D3501" t="s">
        <v>7</v>
      </c>
      <c r="E3501" s="2" t="s">
        <v>12</v>
      </c>
      <c r="F3501">
        <f t="shared" si="54"/>
        <v>418.41300000000001</v>
      </c>
      <c r="G3501" t="s">
        <v>16</v>
      </c>
      <c r="J3501" t="str">
        <f>"05/01/2011 23:45"</f>
        <v>05/01/2011 23:45</v>
      </c>
    </row>
    <row r="3502" spans="1:10" x14ac:dyDescent="0.3">
      <c r="A3502" t="s">
        <v>6</v>
      </c>
      <c r="B3502" t="str">
        <f>"05/02/2011 00:00"</f>
        <v>05/02/2011 00:00</v>
      </c>
      <c r="C3502">
        <v>210</v>
      </c>
      <c r="D3502" t="s">
        <v>7</v>
      </c>
      <c r="E3502" s="2" t="s">
        <v>12</v>
      </c>
      <c r="F3502">
        <f t="shared" si="54"/>
        <v>416.43</v>
      </c>
      <c r="G3502" t="s">
        <v>16</v>
      </c>
      <c r="J3502" t="str">
        <f>"05/02/2011 23:45"</f>
        <v>05/02/2011 23:45</v>
      </c>
    </row>
    <row r="3503" spans="1:10" x14ac:dyDescent="0.3">
      <c r="A3503" t="s">
        <v>6</v>
      </c>
      <c r="B3503" t="str">
        <f>"05/03/2011 00:00"</f>
        <v>05/03/2011 00:00</v>
      </c>
      <c r="C3503">
        <v>267</v>
      </c>
      <c r="D3503" t="s">
        <v>7</v>
      </c>
      <c r="E3503" s="2" t="s">
        <v>12</v>
      </c>
      <c r="F3503">
        <f t="shared" si="54"/>
        <v>529.46100000000001</v>
      </c>
      <c r="G3503" t="s">
        <v>16</v>
      </c>
      <c r="J3503" t="str">
        <f>"05/03/2011 23:45"</f>
        <v>05/03/2011 23:45</v>
      </c>
    </row>
    <row r="3504" spans="1:10" x14ac:dyDescent="0.3">
      <c r="A3504" t="s">
        <v>6</v>
      </c>
      <c r="B3504" t="str">
        <f>"05/04/2011 00:00"</f>
        <v>05/04/2011 00:00</v>
      </c>
      <c r="C3504">
        <v>332</v>
      </c>
      <c r="D3504" t="s">
        <v>7</v>
      </c>
      <c r="E3504" s="2" t="s">
        <v>12</v>
      </c>
      <c r="F3504">
        <f t="shared" si="54"/>
        <v>658.35599999999999</v>
      </c>
      <c r="G3504" t="s">
        <v>16</v>
      </c>
      <c r="J3504" t="str">
        <f>"05/04/2011 23:45"</f>
        <v>05/04/2011 23:45</v>
      </c>
    </row>
    <row r="3505" spans="1:10" x14ac:dyDescent="0.3">
      <c r="A3505" t="s">
        <v>6</v>
      </c>
      <c r="B3505" t="str">
        <f>"05/05/2011 00:00"</f>
        <v>05/05/2011 00:00</v>
      </c>
      <c r="C3505">
        <v>304</v>
      </c>
      <c r="D3505" t="s">
        <v>7</v>
      </c>
      <c r="E3505" s="2" t="s">
        <v>12</v>
      </c>
      <c r="F3505">
        <f t="shared" si="54"/>
        <v>602.83199999999999</v>
      </c>
      <c r="G3505" t="s">
        <v>16</v>
      </c>
      <c r="J3505" t="str">
        <f>"05/05/2011 23:45"</f>
        <v>05/05/2011 23:45</v>
      </c>
    </row>
    <row r="3506" spans="1:10" x14ac:dyDescent="0.3">
      <c r="A3506" t="s">
        <v>6</v>
      </c>
      <c r="B3506" t="str">
        <f>"05/06/2011 00:00"</f>
        <v>05/06/2011 00:00</v>
      </c>
      <c r="C3506">
        <v>301</v>
      </c>
      <c r="D3506" t="s">
        <v>7</v>
      </c>
      <c r="E3506" s="2" t="s">
        <v>12</v>
      </c>
      <c r="F3506">
        <f t="shared" si="54"/>
        <v>596.88300000000004</v>
      </c>
      <c r="G3506" t="s">
        <v>16</v>
      </c>
      <c r="J3506" t="str">
        <f>"05/06/2011 23:45"</f>
        <v>05/06/2011 23:45</v>
      </c>
    </row>
    <row r="3507" spans="1:10" x14ac:dyDescent="0.3">
      <c r="A3507" t="s">
        <v>6</v>
      </c>
      <c r="B3507" t="str">
        <f>"05/07/2011 00:00"</f>
        <v>05/07/2011 00:00</v>
      </c>
      <c r="C3507">
        <v>352</v>
      </c>
      <c r="D3507" t="s">
        <v>7</v>
      </c>
      <c r="E3507" s="2" t="s">
        <v>12</v>
      </c>
      <c r="F3507">
        <f t="shared" si="54"/>
        <v>698.01600000000008</v>
      </c>
      <c r="G3507" t="s">
        <v>16</v>
      </c>
      <c r="J3507" t="str">
        <f>"05/07/2011 23:45"</f>
        <v>05/07/2011 23:45</v>
      </c>
    </row>
    <row r="3508" spans="1:10" x14ac:dyDescent="0.3">
      <c r="A3508" t="s">
        <v>6</v>
      </c>
      <c r="B3508" t="str">
        <f>"05/08/2011 00:00"</f>
        <v>05/08/2011 00:00</v>
      </c>
      <c r="C3508">
        <v>374</v>
      </c>
      <c r="D3508" t="s">
        <v>7</v>
      </c>
      <c r="E3508" s="2" t="s">
        <v>12</v>
      </c>
      <c r="F3508">
        <f t="shared" si="54"/>
        <v>741.64200000000005</v>
      </c>
      <c r="G3508" t="s">
        <v>16</v>
      </c>
      <c r="J3508" t="str">
        <f>"05/08/2011 23:45"</f>
        <v>05/08/2011 23:45</v>
      </c>
    </row>
    <row r="3509" spans="1:10" x14ac:dyDescent="0.3">
      <c r="A3509" t="s">
        <v>6</v>
      </c>
      <c r="B3509" t="str">
        <f>"05/09/2011 00:00"</f>
        <v>05/09/2011 00:00</v>
      </c>
      <c r="C3509">
        <v>373</v>
      </c>
      <c r="D3509" t="s">
        <v>7</v>
      </c>
      <c r="E3509" s="2" t="s">
        <v>12</v>
      </c>
      <c r="F3509">
        <f t="shared" si="54"/>
        <v>739.65899999999999</v>
      </c>
      <c r="G3509" t="s">
        <v>16</v>
      </c>
      <c r="J3509" t="str">
        <f>"05/09/2011 23:45"</f>
        <v>05/09/2011 23:45</v>
      </c>
    </row>
    <row r="3510" spans="1:10" x14ac:dyDescent="0.3">
      <c r="A3510" t="s">
        <v>6</v>
      </c>
      <c r="B3510" t="str">
        <f>"05/10/2011 00:00"</f>
        <v>05/10/2011 00:00</v>
      </c>
      <c r="C3510">
        <v>373</v>
      </c>
      <c r="D3510" t="s">
        <v>7</v>
      </c>
      <c r="E3510" s="2" t="s">
        <v>12</v>
      </c>
      <c r="F3510">
        <f t="shared" si="54"/>
        <v>739.65899999999999</v>
      </c>
      <c r="G3510" t="s">
        <v>16</v>
      </c>
      <c r="J3510" t="str">
        <f>"05/10/2011 23:45"</f>
        <v>05/10/2011 23:45</v>
      </c>
    </row>
    <row r="3511" spans="1:10" x14ac:dyDescent="0.3">
      <c r="A3511" t="s">
        <v>6</v>
      </c>
      <c r="B3511" t="str">
        <f>"05/11/2011 00:00"</f>
        <v>05/11/2011 00:00</v>
      </c>
      <c r="C3511">
        <v>266</v>
      </c>
      <c r="D3511" t="s">
        <v>7</v>
      </c>
      <c r="E3511" s="2" t="s">
        <v>12</v>
      </c>
      <c r="F3511">
        <f t="shared" si="54"/>
        <v>527.47800000000007</v>
      </c>
      <c r="G3511" t="s">
        <v>16</v>
      </c>
      <c r="J3511" t="str">
        <f>"05/11/2011 23:45"</f>
        <v>05/11/2011 23:45</v>
      </c>
    </row>
    <row r="3512" spans="1:10" x14ac:dyDescent="0.3">
      <c r="A3512" t="s">
        <v>6</v>
      </c>
      <c r="B3512" t="str">
        <f>"05/12/2011 00:00"</f>
        <v>05/12/2011 00:00</v>
      </c>
      <c r="C3512">
        <v>202</v>
      </c>
      <c r="D3512" t="s">
        <v>7</v>
      </c>
      <c r="E3512" s="2" t="s">
        <v>12</v>
      </c>
      <c r="F3512">
        <f t="shared" si="54"/>
        <v>400.56600000000003</v>
      </c>
      <c r="G3512" t="s">
        <v>16</v>
      </c>
      <c r="J3512" t="str">
        <f>"05/12/2011 23:45"</f>
        <v>05/12/2011 23:45</v>
      </c>
    </row>
    <row r="3513" spans="1:10" x14ac:dyDescent="0.3">
      <c r="A3513" t="s">
        <v>6</v>
      </c>
      <c r="B3513" t="str">
        <f>"05/13/2011 00:00"</f>
        <v>05/13/2011 00:00</v>
      </c>
      <c r="C3513">
        <v>224</v>
      </c>
      <c r="D3513" t="s">
        <v>7</v>
      </c>
      <c r="E3513" s="2" t="s">
        <v>12</v>
      </c>
      <c r="F3513">
        <f t="shared" si="54"/>
        <v>444.19200000000001</v>
      </c>
      <c r="G3513" t="s">
        <v>16</v>
      </c>
      <c r="J3513" t="str">
        <f>"05/13/2011 23:45"</f>
        <v>05/13/2011 23:45</v>
      </c>
    </row>
    <row r="3514" spans="1:10" x14ac:dyDescent="0.3">
      <c r="A3514" t="s">
        <v>6</v>
      </c>
      <c r="B3514" t="str">
        <f>"05/14/2011 00:00"</f>
        <v>05/14/2011 00:00</v>
      </c>
      <c r="C3514">
        <v>252</v>
      </c>
      <c r="D3514" t="s">
        <v>7</v>
      </c>
      <c r="E3514" s="2" t="s">
        <v>12</v>
      </c>
      <c r="F3514">
        <f t="shared" si="54"/>
        <v>499.71600000000001</v>
      </c>
      <c r="G3514" t="s">
        <v>16</v>
      </c>
      <c r="J3514" t="str">
        <f>"05/14/2011 23:45"</f>
        <v>05/14/2011 23:45</v>
      </c>
    </row>
    <row r="3515" spans="1:10" x14ac:dyDescent="0.3">
      <c r="A3515" t="s">
        <v>6</v>
      </c>
      <c r="B3515" t="str">
        <f>"05/15/2011 00:00"</f>
        <v>05/15/2011 00:00</v>
      </c>
      <c r="C3515">
        <v>252</v>
      </c>
      <c r="D3515" t="s">
        <v>7</v>
      </c>
      <c r="E3515" s="2" t="s">
        <v>12</v>
      </c>
      <c r="F3515">
        <f t="shared" si="54"/>
        <v>499.71600000000001</v>
      </c>
      <c r="G3515" t="s">
        <v>16</v>
      </c>
      <c r="J3515" t="str">
        <f>"05/15/2011 23:45"</f>
        <v>05/15/2011 23:45</v>
      </c>
    </row>
    <row r="3516" spans="1:10" x14ac:dyDescent="0.3">
      <c r="A3516" t="s">
        <v>6</v>
      </c>
      <c r="B3516" t="str">
        <f>"05/16/2011 00:00"</f>
        <v>05/16/2011 00:00</v>
      </c>
      <c r="C3516">
        <v>251</v>
      </c>
      <c r="D3516" t="s">
        <v>7</v>
      </c>
      <c r="E3516" s="2" t="s">
        <v>12</v>
      </c>
      <c r="F3516">
        <f t="shared" si="54"/>
        <v>497.733</v>
      </c>
      <c r="G3516" t="s">
        <v>16</v>
      </c>
      <c r="J3516" t="str">
        <f>"05/16/2011 23:45"</f>
        <v>05/16/2011 23:45</v>
      </c>
    </row>
    <row r="3517" spans="1:10" x14ac:dyDescent="0.3">
      <c r="A3517" t="s">
        <v>6</v>
      </c>
      <c r="B3517" t="str">
        <f>"05/17/2011 00:00"</f>
        <v>05/17/2011 00:00</v>
      </c>
      <c r="C3517">
        <v>251</v>
      </c>
      <c r="D3517" t="s">
        <v>7</v>
      </c>
      <c r="E3517" s="2" t="s">
        <v>12</v>
      </c>
      <c r="F3517">
        <f t="shared" si="54"/>
        <v>497.733</v>
      </c>
      <c r="G3517" t="s">
        <v>16</v>
      </c>
      <c r="J3517" t="str">
        <f>"05/17/2011 23:45"</f>
        <v>05/17/2011 23:45</v>
      </c>
    </row>
    <row r="3518" spans="1:10" x14ac:dyDescent="0.3">
      <c r="A3518" t="s">
        <v>6</v>
      </c>
      <c r="B3518" t="str">
        <f>"05/18/2011 00:00"</f>
        <v>05/18/2011 00:00</v>
      </c>
      <c r="C3518">
        <v>250</v>
      </c>
      <c r="D3518" t="s">
        <v>7</v>
      </c>
      <c r="E3518" s="2" t="s">
        <v>12</v>
      </c>
      <c r="F3518">
        <f t="shared" si="54"/>
        <v>495.75</v>
      </c>
      <c r="G3518" t="s">
        <v>16</v>
      </c>
      <c r="J3518" t="str">
        <f>"05/18/2011 23:45"</f>
        <v>05/18/2011 23:45</v>
      </c>
    </row>
    <row r="3519" spans="1:10" x14ac:dyDescent="0.3">
      <c r="A3519" t="s">
        <v>6</v>
      </c>
      <c r="B3519" t="str">
        <f>"05/19/2011 00:00"</f>
        <v>05/19/2011 00:00</v>
      </c>
      <c r="C3519">
        <v>192</v>
      </c>
      <c r="D3519" t="s">
        <v>7</v>
      </c>
      <c r="E3519" s="2" t="s">
        <v>12</v>
      </c>
      <c r="F3519">
        <f t="shared" si="54"/>
        <v>380.73599999999999</v>
      </c>
      <c r="G3519" t="s">
        <v>16</v>
      </c>
      <c r="J3519" t="str">
        <f>"05/19/2011 23:45"</f>
        <v>05/19/2011 23:45</v>
      </c>
    </row>
    <row r="3520" spans="1:10" x14ac:dyDescent="0.3">
      <c r="A3520" t="s">
        <v>6</v>
      </c>
      <c r="B3520" t="str">
        <f>"05/20/2011 00:00"</f>
        <v>05/20/2011 00:00</v>
      </c>
      <c r="C3520">
        <v>119</v>
      </c>
      <c r="D3520" t="s">
        <v>7</v>
      </c>
      <c r="E3520" s="2" t="s">
        <v>12</v>
      </c>
      <c r="F3520">
        <f t="shared" si="54"/>
        <v>235.977</v>
      </c>
      <c r="G3520" t="s">
        <v>16</v>
      </c>
      <c r="J3520" t="str">
        <f>"05/20/2011 23:45"</f>
        <v>05/20/2011 23:45</v>
      </c>
    </row>
    <row r="3521" spans="1:10" x14ac:dyDescent="0.3">
      <c r="A3521" t="s">
        <v>6</v>
      </c>
      <c r="B3521" t="str">
        <f>"05/21/2011 00:00"</f>
        <v>05/21/2011 00:00</v>
      </c>
      <c r="C3521">
        <v>101</v>
      </c>
      <c r="D3521" t="s">
        <v>7</v>
      </c>
      <c r="E3521" s="2" t="s">
        <v>12</v>
      </c>
      <c r="F3521">
        <f t="shared" si="54"/>
        <v>200.28300000000002</v>
      </c>
      <c r="G3521" t="s">
        <v>16</v>
      </c>
      <c r="J3521" t="str">
        <f>"05/21/2011 23:45"</f>
        <v>05/21/2011 23:45</v>
      </c>
    </row>
    <row r="3522" spans="1:10" x14ac:dyDescent="0.3">
      <c r="A3522" t="s">
        <v>6</v>
      </c>
      <c r="B3522" t="str">
        <f>"05/22/2011 00:00"</f>
        <v>05/22/2011 00:00</v>
      </c>
      <c r="C3522">
        <v>101</v>
      </c>
      <c r="D3522" t="s">
        <v>7</v>
      </c>
      <c r="E3522" s="2" t="s">
        <v>12</v>
      </c>
      <c r="F3522">
        <f t="shared" si="54"/>
        <v>200.28300000000002</v>
      </c>
      <c r="G3522" t="s">
        <v>16</v>
      </c>
      <c r="J3522" t="str">
        <f>"05/22/2011 23:45"</f>
        <v>05/22/2011 23:45</v>
      </c>
    </row>
    <row r="3523" spans="1:10" x14ac:dyDescent="0.3">
      <c r="A3523" t="s">
        <v>6</v>
      </c>
      <c r="B3523" t="str">
        <f>"05/23/2011 00:00"</f>
        <v>05/23/2011 00:00</v>
      </c>
      <c r="C3523">
        <v>72.400000000000006</v>
      </c>
      <c r="D3523" t="s">
        <v>7</v>
      </c>
      <c r="E3523" s="2" t="s">
        <v>12</v>
      </c>
      <c r="F3523">
        <f t="shared" si="54"/>
        <v>143.56920000000002</v>
      </c>
      <c r="G3523" t="s">
        <v>16</v>
      </c>
      <c r="J3523" t="str">
        <f>"05/23/2011 23:45"</f>
        <v>05/23/2011 23:45</v>
      </c>
    </row>
    <row r="3524" spans="1:10" x14ac:dyDescent="0.3">
      <c r="A3524" t="s">
        <v>6</v>
      </c>
      <c r="B3524" t="str">
        <f>"05/24/2011 00:00"</f>
        <v>05/24/2011 00:00</v>
      </c>
      <c r="C3524">
        <v>55.3</v>
      </c>
      <c r="D3524" t="s">
        <v>7</v>
      </c>
      <c r="E3524" s="2" t="s">
        <v>12</v>
      </c>
      <c r="F3524">
        <f t="shared" ref="F3524:F3587" si="55">C3524*1.983</f>
        <v>109.65989999999999</v>
      </c>
      <c r="G3524" t="s">
        <v>16</v>
      </c>
      <c r="J3524" t="str">
        <f>"05/24/2011 23:45"</f>
        <v>05/24/2011 23:45</v>
      </c>
    </row>
    <row r="3525" spans="1:10" x14ac:dyDescent="0.3">
      <c r="A3525" t="s">
        <v>6</v>
      </c>
      <c r="B3525" t="str">
        <f>"05/25/2011 00:00"</f>
        <v>05/25/2011 00:00</v>
      </c>
      <c r="C3525">
        <v>55.6</v>
      </c>
      <c r="D3525" t="s">
        <v>7</v>
      </c>
      <c r="E3525" s="2" t="s">
        <v>12</v>
      </c>
      <c r="F3525">
        <f t="shared" si="55"/>
        <v>110.2548</v>
      </c>
      <c r="G3525" t="s">
        <v>16</v>
      </c>
      <c r="J3525" t="str">
        <f>"05/25/2011 23:45"</f>
        <v>05/25/2011 23:45</v>
      </c>
    </row>
    <row r="3526" spans="1:10" x14ac:dyDescent="0.3">
      <c r="A3526" t="s">
        <v>6</v>
      </c>
      <c r="B3526" t="str">
        <f>"05/26/2011 00:00"</f>
        <v>05/26/2011 00:00</v>
      </c>
      <c r="C3526">
        <v>146</v>
      </c>
      <c r="D3526" t="s">
        <v>7</v>
      </c>
      <c r="E3526" s="2" t="s">
        <v>12</v>
      </c>
      <c r="F3526">
        <f t="shared" si="55"/>
        <v>289.51800000000003</v>
      </c>
      <c r="G3526" t="s">
        <v>16</v>
      </c>
      <c r="J3526" t="str">
        <f>"05/26/2011 23:45"</f>
        <v>05/26/2011 23:45</v>
      </c>
    </row>
    <row r="3527" spans="1:10" x14ac:dyDescent="0.3">
      <c r="A3527" t="s">
        <v>6</v>
      </c>
      <c r="B3527" t="str">
        <f>"05/27/2011 00:00"</f>
        <v>05/27/2011 00:00</v>
      </c>
      <c r="C3527">
        <v>192</v>
      </c>
      <c r="D3527" t="s">
        <v>7</v>
      </c>
      <c r="E3527" s="2" t="s">
        <v>12</v>
      </c>
      <c r="F3527">
        <f t="shared" si="55"/>
        <v>380.73599999999999</v>
      </c>
      <c r="G3527" t="s">
        <v>16</v>
      </c>
      <c r="J3527" t="str">
        <f>"05/27/2011 23:45"</f>
        <v>05/27/2011 23:45</v>
      </c>
    </row>
    <row r="3528" spans="1:10" x14ac:dyDescent="0.3">
      <c r="A3528" t="s">
        <v>6</v>
      </c>
      <c r="B3528" t="str">
        <f>"05/28/2011 00:00"</f>
        <v>05/28/2011 00:00</v>
      </c>
      <c r="C3528">
        <v>168</v>
      </c>
      <c r="D3528" t="s">
        <v>7</v>
      </c>
      <c r="E3528" s="2" t="s">
        <v>12</v>
      </c>
      <c r="F3528">
        <f t="shared" si="55"/>
        <v>333.14400000000001</v>
      </c>
      <c r="G3528" t="s">
        <v>16</v>
      </c>
      <c r="J3528" t="str">
        <f>"05/28/2011 23:45"</f>
        <v>05/28/2011 23:45</v>
      </c>
    </row>
    <row r="3529" spans="1:10" x14ac:dyDescent="0.3">
      <c r="A3529" t="s">
        <v>6</v>
      </c>
      <c r="B3529" t="str">
        <f>"05/29/2011 00:00"</f>
        <v>05/29/2011 00:00</v>
      </c>
      <c r="C3529">
        <v>211</v>
      </c>
      <c r="D3529" t="s">
        <v>7</v>
      </c>
      <c r="E3529" s="2" t="s">
        <v>12</v>
      </c>
      <c r="F3529">
        <f t="shared" si="55"/>
        <v>418.41300000000001</v>
      </c>
      <c r="G3529" t="s">
        <v>16</v>
      </c>
      <c r="J3529" t="str">
        <f>"05/29/2011 23:45"</f>
        <v>05/29/2011 23:45</v>
      </c>
    </row>
    <row r="3530" spans="1:10" x14ac:dyDescent="0.3">
      <c r="A3530" t="s">
        <v>6</v>
      </c>
      <c r="B3530" t="str">
        <f>"05/30/2011 00:00"</f>
        <v>05/30/2011 00:00</v>
      </c>
      <c r="C3530">
        <v>177</v>
      </c>
      <c r="D3530" t="s">
        <v>7</v>
      </c>
      <c r="E3530" s="2" t="s">
        <v>12</v>
      </c>
      <c r="F3530">
        <f t="shared" si="55"/>
        <v>350.99100000000004</v>
      </c>
      <c r="G3530" t="s">
        <v>16</v>
      </c>
      <c r="J3530" t="str">
        <f>"05/30/2011 23:45"</f>
        <v>05/30/2011 23:45</v>
      </c>
    </row>
    <row r="3531" spans="1:10" x14ac:dyDescent="0.3">
      <c r="A3531" t="s">
        <v>6</v>
      </c>
      <c r="B3531" t="str">
        <f>"05/31/2011 00:00"</f>
        <v>05/31/2011 00:00</v>
      </c>
      <c r="C3531">
        <v>134</v>
      </c>
      <c r="D3531" t="s">
        <v>7</v>
      </c>
      <c r="E3531" s="2" t="s">
        <v>12</v>
      </c>
      <c r="F3531">
        <f t="shared" si="55"/>
        <v>265.72200000000004</v>
      </c>
      <c r="G3531" t="s">
        <v>16</v>
      </c>
      <c r="J3531" t="str">
        <f>"05/31/2011 23:45"</f>
        <v>05/31/2011 23:45</v>
      </c>
    </row>
    <row r="3532" spans="1:10" x14ac:dyDescent="0.3">
      <c r="A3532" t="s">
        <v>6</v>
      </c>
      <c r="B3532" t="str">
        <f>"06/01/2011 00:00"</f>
        <v>06/01/2011 00:00</v>
      </c>
      <c r="C3532">
        <v>159</v>
      </c>
      <c r="D3532" t="s">
        <v>7</v>
      </c>
      <c r="E3532" s="2" t="s">
        <v>12</v>
      </c>
      <c r="F3532">
        <f t="shared" si="55"/>
        <v>315.29700000000003</v>
      </c>
      <c r="G3532" t="s">
        <v>16</v>
      </c>
      <c r="J3532" t="str">
        <f>"06/01/2011 23:45"</f>
        <v>06/01/2011 23:45</v>
      </c>
    </row>
    <row r="3533" spans="1:10" x14ac:dyDescent="0.3">
      <c r="A3533" t="s">
        <v>6</v>
      </c>
      <c r="B3533" t="str">
        <f>"06/02/2011 00:00"</f>
        <v>06/02/2011 00:00</v>
      </c>
      <c r="C3533">
        <v>179</v>
      </c>
      <c r="D3533" t="s">
        <v>7</v>
      </c>
      <c r="E3533" s="2" t="s">
        <v>12</v>
      </c>
      <c r="F3533">
        <f t="shared" si="55"/>
        <v>354.95699999999999</v>
      </c>
      <c r="G3533" t="s">
        <v>16</v>
      </c>
      <c r="J3533" t="str">
        <f>"06/02/2011 23:45"</f>
        <v>06/02/2011 23:45</v>
      </c>
    </row>
    <row r="3534" spans="1:10" x14ac:dyDescent="0.3">
      <c r="A3534" t="s">
        <v>6</v>
      </c>
      <c r="B3534" t="str">
        <f>"06/03/2011 00:00"</f>
        <v>06/03/2011 00:00</v>
      </c>
      <c r="C3534">
        <v>131</v>
      </c>
      <c r="D3534" t="s">
        <v>7</v>
      </c>
      <c r="E3534" s="2" t="s">
        <v>12</v>
      </c>
      <c r="F3534">
        <f t="shared" si="55"/>
        <v>259.77300000000002</v>
      </c>
      <c r="G3534" t="s">
        <v>16</v>
      </c>
      <c r="J3534" t="str">
        <f>"06/03/2011 23:45"</f>
        <v>06/03/2011 23:45</v>
      </c>
    </row>
    <row r="3535" spans="1:10" x14ac:dyDescent="0.3">
      <c r="A3535" t="s">
        <v>6</v>
      </c>
      <c r="B3535" t="str">
        <f>"06/04/2011 00:00"</f>
        <v>06/04/2011 00:00</v>
      </c>
      <c r="C3535">
        <v>101</v>
      </c>
      <c r="D3535" t="s">
        <v>7</v>
      </c>
      <c r="E3535" s="2" t="s">
        <v>12</v>
      </c>
      <c r="F3535">
        <f t="shared" si="55"/>
        <v>200.28300000000002</v>
      </c>
      <c r="G3535" t="s">
        <v>16</v>
      </c>
      <c r="J3535" t="str">
        <f>"06/04/2011 23:45"</f>
        <v>06/04/2011 23:45</v>
      </c>
    </row>
    <row r="3536" spans="1:10" x14ac:dyDescent="0.3">
      <c r="A3536" t="s">
        <v>6</v>
      </c>
      <c r="B3536" t="str">
        <f>"06/05/2011 00:00"</f>
        <v>06/05/2011 00:00</v>
      </c>
      <c r="C3536">
        <v>100</v>
      </c>
      <c r="D3536" t="s">
        <v>7</v>
      </c>
      <c r="E3536" s="2" t="s">
        <v>12</v>
      </c>
      <c r="F3536">
        <f t="shared" si="55"/>
        <v>198.3</v>
      </c>
      <c r="G3536" t="s">
        <v>16</v>
      </c>
      <c r="J3536" t="str">
        <f>"06/05/2011 23:45"</f>
        <v>06/05/2011 23:45</v>
      </c>
    </row>
    <row r="3537" spans="1:10" x14ac:dyDescent="0.3">
      <c r="A3537" t="s">
        <v>6</v>
      </c>
      <c r="B3537" t="str">
        <f>"06/06/2011 00:00"</f>
        <v>06/06/2011 00:00</v>
      </c>
      <c r="C3537">
        <v>100</v>
      </c>
      <c r="D3537" t="s">
        <v>7</v>
      </c>
      <c r="E3537" s="2" t="s">
        <v>12</v>
      </c>
      <c r="F3537">
        <f t="shared" si="55"/>
        <v>198.3</v>
      </c>
      <c r="G3537" t="s">
        <v>16</v>
      </c>
      <c r="J3537" t="str">
        <f>"06/06/2011 23:45"</f>
        <v>06/06/2011 23:45</v>
      </c>
    </row>
    <row r="3538" spans="1:10" x14ac:dyDescent="0.3">
      <c r="A3538" t="s">
        <v>6</v>
      </c>
      <c r="B3538" t="str">
        <f>"06/07/2011 00:00"</f>
        <v>06/07/2011 00:00</v>
      </c>
      <c r="C3538">
        <v>101</v>
      </c>
      <c r="D3538" t="s">
        <v>7</v>
      </c>
      <c r="E3538" s="2" t="s">
        <v>12</v>
      </c>
      <c r="F3538">
        <f t="shared" si="55"/>
        <v>200.28300000000002</v>
      </c>
      <c r="G3538" t="s">
        <v>16</v>
      </c>
      <c r="J3538" t="str">
        <f>"06/07/2011 23:45"</f>
        <v>06/07/2011 23:45</v>
      </c>
    </row>
    <row r="3539" spans="1:10" x14ac:dyDescent="0.3">
      <c r="A3539" t="s">
        <v>6</v>
      </c>
      <c r="B3539" t="str">
        <f>"06/08/2011 00:00"</f>
        <v>06/08/2011 00:00</v>
      </c>
      <c r="C3539">
        <v>157</v>
      </c>
      <c r="D3539" t="s">
        <v>7</v>
      </c>
      <c r="E3539" s="2" t="s">
        <v>12</v>
      </c>
      <c r="F3539">
        <f t="shared" si="55"/>
        <v>311.33100000000002</v>
      </c>
      <c r="G3539" t="s">
        <v>16</v>
      </c>
      <c r="J3539" t="str">
        <f>"06/08/2011 23:45"</f>
        <v>06/08/2011 23:45</v>
      </c>
    </row>
    <row r="3540" spans="1:10" x14ac:dyDescent="0.3">
      <c r="A3540" t="s">
        <v>6</v>
      </c>
      <c r="B3540" t="str">
        <f>"06/09/2011 00:00"</f>
        <v>06/09/2011 00:00</v>
      </c>
      <c r="C3540">
        <v>202</v>
      </c>
      <c r="D3540" t="s">
        <v>7</v>
      </c>
      <c r="E3540" s="2" t="s">
        <v>12</v>
      </c>
      <c r="F3540">
        <f t="shared" si="55"/>
        <v>400.56600000000003</v>
      </c>
      <c r="G3540" t="s">
        <v>16</v>
      </c>
      <c r="J3540" t="str">
        <f>"06/09/2011 23:45"</f>
        <v>06/09/2011 23:45</v>
      </c>
    </row>
    <row r="3541" spans="1:10" x14ac:dyDescent="0.3">
      <c r="A3541" t="s">
        <v>6</v>
      </c>
      <c r="B3541" t="str">
        <f>"06/10/2011 00:00"</f>
        <v>06/10/2011 00:00</v>
      </c>
      <c r="C3541">
        <v>224</v>
      </c>
      <c r="D3541" t="s">
        <v>7</v>
      </c>
      <c r="E3541" s="2" t="s">
        <v>12</v>
      </c>
      <c r="F3541">
        <f t="shared" si="55"/>
        <v>444.19200000000001</v>
      </c>
      <c r="G3541" t="s">
        <v>16</v>
      </c>
      <c r="J3541" t="str">
        <f>"06/10/2011 23:45"</f>
        <v>06/10/2011 23:45</v>
      </c>
    </row>
    <row r="3542" spans="1:10" x14ac:dyDescent="0.3">
      <c r="A3542" t="s">
        <v>6</v>
      </c>
      <c r="B3542" t="str">
        <f>"06/11/2011 00:00"</f>
        <v>06/11/2011 00:00</v>
      </c>
      <c r="C3542">
        <v>249</v>
      </c>
      <c r="D3542" t="s">
        <v>7</v>
      </c>
      <c r="E3542" s="2" t="s">
        <v>12</v>
      </c>
      <c r="F3542">
        <f t="shared" si="55"/>
        <v>493.767</v>
      </c>
      <c r="G3542" t="s">
        <v>16</v>
      </c>
      <c r="J3542" t="str">
        <f>"06/11/2011 23:45"</f>
        <v>06/11/2011 23:45</v>
      </c>
    </row>
    <row r="3543" spans="1:10" x14ac:dyDescent="0.3">
      <c r="A3543" t="s">
        <v>6</v>
      </c>
      <c r="B3543" t="str">
        <f>"06/12/2011 00:00"</f>
        <v>06/12/2011 00:00</v>
      </c>
      <c r="C3543">
        <v>250</v>
      </c>
      <c r="D3543" t="s">
        <v>7</v>
      </c>
      <c r="E3543" s="2" t="s">
        <v>12</v>
      </c>
      <c r="F3543">
        <f t="shared" si="55"/>
        <v>495.75</v>
      </c>
      <c r="G3543" t="s">
        <v>16</v>
      </c>
      <c r="J3543" t="str">
        <f>"06/12/2011 23:45"</f>
        <v>06/12/2011 23:45</v>
      </c>
    </row>
    <row r="3544" spans="1:10" x14ac:dyDescent="0.3">
      <c r="A3544" t="s">
        <v>6</v>
      </c>
      <c r="B3544" t="str">
        <f>"06/13/2011 00:00"</f>
        <v>06/13/2011 00:00</v>
      </c>
      <c r="C3544">
        <v>279</v>
      </c>
      <c r="D3544" t="s">
        <v>7</v>
      </c>
      <c r="E3544" s="2" t="s">
        <v>12</v>
      </c>
      <c r="F3544">
        <f t="shared" si="55"/>
        <v>553.25700000000006</v>
      </c>
      <c r="G3544" t="s">
        <v>16</v>
      </c>
      <c r="J3544" t="str">
        <f>"06/13/2011 23:45"</f>
        <v>06/13/2011 23:45</v>
      </c>
    </row>
    <row r="3545" spans="1:10" x14ac:dyDescent="0.3">
      <c r="A3545" t="s">
        <v>6</v>
      </c>
      <c r="B3545" t="str">
        <f>"06/14/2011 00:00"</f>
        <v>06/14/2011 00:00</v>
      </c>
      <c r="C3545">
        <v>325</v>
      </c>
      <c r="D3545" t="s">
        <v>7</v>
      </c>
      <c r="E3545" s="2" t="s">
        <v>12</v>
      </c>
      <c r="F3545">
        <f t="shared" si="55"/>
        <v>644.47500000000002</v>
      </c>
      <c r="G3545" t="s">
        <v>16</v>
      </c>
      <c r="J3545" t="str">
        <f>"06/14/2011 23:45"</f>
        <v>06/14/2011 23:45</v>
      </c>
    </row>
    <row r="3546" spans="1:10" x14ac:dyDescent="0.3">
      <c r="A3546" t="s">
        <v>6</v>
      </c>
      <c r="B3546" t="str">
        <f>"06/15/2011 00:00"</f>
        <v>06/15/2011 00:00</v>
      </c>
      <c r="C3546">
        <v>352</v>
      </c>
      <c r="D3546" t="s">
        <v>7</v>
      </c>
      <c r="E3546" s="2" t="s">
        <v>12</v>
      </c>
      <c r="F3546">
        <f t="shared" si="55"/>
        <v>698.01600000000008</v>
      </c>
      <c r="G3546" t="s">
        <v>16</v>
      </c>
      <c r="J3546" t="str">
        <f>"06/15/2011 23:45"</f>
        <v>06/15/2011 23:45</v>
      </c>
    </row>
    <row r="3547" spans="1:10" x14ac:dyDescent="0.3">
      <c r="A3547" t="s">
        <v>6</v>
      </c>
      <c r="B3547" t="str">
        <f>"06/16/2011 00:00"</f>
        <v>06/16/2011 00:00</v>
      </c>
      <c r="C3547">
        <v>352</v>
      </c>
      <c r="D3547" t="s">
        <v>7</v>
      </c>
      <c r="E3547" s="2" t="s">
        <v>12</v>
      </c>
      <c r="F3547">
        <f t="shared" si="55"/>
        <v>698.01600000000008</v>
      </c>
      <c r="G3547" t="s">
        <v>16</v>
      </c>
      <c r="J3547" t="str">
        <f>"06/16/2011 23:45"</f>
        <v>06/16/2011 23:45</v>
      </c>
    </row>
    <row r="3548" spans="1:10" x14ac:dyDescent="0.3">
      <c r="A3548" t="s">
        <v>6</v>
      </c>
      <c r="B3548" t="str">
        <f>"06/17/2011 00:00"</f>
        <v>06/17/2011 00:00</v>
      </c>
      <c r="C3548">
        <v>351</v>
      </c>
      <c r="D3548" t="s">
        <v>7</v>
      </c>
      <c r="E3548" s="2" t="s">
        <v>12</v>
      </c>
      <c r="F3548">
        <f t="shared" si="55"/>
        <v>696.03300000000002</v>
      </c>
      <c r="G3548" t="s">
        <v>16</v>
      </c>
      <c r="J3548" t="str">
        <f>"06/17/2011 23:45"</f>
        <v>06/17/2011 23:45</v>
      </c>
    </row>
    <row r="3549" spans="1:10" x14ac:dyDescent="0.3">
      <c r="A3549" t="s">
        <v>6</v>
      </c>
      <c r="B3549" t="str">
        <f>"06/18/2011 00:00"</f>
        <v>06/18/2011 00:00</v>
      </c>
      <c r="C3549">
        <v>351</v>
      </c>
      <c r="D3549" t="s">
        <v>7</v>
      </c>
      <c r="E3549" s="2" t="s">
        <v>12</v>
      </c>
      <c r="F3549">
        <f t="shared" si="55"/>
        <v>696.03300000000002</v>
      </c>
      <c r="G3549" t="s">
        <v>16</v>
      </c>
      <c r="J3549" t="str">
        <f>"06/18/2011 23:45"</f>
        <v>06/18/2011 23:45</v>
      </c>
    </row>
    <row r="3550" spans="1:10" x14ac:dyDescent="0.3">
      <c r="A3550" t="s">
        <v>6</v>
      </c>
      <c r="B3550" t="str">
        <f>"06/19/2011 00:00"</f>
        <v>06/19/2011 00:00</v>
      </c>
      <c r="C3550">
        <v>351</v>
      </c>
      <c r="D3550" t="s">
        <v>7</v>
      </c>
      <c r="E3550" s="2" t="s">
        <v>12</v>
      </c>
      <c r="F3550">
        <f t="shared" si="55"/>
        <v>696.03300000000002</v>
      </c>
      <c r="G3550" t="s">
        <v>16</v>
      </c>
      <c r="J3550" t="str">
        <f>"06/19/2011 23:45"</f>
        <v>06/19/2011 23:45</v>
      </c>
    </row>
    <row r="3551" spans="1:10" x14ac:dyDescent="0.3">
      <c r="A3551" t="s">
        <v>6</v>
      </c>
      <c r="B3551" t="str">
        <f>"06/20/2011 00:00"</f>
        <v>06/20/2011 00:00</v>
      </c>
      <c r="C3551">
        <v>286</v>
      </c>
      <c r="D3551" t="s">
        <v>7</v>
      </c>
      <c r="E3551" s="2" t="s">
        <v>12</v>
      </c>
      <c r="F3551">
        <f t="shared" si="55"/>
        <v>567.13800000000003</v>
      </c>
      <c r="G3551" t="s">
        <v>16</v>
      </c>
      <c r="J3551" t="str">
        <f>"06/20/2011 23:45"</f>
        <v>06/20/2011 23:45</v>
      </c>
    </row>
    <row r="3552" spans="1:10" x14ac:dyDescent="0.3">
      <c r="A3552" t="s">
        <v>6</v>
      </c>
      <c r="B3552" t="str">
        <f>"06/21/2011 00:00"</f>
        <v>06/21/2011 00:00</v>
      </c>
      <c r="C3552">
        <v>163</v>
      </c>
      <c r="D3552" t="s">
        <v>7</v>
      </c>
      <c r="E3552" s="2" t="s">
        <v>12</v>
      </c>
      <c r="F3552">
        <f t="shared" si="55"/>
        <v>323.22900000000004</v>
      </c>
      <c r="G3552" t="s">
        <v>16</v>
      </c>
      <c r="J3552" t="str">
        <f>"06/21/2011 23:45"</f>
        <v>06/21/2011 23:45</v>
      </c>
    </row>
    <row r="3553" spans="1:10" x14ac:dyDescent="0.3">
      <c r="A3553" t="s">
        <v>6</v>
      </c>
      <c r="B3553" t="str">
        <f>"06/22/2011 00:00"</f>
        <v>06/22/2011 00:00</v>
      </c>
      <c r="C3553">
        <v>101</v>
      </c>
      <c r="D3553" t="s">
        <v>7</v>
      </c>
      <c r="E3553" s="2" t="s">
        <v>12</v>
      </c>
      <c r="F3553">
        <f t="shared" si="55"/>
        <v>200.28300000000002</v>
      </c>
      <c r="G3553" t="s">
        <v>16</v>
      </c>
      <c r="J3553" t="str">
        <f>"06/22/2011 23:45"</f>
        <v>06/22/2011 23:45</v>
      </c>
    </row>
    <row r="3554" spans="1:10" x14ac:dyDescent="0.3">
      <c r="A3554" t="s">
        <v>6</v>
      </c>
      <c r="B3554" t="str">
        <f>"06/23/2011 00:00"</f>
        <v>06/23/2011 00:00</v>
      </c>
      <c r="C3554">
        <v>101</v>
      </c>
      <c r="D3554" t="s">
        <v>7</v>
      </c>
      <c r="E3554" s="2" t="s">
        <v>12</v>
      </c>
      <c r="F3554">
        <f t="shared" si="55"/>
        <v>200.28300000000002</v>
      </c>
      <c r="G3554" t="s">
        <v>16</v>
      </c>
      <c r="J3554" t="str">
        <f>"06/23/2011 23:45"</f>
        <v>06/23/2011 23:45</v>
      </c>
    </row>
    <row r="3555" spans="1:10" x14ac:dyDescent="0.3">
      <c r="A3555" t="s">
        <v>6</v>
      </c>
      <c r="B3555" t="str">
        <f>"06/24/2011 00:00"</f>
        <v>06/24/2011 00:00</v>
      </c>
      <c r="C3555">
        <v>101</v>
      </c>
      <c r="D3555" t="s">
        <v>7</v>
      </c>
      <c r="E3555" s="2" t="s">
        <v>12</v>
      </c>
      <c r="F3555">
        <f t="shared" si="55"/>
        <v>200.28300000000002</v>
      </c>
      <c r="G3555" t="s">
        <v>16</v>
      </c>
      <c r="J3555" t="str">
        <f>"06/24/2011 23:45"</f>
        <v>06/24/2011 23:45</v>
      </c>
    </row>
    <row r="3556" spans="1:10" x14ac:dyDescent="0.3">
      <c r="A3556" t="s">
        <v>6</v>
      </c>
      <c r="B3556" t="str">
        <f>"06/25/2011 00:00"</f>
        <v>06/25/2011 00:00</v>
      </c>
      <c r="C3556">
        <v>101</v>
      </c>
      <c r="D3556" t="s">
        <v>7</v>
      </c>
      <c r="E3556" s="2" t="s">
        <v>12</v>
      </c>
      <c r="F3556">
        <f t="shared" si="55"/>
        <v>200.28300000000002</v>
      </c>
      <c r="G3556" t="s">
        <v>16</v>
      </c>
      <c r="J3556" t="str">
        <f>"06/25/2011 23:45"</f>
        <v>06/25/2011 23:45</v>
      </c>
    </row>
    <row r="3557" spans="1:10" x14ac:dyDescent="0.3">
      <c r="A3557" t="s">
        <v>6</v>
      </c>
      <c r="B3557" t="str">
        <f>"06/26/2011 00:00"</f>
        <v>06/26/2011 00:00</v>
      </c>
      <c r="C3557">
        <v>101</v>
      </c>
      <c r="D3557" t="s">
        <v>7</v>
      </c>
      <c r="E3557" s="2" t="s">
        <v>12</v>
      </c>
      <c r="F3557">
        <f t="shared" si="55"/>
        <v>200.28300000000002</v>
      </c>
      <c r="G3557" t="s">
        <v>16</v>
      </c>
      <c r="J3557" t="str">
        <f>"06/26/2011 23:45"</f>
        <v>06/26/2011 23:45</v>
      </c>
    </row>
    <row r="3558" spans="1:10" x14ac:dyDescent="0.3">
      <c r="A3558" t="s">
        <v>6</v>
      </c>
      <c r="B3558" t="str">
        <f>"06/27/2011 00:00"</f>
        <v>06/27/2011 00:00</v>
      </c>
      <c r="C3558">
        <v>102</v>
      </c>
      <c r="D3558" t="s">
        <v>7</v>
      </c>
      <c r="E3558" s="2" t="s">
        <v>12</v>
      </c>
      <c r="F3558">
        <f t="shared" si="55"/>
        <v>202.26600000000002</v>
      </c>
      <c r="G3558" t="s">
        <v>16</v>
      </c>
      <c r="J3558" t="str">
        <f>"06/27/2011 23:45"</f>
        <v>06/27/2011 23:45</v>
      </c>
    </row>
    <row r="3559" spans="1:10" x14ac:dyDescent="0.3">
      <c r="A3559" t="s">
        <v>6</v>
      </c>
      <c r="B3559" t="str">
        <f>"06/28/2011 00:00"</f>
        <v>06/28/2011 00:00</v>
      </c>
      <c r="C3559">
        <v>102</v>
      </c>
      <c r="D3559" t="s">
        <v>7</v>
      </c>
      <c r="E3559" s="2" t="s">
        <v>12</v>
      </c>
      <c r="F3559">
        <f t="shared" si="55"/>
        <v>202.26600000000002</v>
      </c>
      <c r="G3559" t="s">
        <v>16</v>
      </c>
      <c r="J3559" t="str">
        <f>"06/28/2011 23:45"</f>
        <v>06/28/2011 23:45</v>
      </c>
    </row>
    <row r="3560" spans="1:10" x14ac:dyDescent="0.3">
      <c r="A3560" t="s">
        <v>6</v>
      </c>
      <c r="B3560" t="str">
        <f>"06/29/2011 00:00"</f>
        <v>06/29/2011 00:00</v>
      </c>
      <c r="C3560">
        <v>102</v>
      </c>
      <c r="D3560" t="s">
        <v>7</v>
      </c>
      <c r="E3560" s="2" t="s">
        <v>12</v>
      </c>
      <c r="F3560">
        <f t="shared" si="55"/>
        <v>202.26600000000002</v>
      </c>
      <c r="G3560" t="s">
        <v>16</v>
      </c>
      <c r="J3560" t="str">
        <f>"06/29/2011 23:45"</f>
        <v>06/29/2011 23:45</v>
      </c>
    </row>
    <row r="3561" spans="1:10" x14ac:dyDescent="0.3">
      <c r="A3561" t="s">
        <v>6</v>
      </c>
      <c r="B3561" t="str">
        <f>"06/30/2011 00:00"</f>
        <v>06/30/2011 00:00</v>
      </c>
      <c r="C3561">
        <v>150</v>
      </c>
      <c r="D3561" t="s">
        <v>7</v>
      </c>
      <c r="E3561" s="2" t="s">
        <v>12</v>
      </c>
      <c r="F3561">
        <f t="shared" si="55"/>
        <v>297.45</v>
      </c>
      <c r="G3561" t="s">
        <v>16</v>
      </c>
      <c r="J3561" t="str">
        <f>"06/30/2011 23:45"</f>
        <v>06/30/2011 23:45</v>
      </c>
    </row>
    <row r="3562" spans="1:10" x14ac:dyDescent="0.3">
      <c r="A3562" t="s">
        <v>6</v>
      </c>
      <c r="B3562" t="str">
        <f>"07/01/2011 00:00"</f>
        <v>07/01/2011 00:00</v>
      </c>
      <c r="C3562">
        <v>203</v>
      </c>
      <c r="D3562" t="s">
        <v>7</v>
      </c>
      <c r="E3562" s="2" t="s">
        <v>12</v>
      </c>
      <c r="F3562">
        <f t="shared" si="55"/>
        <v>402.54900000000004</v>
      </c>
      <c r="G3562" t="s">
        <v>16</v>
      </c>
      <c r="J3562" t="str">
        <f>"07/01/2011 23:45"</f>
        <v>07/01/2011 23:45</v>
      </c>
    </row>
    <row r="3563" spans="1:10" x14ac:dyDescent="0.3">
      <c r="A3563" t="s">
        <v>6</v>
      </c>
      <c r="B3563" t="str">
        <f>"07/02/2011 00:00"</f>
        <v>07/02/2011 00:00</v>
      </c>
      <c r="C3563">
        <v>205</v>
      </c>
      <c r="D3563" t="s">
        <v>7</v>
      </c>
      <c r="E3563" s="2" t="s">
        <v>12</v>
      </c>
      <c r="F3563">
        <f t="shared" si="55"/>
        <v>406.51500000000004</v>
      </c>
      <c r="G3563" t="s">
        <v>16</v>
      </c>
      <c r="J3563" t="str">
        <f>"07/02/2011 23:45"</f>
        <v>07/02/2011 23:45</v>
      </c>
    </row>
    <row r="3564" spans="1:10" x14ac:dyDescent="0.3">
      <c r="A3564" t="s">
        <v>6</v>
      </c>
      <c r="B3564" t="str">
        <f>"07/03/2011 00:00"</f>
        <v>07/03/2011 00:00</v>
      </c>
      <c r="C3564">
        <v>206</v>
      </c>
      <c r="D3564" t="s">
        <v>7</v>
      </c>
      <c r="E3564" s="2" t="s">
        <v>12</v>
      </c>
      <c r="F3564">
        <f t="shared" si="55"/>
        <v>408.49800000000005</v>
      </c>
      <c r="G3564" t="s">
        <v>16</v>
      </c>
      <c r="J3564" t="str">
        <f>"07/03/2011 23:45"</f>
        <v>07/03/2011 23:45</v>
      </c>
    </row>
    <row r="3565" spans="1:10" x14ac:dyDescent="0.3">
      <c r="A3565" t="s">
        <v>6</v>
      </c>
      <c r="B3565" t="str">
        <f>"07/04/2011 00:00"</f>
        <v>07/04/2011 00:00</v>
      </c>
      <c r="C3565">
        <v>231</v>
      </c>
      <c r="D3565" t="s">
        <v>7</v>
      </c>
      <c r="E3565" s="2" t="s">
        <v>12</v>
      </c>
      <c r="F3565">
        <f t="shared" si="55"/>
        <v>458.07300000000004</v>
      </c>
      <c r="G3565" t="s">
        <v>16</v>
      </c>
      <c r="J3565" t="str">
        <f>"07/04/2011 23:45"</f>
        <v>07/04/2011 23:45</v>
      </c>
    </row>
    <row r="3566" spans="1:10" x14ac:dyDescent="0.3">
      <c r="A3566" t="s">
        <v>6</v>
      </c>
      <c r="B3566" t="str">
        <f>"07/05/2011 00:00"</f>
        <v>07/05/2011 00:00</v>
      </c>
      <c r="C3566">
        <v>252</v>
      </c>
      <c r="D3566" t="s">
        <v>7</v>
      </c>
      <c r="E3566" s="2" t="s">
        <v>12</v>
      </c>
      <c r="F3566">
        <f t="shared" si="55"/>
        <v>499.71600000000001</v>
      </c>
      <c r="G3566" t="s">
        <v>16</v>
      </c>
      <c r="J3566" t="str">
        <f>"07/05/2011 23:45"</f>
        <v>07/05/2011 23:45</v>
      </c>
    </row>
    <row r="3567" spans="1:10" x14ac:dyDescent="0.3">
      <c r="A3567" t="s">
        <v>6</v>
      </c>
      <c r="B3567" t="str">
        <f>"07/06/2011 00:00"</f>
        <v>07/06/2011 00:00</v>
      </c>
      <c r="C3567">
        <v>252</v>
      </c>
      <c r="D3567" t="s">
        <v>7</v>
      </c>
      <c r="E3567" s="2" t="s">
        <v>12</v>
      </c>
      <c r="F3567">
        <f t="shared" si="55"/>
        <v>499.71600000000001</v>
      </c>
      <c r="G3567" t="s">
        <v>16</v>
      </c>
      <c r="J3567" t="str">
        <f>"07/06/2011 23:45"</f>
        <v>07/06/2011 23:45</v>
      </c>
    </row>
    <row r="3568" spans="1:10" x14ac:dyDescent="0.3">
      <c r="A3568" t="s">
        <v>6</v>
      </c>
      <c r="B3568" t="str">
        <f>"07/07/2011 00:00"</f>
        <v>07/07/2011 00:00</v>
      </c>
      <c r="C3568">
        <v>182</v>
      </c>
      <c r="D3568" t="s">
        <v>7</v>
      </c>
      <c r="E3568" s="2" t="s">
        <v>12</v>
      </c>
      <c r="F3568">
        <f t="shared" si="55"/>
        <v>360.90600000000001</v>
      </c>
      <c r="G3568" t="s">
        <v>16</v>
      </c>
      <c r="J3568" t="str">
        <f>"07/07/2011 23:45"</f>
        <v>07/07/2011 23:45</v>
      </c>
    </row>
    <row r="3569" spans="1:10" x14ac:dyDescent="0.3">
      <c r="A3569" t="s">
        <v>6</v>
      </c>
      <c r="B3569" t="str">
        <f>"07/08/2011 00:00"</f>
        <v>07/08/2011 00:00</v>
      </c>
      <c r="C3569">
        <v>65.8</v>
      </c>
      <c r="D3569" t="s">
        <v>7</v>
      </c>
      <c r="E3569" s="2" t="s">
        <v>12</v>
      </c>
      <c r="F3569">
        <f t="shared" si="55"/>
        <v>130.48140000000001</v>
      </c>
      <c r="G3569" t="s">
        <v>16</v>
      </c>
      <c r="J3569" t="str">
        <f>"07/08/2011 23:45"</f>
        <v>07/08/2011 23:45</v>
      </c>
    </row>
    <row r="3570" spans="1:10" x14ac:dyDescent="0.3">
      <c r="A3570" t="s">
        <v>6</v>
      </c>
      <c r="B3570" t="str">
        <f>"07/09/2011 00:00"</f>
        <v>07/09/2011 00:00</v>
      </c>
      <c r="C3570">
        <v>2.56</v>
      </c>
      <c r="D3570" t="s">
        <v>7</v>
      </c>
      <c r="E3570" s="2" t="s">
        <v>12</v>
      </c>
      <c r="F3570">
        <f t="shared" si="55"/>
        <v>5.0764800000000001</v>
      </c>
      <c r="G3570" t="s">
        <v>16</v>
      </c>
      <c r="J3570" t="str">
        <f>"07/09/2011 23:45"</f>
        <v>07/09/2011 23:45</v>
      </c>
    </row>
    <row r="3571" spans="1:10" x14ac:dyDescent="0.3">
      <c r="A3571" t="s">
        <v>6</v>
      </c>
      <c r="B3571" t="str">
        <f>"07/10/2011 00:00"</f>
        <v>07/10/2011 00:00</v>
      </c>
      <c r="C3571">
        <v>2.56</v>
      </c>
      <c r="D3571" t="s">
        <v>7</v>
      </c>
      <c r="E3571" s="2" t="s">
        <v>12</v>
      </c>
      <c r="F3571">
        <f t="shared" si="55"/>
        <v>5.0764800000000001</v>
      </c>
      <c r="G3571" t="s">
        <v>16</v>
      </c>
      <c r="J3571" t="str">
        <f>"07/10/2011 23:45"</f>
        <v>07/10/2011 23:45</v>
      </c>
    </row>
    <row r="3572" spans="1:10" x14ac:dyDescent="0.3">
      <c r="A3572" t="s">
        <v>6</v>
      </c>
      <c r="B3572" t="str">
        <f>"07/11/2011 00:00"</f>
        <v>07/11/2011 00:00</v>
      </c>
      <c r="C3572">
        <v>2.56</v>
      </c>
      <c r="D3572" t="s">
        <v>7</v>
      </c>
      <c r="E3572" s="2" t="s">
        <v>12</v>
      </c>
      <c r="F3572">
        <f t="shared" si="55"/>
        <v>5.0764800000000001</v>
      </c>
      <c r="G3572" t="s">
        <v>16</v>
      </c>
      <c r="J3572" t="str">
        <f>"07/11/2011 23:45"</f>
        <v>07/11/2011 23:45</v>
      </c>
    </row>
    <row r="3573" spans="1:10" x14ac:dyDescent="0.3">
      <c r="A3573" t="s">
        <v>6</v>
      </c>
      <c r="B3573" t="str">
        <f>"07/12/2011 00:00"</f>
        <v>07/12/2011 00:00</v>
      </c>
      <c r="C3573">
        <v>2.56</v>
      </c>
      <c r="D3573" t="s">
        <v>7</v>
      </c>
      <c r="E3573" s="2" t="s">
        <v>12</v>
      </c>
      <c r="F3573">
        <f t="shared" si="55"/>
        <v>5.0764800000000001</v>
      </c>
      <c r="G3573" t="s">
        <v>16</v>
      </c>
      <c r="J3573" t="str">
        <f>"07/12/2011 23:45"</f>
        <v>07/12/2011 23:45</v>
      </c>
    </row>
    <row r="3574" spans="1:10" x14ac:dyDescent="0.3">
      <c r="A3574" t="s">
        <v>6</v>
      </c>
      <c r="B3574" t="str">
        <f>"07/13/2011 00:00"</f>
        <v>07/13/2011 00:00</v>
      </c>
      <c r="C3574">
        <v>2.56</v>
      </c>
      <c r="D3574" t="s">
        <v>7</v>
      </c>
      <c r="E3574" s="2" t="s">
        <v>12</v>
      </c>
      <c r="F3574">
        <f t="shared" si="55"/>
        <v>5.0764800000000001</v>
      </c>
      <c r="G3574" t="s">
        <v>16</v>
      </c>
      <c r="J3574" t="str">
        <f>"07/13/2011 23:45"</f>
        <v>07/13/2011 23:45</v>
      </c>
    </row>
    <row r="3575" spans="1:10" x14ac:dyDescent="0.3">
      <c r="A3575" t="s">
        <v>6</v>
      </c>
      <c r="B3575" t="str">
        <f>"07/14/2011 00:00"</f>
        <v>07/14/2011 00:00</v>
      </c>
      <c r="C3575">
        <v>2.56</v>
      </c>
      <c r="D3575" t="s">
        <v>7</v>
      </c>
      <c r="E3575" s="2" t="s">
        <v>12</v>
      </c>
      <c r="F3575">
        <f t="shared" si="55"/>
        <v>5.0764800000000001</v>
      </c>
      <c r="G3575" t="s">
        <v>16</v>
      </c>
      <c r="J3575" t="str">
        <f>"07/14/2011 23:45"</f>
        <v>07/14/2011 23:45</v>
      </c>
    </row>
    <row r="3576" spans="1:10" x14ac:dyDescent="0.3">
      <c r="A3576" t="s">
        <v>6</v>
      </c>
      <c r="B3576" t="str">
        <f>"07/15/2011 00:00"</f>
        <v>07/15/2011 00:00</v>
      </c>
      <c r="C3576">
        <v>2.56</v>
      </c>
      <c r="D3576" t="s">
        <v>7</v>
      </c>
      <c r="E3576" s="2" t="s">
        <v>12</v>
      </c>
      <c r="F3576">
        <f t="shared" si="55"/>
        <v>5.0764800000000001</v>
      </c>
      <c r="G3576" t="s">
        <v>16</v>
      </c>
      <c r="J3576" t="str">
        <f>"07/15/2011 23:45"</f>
        <v>07/15/2011 23:45</v>
      </c>
    </row>
    <row r="3577" spans="1:10" x14ac:dyDescent="0.3">
      <c r="A3577" t="s">
        <v>6</v>
      </c>
      <c r="B3577" t="str">
        <f>"07/16/2011 00:00"</f>
        <v>07/16/2011 00:00</v>
      </c>
      <c r="C3577">
        <v>2.56</v>
      </c>
      <c r="D3577" t="s">
        <v>7</v>
      </c>
      <c r="E3577" s="2" t="s">
        <v>12</v>
      </c>
      <c r="F3577">
        <f t="shared" si="55"/>
        <v>5.0764800000000001</v>
      </c>
      <c r="G3577" t="s">
        <v>16</v>
      </c>
      <c r="J3577" t="str">
        <f>"07/16/2011 23:45"</f>
        <v>07/16/2011 23:45</v>
      </c>
    </row>
    <row r="3578" spans="1:10" x14ac:dyDescent="0.3">
      <c r="A3578" t="s">
        <v>6</v>
      </c>
      <c r="B3578" t="str">
        <f>"07/17/2011 00:00"</f>
        <v>07/17/2011 00:00</v>
      </c>
      <c r="C3578">
        <v>2.56</v>
      </c>
      <c r="D3578" t="s">
        <v>7</v>
      </c>
      <c r="E3578" s="2" t="s">
        <v>12</v>
      </c>
      <c r="F3578">
        <f t="shared" si="55"/>
        <v>5.0764800000000001</v>
      </c>
      <c r="G3578" t="s">
        <v>16</v>
      </c>
      <c r="J3578" t="str">
        <f>"07/17/2011 23:45"</f>
        <v>07/17/2011 23:45</v>
      </c>
    </row>
    <row r="3579" spans="1:10" x14ac:dyDescent="0.3">
      <c r="A3579" t="s">
        <v>6</v>
      </c>
      <c r="B3579" t="str">
        <f>"07/18/2011 00:00"</f>
        <v>07/18/2011 00:00</v>
      </c>
      <c r="C3579">
        <v>2.56</v>
      </c>
      <c r="D3579" t="s">
        <v>7</v>
      </c>
      <c r="E3579" s="2" t="s">
        <v>12</v>
      </c>
      <c r="F3579">
        <f t="shared" si="55"/>
        <v>5.0764800000000001</v>
      </c>
      <c r="G3579" t="s">
        <v>16</v>
      </c>
      <c r="J3579" t="str">
        <f>"07/18/2011 23:45"</f>
        <v>07/18/2011 23:45</v>
      </c>
    </row>
    <row r="3580" spans="1:10" x14ac:dyDescent="0.3">
      <c r="A3580" t="s">
        <v>6</v>
      </c>
      <c r="B3580" t="str">
        <f>"07/19/2011 00:00"</f>
        <v>07/19/2011 00:00</v>
      </c>
      <c r="C3580">
        <v>2.56</v>
      </c>
      <c r="D3580" t="s">
        <v>7</v>
      </c>
      <c r="E3580" s="2" t="s">
        <v>12</v>
      </c>
      <c r="F3580">
        <f t="shared" si="55"/>
        <v>5.0764800000000001</v>
      </c>
      <c r="G3580" t="s">
        <v>16</v>
      </c>
      <c r="J3580" t="str">
        <f>"07/19/2011 23:45"</f>
        <v>07/19/2011 23:45</v>
      </c>
    </row>
    <row r="3581" spans="1:10" x14ac:dyDescent="0.3">
      <c r="A3581" t="s">
        <v>6</v>
      </c>
      <c r="B3581" t="str">
        <f>"07/20/2011 00:00"</f>
        <v>07/20/2011 00:00</v>
      </c>
      <c r="C3581">
        <v>2.5</v>
      </c>
      <c r="D3581" t="s">
        <v>7</v>
      </c>
      <c r="E3581" s="2" t="s">
        <v>12</v>
      </c>
      <c r="F3581">
        <f t="shared" si="55"/>
        <v>4.9575000000000005</v>
      </c>
      <c r="G3581" t="s">
        <v>16</v>
      </c>
      <c r="J3581" t="str">
        <f>"07/20/2011 23:45"</f>
        <v>07/20/2011 23:45</v>
      </c>
    </row>
    <row r="3582" spans="1:10" x14ac:dyDescent="0.3">
      <c r="A3582" t="s">
        <v>6</v>
      </c>
      <c r="B3582" t="str">
        <f>"07/21/2011 00:00"</f>
        <v>07/21/2011 00:00</v>
      </c>
      <c r="C3582">
        <v>2.38</v>
      </c>
      <c r="D3582" t="s">
        <v>7</v>
      </c>
      <c r="E3582" s="2" t="s">
        <v>12</v>
      </c>
      <c r="F3582">
        <f t="shared" si="55"/>
        <v>4.7195400000000003</v>
      </c>
      <c r="G3582" t="s">
        <v>16</v>
      </c>
      <c r="J3582" t="str">
        <f>"07/21/2011 23:45"</f>
        <v>07/21/2011 23:45</v>
      </c>
    </row>
    <row r="3583" spans="1:10" x14ac:dyDescent="0.3">
      <c r="A3583" t="s">
        <v>6</v>
      </c>
      <c r="B3583" t="str">
        <f>"07/22/2011 00:00"</f>
        <v>07/22/2011 00:00</v>
      </c>
      <c r="C3583">
        <v>2.2799999999999998</v>
      </c>
      <c r="D3583" t="s">
        <v>7</v>
      </c>
      <c r="E3583" s="2" t="s">
        <v>12</v>
      </c>
      <c r="F3583">
        <f t="shared" si="55"/>
        <v>4.5212399999999997</v>
      </c>
      <c r="G3583" t="s">
        <v>16</v>
      </c>
      <c r="J3583" t="str">
        <f>"07/22/2011 23:45"</f>
        <v>07/22/2011 23:45</v>
      </c>
    </row>
    <row r="3584" spans="1:10" x14ac:dyDescent="0.3">
      <c r="A3584" t="s">
        <v>6</v>
      </c>
      <c r="B3584" t="str">
        <f>"07/23/2011 00:00"</f>
        <v>07/23/2011 00:00</v>
      </c>
      <c r="C3584">
        <v>2.23</v>
      </c>
      <c r="D3584" t="s">
        <v>7</v>
      </c>
      <c r="E3584" s="2" t="s">
        <v>12</v>
      </c>
      <c r="F3584">
        <f t="shared" si="55"/>
        <v>4.4220899999999999</v>
      </c>
      <c r="G3584" t="s">
        <v>16</v>
      </c>
      <c r="J3584" t="str">
        <f>"07/23/2011 23:45"</f>
        <v>07/23/2011 23:45</v>
      </c>
    </row>
    <row r="3585" spans="1:10" x14ac:dyDescent="0.3">
      <c r="A3585" t="s">
        <v>6</v>
      </c>
      <c r="B3585" t="str">
        <f>"07/24/2011 00:00"</f>
        <v>07/24/2011 00:00</v>
      </c>
      <c r="C3585">
        <v>2.23</v>
      </c>
      <c r="D3585" t="s">
        <v>7</v>
      </c>
      <c r="E3585" s="2" t="s">
        <v>12</v>
      </c>
      <c r="F3585">
        <f t="shared" si="55"/>
        <v>4.4220899999999999</v>
      </c>
      <c r="G3585" t="s">
        <v>16</v>
      </c>
      <c r="J3585" t="str">
        <f>"07/24/2011 23:45"</f>
        <v>07/24/2011 23:45</v>
      </c>
    </row>
    <row r="3586" spans="1:10" x14ac:dyDescent="0.3">
      <c r="A3586" t="s">
        <v>6</v>
      </c>
      <c r="B3586" t="str">
        <f>"07/25/2011 00:00"</f>
        <v>07/25/2011 00:00</v>
      </c>
      <c r="C3586">
        <v>2.2999999999999998</v>
      </c>
      <c r="D3586" t="s">
        <v>7</v>
      </c>
      <c r="E3586" s="2" t="s">
        <v>12</v>
      </c>
      <c r="F3586">
        <f t="shared" si="55"/>
        <v>4.5609000000000002</v>
      </c>
      <c r="G3586" t="s">
        <v>16</v>
      </c>
      <c r="J3586" t="str">
        <f>"07/25/2011 23:45"</f>
        <v>07/25/2011 23:45</v>
      </c>
    </row>
    <row r="3587" spans="1:10" x14ac:dyDescent="0.3">
      <c r="A3587" t="s">
        <v>6</v>
      </c>
      <c r="B3587" t="str">
        <f>"07/26/2011 00:00"</f>
        <v>07/26/2011 00:00</v>
      </c>
      <c r="C3587">
        <v>2.35</v>
      </c>
      <c r="D3587" t="s">
        <v>7</v>
      </c>
      <c r="E3587" s="2" t="s">
        <v>12</v>
      </c>
      <c r="F3587">
        <f t="shared" si="55"/>
        <v>4.66005</v>
      </c>
      <c r="G3587" t="s">
        <v>16</v>
      </c>
      <c r="J3587" t="str">
        <f>"07/26/2011 23:45"</f>
        <v>07/26/2011 23:45</v>
      </c>
    </row>
    <row r="3588" spans="1:10" x14ac:dyDescent="0.3">
      <c r="A3588" t="s">
        <v>6</v>
      </c>
      <c r="B3588" t="str">
        <f>"07/27/2011 00:00"</f>
        <v>07/27/2011 00:00</v>
      </c>
      <c r="C3588">
        <v>2.48</v>
      </c>
      <c r="D3588" t="s">
        <v>7</v>
      </c>
      <c r="E3588" s="2" t="s">
        <v>12</v>
      </c>
      <c r="F3588">
        <f t="shared" ref="F3588:F3651" si="56">C3588*1.983</f>
        <v>4.91784</v>
      </c>
      <c r="G3588" t="s">
        <v>16</v>
      </c>
      <c r="J3588" t="str">
        <f>"07/27/2011 23:45"</f>
        <v>07/27/2011 23:45</v>
      </c>
    </row>
    <row r="3589" spans="1:10" x14ac:dyDescent="0.3">
      <c r="A3589" t="s">
        <v>6</v>
      </c>
      <c r="B3589" t="str">
        <f>"07/28/2011 00:00"</f>
        <v>07/28/2011 00:00</v>
      </c>
      <c r="C3589">
        <v>2.56</v>
      </c>
      <c r="D3589" t="s">
        <v>7</v>
      </c>
      <c r="E3589" s="2" t="s">
        <v>12</v>
      </c>
      <c r="F3589">
        <f t="shared" si="56"/>
        <v>5.0764800000000001</v>
      </c>
      <c r="G3589" t="s">
        <v>16</v>
      </c>
      <c r="J3589" t="str">
        <f>"07/28/2011 23:45"</f>
        <v>07/28/2011 23:45</v>
      </c>
    </row>
    <row r="3590" spans="1:10" x14ac:dyDescent="0.3">
      <c r="A3590" t="s">
        <v>6</v>
      </c>
      <c r="B3590" t="str">
        <f>"07/29/2011 00:00"</f>
        <v>07/29/2011 00:00</v>
      </c>
      <c r="C3590">
        <v>2.56</v>
      </c>
      <c r="D3590" t="s">
        <v>7</v>
      </c>
      <c r="E3590" s="2" t="s">
        <v>12</v>
      </c>
      <c r="F3590">
        <f t="shared" si="56"/>
        <v>5.0764800000000001</v>
      </c>
      <c r="G3590" t="s">
        <v>16</v>
      </c>
      <c r="J3590" t="str">
        <f>"07/29/2011 23:45"</f>
        <v>07/29/2011 23:45</v>
      </c>
    </row>
    <row r="3591" spans="1:10" x14ac:dyDescent="0.3">
      <c r="A3591" t="s">
        <v>6</v>
      </c>
      <c r="B3591" t="str">
        <f>"07/30/2011 00:00"</f>
        <v>07/30/2011 00:00</v>
      </c>
      <c r="C3591">
        <v>2.35</v>
      </c>
      <c r="D3591" t="s">
        <v>7</v>
      </c>
      <c r="E3591" s="2" t="s">
        <v>12</v>
      </c>
      <c r="F3591">
        <f t="shared" si="56"/>
        <v>4.66005</v>
      </c>
      <c r="G3591" t="s">
        <v>16</v>
      </c>
      <c r="J3591" t="str">
        <f>"07/30/2011 23:45"</f>
        <v>07/30/2011 23:45</v>
      </c>
    </row>
    <row r="3592" spans="1:10" x14ac:dyDescent="0.3">
      <c r="A3592" t="s">
        <v>6</v>
      </c>
      <c r="B3592" t="str">
        <f>"07/31/2011 00:00"</f>
        <v>07/31/2011 00:00</v>
      </c>
      <c r="C3592">
        <v>2.2400000000000002</v>
      </c>
      <c r="D3592" t="s">
        <v>7</v>
      </c>
      <c r="E3592" s="2" t="s">
        <v>12</v>
      </c>
      <c r="F3592">
        <f t="shared" si="56"/>
        <v>4.4419200000000005</v>
      </c>
      <c r="G3592" t="s">
        <v>16</v>
      </c>
      <c r="J3592" t="str">
        <f>"07/31/2011 23:45"</f>
        <v>07/31/2011 23:45</v>
      </c>
    </row>
    <row r="3593" spans="1:10" x14ac:dyDescent="0.3">
      <c r="A3593" t="s">
        <v>6</v>
      </c>
      <c r="B3593" t="str">
        <f>"08/01/2011 00:00"</f>
        <v>08/01/2011 00:00</v>
      </c>
      <c r="C3593">
        <v>2.4700000000000002</v>
      </c>
      <c r="D3593" t="s">
        <v>7</v>
      </c>
      <c r="E3593" s="2" t="s">
        <v>12</v>
      </c>
      <c r="F3593">
        <f t="shared" si="56"/>
        <v>4.8980100000000002</v>
      </c>
      <c r="G3593" t="s">
        <v>16</v>
      </c>
      <c r="J3593" t="str">
        <f>"08/01/2011 23:45"</f>
        <v>08/01/2011 23:45</v>
      </c>
    </row>
    <row r="3594" spans="1:10" x14ac:dyDescent="0.3">
      <c r="A3594" t="s">
        <v>6</v>
      </c>
      <c r="B3594" t="str">
        <f>"08/02/2011 00:00"</f>
        <v>08/02/2011 00:00</v>
      </c>
      <c r="C3594">
        <v>2.56</v>
      </c>
      <c r="D3594" t="s">
        <v>7</v>
      </c>
      <c r="E3594" s="2" t="s">
        <v>12</v>
      </c>
      <c r="F3594">
        <f t="shared" si="56"/>
        <v>5.0764800000000001</v>
      </c>
      <c r="G3594" t="s">
        <v>16</v>
      </c>
      <c r="J3594" t="str">
        <f>"08/02/2011 23:45"</f>
        <v>08/02/2011 23:45</v>
      </c>
    </row>
    <row r="3595" spans="1:10" x14ac:dyDescent="0.3">
      <c r="A3595" t="s">
        <v>6</v>
      </c>
      <c r="B3595" t="str">
        <f>"08/03/2011 00:00"</f>
        <v>08/03/2011 00:00</v>
      </c>
      <c r="C3595">
        <v>2.56</v>
      </c>
      <c r="D3595" t="s">
        <v>7</v>
      </c>
      <c r="E3595" s="2" t="s">
        <v>12</v>
      </c>
      <c r="F3595">
        <f t="shared" si="56"/>
        <v>5.0764800000000001</v>
      </c>
      <c r="G3595" t="s">
        <v>16</v>
      </c>
      <c r="J3595" t="str">
        <f>"08/03/2011 23:45"</f>
        <v>08/03/2011 23:45</v>
      </c>
    </row>
    <row r="3596" spans="1:10" x14ac:dyDescent="0.3">
      <c r="A3596" t="s">
        <v>6</v>
      </c>
      <c r="B3596" t="str">
        <f>"08/04/2011 00:00"</f>
        <v>08/04/2011 00:00</v>
      </c>
      <c r="C3596">
        <v>2.56</v>
      </c>
      <c r="D3596" t="s">
        <v>7</v>
      </c>
      <c r="E3596" s="2" t="s">
        <v>12</v>
      </c>
      <c r="F3596">
        <f t="shared" si="56"/>
        <v>5.0764800000000001</v>
      </c>
      <c r="G3596" t="s">
        <v>16</v>
      </c>
      <c r="J3596" t="str">
        <f>"08/04/2011 23:45"</f>
        <v>08/04/2011 23:45</v>
      </c>
    </row>
    <row r="3597" spans="1:10" x14ac:dyDescent="0.3">
      <c r="A3597" t="s">
        <v>6</v>
      </c>
      <c r="B3597" t="str">
        <f>"08/05/2011 00:00"</f>
        <v>08/05/2011 00:00</v>
      </c>
      <c r="C3597">
        <v>2.56</v>
      </c>
      <c r="D3597" t="s">
        <v>7</v>
      </c>
      <c r="E3597" s="2" t="s">
        <v>12</v>
      </c>
      <c r="F3597">
        <f t="shared" si="56"/>
        <v>5.0764800000000001</v>
      </c>
      <c r="G3597" t="s">
        <v>16</v>
      </c>
      <c r="J3597" t="str">
        <f>"08/05/2011 23:45"</f>
        <v>08/05/2011 23:45</v>
      </c>
    </row>
    <row r="3598" spans="1:10" x14ac:dyDescent="0.3">
      <c r="A3598" t="s">
        <v>6</v>
      </c>
      <c r="B3598" t="str">
        <f>"08/06/2011 00:00"</f>
        <v>08/06/2011 00:00</v>
      </c>
      <c r="C3598">
        <v>2.56</v>
      </c>
      <c r="D3598" t="s">
        <v>7</v>
      </c>
      <c r="E3598" s="2" t="s">
        <v>12</v>
      </c>
      <c r="F3598">
        <f t="shared" si="56"/>
        <v>5.0764800000000001</v>
      </c>
      <c r="G3598" t="s">
        <v>16</v>
      </c>
      <c r="J3598" t="str">
        <f>"08/06/2011 23:45"</f>
        <v>08/06/2011 23:45</v>
      </c>
    </row>
    <row r="3599" spans="1:10" x14ac:dyDescent="0.3">
      <c r="A3599" t="s">
        <v>6</v>
      </c>
      <c r="B3599" t="str">
        <f>"08/07/2011 00:00"</f>
        <v>08/07/2011 00:00</v>
      </c>
      <c r="C3599">
        <v>2.56</v>
      </c>
      <c r="D3599" t="s">
        <v>7</v>
      </c>
      <c r="E3599" s="2" t="s">
        <v>12</v>
      </c>
      <c r="F3599">
        <f t="shared" si="56"/>
        <v>5.0764800000000001</v>
      </c>
      <c r="G3599" t="s">
        <v>16</v>
      </c>
      <c r="J3599" t="str">
        <f>"08/07/2011 23:45"</f>
        <v>08/07/2011 23:45</v>
      </c>
    </row>
    <row r="3600" spans="1:10" x14ac:dyDescent="0.3">
      <c r="A3600" t="s">
        <v>6</v>
      </c>
      <c r="B3600" t="str">
        <f>"08/08/2011 00:00"</f>
        <v>08/08/2011 00:00</v>
      </c>
      <c r="C3600">
        <v>43.2</v>
      </c>
      <c r="D3600" t="s">
        <v>7</v>
      </c>
      <c r="E3600" s="2" t="s">
        <v>12</v>
      </c>
      <c r="F3600">
        <f t="shared" si="56"/>
        <v>85.665600000000012</v>
      </c>
      <c r="G3600" t="s">
        <v>16</v>
      </c>
      <c r="J3600" t="str">
        <f>"08/08/2011 23:45"</f>
        <v>08/08/2011 23:45</v>
      </c>
    </row>
    <row r="3601" spans="1:10" x14ac:dyDescent="0.3">
      <c r="A3601" t="s">
        <v>6</v>
      </c>
      <c r="B3601" t="str">
        <f>"08/09/2011 00:00"</f>
        <v>08/09/2011 00:00</v>
      </c>
      <c r="C3601">
        <v>123</v>
      </c>
      <c r="D3601" t="s">
        <v>7</v>
      </c>
      <c r="E3601" s="2" t="s">
        <v>12</v>
      </c>
      <c r="F3601">
        <f t="shared" si="56"/>
        <v>243.90900000000002</v>
      </c>
      <c r="G3601" t="s">
        <v>16</v>
      </c>
      <c r="J3601" t="str">
        <f>"08/09/2011 23:45"</f>
        <v>08/09/2011 23:45</v>
      </c>
    </row>
    <row r="3602" spans="1:10" x14ac:dyDescent="0.3">
      <c r="A3602" t="s">
        <v>6</v>
      </c>
      <c r="B3602" t="str">
        <f>"08/10/2011 00:00"</f>
        <v>08/10/2011 00:00</v>
      </c>
      <c r="C3602">
        <v>215</v>
      </c>
      <c r="D3602" t="s">
        <v>7</v>
      </c>
      <c r="E3602" s="2" t="s">
        <v>12</v>
      </c>
      <c r="F3602">
        <f t="shared" si="56"/>
        <v>426.34500000000003</v>
      </c>
      <c r="G3602" t="s">
        <v>16</v>
      </c>
      <c r="J3602" t="str">
        <f>"08/10/2011 23:45"</f>
        <v>08/10/2011 23:45</v>
      </c>
    </row>
    <row r="3603" spans="1:10" x14ac:dyDescent="0.3">
      <c r="A3603" t="s">
        <v>6</v>
      </c>
      <c r="B3603" t="str">
        <f>"08/11/2011 00:00"</f>
        <v>08/11/2011 00:00</v>
      </c>
      <c r="C3603">
        <v>279</v>
      </c>
      <c r="D3603" t="s">
        <v>7</v>
      </c>
      <c r="E3603" s="2" t="s">
        <v>12</v>
      </c>
      <c r="F3603">
        <f t="shared" si="56"/>
        <v>553.25700000000006</v>
      </c>
      <c r="G3603" t="s">
        <v>16</v>
      </c>
      <c r="J3603" t="str">
        <f>"08/11/2011 23:45"</f>
        <v>08/11/2011 23:45</v>
      </c>
    </row>
    <row r="3604" spans="1:10" x14ac:dyDescent="0.3">
      <c r="A3604" t="s">
        <v>6</v>
      </c>
      <c r="B3604" t="str">
        <f>"08/12/2011 00:00"</f>
        <v>08/12/2011 00:00</v>
      </c>
      <c r="C3604">
        <v>305</v>
      </c>
      <c r="D3604" t="s">
        <v>7</v>
      </c>
      <c r="E3604" s="2" t="s">
        <v>12</v>
      </c>
      <c r="F3604">
        <f t="shared" si="56"/>
        <v>604.81500000000005</v>
      </c>
      <c r="G3604" t="s">
        <v>16</v>
      </c>
      <c r="J3604" t="str">
        <f>"08/12/2011 23:45"</f>
        <v>08/12/2011 23:45</v>
      </c>
    </row>
    <row r="3605" spans="1:10" x14ac:dyDescent="0.3">
      <c r="A3605" t="s">
        <v>6</v>
      </c>
      <c r="B3605" t="str">
        <f>"08/13/2011 00:00"</f>
        <v>08/13/2011 00:00</v>
      </c>
      <c r="C3605">
        <v>305</v>
      </c>
      <c r="D3605" t="s">
        <v>7</v>
      </c>
      <c r="E3605" s="2" t="s">
        <v>12</v>
      </c>
      <c r="F3605">
        <f t="shared" si="56"/>
        <v>604.81500000000005</v>
      </c>
      <c r="G3605" t="s">
        <v>16</v>
      </c>
      <c r="J3605" t="str">
        <f>"08/13/2011 23:45"</f>
        <v>08/13/2011 23:45</v>
      </c>
    </row>
    <row r="3606" spans="1:10" x14ac:dyDescent="0.3">
      <c r="A3606" t="s">
        <v>6</v>
      </c>
      <c r="B3606" t="str">
        <f>"08/14/2011 00:00"</f>
        <v>08/14/2011 00:00</v>
      </c>
      <c r="C3606">
        <v>304</v>
      </c>
      <c r="D3606" t="s">
        <v>7</v>
      </c>
      <c r="E3606" s="2" t="s">
        <v>12</v>
      </c>
      <c r="F3606">
        <f t="shared" si="56"/>
        <v>602.83199999999999</v>
      </c>
      <c r="G3606" t="s">
        <v>16</v>
      </c>
      <c r="J3606" t="str">
        <f>"08/14/2011 23:45"</f>
        <v>08/14/2011 23:45</v>
      </c>
    </row>
    <row r="3607" spans="1:10" x14ac:dyDescent="0.3">
      <c r="A3607" t="s">
        <v>6</v>
      </c>
      <c r="B3607" t="str">
        <f>"08/15/2011 00:00"</f>
        <v>08/15/2011 00:00</v>
      </c>
      <c r="C3607">
        <v>274</v>
      </c>
      <c r="D3607" t="s">
        <v>7</v>
      </c>
      <c r="E3607" s="2" t="s">
        <v>12</v>
      </c>
      <c r="F3607">
        <f t="shared" si="56"/>
        <v>543.34199999999998</v>
      </c>
      <c r="G3607" t="s">
        <v>16</v>
      </c>
      <c r="J3607" t="str">
        <f>"08/15/2011 23:45"</f>
        <v>08/15/2011 23:45</v>
      </c>
    </row>
    <row r="3608" spans="1:10" x14ac:dyDescent="0.3">
      <c r="A3608" t="s">
        <v>6</v>
      </c>
      <c r="B3608" t="str">
        <f>"08/16/2011 00:00"</f>
        <v>08/16/2011 00:00</v>
      </c>
      <c r="C3608">
        <v>257</v>
      </c>
      <c r="D3608" t="s">
        <v>7</v>
      </c>
      <c r="E3608" s="2" t="s">
        <v>12</v>
      </c>
      <c r="F3608">
        <f t="shared" si="56"/>
        <v>509.63100000000003</v>
      </c>
      <c r="G3608" t="s">
        <v>16</v>
      </c>
      <c r="J3608" t="str">
        <f>"08/16/2011 23:45"</f>
        <v>08/16/2011 23:45</v>
      </c>
    </row>
    <row r="3609" spans="1:10" x14ac:dyDescent="0.3">
      <c r="A3609" t="s">
        <v>6</v>
      </c>
      <c r="B3609" t="str">
        <f>"08/17/2011 00:00"</f>
        <v>08/17/2011 00:00</v>
      </c>
      <c r="C3609">
        <v>213</v>
      </c>
      <c r="D3609" t="s">
        <v>7</v>
      </c>
      <c r="E3609" s="2" t="s">
        <v>12</v>
      </c>
      <c r="F3609">
        <f t="shared" si="56"/>
        <v>422.37900000000002</v>
      </c>
      <c r="G3609" t="s">
        <v>16</v>
      </c>
      <c r="J3609" t="str">
        <f>"08/17/2011 23:45"</f>
        <v>08/17/2011 23:45</v>
      </c>
    </row>
    <row r="3610" spans="1:10" x14ac:dyDescent="0.3">
      <c r="A3610" t="s">
        <v>6</v>
      </c>
      <c r="B3610" t="str">
        <f>"08/18/2011 00:00"</f>
        <v>08/18/2011 00:00</v>
      </c>
      <c r="C3610">
        <v>177</v>
      </c>
      <c r="D3610" t="s">
        <v>7</v>
      </c>
      <c r="E3610" s="2" t="s">
        <v>12</v>
      </c>
      <c r="F3610">
        <f t="shared" si="56"/>
        <v>350.99100000000004</v>
      </c>
      <c r="G3610" t="s">
        <v>16</v>
      </c>
      <c r="J3610" t="str">
        <f>"08/18/2011 23:45"</f>
        <v>08/18/2011 23:45</v>
      </c>
    </row>
    <row r="3611" spans="1:10" x14ac:dyDescent="0.3">
      <c r="A3611" t="s">
        <v>6</v>
      </c>
      <c r="B3611" t="str">
        <f>"08/19/2011 00:00"</f>
        <v>08/19/2011 00:00</v>
      </c>
      <c r="C3611">
        <v>209</v>
      </c>
      <c r="D3611" t="s">
        <v>7</v>
      </c>
      <c r="E3611" s="2" t="s">
        <v>12</v>
      </c>
      <c r="F3611">
        <f t="shared" si="56"/>
        <v>414.447</v>
      </c>
      <c r="G3611" t="s">
        <v>16</v>
      </c>
      <c r="J3611" t="str">
        <f>"08/19/2011 23:45"</f>
        <v>08/19/2011 23:45</v>
      </c>
    </row>
    <row r="3612" spans="1:10" x14ac:dyDescent="0.3">
      <c r="A3612" t="s">
        <v>6</v>
      </c>
      <c r="B3612" t="str">
        <f>"08/20/2011 00:00"</f>
        <v>08/20/2011 00:00</v>
      </c>
      <c r="C3612">
        <v>227</v>
      </c>
      <c r="D3612" t="s">
        <v>7</v>
      </c>
      <c r="E3612" s="2" t="s">
        <v>12</v>
      </c>
      <c r="F3612">
        <f t="shared" si="56"/>
        <v>450.14100000000002</v>
      </c>
      <c r="G3612" t="s">
        <v>16</v>
      </c>
      <c r="J3612" t="str">
        <f>"08/20/2011 23:45"</f>
        <v>08/20/2011 23:45</v>
      </c>
    </row>
    <row r="3613" spans="1:10" x14ac:dyDescent="0.3">
      <c r="A3613" t="s">
        <v>6</v>
      </c>
      <c r="B3613" t="str">
        <f>"08/21/2011 00:00"</f>
        <v>08/21/2011 00:00</v>
      </c>
      <c r="C3613">
        <v>227</v>
      </c>
      <c r="D3613" t="s">
        <v>7</v>
      </c>
      <c r="E3613" s="2" t="s">
        <v>12</v>
      </c>
      <c r="F3613">
        <f t="shared" si="56"/>
        <v>450.14100000000002</v>
      </c>
      <c r="G3613" t="s">
        <v>16</v>
      </c>
      <c r="J3613" t="str">
        <f>"08/21/2011 23:45"</f>
        <v>08/21/2011 23:45</v>
      </c>
    </row>
    <row r="3614" spans="1:10" x14ac:dyDescent="0.3">
      <c r="A3614" t="s">
        <v>6</v>
      </c>
      <c r="B3614" t="str">
        <f>"08/22/2011 00:00"</f>
        <v>08/22/2011 00:00</v>
      </c>
      <c r="C3614">
        <v>227</v>
      </c>
      <c r="D3614" t="s">
        <v>7</v>
      </c>
      <c r="E3614" s="2" t="s">
        <v>12</v>
      </c>
      <c r="F3614">
        <f t="shared" si="56"/>
        <v>450.14100000000002</v>
      </c>
      <c r="G3614" t="s">
        <v>16</v>
      </c>
      <c r="J3614" t="str">
        <f>"08/22/2011 23:45"</f>
        <v>08/22/2011 23:45</v>
      </c>
    </row>
    <row r="3615" spans="1:10" x14ac:dyDescent="0.3">
      <c r="A3615" t="s">
        <v>6</v>
      </c>
      <c r="B3615" t="str">
        <f>"08/23/2011 00:00"</f>
        <v>08/23/2011 00:00</v>
      </c>
      <c r="C3615">
        <v>227</v>
      </c>
      <c r="D3615" t="s">
        <v>7</v>
      </c>
      <c r="E3615" s="2" t="s">
        <v>12</v>
      </c>
      <c r="F3615">
        <f t="shared" si="56"/>
        <v>450.14100000000002</v>
      </c>
      <c r="G3615" t="s">
        <v>16</v>
      </c>
      <c r="J3615" t="str">
        <f>"08/23/2011 23:45"</f>
        <v>08/23/2011 23:45</v>
      </c>
    </row>
    <row r="3616" spans="1:10" x14ac:dyDescent="0.3">
      <c r="A3616" t="s">
        <v>6</v>
      </c>
      <c r="B3616" t="str">
        <f>"08/24/2011 00:00"</f>
        <v>08/24/2011 00:00</v>
      </c>
      <c r="C3616">
        <v>252</v>
      </c>
      <c r="D3616" t="s">
        <v>7</v>
      </c>
      <c r="E3616" s="2" t="s">
        <v>12</v>
      </c>
      <c r="F3616">
        <f t="shared" si="56"/>
        <v>499.71600000000001</v>
      </c>
      <c r="G3616" t="s">
        <v>16</v>
      </c>
      <c r="J3616" t="str">
        <f>"08/24/2011 23:45"</f>
        <v>08/24/2011 23:45</v>
      </c>
    </row>
    <row r="3617" spans="1:10" x14ac:dyDescent="0.3">
      <c r="A3617" t="s">
        <v>6</v>
      </c>
      <c r="B3617" t="str">
        <f>"08/25/2011 00:00"</f>
        <v>08/25/2011 00:00</v>
      </c>
      <c r="C3617">
        <v>277</v>
      </c>
      <c r="D3617" t="s">
        <v>7</v>
      </c>
      <c r="E3617" s="2" t="s">
        <v>12</v>
      </c>
      <c r="F3617">
        <f t="shared" si="56"/>
        <v>549.29100000000005</v>
      </c>
      <c r="G3617" t="s">
        <v>16</v>
      </c>
      <c r="J3617" t="str">
        <f>"08/25/2011 23:45"</f>
        <v>08/25/2011 23:45</v>
      </c>
    </row>
    <row r="3618" spans="1:10" x14ac:dyDescent="0.3">
      <c r="A3618" t="s">
        <v>6</v>
      </c>
      <c r="B3618" t="str">
        <f>"08/26/2011 00:00"</f>
        <v>08/26/2011 00:00</v>
      </c>
      <c r="C3618">
        <v>277</v>
      </c>
      <c r="D3618" t="s">
        <v>7</v>
      </c>
      <c r="E3618" s="2" t="s">
        <v>12</v>
      </c>
      <c r="F3618">
        <f t="shared" si="56"/>
        <v>549.29100000000005</v>
      </c>
      <c r="G3618" t="s">
        <v>16</v>
      </c>
      <c r="J3618" t="str">
        <f>"08/26/2011 23:45"</f>
        <v>08/26/2011 23:45</v>
      </c>
    </row>
    <row r="3619" spans="1:10" x14ac:dyDescent="0.3">
      <c r="A3619" t="s">
        <v>6</v>
      </c>
      <c r="B3619" t="str">
        <f>"08/27/2011 00:00"</f>
        <v>08/27/2011 00:00</v>
      </c>
      <c r="C3619">
        <v>277</v>
      </c>
      <c r="D3619" t="s">
        <v>7</v>
      </c>
      <c r="E3619" s="2" t="s">
        <v>12</v>
      </c>
      <c r="F3619">
        <f t="shared" si="56"/>
        <v>549.29100000000005</v>
      </c>
      <c r="G3619" t="s">
        <v>16</v>
      </c>
      <c r="J3619" t="str">
        <f>"08/27/2011 23:45"</f>
        <v>08/27/2011 23:45</v>
      </c>
    </row>
    <row r="3620" spans="1:10" x14ac:dyDescent="0.3">
      <c r="A3620" t="s">
        <v>6</v>
      </c>
      <c r="B3620" t="str">
        <f>"08/28/2011 00:00"</f>
        <v>08/28/2011 00:00</v>
      </c>
      <c r="C3620">
        <v>277</v>
      </c>
      <c r="D3620" t="s">
        <v>7</v>
      </c>
      <c r="E3620" s="2" t="s">
        <v>12</v>
      </c>
      <c r="F3620">
        <f t="shared" si="56"/>
        <v>549.29100000000005</v>
      </c>
      <c r="G3620" t="s">
        <v>16</v>
      </c>
      <c r="J3620" t="str">
        <f>"08/28/2011 23:45"</f>
        <v>08/28/2011 23:45</v>
      </c>
    </row>
    <row r="3621" spans="1:10" x14ac:dyDescent="0.3">
      <c r="A3621" t="s">
        <v>6</v>
      </c>
      <c r="B3621" t="str">
        <f>"08/29/2011 00:00"</f>
        <v>08/29/2011 00:00</v>
      </c>
      <c r="C3621">
        <v>277</v>
      </c>
      <c r="D3621" t="s">
        <v>7</v>
      </c>
      <c r="E3621" s="2" t="s">
        <v>12</v>
      </c>
      <c r="F3621">
        <f t="shared" si="56"/>
        <v>549.29100000000005</v>
      </c>
      <c r="G3621" t="s">
        <v>16</v>
      </c>
      <c r="J3621" t="str">
        <f>"08/29/2011 23:45"</f>
        <v>08/29/2011 23:45</v>
      </c>
    </row>
    <row r="3622" spans="1:10" x14ac:dyDescent="0.3">
      <c r="A3622" t="s">
        <v>6</v>
      </c>
      <c r="B3622" t="str">
        <f>"08/30/2011 00:00"</f>
        <v>08/30/2011 00:00</v>
      </c>
      <c r="C3622">
        <v>277</v>
      </c>
      <c r="D3622" t="s">
        <v>7</v>
      </c>
      <c r="E3622" s="2" t="s">
        <v>12</v>
      </c>
      <c r="F3622">
        <f t="shared" si="56"/>
        <v>549.29100000000005</v>
      </c>
      <c r="G3622" t="s">
        <v>16</v>
      </c>
      <c r="J3622" t="str">
        <f>"08/30/2011 23:45"</f>
        <v>08/30/2011 23:45</v>
      </c>
    </row>
    <row r="3623" spans="1:10" x14ac:dyDescent="0.3">
      <c r="A3623" t="s">
        <v>6</v>
      </c>
      <c r="B3623" t="str">
        <f>"08/31/2011 00:00"</f>
        <v>08/31/2011 00:00</v>
      </c>
      <c r="C3623">
        <v>277</v>
      </c>
      <c r="D3623" t="s">
        <v>7</v>
      </c>
      <c r="E3623" s="2" t="s">
        <v>12</v>
      </c>
      <c r="F3623">
        <f t="shared" si="56"/>
        <v>549.29100000000005</v>
      </c>
      <c r="G3623" t="s">
        <v>16</v>
      </c>
      <c r="J3623" t="str">
        <f>"08/31/2011 23:45"</f>
        <v>08/31/2011 23:45</v>
      </c>
    </row>
    <row r="3624" spans="1:10" x14ac:dyDescent="0.3">
      <c r="A3624" t="s">
        <v>6</v>
      </c>
      <c r="B3624" t="str">
        <f>"09/01/2011 00:00"</f>
        <v>09/01/2011 00:00</v>
      </c>
      <c r="C3624">
        <v>277</v>
      </c>
      <c r="D3624" t="s">
        <v>7</v>
      </c>
      <c r="E3624" s="2" t="s">
        <v>12</v>
      </c>
      <c r="F3624">
        <f t="shared" si="56"/>
        <v>549.29100000000005</v>
      </c>
      <c r="G3624" t="s">
        <v>16</v>
      </c>
      <c r="J3624" t="str">
        <f>"09/01/2011 23:45"</f>
        <v>09/01/2011 23:45</v>
      </c>
    </row>
    <row r="3625" spans="1:10" x14ac:dyDescent="0.3">
      <c r="A3625" t="s">
        <v>6</v>
      </c>
      <c r="B3625" t="str">
        <f>"09/02/2011 00:00"</f>
        <v>09/02/2011 00:00</v>
      </c>
      <c r="C3625">
        <v>277</v>
      </c>
      <c r="D3625" t="s">
        <v>7</v>
      </c>
      <c r="E3625" s="2" t="s">
        <v>12</v>
      </c>
      <c r="F3625">
        <f t="shared" si="56"/>
        <v>549.29100000000005</v>
      </c>
      <c r="G3625" t="s">
        <v>16</v>
      </c>
      <c r="J3625" t="str">
        <f>"09/02/2011 23:45"</f>
        <v>09/02/2011 23:45</v>
      </c>
    </row>
    <row r="3626" spans="1:10" x14ac:dyDescent="0.3">
      <c r="A3626" t="s">
        <v>6</v>
      </c>
      <c r="B3626" t="str">
        <f>"09/03/2011 00:00"</f>
        <v>09/03/2011 00:00</v>
      </c>
      <c r="C3626">
        <v>273</v>
      </c>
      <c r="D3626" t="s">
        <v>7</v>
      </c>
      <c r="E3626" s="2" t="s">
        <v>12</v>
      </c>
      <c r="F3626">
        <f t="shared" si="56"/>
        <v>541.35900000000004</v>
      </c>
      <c r="G3626" t="s">
        <v>16</v>
      </c>
      <c r="J3626" t="str">
        <f>"09/03/2011 23:45"</f>
        <v>09/03/2011 23:45</v>
      </c>
    </row>
    <row r="3627" spans="1:10" x14ac:dyDescent="0.3">
      <c r="A3627" t="s">
        <v>6</v>
      </c>
      <c r="B3627" t="str">
        <f>"09/04/2011 00:00"</f>
        <v>09/04/2011 00:00</v>
      </c>
      <c r="C3627">
        <v>274</v>
      </c>
      <c r="D3627" t="s">
        <v>7</v>
      </c>
      <c r="E3627" s="2" t="s">
        <v>12</v>
      </c>
      <c r="F3627">
        <f t="shared" si="56"/>
        <v>543.34199999999998</v>
      </c>
      <c r="G3627" t="s">
        <v>16</v>
      </c>
      <c r="J3627" t="str">
        <f>"09/04/2011 23:45"</f>
        <v>09/04/2011 23:45</v>
      </c>
    </row>
    <row r="3628" spans="1:10" x14ac:dyDescent="0.3">
      <c r="A3628" t="s">
        <v>6</v>
      </c>
      <c r="B3628" t="str">
        <f>"09/05/2011 00:00"</f>
        <v>09/05/2011 00:00</v>
      </c>
      <c r="C3628">
        <v>275</v>
      </c>
      <c r="D3628" t="s">
        <v>7</v>
      </c>
      <c r="E3628" s="2" t="s">
        <v>12</v>
      </c>
      <c r="F3628">
        <f t="shared" si="56"/>
        <v>545.32500000000005</v>
      </c>
      <c r="G3628" t="s">
        <v>16</v>
      </c>
      <c r="J3628" t="str">
        <f>"09/05/2011 23:45"</f>
        <v>09/05/2011 23:45</v>
      </c>
    </row>
    <row r="3629" spans="1:10" x14ac:dyDescent="0.3">
      <c r="A3629" t="s">
        <v>6</v>
      </c>
      <c r="B3629" t="str">
        <f>"09/06/2011 00:00"</f>
        <v>09/06/2011 00:00</v>
      </c>
      <c r="C3629">
        <v>276</v>
      </c>
      <c r="D3629" t="s">
        <v>7</v>
      </c>
      <c r="E3629" s="2" t="s">
        <v>12</v>
      </c>
      <c r="F3629">
        <f t="shared" si="56"/>
        <v>547.30799999999999</v>
      </c>
      <c r="G3629" t="s">
        <v>16</v>
      </c>
      <c r="J3629" t="str">
        <f>"09/06/2011 23:45"</f>
        <v>09/06/2011 23:45</v>
      </c>
    </row>
    <row r="3630" spans="1:10" x14ac:dyDescent="0.3">
      <c r="A3630" t="s">
        <v>6</v>
      </c>
      <c r="B3630" t="str">
        <f>"09/07/2011 00:00"</f>
        <v>09/07/2011 00:00</v>
      </c>
      <c r="C3630">
        <v>245</v>
      </c>
      <c r="D3630" t="s">
        <v>7</v>
      </c>
      <c r="E3630" s="2" t="s">
        <v>12</v>
      </c>
      <c r="F3630">
        <f t="shared" si="56"/>
        <v>485.83500000000004</v>
      </c>
      <c r="G3630" t="s">
        <v>16</v>
      </c>
      <c r="J3630" t="str">
        <f>"09/07/2011 23:45"</f>
        <v>09/07/2011 23:45</v>
      </c>
    </row>
    <row r="3631" spans="1:10" x14ac:dyDescent="0.3">
      <c r="A3631" t="s">
        <v>6</v>
      </c>
      <c r="B3631" t="str">
        <f>"09/08/2011 00:00"</f>
        <v>09/08/2011 00:00</v>
      </c>
      <c r="C3631">
        <v>188</v>
      </c>
      <c r="D3631" t="s">
        <v>7</v>
      </c>
      <c r="E3631" s="2" t="s">
        <v>12</v>
      </c>
      <c r="F3631">
        <f t="shared" si="56"/>
        <v>372.80400000000003</v>
      </c>
      <c r="G3631" t="s">
        <v>16</v>
      </c>
      <c r="J3631" t="str">
        <f>"09/08/2011 23:45"</f>
        <v>09/08/2011 23:45</v>
      </c>
    </row>
    <row r="3632" spans="1:10" x14ac:dyDescent="0.3">
      <c r="A3632" t="s">
        <v>6</v>
      </c>
      <c r="B3632" t="str">
        <f>"09/09/2011 00:00"</f>
        <v>09/09/2011 00:00</v>
      </c>
      <c r="C3632">
        <v>181</v>
      </c>
      <c r="D3632" t="s">
        <v>7</v>
      </c>
      <c r="E3632" s="2" t="s">
        <v>12</v>
      </c>
      <c r="F3632">
        <f t="shared" si="56"/>
        <v>358.923</v>
      </c>
      <c r="G3632" t="s">
        <v>16</v>
      </c>
      <c r="J3632" t="str">
        <f>"09/09/2011 23:45"</f>
        <v>09/09/2011 23:45</v>
      </c>
    </row>
    <row r="3633" spans="1:10" x14ac:dyDescent="0.3">
      <c r="A3633" t="s">
        <v>6</v>
      </c>
      <c r="B3633" t="str">
        <f>"09/10/2011 00:00"</f>
        <v>09/10/2011 00:00</v>
      </c>
      <c r="C3633">
        <v>279</v>
      </c>
      <c r="D3633" t="s">
        <v>7</v>
      </c>
      <c r="E3633" s="2" t="s">
        <v>12</v>
      </c>
      <c r="F3633">
        <f t="shared" si="56"/>
        <v>553.25700000000006</v>
      </c>
      <c r="G3633" t="s">
        <v>16</v>
      </c>
      <c r="J3633" t="str">
        <f>"09/10/2011 23:45"</f>
        <v>09/10/2011 23:45</v>
      </c>
    </row>
    <row r="3634" spans="1:10" x14ac:dyDescent="0.3">
      <c r="A3634" t="s">
        <v>6</v>
      </c>
      <c r="B3634" t="str">
        <f>"09/11/2011 00:00"</f>
        <v>09/11/2011 00:00</v>
      </c>
      <c r="C3634">
        <v>300</v>
      </c>
      <c r="D3634" t="s">
        <v>7</v>
      </c>
      <c r="E3634" s="2" t="s">
        <v>12</v>
      </c>
      <c r="F3634">
        <f t="shared" si="56"/>
        <v>594.9</v>
      </c>
      <c r="G3634" t="s">
        <v>16</v>
      </c>
      <c r="J3634" t="str">
        <f>"09/11/2011 23:45"</f>
        <v>09/11/2011 23:45</v>
      </c>
    </row>
    <row r="3635" spans="1:10" x14ac:dyDescent="0.3">
      <c r="A3635" t="s">
        <v>6</v>
      </c>
      <c r="B3635" t="str">
        <f>"09/12/2011 00:00"</f>
        <v>09/12/2011 00:00</v>
      </c>
      <c r="C3635">
        <v>310</v>
      </c>
      <c r="D3635" t="s">
        <v>7</v>
      </c>
      <c r="E3635" s="2" t="s">
        <v>12</v>
      </c>
      <c r="F3635">
        <f t="shared" si="56"/>
        <v>614.73</v>
      </c>
      <c r="G3635" t="s">
        <v>16</v>
      </c>
      <c r="J3635" t="str">
        <f>"09/12/2011 23:45"</f>
        <v>09/12/2011 23:45</v>
      </c>
    </row>
    <row r="3636" spans="1:10" x14ac:dyDescent="0.3">
      <c r="A3636" t="s">
        <v>6</v>
      </c>
      <c r="B3636" t="str">
        <f>"09/13/2011 00:00"</f>
        <v>09/13/2011 00:00</v>
      </c>
      <c r="C3636">
        <v>322</v>
      </c>
      <c r="D3636" t="s">
        <v>7</v>
      </c>
      <c r="E3636" s="2" t="s">
        <v>12</v>
      </c>
      <c r="F3636">
        <f t="shared" si="56"/>
        <v>638.52600000000007</v>
      </c>
      <c r="G3636" t="s">
        <v>16</v>
      </c>
      <c r="J3636" t="str">
        <f>"09/13/2011 23:45"</f>
        <v>09/13/2011 23:45</v>
      </c>
    </row>
    <row r="3637" spans="1:10" x14ac:dyDescent="0.3">
      <c r="A3637" t="s">
        <v>6</v>
      </c>
      <c r="B3637" t="str">
        <f>"09/14/2011 00:00"</f>
        <v>09/14/2011 00:00</v>
      </c>
      <c r="C3637">
        <v>264</v>
      </c>
      <c r="D3637" t="s">
        <v>7</v>
      </c>
      <c r="E3637" s="2" t="s">
        <v>12</v>
      </c>
      <c r="F3637">
        <f t="shared" si="56"/>
        <v>523.51200000000006</v>
      </c>
      <c r="G3637" t="s">
        <v>16</v>
      </c>
      <c r="J3637" t="str">
        <f>"09/14/2011 23:45"</f>
        <v>09/14/2011 23:45</v>
      </c>
    </row>
    <row r="3638" spans="1:10" x14ac:dyDescent="0.3">
      <c r="A3638" t="s">
        <v>6</v>
      </c>
      <c r="B3638" t="str">
        <f>"09/15/2011 00:00"</f>
        <v>09/15/2011 00:00</v>
      </c>
      <c r="C3638">
        <v>211</v>
      </c>
      <c r="D3638" t="s">
        <v>7</v>
      </c>
      <c r="E3638" s="2" t="s">
        <v>12</v>
      </c>
      <c r="F3638">
        <f t="shared" si="56"/>
        <v>418.41300000000001</v>
      </c>
      <c r="G3638" t="s">
        <v>16</v>
      </c>
      <c r="J3638" t="str">
        <f>"09/15/2011 23:45"</f>
        <v>09/15/2011 23:45</v>
      </c>
    </row>
    <row r="3639" spans="1:10" x14ac:dyDescent="0.3">
      <c r="A3639" t="s">
        <v>6</v>
      </c>
      <c r="B3639" t="str">
        <f>"09/16/2011 00:00"</f>
        <v>09/16/2011 00:00</v>
      </c>
      <c r="C3639">
        <v>201</v>
      </c>
      <c r="D3639" t="s">
        <v>7</v>
      </c>
      <c r="E3639" s="2" t="s">
        <v>12</v>
      </c>
      <c r="F3639">
        <f t="shared" si="56"/>
        <v>398.58300000000003</v>
      </c>
      <c r="G3639" t="s">
        <v>16</v>
      </c>
      <c r="J3639" t="str">
        <f>"09/16/2011 23:45"</f>
        <v>09/16/2011 23:45</v>
      </c>
    </row>
    <row r="3640" spans="1:10" x14ac:dyDescent="0.3">
      <c r="A3640" t="s">
        <v>6</v>
      </c>
      <c r="B3640" t="str">
        <f>"09/17/2011 00:00"</f>
        <v>09/17/2011 00:00</v>
      </c>
      <c r="C3640">
        <v>201</v>
      </c>
      <c r="D3640" t="s">
        <v>7</v>
      </c>
      <c r="E3640" s="2" t="s">
        <v>12</v>
      </c>
      <c r="F3640">
        <f t="shared" si="56"/>
        <v>398.58300000000003</v>
      </c>
      <c r="G3640" t="s">
        <v>16</v>
      </c>
      <c r="J3640" t="str">
        <f>"09/17/2011 23:45"</f>
        <v>09/17/2011 23:45</v>
      </c>
    </row>
    <row r="3641" spans="1:10" x14ac:dyDescent="0.3">
      <c r="A3641" t="s">
        <v>6</v>
      </c>
      <c r="B3641" t="str">
        <f>"09/18/2011 00:00"</f>
        <v>09/18/2011 00:00</v>
      </c>
      <c r="C3641">
        <v>201</v>
      </c>
      <c r="D3641" t="s">
        <v>7</v>
      </c>
      <c r="E3641" s="2" t="s">
        <v>12</v>
      </c>
      <c r="F3641">
        <f t="shared" si="56"/>
        <v>398.58300000000003</v>
      </c>
      <c r="G3641" t="s">
        <v>16</v>
      </c>
      <c r="J3641" t="str">
        <f>"09/18/2011 23:45"</f>
        <v>09/18/2011 23:45</v>
      </c>
    </row>
    <row r="3642" spans="1:10" x14ac:dyDescent="0.3">
      <c r="A3642" t="s">
        <v>6</v>
      </c>
      <c r="B3642" t="str">
        <f>"09/19/2011 00:00"</f>
        <v>09/19/2011 00:00</v>
      </c>
      <c r="C3642">
        <v>171</v>
      </c>
      <c r="D3642" t="s">
        <v>7</v>
      </c>
      <c r="E3642" s="2" t="s">
        <v>12</v>
      </c>
      <c r="F3642">
        <f t="shared" si="56"/>
        <v>339.09300000000002</v>
      </c>
      <c r="G3642" t="s">
        <v>16</v>
      </c>
      <c r="J3642" t="str">
        <f>"09/19/2011 23:45"</f>
        <v>09/19/2011 23:45</v>
      </c>
    </row>
    <row r="3643" spans="1:10" x14ac:dyDescent="0.3">
      <c r="A3643" t="s">
        <v>6</v>
      </c>
      <c r="B3643" t="str">
        <f>"09/20/2011 00:00"</f>
        <v>09/20/2011 00:00</v>
      </c>
      <c r="C3643">
        <v>153</v>
      </c>
      <c r="D3643" t="s">
        <v>7</v>
      </c>
      <c r="E3643" s="2" t="s">
        <v>12</v>
      </c>
      <c r="F3643">
        <f t="shared" si="56"/>
        <v>303.399</v>
      </c>
      <c r="G3643" t="s">
        <v>16</v>
      </c>
      <c r="J3643" t="str">
        <f>"09/20/2011 23:45"</f>
        <v>09/20/2011 23:45</v>
      </c>
    </row>
    <row r="3644" spans="1:10" x14ac:dyDescent="0.3">
      <c r="A3644" t="s">
        <v>6</v>
      </c>
      <c r="B3644" t="str">
        <f>"09/21/2011 00:00"</f>
        <v>09/21/2011 00:00</v>
      </c>
      <c r="C3644">
        <v>149</v>
      </c>
      <c r="D3644" t="s">
        <v>7</v>
      </c>
      <c r="E3644" s="2" t="s">
        <v>12</v>
      </c>
      <c r="F3644">
        <f t="shared" si="56"/>
        <v>295.46700000000004</v>
      </c>
      <c r="G3644" t="s">
        <v>16</v>
      </c>
      <c r="J3644" t="str">
        <f>"09/21/2011 23:45"</f>
        <v>09/21/2011 23:45</v>
      </c>
    </row>
    <row r="3645" spans="1:10" x14ac:dyDescent="0.3">
      <c r="A3645" t="s">
        <v>6</v>
      </c>
      <c r="B3645" t="str">
        <f>"09/22/2011 00:00"</f>
        <v>09/22/2011 00:00</v>
      </c>
      <c r="C3645">
        <v>149</v>
      </c>
      <c r="D3645" t="s">
        <v>7</v>
      </c>
      <c r="E3645" s="2" t="s">
        <v>12</v>
      </c>
      <c r="F3645">
        <f t="shared" si="56"/>
        <v>295.46700000000004</v>
      </c>
      <c r="G3645" t="s">
        <v>16</v>
      </c>
      <c r="J3645" t="str">
        <f>"09/22/2011 23:45"</f>
        <v>09/22/2011 23:45</v>
      </c>
    </row>
    <row r="3646" spans="1:10" x14ac:dyDescent="0.3">
      <c r="A3646" t="s">
        <v>6</v>
      </c>
      <c r="B3646" t="str">
        <f>"09/23/2011 00:00"</f>
        <v>09/23/2011 00:00</v>
      </c>
      <c r="C3646">
        <v>149</v>
      </c>
      <c r="D3646" t="s">
        <v>7</v>
      </c>
      <c r="E3646" s="2" t="s">
        <v>12</v>
      </c>
      <c r="F3646">
        <f t="shared" si="56"/>
        <v>295.46700000000004</v>
      </c>
      <c r="G3646" t="s">
        <v>16</v>
      </c>
      <c r="J3646" t="str">
        <f>"09/23/2011 23:45"</f>
        <v>09/23/2011 23:45</v>
      </c>
    </row>
    <row r="3647" spans="1:10" x14ac:dyDescent="0.3">
      <c r="A3647" t="s">
        <v>6</v>
      </c>
      <c r="B3647" t="str">
        <f>"09/24/2011 00:00"</f>
        <v>09/24/2011 00:00</v>
      </c>
      <c r="C3647">
        <v>148</v>
      </c>
      <c r="D3647" t="s">
        <v>7</v>
      </c>
      <c r="E3647" s="2" t="s">
        <v>12</v>
      </c>
      <c r="F3647">
        <f t="shared" si="56"/>
        <v>293.48400000000004</v>
      </c>
      <c r="G3647" t="s">
        <v>16</v>
      </c>
      <c r="J3647" t="str">
        <f>"09/24/2011 23:45"</f>
        <v>09/24/2011 23:45</v>
      </c>
    </row>
    <row r="3648" spans="1:10" x14ac:dyDescent="0.3">
      <c r="A3648" t="s">
        <v>6</v>
      </c>
      <c r="B3648" t="str">
        <f>"09/25/2011 00:00"</f>
        <v>09/25/2011 00:00</v>
      </c>
      <c r="C3648">
        <v>148</v>
      </c>
      <c r="D3648" t="s">
        <v>7</v>
      </c>
      <c r="E3648" s="2" t="s">
        <v>12</v>
      </c>
      <c r="F3648">
        <f t="shared" si="56"/>
        <v>293.48400000000004</v>
      </c>
      <c r="G3648" t="s">
        <v>16</v>
      </c>
      <c r="J3648" t="str">
        <f>"09/25/2011 23:45"</f>
        <v>09/25/2011 23:45</v>
      </c>
    </row>
    <row r="3649" spans="1:10" x14ac:dyDescent="0.3">
      <c r="A3649" t="s">
        <v>6</v>
      </c>
      <c r="B3649" t="str">
        <f>"09/26/2011 00:00"</f>
        <v>09/26/2011 00:00</v>
      </c>
      <c r="C3649">
        <v>148</v>
      </c>
      <c r="D3649" t="s">
        <v>7</v>
      </c>
      <c r="E3649" s="2" t="s">
        <v>12</v>
      </c>
      <c r="F3649">
        <f t="shared" si="56"/>
        <v>293.48400000000004</v>
      </c>
      <c r="G3649" t="s">
        <v>16</v>
      </c>
      <c r="J3649" t="str">
        <f>"09/26/2011 23:45"</f>
        <v>09/26/2011 23:45</v>
      </c>
    </row>
    <row r="3650" spans="1:10" x14ac:dyDescent="0.3">
      <c r="A3650" t="s">
        <v>6</v>
      </c>
      <c r="B3650" t="str">
        <f>"09/27/2011 00:00"</f>
        <v>09/27/2011 00:00</v>
      </c>
      <c r="C3650">
        <v>148</v>
      </c>
      <c r="D3650" t="s">
        <v>7</v>
      </c>
      <c r="E3650" s="2" t="s">
        <v>12</v>
      </c>
      <c r="F3650">
        <f t="shared" si="56"/>
        <v>293.48400000000004</v>
      </c>
      <c r="G3650" t="s">
        <v>16</v>
      </c>
      <c r="J3650" t="str">
        <f>"09/27/2011 23:45"</f>
        <v>09/27/2011 23:45</v>
      </c>
    </row>
    <row r="3651" spans="1:10" x14ac:dyDescent="0.3">
      <c r="A3651" t="s">
        <v>6</v>
      </c>
      <c r="B3651" t="str">
        <f>"09/28/2011 00:00"</f>
        <v>09/28/2011 00:00</v>
      </c>
      <c r="C3651">
        <v>149</v>
      </c>
      <c r="D3651" t="s">
        <v>7</v>
      </c>
      <c r="E3651" s="2" t="s">
        <v>12</v>
      </c>
      <c r="F3651">
        <f t="shared" si="56"/>
        <v>295.46700000000004</v>
      </c>
      <c r="G3651" t="s">
        <v>16</v>
      </c>
      <c r="J3651" t="str">
        <f>"09/28/2011 23:45"</f>
        <v>09/28/2011 23:45</v>
      </c>
    </row>
    <row r="3652" spans="1:10" x14ac:dyDescent="0.3">
      <c r="A3652" t="s">
        <v>6</v>
      </c>
      <c r="B3652" t="str">
        <f>"09/29/2011 00:00"</f>
        <v>09/29/2011 00:00</v>
      </c>
      <c r="C3652">
        <v>150</v>
      </c>
      <c r="D3652" t="s">
        <v>7</v>
      </c>
      <c r="E3652" s="2" t="s">
        <v>12</v>
      </c>
      <c r="F3652">
        <f t="shared" ref="F3652:F3715" si="57">C3652*1.983</f>
        <v>297.45</v>
      </c>
      <c r="G3652" t="s">
        <v>16</v>
      </c>
      <c r="J3652" t="str">
        <f>"09/29/2011 23:45"</f>
        <v>09/29/2011 23:45</v>
      </c>
    </row>
    <row r="3653" spans="1:10" x14ac:dyDescent="0.3">
      <c r="A3653" t="s">
        <v>6</v>
      </c>
      <c r="B3653" t="str">
        <f>"09/30/2011 00:00"</f>
        <v>09/30/2011 00:00</v>
      </c>
      <c r="C3653">
        <v>149</v>
      </c>
      <c r="D3653" t="s">
        <v>7</v>
      </c>
      <c r="E3653" s="2" t="s">
        <v>12</v>
      </c>
      <c r="F3653">
        <f t="shared" si="57"/>
        <v>295.46700000000004</v>
      </c>
      <c r="G3653" t="s">
        <v>16</v>
      </c>
      <c r="J3653" t="str">
        <f>"09/30/2011 23:45"</f>
        <v>09/30/2011 23:45</v>
      </c>
    </row>
    <row r="3654" spans="1:10" x14ac:dyDescent="0.3">
      <c r="A3654" t="s">
        <v>6</v>
      </c>
      <c r="B3654" t="str">
        <f>"10/01/2011 00:00"</f>
        <v>10/01/2011 00:00</v>
      </c>
      <c r="C3654">
        <v>205</v>
      </c>
      <c r="D3654" t="s">
        <v>7</v>
      </c>
      <c r="E3654" s="2" t="s">
        <v>12</v>
      </c>
      <c r="F3654">
        <f t="shared" si="57"/>
        <v>406.51500000000004</v>
      </c>
      <c r="G3654" t="s">
        <v>16</v>
      </c>
      <c r="J3654" t="str">
        <f>"10/01/2011 23:45"</f>
        <v>10/01/2011 23:45</v>
      </c>
    </row>
    <row r="3655" spans="1:10" x14ac:dyDescent="0.3">
      <c r="A3655" t="s">
        <v>6</v>
      </c>
      <c r="B3655" t="str">
        <f>"10/02/2011 00:00"</f>
        <v>10/02/2011 00:00</v>
      </c>
      <c r="C3655">
        <v>253</v>
      </c>
      <c r="D3655" t="s">
        <v>7</v>
      </c>
      <c r="E3655" s="2" t="s">
        <v>12</v>
      </c>
      <c r="F3655">
        <f t="shared" si="57"/>
        <v>501.69900000000001</v>
      </c>
      <c r="G3655" t="s">
        <v>16</v>
      </c>
      <c r="J3655" t="str">
        <f>"10/02/2011 23:45"</f>
        <v>10/02/2011 23:45</v>
      </c>
    </row>
    <row r="3656" spans="1:10" x14ac:dyDescent="0.3">
      <c r="A3656" t="s">
        <v>6</v>
      </c>
      <c r="B3656" t="str">
        <f>"10/03/2011 00:00"</f>
        <v>10/03/2011 00:00</v>
      </c>
      <c r="C3656">
        <v>253</v>
      </c>
      <c r="D3656" t="s">
        <v>7</v>
      </c>
      <c r="E3656" s="2" t="s">
        <v>12</v>
      </c>
      <c r="F3656">
        <f t="shared" si="57"/>
        <v>501.69900000000001</v>
      </c>
      <c r="G3656" t="s">
        <v>16</v>
      </c>
      <c r="J3656" t="str">
        <f>"10/03/2011 23:45"</f>
        <v>10/03/2011 23:45</v>
      </c>
    </row>
    <row r="3657" spans="1:10" x14ac:dyDescent="0.3">
      <c r="A3657" t="s">
        <v>6</v>
      </c>
      <c r="B3657" t="str">
        <f>"10/04/2011 00:00"</f>
        <v>10/04/2011 00:00</v>
      </c>
      <c r="C3657">
        <v>252</v>
      </c>
      <c r="D3657" t="s">
        <v>7</v>
      </c>
      <c r="E3657" s="2" t="s">
        <v>12</v>
      </c>
      <c r="F3657">
        <f t="shared" si="57"/>
        <v>499.71600000000001</v>
      </c>
      <c r="G3657" t="s">
        <v>16</v>
      </c>
      <c r="J3657" t="str">
        <f>"10/04/2011 23:45"</f>
        <v>10/04/2011 23:45</v>
      </c>
    </row>
    <row r="3658" spans="1:10" x14ac:dyDescent="0.3">
      <c r="A3658" t="s">
        <v>6</v>
      </c>
      <c r="B3658" t="str">
        <f>"10/05/2011 00:00"</f>
        <v>10/05/2011 00:00</v>
      </c>
      <c r="C3658">
        <v>252</v>
      </c>
      <c r="D3658" t="s">
        <v>7</v>
      </c>
      <c r="E3658" s="2" t="s">
        <v>12</v>
      </c>
      <c r="F3658">
        <f t="shared" si="57"/>
        <v>499.71600000000001</v>
      </c>
      <c r="G3658" t="s">
        <v>16</v>
      </c>
      <c r="J3658" t="str">
        <f>"10/05/2011 23:45"</f>
        <v>10/05/2011 23:45</v>
      </c>
    </row>
    <row r="3659" spans="1:10" x14ac:dyDescent="0.3">
      <c r="A3659" t="s">
        <v>6</v>
      </c>
      <c r="B3659" t="str">
        <f>"10/06/2011 00:00"</f>
        <v>10/06/2011 00:00</v>
      </c>
      <c r="C3659">
        <v>252</v>
      </c>
      <c r="D3659" t="s">
        <v>7</v>
      </c>
      <c r="E3659" s="2" t="s">
        <v>12</v>
      </c>
      <c r="F3659">
        <f t="shared" si="57"/>
        <v>499.71600000000001</v>
      </c>
      <c r="G3659" t="s">
        <v>16</v>
      </c>
      <c r="J3659" t="str">
        <f>"10/06/2011 23:45"</f>
        <v>10/06/2011 23:45</v>
      </c>
    </row>
    <row r="3660" spans="1:10" x14ac:dyDescent="0.3">
      <c r="A3660" t="s">
        <v>6</v>
      </c>
      <c r="B3660" t="str">
        <f>"10/07/2011 00:00"</f>
        <v>10/07/2011 00:00</v>
      </c>
      <c r="C3660">
        <v>252</v>
      </c>
      <c r="D3660" t="s">
        <v>7</v>
      </c>
      <c r="E3660" s="2" t="s">
        <v>12</v>
      </c>
      <c r="F3660">
        <f t="shared" si="57"/>
        <v>499.71600000000001</v>
      </c>
      <c r="G3660" t="s">
        <v>16</v>
      </c>
      <c r="J3660" t="str">
        <f>"10/07/2011 23:45"</f>
        <v>10/07/2011 23:45</v>
      </c>
    </row>
    <row r="3661" spans="1:10" x14ac:dyDescent="0.3">
      <c r="A3661" t="s">
        <v>6</v>
      </c>
      <c r="B3661" t="str">
        <f>"10/08/2011 00:00"</f>
        <v>10/08/2011 00:00</v>
      </c>
      <c r="C3661">
        <v>200</v>
      </c>
      <c r="D3661" t="s">
        <v>7</v>
      </c>
      <c r="E3661" s="2" t="s">
        <v>12</v>
      </c>
      <c r="F3661">
        <f t="shared" si="57"/>
        <v>396.6</v>
      </c>
      <c r="G3661" t="s">
        <v>16</v>
      </c>
      <c r="J3661" t="str">
        <f>"10/08/2011 23:45"</f>
        <v>10/08/2011 23:45</v>
      </c>
    </row>
    <row r="3662" spans="1:10" x14ac:dyDescent="0.3">
      <c r="A3662" t="s">
        <v>6</v>
      </c>
      <c r="B3662" t="str">
        <f>"10/09/2011 00:00"</f>
        <v>10/09/2011 00:00</v>
      </c>
      <c r="C3662">
        <v>149</v>
      </c>
      <c r="D3662" t="s">
        <v>7</v>
      </c>
      <c r="E3662" s="2" t="s">
        <v>12</v>
      </c>
      <c r="F3662">
        <f t="shared" si="57"/>
        <v>295.46700000000004</v>
      </c>
      <c r="G3662" t="s">
        <v>16</v>
      </c>
      <c r="J3662" t="str">
        <f>"10/09/2011 23:45"</f>
        <v>10/09/2011 23:45</v>
      </c>
    </row>
    <row r="3663" spans="1:10" x14ac:dyDescent="0.3">
      <c r="A3663" t="s">
        <v>6</v>
      </c>
      <c r="B3663" t="str">
        <f>"10/10/2011 00:00"</f>
        <v>10/10/2011 00:00</v>
      </c>
      <c r="C3663">
        <v>136</v>
      </c>
      <c r="D3663" t="s">
        <v>7</v>
      </c>
      <c r="E3663" s="2" t="s">
        <v>12</v>
      </c>
      <c r="F3663">
        <f t="shared" si="57"/>
        <v>269.68799999999999</v>
      </c>
      <c r="G3663" t="s">
        <v>16</v>
      </c>
      <c r="J3663" t="str">
        <f>"10/10/2011 23:45"</f>
        <v>10/10/2011 23:45</v>
      </c>
    </row>
    <row r="3664" spans="1:10" x14ac:dyDescent="0.3">
      <c r="A3664" t="s">
        <v>6</v>
      </c>
      <c r="B3664" t="str">
        <f>"10/11/2011 00:00"</f>
        <v>10/11/2011 00:00</v>
      </c>
      <c r="C3664">
        <v>125</v>
      </c>
      <c r="D3664" t="s">
        <v>7</v>
      </c>
      <c r="E3664" s="2" t="s">
        <v>12</v>
      </c>
      <c r="F3664">
        <f t="shared" si="57"/>
        <v>247.875</v>
      </c>
      <c r="G3664" t="s">
        <v>16</v>
      </c>
      <c r="J3664" t="str">
        <f>"10/11/2011 23:45"</f>
        <v>10/11/2011 23:45</v>
      </c>
    </row>
    <row r="3665" spans="1:10" x14ac:dyDescent="0.3">
      <c r="A3665" t="s">
        <v>6</v>
      </c>
      <c r="B3665" t="str">
        <f>"10/12/2011 00:00"</f>
        <v>10/12/2011 00:00</v>
      </c>
      <c r="C3665">
        <v>125</v>
      </c>
      <c r="D3665" t="s">
        <v>7</v>
      </c>
      <c r="E3665" s="2" t="s">
        <v>12</v>
      </c>
      <c r="F3665">
        <f t="shared" si="57"/>
        <v>247.875</v>
      </c>
      <c r="G3665" t="s">
        <v>16</v>
      </c>
      <c r="J3665" t="str">
        <f>"10/12/2011 23:45"</f>
        <v>10/12/2011 23:45</v>
      </c>
    </row>
    <row r="3666" spans="1:10" x14ac:dyDescent="0.3">
      <c r="A3666" t="s">
        <v>6</v>
      </c>
      <c r="B3666" t="str">
        <f>"10/13/2011 00:00"</f>
        <v>10/13/2011 00:00</v>
      </c>
      <c r="C3666">
        <v>125</v>
      </c>
      <c r="D3666" t="s">
        <v>7</v>
      </c>
      <c r="E3666" s="2" t="s">
        <v>12</v>
      </c>
      <c r="F3666">
        <f t="shared" si="57"/>
        <v>247.875</v>
      </c>
      <c r="G3666" t="s">
        <v>16</v>
      </c>
      <c r="J3666" t="str">
        <f>"10/13/2011 23:45"</f>
        <v>10/13/2011 23:45</v>
      </c>
    </row>
    <row r="3667" spans="1:10" x14ac:dyDescent="0.3">
      <c r="A3667" t="s">
        <v>6</v>
      </c>
      <c r="B3667" t="str">
        <f>"10/14/2011 00:00"</f>
        <v>10/14/2011 00:00</v>
      </c>
      <c r="C3667">
        <v>125</v>
      </c>
      <c r="D3667" t="s">
        <v>7</v>
      </c>
      <c r="E3667" s="2" t="s">
        <v>12</v>
      </c>
      <c r="F3667">
        <f t="shared" si="57"/>
        <v>247.875</v>
      </c>
      <c r="G3667" t="s">
        <v>16</v>
      </c>
      <c r="J3667" t="str">
        <f>"10/14/2011 23:45"</f>
        <v>10/14/2011 23:45</v>
      </c>
    </row>
    <row r="3668" spans="1:10" x14ac:dyDescent="0.3">
      <c r="A3668" t="s">
        <v>6</v>
      </c>
      <c r="B3668" t="str">
        <f>"10/15/2011 00:00"</f>
        <v>10/15/2011 00:00</v>
      </c>
      <c r="C3668">
        <v>125</v>
      </c>
      <c r="D3668" t="s">
        <v>7</v>
      </c>
      <c r="E3668" s="2" t="s">
        <v>12</v>
      </c>
      <c r="F3668">
        <f t="shared" si="57"/>
        <v>247.875</v>
      </c>
      <c r="G3668" t="s">
        <v>16</v>
      </c>
      <c r="J3668" t="str">
        <f>"10/15/2011 23:45"</f>
        <v>10/15/2011 23:45</v>
      </c>
    </row>
    <row r="3669" spans="1:10" x14ac:dyDescent="0.3">
      <c r="A3669" t="s">
        <v>6</v>
      </c>
      <c r="B3669" t="str">
        <f>"10/16/2011 00:00"</f>
        <v>10/16/2011 00:00</v>
      </c>
      <c r="C3669">
        <v>125</v>
      </c>
      <c r="D3669" t="s">
        <v>7</v>
      </c>
      <c r="E3669" s="2" t="s">
        <v>12</v>
      </c>
      <c r="F3669">
        <f t="shared" si="57"/>
        <v>247.875</v>
      </c>
      <c r="G3669" t="s">
        <v>16</v>
      </c>
      <c r="J3669" t="str">
        <f>"10/16/2011 23:45"</f>
        <v>10/16/2011 23:45</v>
      </c>
    </row>
    <row r="3670" spans="1:10" x14ac:dyDescent="0.3">
      <c r="A3670" t="s">
        <v>6</v>
      </c>
      <c r="B3670" t="str">
        <f>"10/17/2011 00:00"</f>
        <v>10/17/2011 00:00</v>
      </c>
      <c r="C3670">
        <v>125</v>
      </c>
      <c r="D3670" t="s">
        <v>7</v>
      </c>
      <c r="E3670" s="2" t="s">
        <v>12</v>
      </c>
      <c r="F3670">
        <f t="shared" si="57"/>
        <v>247.875</v>
      </c>
      <c r="G3670" t="s">
        <v>16</v>
      </c>
      <c r="J3670" t="str">
        <f>"10/17/2011 23:45"</f>
        <v>10/17/2011 23:45</v>
      </c>
    </row>
    <row r="3671" spans="1:10" x14ac:dyDescent="0.3">
      <c r="A3671" t="s">
        <v>6</v>
      </c>
      <c r="B3671" t="str">
        <f>"10/18/2011 00:00"</f>
        <v>10/18/2011 00:00</v>
      </c>
      <c r="C3671">
        <v>125</v>
      </c>
      <c r="D3671" t="s">
        <v>7</v>
      </c>
      <c r="E3671" s="2" t="s">
        <v>12</v>
      </c>
      <c r="F3671">
        <f t="shared" si="57"/>
        <v>247.875</v>
      </c>
      <c r="G3671" t="s">
        <v>16</v>
      </c>
      <c r="J3671" t="str">
        <f>"10/18/2011 23:45"</f>
        <v>10/18/2011 23:45</v>
      </c>
    </row>
    <row r="3672" spans="1:10" x14ac:dyDescent="0.3">
      <c r="A3672" t="s">
        <v>6</v>
      </c>
      <c r="B3672" t="str">
        <f>"10/19/2011 00:00"</f>
        <v>10/19/2011 00:00</v>
      </c>
      <c r="C3672">
        <v>95.5</v>
      </c>
      <c r="D3672" t="s">
        <v>7</v>
      </c>
      <c r="E3672" s="2" t="s">
        <v>12</v>
      </c>
      <c r="F3672">
        <f t="shared" si="57"/>
        <v>189.37650000000002</v>
      </c>
      <c r="G3672" t="s">
        <v>16</v>
      </c>
      <c r="J3672" t="str">
        <f>"10/19/2011 23:45"</f>
        <v>10/19/2011 23:45</v>
      </c>
    </row>
    <row r="3673" spans="1:10" x14ac:dyDescent="0.3">
      <c r="A3673" t="s">
        <v>6</v>
      </c>
      <c r="B3673" t="str">
        <f>"10/20/2011 00:00"</f>
        <v>10/20/2011 00:00</v>
      </c>
      <c r="C3673">
        <v>74.7</v>
      </c>
      <c r="D3673" t="s">
        <v>7</v>
      </c>
      <c r="E3673" s="2" t="s">
        <v>12</v>
      </c>
      <c r="F3673">
        <f t="shared" si="57"/>
        <v>148.1301</v>
      </c>
      <c r="G3673" t="s">
        <v>16</v>
      </c>
      <c r="J3673" t="str">
        <f>"10/20/2011 23:45"</f>
        <v>10/20/2011 23:45</v>
      </c>
    </row>
    <row r="3674" spans="1:10" x14ac:dyDescent="0.3">
      <c r="A3674" t="s">
        <v>6</v>
      </c>
      <c r="B3674" t="str">
        <f>"10/21/2011 00:00"</f>
        <v>10/21/2011 00:00</v>
      </c>
      <c r="C3674">
        <v>118</v>
      </c>
      <c r="D3674" t="s">
        <v>7</v>
      </c>
      <c r="E3674" s="2" t="s">
        <v>12</v>
      </c>
      <c r="F3674">
        <f t="shared" si="57"/>
        <v>233.994</v>
      </c>
      <c r="G3674" t="s">
        <v>16</v>
      </c>
      <c r="J3674" t="str">
        <f>"10/21/2011 23:45"</f>
        <v>10/21/2011 23:45</v>
      </c>
    </row>
    <row r="3675" spans="1:10" x14ac:dyDescent="0.3">
      <c r="A3675" t="s">
        <v>6</v>
      </c>
      <c r="B3675" t="str">
        <f>"10/22/2011 00:00"</f>
        <v>10/22/2011 00:00</v>
      </c>
      <c r="C3675">
        <v>149</v>
      </c>
      <c r="D3675" t="s">
        <v>7</v>
      </c>
      <c r="E3675" s="2" t="s">
        <v>12</v>
      </c>
      <c r="F3675">
        <f t="shared" si="57"/>
        <v>295.46700000000004</v>
      </c>
      <c r="G3675" t="s">
        <v>16</v>
      </c>
      <c r="J3675" t="str">
        <f>"10/22/2011 23:45"</f>
        <v>10/22/2011 23:45</v>
      </c>
    </row>
    <row r="3676" spans="1:10" x14ac:dyDescent="0.3">
      <c r="A3676" t="s">
        <v>6</v>
      </c>
      <c r="B3676" t="str">
        <f>"10/23/2011 00:00"</f>
        <v>10/23/2011 00:00</v>
      </c>
      <c r="C3676">
        <v>148</v>
      </c>
      <c r="D3676" t="s">
        <v>7</v>
      </c>
      <c r="E3676" s="2" t="s">
        <v>12</v>
      </c>
      <c r="F3676">
        <f t="shared" si="57"/>
        <v>293.48400000000004</v>
      </c>
      <c r="G3676" t="s">
        <v>16</v>
      </c>
      <c r="J3676" t="str">
        <f>"10/23/2011 23:45"</f>
        <v>10/23/2011 23:45</v>
      </c>
    </row>
    <row r="3677" spans="1:10" x14ac:dyDescent="0.3">
      <c r="A3677" t="s">
        <v>6</v>
      </c>
      <c r="B3677" t="str">
        <f>"10/24/2011 00:00"</f>
        <v>10/24/2011 00:00</v>
      </c>
      <c r="C3677">
        <v>125</v>
      </c>
      <c r="D3677" t="s">
        <v>7</v>
      </c>
      <c r="E3677" s="2" t="s">
        <v>12</v>
      </c>
      <c r="F3677">
        <f t="shared" si="57"/>
        <v>247.875</v>
      </c>
      <c r="G3677" t="s">
        <v>16</v>
      </c>
      <c r="J3677" t="str">
        <f>"10/24/2011 23:45"</f>
        <v>10/24/2011 23:45</v>
      </c>
    </row>
    <row r="3678" spans="1:10" x14ac:dyDescent="0.3">
      <c r="A3678" t="s">
        <v>6</v>
      </c>
      <c r="B3678" t="str">
        <f>"10/25/2011 00:00"</f>
        <v>10/25/2011 00:00</v>
      </c>
      <c r="C3678">
        <v>110</v>
      </c>
      <c r="D3678" t="s">
        <v>7</v>
      </c>
      <c r="E3678" s="2" t="s">
        <v>12</v>
      </c>
      <c r="F3678">
        <f t="shared" si="57"/>
        <v>218.13000000000002</v>
      </c>
      <c r="G3678" t="s">
        <v>16</v>
      </c>
      <c r="J3678" t="str">
        <f>"10/25/2011 23:45"</f>
        <v>10/25/2011 23:45</v>
      </c>
    </row>
    <row r="3679" spans="1:10" x14ac:dyDescent="0.3">
      <c r="A3679" t="s">
        <v>6</v>
      </c>
      <c r="B3679" t="str">
        <f>"10/26/2011 00:00"</f>
        <v>10/26/2011 00:00</v>
      </c>
      <c r="C3679">
        <v>110</v>
      </c>
      <c r="D3679" t="s">
        <v>7</v>
      </c>
      <c r="E3679" s="2" t="s">
        <v>12</v>
      </c>
      <c r="F3679">
        <f t="shared" si="57"/>
        <v>218.13000000000002</v>
      </c>
      <c r="G3679" t="s">
        <v>16</v>
      </c>
      <c r="J3679" t="str">
        <f>"10/26/2011 23:45"</f>
        <v>10/26/2011 23:45</v>
      </c>
    </row>
    <row r="3680" spans="1:10" x14ac:dyDescent="0.3">
      <c r="A3680" t="s">
        <v>6</v>
      </c>
      <c r="B3680" t="str">
        <f>"10/27/2011 00:00"</f>
        <v>10/27/2011 00:00</v>
      </c>
      <c r="C3680">
        <v>110</v>
      </c>
      <c r="D3680" t="s">
        <v>7</v>
      </c>
      <c r="E3680" s="2" t="s">
        <v>12</v>
      </c>
      <c r="F3680">
        <f t="shared" si="57"/>
        <v>218.13000000000002</v>
      </c>
      <c r="G3680" t="s">
        <v>16</v>
      </c>
      <c r="J3680" t="str">
        <f>"10/27/2011 23:45"</f>
        <v>10/27/2011 23:45</v>
      </c>
    </row>
    <row r="3681" spans="1:10" x14ac:dyDescent="0.3">
      <c r="A3681" t="s">
        <v>6</v>
      </c>
      <c r="B3681" t="str">
        <f>"10/28/2011 00:00"</f>
        <v>10/28/2011 00:00</v>
      </c>
      <c r="C3681">
        <v>72.099999999999994</v>
      </c>
      <c r="D3681" t="s">
        <v>7</v>
      </c>
      <c r="E3681" s="2" t="s">
        <v>12</v>
      </c>
      <c r="F3681">
        <f t="shared" si="57"/>
        <v>142.9743</v>
      </c>
      <c r="G3681" t="s">
        <v>16</v>
      </c>
      <c r="J3681" t="str">
        <f>"10/28/2011 23:45"</f>
        <v>10/28/2011 23:45</v>
      </c>
    </row>
    <row r="3682" spans="1:10" x14ac:dyDescent="0.3">
      <c r="A3682" t="s">
        <v>6</v>
      </c>
      <c r="B3682" t="str">
        <f>"10/29/2011 00:00"</f>
        <v>10/29/2011 00:00</v>
      </c>
      <c r="C3682">
        <v>70.099999999999994</v>
      </c>
      <c r="D3682" t="s">
        <v>7</v>
      </c>
      <c r="E3682" s="2" t="s">
        <v>12</v>
      </c>
      <c r="F3682">
        <f t="shared" si="57"/>
        <v>139.00829999999999</v>
      </c>
      <c r="G3682" t="s">
        <v>16</v>
      </c>
      <c r="J3682" t="str">
        <f>"10/29/2011 23:45"</f>
        <v>10/29/2011 23:45</v>
      </c>
    </row>
    <row r="3683" spans="1:10" x14ac:dyDescent="0.3">
      <c r="A3683" t="s">
        <v>6</v>
      </c>
      <c r="B3683" t="str">
        <f>"10/30/2011 00:00"</f>
        <v>10/30/2011 00:00</v>
      </c>
      <c r="C3683">
        <v>69.8</v>
      </c>
      <c r="D3683" t="s">
        <v>7</v>
      </c>
      <c r="E3683" s="2" t="s">
        <v>12</v>
      </c>
      <c r="F3683">
        <f t="shared" si="57"/>
        <v>138.4134</v>
      </c>
      <c r="G3683" t="s">
        <v>16</v>
      </c>
      <c r="J3683" t="str">
        <f>"10/30/2011 23:45"</f>
        <v>10/30/2011 23:45</v>
      </c>
    </row>
    <row r="3684" spans="1:10" x14ac:dyDescent="0.3">
      <c r="A3684" t="s">
        <v>6</v>
      </c>
      <c r="B3684" t="str">
        <f>"10/31/2011 00:00"</f>
        <v>10/31/2011 00:00</v>
      </c>
      <c r="C3684">
        <v>68</v>
      </c>
      <c r="D3684" t="s">
        <v>7</v>
      </c>
      <c r="E3684" s="2" t="s">
        <v>12</v>
      </c>
      <c r="F3684">
        <f t="shared" si="57"/>
        <v>134.84399999999999</v>
      </c>
      <c r="G3684" t="s">
        <v>16</v>
      </c>
      <c r="J3684" t="str">
        <f>"10/31/2011 23:45"</f>
        <v>10/31/2011 23:45</v>
      </c>
    </row>
    <row r="3685" spans="1:10" x14ac:dyDescent="0.3">
      <c r="A3685" t="s">
        <v>6</v>
      </c>
      <c r="B3685" t="str">
        <f>"11/01/2011 00:00"</f>
        <v>11/01/2011 00:00</v>
      </c>
      <c r="C3685">
        <v>67.8</v>
      </c>
      <c r="D3685" t="s">
        <v>7</v>
      </c>
      <c r="E3685" s="2" t="s">
        <v>12</v>
      </c>
      <c r="F3685">
        <f t="shared" si="57"/>
        <v>134.44739999999999</v>
      </c>
      <c r="G3685" t="s">
        <v>16</v>
      </c>
      <c r="J3685" t="str">
        <f>"11/01/2011 23:45"</f>
        <v>11/01/2011 23:45</v>
      </c>
    </row>
    <row r="3686" spans="1:10" x14ac:dyDescent="0.3">
      <c r="A3686" t="s">
        <v>6</v>
      </c>
      <c r="B3686" t="str">
        <f>"11/02/2011 00:00"</f>
        <v>11/02/2011 00:00</v>
      </c>
      <c r="C3686">
        <v>70.2</v>
      </c>
      <c r="D3686" t="s">
        <v>7</v>
      </c>
      <c r="E3686" s="2" t="s">
        <v>12</v>
      </c>
      <c r="F3686">
        <f t="shared" si="57"/>
        <v>139.20660000000001</v>
      </c>
      <c r="G3686" t="s">
        <v>16</v>
      </c>
      <c r="J3686" t="str">
        <f>"11/02/2011 23:45"</f>
        <v>11/02/2011 23:45</v>
      </c>
    </row>
    <row r="3687" spans="1:10" x14ac:dyDescent="0.3">
      <c r="A3687" t="s">
        <v>6</v>
      </c>
      <c r="B3687" t="str">
        <f>"11/03/2011 00:00"</f>
        <v>11/03/2011 00:00</v>
      </c>
      <c r="C3687">
        <v>70.099999999999994</v>
      </c>
      <c r="D3687" t="s">
        <v>7</v>
      </c>
      <c r="E3687" s="2" t="s">
        <v>12</v>
      </c>
      <c r="F3687">
        <f t="shared" si="57"/>
        <v>139.00829999999999</v>
      </c>
      <c r="G3687" t="s">
        <v>16</v>
      </c>
      <c r="J3687" t="str">
        <f>"11/03/2011 23:45"</f>
        <v>11/03/2011 23:45</v>
      </c>
    </row>
    <row r="3688" spans="1:10" x14ac:dyDescent="0.3">
      <c r="A3688" t="s">
        <v>6</v>
      </c>
      <c r="B3688" t="str">
        <f>"11/04/2011 00:00"</f>
        <v>11/04/2011 00:00</v>
      </c>
      <c r="C3688">
        <v>70.3</v>
      </c>
      <c r="D3688" t="s">
        <v>7</v>
      </c>
      <c r="E3688" s="2" t="s">
        <v>12</v>
      </c>
      <c r="F3688">
        <f t="shared" si="57"/>
        <v>139.4049</v>
      </c>
      <c r="G3688" t="s">
        <v>16</v>
      </c>
      <c r="J3688" t="str">
        <f>"11/04/2011 23:45"</f>
        <v>11/04/2011 23:45</v>
      </c>
    </row>
    <row r="3689" spans="1:10" x14ac:dyDescent="0.3">
      <c r="A3689" t="s">
        <v>6</v>
      </c>
      <c r="B3689" t="str">
        <f>"11/05/2011 00:00"</f>
        <v>11/05/2011 00:00</v>
      </c>
      <c r="C3689">
        <v>70.3</v>
      </c>
      <c r="D3689" t="s">
        <v>7</v>
      </c>
      <c r="E3689" s="2" t="s">
        <v>12</v>
      </c>
      <c r="F3689">
        <f t="shared" si="57"/>
        <v>139.4049</v>
      </c>
      <c r="G3689" t="s">
        <v>16</v>
      </c>
      <c r="J3689" t="str">
        <f>"11/05/2011 23:45"</f>
        <v>11/05/2011 23:45</v>
      </c>
    </row>
    <row r="3690" spans="1:10" x14ac:dyDescent="0.3">
      <c r="A3690" t="s">
        <v>6</v>
      </c>
      <c r="B3690" t="str">
        <f>"11/06/2011 00:00"</f>
        <v>11/06/2011 00:00</v>
      </c>
      <c r="C3690">
        <v>70.8</v>
      </c>
      <c r="D3690" t="s">
        <v>7</v>
      </c>
      <c r="E3690" s="2" t="s">
        <v>12</v>
      </c>
      <c r="F3690">
        <f t="shared" si="57"/>
        <v>140.3964</v>
      </c>
      <c r="G3690" t="s">
        <v>16</v>
      </c>
      <c r="J3690" t="str">
        <f>"11/06/2011 23:45"</f>
        <v>11/06/2011 23:45</v>
      </c>
    </row>
    <row r="3691" spans="1:10" x14ac:dyDescent="0.3">
      <c r="A3691" t="s">
        <v>6</v>
      </c>
      <c r="B3691" t="str">
        <f>"11/07/2011 00:00"</f>
        <v>11/07/2011 00:00</v>
      </c>
      <c r="C3691">
        <v>71.2</v>
      </c>
      <c r="D3691" t="s">
        <v>7</v>
      </c>
      <c r="E3691" s="2" t="s">
        <v>12</v>
      </c>
      <c r="F3691">
        <f t="shared" si="57"/>
        <v>141.18960000000001</v>
      </c>
      <c r="G3691" t="s">
        <v>16</v>
      </c>
      <c r="J3691" t="str">
        <f>"11/07/2011 23:45"</f>
        <v>11/07/2011 23:45</v>
      </c>
    </row>
    <row r="3692" spans="1:10" x14ac:dyDescent="0.3">
      <c r="A3692" t="s">
        <v>6</v>
      </c>
      <c r="B3692" t="str">
        <f>"11/08/2011 00:00"</f>
        <v>11/08/2011 00:00</v>
      </c>
      <c r="C3692">
        <v>71</v>
      </c>
      <c r="D3692" t="s">
        <v>7</v>
      </c>
      <c r="E3692" s="2" t="s">
        <v>12</v>
      </c>
      <c r="F3692">
        <f t="shared" si="57"/>
        <v>140.79300000000001</v>
      </c>
      <c r="G3692" t="s">
        <v>16</v>
      </c>
      <c r="J3692" t="str">
        <f>"11/08/2011 23:45"</f>
        <v>11/08/2011 23:45</v>
      </c>
    </row>
    <row r="3693" spans="1:10" x14ac:dyDescent="0.3">
      <c r="A3693" t="s">
        <v>6</v>
      </c>
      <c r="B3693" t="str">
        <f>"11/09/2011 00:00"</f>
        <v>11/09/2011 00:00</v>
      </c>
      <c r="C3693">
        <v>71.5</v>
      </c>
      <c r="D3693" t="s">
        <v>7</v>
      </c>
      <c r="E3693" s="2" t="s">
        <v>12</v>
      </c>
      <c r="F3693">
        <f t="shared" si="57"/>
        <v>141.78450000000001</v>
      </c>
      <c r="G3693" t="s">
        <v>16</v>
      </c>
      <c r="J3693" t="str">
        <f>"11/09/2011 23:45"</f>
        <v>11/09/2011 23:45</v>
      </c>
    </row>
    <row r="3694" spans="1:10" x14ac:dyDescent="0.3">
      <c r="A3694" t="s">
        <v>6</v>
      </c>
      <c r="B3694" t="str">
        <f>"11/10/2011 00:00"</f>
        <v>11/10/2011 00:00</v>
      </c>
      <c r="C3694">
        <v>112</v>
      </c>
      <c r="D3694" t="s">
        <v>7</v>
      </c>
      <c r="E3694" s="2" t="s">
        <v>12</v>
      </c>
      <c r="F3694">
        <f t="shared" si="57"/>
        <v>222.096</v>
      </c>
      <c r="G3694" t="s">
        <v>16</v>
      </c>
      <c r="J3694" t="str">
        <f>"11/10/2011 23:45"</f>
        <v>11/10/2011 23:45</v>
      </c>
    </row>
    <row r="3695" spans="1:10" x14ac:dyDescent="0.3">
      <c r="A3695" t="s">
        <v>6</v>
      </c>
      <c r="B3695" t="str">
        <f>"11/11/2011 00:00"</f>
        <v>11/11/2011 00:00</v>
      </c>
      <c r="C3695">
        <v>144</v>
      </c>
      <c r="D3695" t="s">
        <v>7</v>
      </c>
      <c r="E3695" s="2" t="s">
        <v>12</v>
      </c>
      <c r="F3695">
        <f t="shared" si="57"/>
        <v>285.55200000000002</v>
      </c>
      <c r="G3695" t="s">
        <v>16</v>
      </c>
      <c r="J3695" t="str">
        <f>"11/11/2011 23:45"</f>
        <v>11/11/2011 23:45</v>
      </c>
    </row>
    <row r="3696" spans="1:10" x14ac:dyDescent="0.3">
      <c r="A3696" t="s">
        <v>6</v>
      </c>
      <c r="B3696" t="str">
        <f>"11/12/2011 00:00"</f>
        <v>11/12/2011 00:00</v>
      </c>
      <c r="C3696">
        <v>120</v>
      </c>
      <c r="D3696" t="s">
        <v>7</v>
      </c>
      <c r="E3696" s="2" t="s">
        <v>12</v>
      </c>
      <c r="F3696">
        <f t="shared" si="57"/>
        <v>237.96</v>
      </c>
      <c r="G3696" t="s">
        <v>16</v>
      </c>
      <c r="J3696" t="str">
        <f>"11/12/2011 23:45"</f>
        <v>11/12/2011 23:45</v>
      </c>
    </row>
    <row r="3697" spans="1:10" x14ac:dyDescent="0.3">
      <c r="A3697" t="s">
        <v>6</v>
      </c>
      <c r="B3697" t="str">
        <f>"11/13/2011 00:00"</f>
        <v>11/13/2011 00:00</v>
      </c>
      <c r="C3697">
        <v>100</v>
      </c>
      <c r="D3697" t="s">
        <v>7</v>
      </c>
      <c r="E3697" s="2" t="s">
        <v>12</v>
      </c>
      <c r="F3697">
        <f t="shared" si="57"/>
        <v>198.3</v>
      </c>
      <c r="G3697" t="s">
        <v>16</v>
      </c>
      <c r="J3697" t="str">
        <f>"11/13/2011 23:45"</f>
        <v>11/13/2011 23:45</v>
      </c>
    </row>
    <row r="3698" spans="1:10" x14ac:dyDescent="0.3">
      <c r="A3698" t="s">
        <v>6</v>
      </c>
      <c r="B3698" t="str">
        <f>"11/14/2011 00:00"</f>
        <v>11/14/2011 00:00</v>
      </c>
      <c r="C3698">
        <v>99.2</v>
      </c>
      <c r="D3698" t="s">
        <v>7</v>
      </c>
      <c r="E3698" s="2" t="s">
        <v>12</v>
      </c>
      <c r="F3698">
        <f t="shared" si="57"/>
        <v>196.71360000000001</v>
      </c>
      <c r="G3698" t="s">
        <v>16</v>
      </c>
      <c r="J3698" t="str">
        <f>"11/14/2011 23:45"</f>
        <v>11/14/2011 23:45</v>
      </c>
    </row>
    <row r="3699" spans="1:10" x14ac:dyDescent="0.3">
      <c r="A3699" t="s">
        <v>6</v>
      </c>
      <c r="B3699" t="str">
        <f>"11/15/2011 00:00"</f>
        <v>11/15/2011 00:00</v>
      </c>
      <c r="C3699">
        <v>99.1</v>
      </c>
      <c r="D3699" t="s">
        <v>7</v>
      </c>
      <c r="E3699" s="2" t="s">
        <v>12</v>
      </c>
      <c r="F3699">
        <f t="shared" si="57"/>
        <v>196.5153</v>
      </c>
      <c r="G3699" t="s">
        <v>16</v>
      </c>
      <c r="J3699" t="str">
        <f>"11/15/2011 23:45"</f>
        <v>11/15/2011 23:45</v>
      </c>
    </row>
    <row r="3700" spans="1:10" x14ac:dyDescent="0.3">
      <c r="A3700" t="s">
        <v>6</v>
      </c>
      <c r="B3700" t="str">
        <f>"11/16/2011 00:00"</f>
        <v>11/16/2011 00:00</v>
      </c>
      <c r="C3700">
        <v>99.3</v>
      </c>
      <c r="D3700" t="s">
        <v>7</v>
      </c>
      <c r="E3700" s="2" t="s">
        <v>12</v>
      </c>
      <c r="F3700">
        <f t="shared" si="57"/>
        <v>196.9119</v>
      </c>
      <c r="G3700" t="s">
        <v>16</v>
      </c>
      <c r="J3700" t="str">
        <f>"11/16/2011 23:45"</f>
        <v>11/16/2011 23:45</v>
      </c>
    </row>
    <row r="3701" spans="1:10" x14ac:dyDescent="0.3">
      <c r="A3701" t="s">
        <v>6</v>
      </c>
      <c r="B3701" t="str">
        <f>"11/17/2011 00:00"</f>
        <v>11/17/2011 00:00</v>
      </c>
      <c r="C3701">
        <v>99.4</v>
      </c>
      <c r="D3701" t="s">
        <v>7</v>
      </c>
      <c r="E3701" s="2" t="s">
        <v>12</v>
      </c>
      <c r="F3701">
        <f t="shared" si="57"/>
        <v>197.11020000000002</v>
      </c>
      <c r="G3701" t="s">
        <v>16</v>
      </c>
      <c r="J3701" t="str">
        <f>"11/17/2011 23:45"</f>
        <v>11/17/2011 23:45</v>
      </c>
    </row>
    <row r="3702" spans="1:10" x14ac:dyDescent="0.3">
      <c r="A3702" t="s">
        <v>6</v>
      </c>
      <c r="B3702" t="str">
        <f>"11/18/2011 00:00"</f>
        <v>11/18/2011 00:00</v>
      </c>
      <c r="C3702">
        <v>99.4</v>
      </c>
      <c r="D3702" t="s">
        <v>7</v>
      </c>
      <c r="E3702" s="2" t="s">
        <v>12</v>
      </c>
      <c r="F3702">
        <f t="shared" si="57"/>
        <v>197.11020000000002</v>
      </c>
      <c r="G3702" t="s">
        <v>16</v>
      </c>
      <c r="J3702" t="str">
        <f>"11/18/2011 23:45"</f>
        <v>11/18/2011 23:45</v>
      </c>
    </row>
    <row r="3703" spans="1:10" x14ac:dyDescent="0.3">
      <c r="A3703" t="s">
        <v>6</v>
      </c>
      <c r="B3703" t="str">
        <f>"11/19/2011 00:00"</f>
        <v>11/19/2011 00:00</v>
      </c>
      <c r="C3703">
        <v>99.4</v>
      </c>
      <c r="D3703" t="s">
        <v>7</v>
      </c>
      <c r="E3703" s="2" t="s">
        <v>12</v>
      </c>
      <c r="F3703">
        <f t="shared" si="57"/>
        <v>197.11020000000002</v>
      </c>
      <c r="G3703" t="s">
        <v>16</v>
      </c>
      <c r="J3703" t="str">
        <f>"11/19/2011 23:45"</f>
        <v>11/19/2011 23:45</v>
      </c>
    </row>
    <row r="3704" spans="1:10" x14ac:dyDescent="0.3">
      <c r="A3704" t="s">
        <v>6</v>
      </c>
      <c r="B3704" t="str">
        <f>"11/20/2011 00:00"</f>
        <v>11/20/2011 00:00</v>
      </c>
      <c r="C3704">
        <v>99.3</v>
      </c>
      <c r="D3704" t="s">
        <v>7</v>
      </c>
      <c r="E3704" s="2" t="s">
        <v>12</v>
      </c>
      <c r="F3704">
        <f t="shared" si="57"/>
        <v>196.9119</v>
      </c>
      <c r="G3704" t="s">
        <v>16</v>
      </c>
      <c r="J3704" t="str">
        <f>"11/20/2011 23:45"</f>
        <v>11/20/2011 23:45</v>
      </c>
    </row>
    <row r="3705" spans="1:10" x14ac:dyDescent="0.3">
      <c r="A3705" t="s">
        <v>6</v>
      </c>
      <c r="B3705" t="str">
        <f>"11/21/2011 00:00"</f>
        <v>11/21/2011 00:00</v>
      </c>
      <c r="C3705">
        <v>99.5</v>
      </c>
      <c r="D3705" t="s">
        <v>7</v>
      </c>
      <c r="E3705" s="2" t="s">
        <v>12</v>
      </c>
      <c r="F3705">
        <f t="shared" si="57"/>
        <v>197.30850000000001</v>
      </c>
      <c r="G3705" t="s">
        <v>16</v>
      </c>
      <c r="J3705" t="str">
        <f>"11/21/2011 23:45"</f>
        <v>11/21/2011 23:45</v>
      </c>
    </row>
    <row r="3706" spans="1:10" x14ac:dyDescent="0.3">
      <c r="A3706" t="s">
        <v>6</v>
      </c>
      <c r="B3706" t="str">
        <f>"11/22/2011 00:00"</f>
        <v>11/22/2011 00:00</v>
      </c>
      <c r="C3706">
        <v>99.4</v>
      </c>
      <c r="D3706" t="s">
        <v>7</v>
      </c>
      <c r="E3706" s="2" t="s">
        <v>12</v>
      </c>
      <c r="F3706">
        <f t="shared" si="57"/>
        <v>197.11020000000002</v>
      </c>
      <c r="G3706" t="s">
        <v>16</v>
      </c>
      <c r="J3706" t="str">
        <f>"11/22/2011 23:45"</f>
        <v>11/22/2011 23:45</v>
      </c>
    </row>
    <row r="3707" spans="1:10" x14ac:dyDescent="0.3">
      <c r="A3707" t="s">
        <v>6</v>
      </c>
      <c r="B3707" t="str">
        <f>"11/23/2011 00:00"</f>
        <v>11/23/2011 00:00</v>
      </c>
      <c r="C3707">
        <v>99.5</v>
      </c>
      <c r="D3707" t="s">
        <v>7</v>
      </c>
      <c r="E3707" s="2" t="s">
        <v>12</v>
      </c>
      <c r="F3707">
        <f t="shared" si="57"/>
        <v>197.30850000000001</v>
      </c>
      <c r="G3707" t="s">
        <v>16</v>
      </c>
      <c r="J3707" t="str">
        <f>"11/23/2011 23:45"</f>
        <v>11/23/2011 23:45</v>
      </c>
    </row>
    <row r="3708" spans="1:10" x14ac:dyDescent="0.3">
      <c r="A3708" t="s">
        <v>6</v>
      </c>
      <c r="B3708" t="str">
        <f>"11/24/2011 00:00"</f>
        <v>11/24/2011 00:00</v>
      </c>
      <c r="C3708">
        <v>99.7</v>
      </c>
      <c r="D3708" t="s">
        <v>7</v>
      </c>
      <c r="E3708" s="2" t="s">
        <v>12</v>
      </c>
      <c r="F3708">
        <f t="shared" si="57"/>
        <v>197.70510000000002</v>
      </c>
      <c r="G3708" t="s">
        <v>16</v>
      </c>
      <c r="J3708" t="str">
        <f>"11/24/2011 23:45"</f>
        <v>11/24/2011 23:45</v>
      </c>
    </row>
    <row r="3709" spans="1:10" x14ac:dyDescent="0.3">
      <c r="A3709" t="s">
        <v>6</v>
      </c>
      <c r="B3709" t="str">
        <f>"11/25/2011 00:00"</f>
        <v>11/25/2011 00:00</v>
      </c>
      <c r="C3709">
        <v>99.6</v>
      </c>
      <c r="D3709" t="s">
        <v>7</v>
      </c>
      <c r="E3709" s="2" t="s">
        <v>12</v>
      </c>
      <c r="F3709">
        <f t="shared" si="57"/>
        <v>197.5068</v>
      </c>
      <c r="G3709" t="s">
        <v>16</v>
      </c>
      <c r="J3709" t="str">
        <f>"11/25/2011 23:45"</f>
        <v>11/25/2011 23:45</v>
      </c>
    </row>
    <row r="3710" spans="1:10" x14ac:dyDescent="0.3">
      <c r="A3710" t="s">
        <v>6</v>
      </c>
      <c r="B3710" t="str">
        <f>"11/26/2011 00:00"</f>
        <v>11/26/2011 00:00</v>
      </c>
      <c r="C3710">
        <v>100</v>
      </c>
      <c r="D3710" t="s">
        <v>7</v>
      </c>
      <c r="E3710" s="2" t="s">
        <v>12</v>
      </c>
      <c r="F3710">
        <f t="shared" si="57"/>
        <v>198.3</v>
      </c>
      <c r="G3710" t="s">
        <v>16</v>
      </c>
      <c r="J3710" t="str">
        <f>"11/26/2011 23:45"</f>
        <v>11/26/2011 23:45</v>
      </c>
    </row>
    <row r="3711" spans="1:10" x14ac:dyDescent="0.3">
      <c r="A3711" t="s">
        <v>6</v>
      </c>
      <c r="B3711" t="str">
        <f>"11/27/2011 00:00"</f>
        <v>11/27/2011 00:00</v>
      </c>
      <c r="C3711">
        <v>100</v>
      </c>
      <c r="D3711" t="s">
        <v>7</v>
      </c>
      <c r="E3711" s="2" t="s">
        <v>12</v>
      </c>
      <c r="F3711">
        <f t="shared" si="57"/>
        <v>198.3</v>
      </c>
      <c r="G3711" t="s">
        <v>16</v>
      </c>
      <c r="J3711" t="str">
        <f>"11/27/2011 23:45"</f>
        <v>11/27/2011 23:45</v>
      </c>
    </row>
    <row r="3712" spans="1:10" x14ac:dyDescent="0.3">
      <c r="A3712" t="s">
        <v>6</v>
      </c>
      <c r="B3712" t="str">
        <f>"11/28/2011 00:00"</f>
        <v>11/28/2011 00:00</v>
      </c>
      <c r="C3712">
        <v>85</v>
      </c>
      <c r="D3712" t="s">
        <v>7</v>
      </c>
      <c r="E3712" s="2" t="s">
        <v>12</v>
      </c>
      <c r="F3712">
        <f t="shared" si="57"/>
        <v>168.55500000000001</v>
      </c>
      <c r="G3712" t="s">
        <v>16</v>
      </c>
      <c r="J3712" t="str">
        <f>"11/28/2011 23:45"</f>
        <v>11/28/2011 23:45</v>
      </c>
    </row>
    <row r="3713" spans="1:10" x14ac:dyDescent="0.3">
      <c r="A3713" t="s">
        <v>6</v>
      </c>
      <c r="B3713" t="str">
        <f>"11/29/2011 00:00"</f>
        <v>11/29/2011 00:00</v>
      </c>
      <c r="C3713">
        <v>59.3</v>
      </c>
      <c r="D3713" t="s">
        <v>7</v>
      </c>
      <c r="E3713" s="2" t="s">
        <v>12</v>
      </c>
      <c r="F3713">
        <f t="shared" si="57"/>
        <v>117.5919</v>
      </c>
      <c r="G3713" t="s">
        <v>16</v>
      </c>
      <c r="J3713" t="str">
        <f>"11/29/2011 23:45"</f>
        <v>11/29/2011 23:45</v>
      </c>
    </row>
    <row r="3714" spans="1:10" x14ac:dyDescent="0.3">
      <c r="A3714" t="s">
        <v>6</v>
      </c>
      <c r="B3714" t="str">
        <f>"11/30/2011 00:00"</f>
        <v>11/30/2011 00:00</v>
      </c>
      <c r="C3714">
        <v>18.7</v>
      </c>
      <c r="D3714" t="s">
        <v>7</v>
      </c>
      <c r="E3714" s="2" t="s">
        <v>12</v>
      </c>
      <c r="F3714">
        <f t="shared" si="57"/>
        <v>37.082099999999997</v>
      </c>
      <c r="G3714" t="s">
        <v>16</v>
      </c>
      <c r="J3714" t="str">
        <f>"11/30/2011 23:45"</f>
        <v>11/30/2011 23:45</v>
      </c>
    </row>
    <row r="3715" spans="1:10" x14ac:dyDescent="0.3">
      <c r="A3715" t="s">
        <v>6</v>
      </c>
      <c r="B3715" t="str">
        <f>"12/01/2011 00:00"</f>
        <v>12/01/2011 00:00</v>
      </c>
      <c r="C3715">
        <v>1.08</v>
      </c>
      <c r="D3715" t="s">
        <v>7</v>
      </c>
      <c r="E3715" s="2" t="s">
        <v>12</v>
      </c>
      <c r="F3715">
        <f t="shared" si="57"/>
        <v>2.1416400000000002</v>
      </c>
      <c r="G3715" t="s">
        <v>16</v>
      </c>
      <c r="J3715" t="str">
        <f>"12/01/2011 23:45"</f>
        <v>12/01/2011 23:45</v>
      </c>
    </row>
    <row r="3716" spans="1:10" x14ac:dyDescent="0.3">
      <c r="A3716" t="s">
        <v>6</v>
      </c>
      <c r="B3716" t="str">
        <f>"12/02/2011 00:00"</f>
        <v>12/02/2011 00:00</v>
      </c>
      <c r="C3716">
        <v>1.08</v>
      </c>
      <c r="D3716" t="s">
        <v>7</v>
      </c>
      <c r="E3716" s="2" t="s">
        <v>12</v>
      </c>
      <c r="F3716">
        <f t="shared" ref="F3716:F3779" si="58">C3716*1.983</f>
        <v>2.1416400000000002</v>
      </c>
      <c r="G3716" t="s">
        <v>16</v>
      </c>
      <c r="J3716" t="str">
        <f>"12/02/2011 23:45"</f>
        <v>12/02/2011 23:45</v>
      </c>
    </row>
    <row r="3717" spans="1:10" x14ac:dyDescent="0.3">
      <c r="A3717" t="s">
        <v>6</v>
      </c>
      <c r="B3717" t="str">
        <f>"12/03/2011 00:00"</f>
        <v>12/03/2011 00:00</v>
      </c>
      <c r="C3717">
        <v>1.08</v>
      </c>
      <c r="D3717" t="s">
        <v>7</v>
      </c>
      <c r="E3717" s="2" t="s">
        <v>12</v>
      </c>
      <c r="F3717">
        <f t="shared" si="58"/>
        <v>2.1416400000000002</v>
      </c>
      <c r="G3717" t="s">
        <v>16</v>
      </c>
      <c r="J3717" t="str">
        <f>"12/03/2011 23:45"</f>
        <v>12/03/2011 23:45</v>
      </c>
    </row>
    <row r="3718" spans="1:10" x14ac:dyDescent="0.3">
      <c r="A3718" t="s">
        <v>6</v>
      </c>
      <c r="B3718" t="str">
        <f>"12/04/2011 00:00"</f>
        <v>12/04/2011 00:00</v>
      </c>
      <c r="C3718">
        <v>1.08</v>
      </c>
      <c r="D3718" t="s">
        <v>7</v>
      </c>
      <c r="E3718" s="2" t="s">
        <v>12</v>
      </c>
      <c r="F3718">
        <f t="shared" si="58"/>
        <v>2.1416400000000002</v>
      </c>
      <c r="G3718" t="s">
        <v>16</v>
      </c>
      <c r="J3718" t="str">
        <f>"12/04/2011 23:45"</f>
        <v>12/04/2011 23:45</v>
      </c>
    </row>
    <row r="3719" spans="1:10" x14ac:dyDescent="0.3">
      <c r="A3719" t="s">
        <v>6</v>
      </c>
      <c r="B3719" t="str">
        <f>"12/05/2011 00:00"</f>
        <v>12/05/2011 00:00</v>
      </c>
      <c r="C3719">
        <v>1.61</v>
      </c>
      <c r="D3719" t="s">
        <v>7</v>
      </c>
      <c r="E3719" s="2" t="s">
        <v>12</v>
      </c>
      <c r="F3719">
        <f t="shared" si="58"/>
        <v>3.1926300000000003</v>
      </c>
      <c r="G3719" t="s">
        <v>16</v>
      </c>
      <c r="J3719" t="str">
        <f>"12/05/2011 23:45"</f>
        <v>12/05/2011 23:45</v>
      </c>
    </row>
    <row r="3720" spans="1:10" x14ac:dyDescent="0.3">
      <c r="A3720" t="s">
        <v>6</v>
      </c>
      <c r="B3720" t="str">
        <f>"12/06/2011 00:00"</f>
        <v>12/06/2011 00:00</v>
      </c>
      <c r="C3720">
        <v>1.62</v>
      </c>
      <c r="D3720" t="s">
        <v>7</v>
      </c>
      <c r="E3720" s="2" t="s">
        <v>12</v>
      </c>
      <c r="F3720">
        <f t="shared" si="58"/>
        <v>3.2124600000000005</v>
      </c>
      <c r="G3720" t="s">
        <v>16</v>
      </c>
      <c r="J3720" t="str">
        <f>"12/06/2011 23:45"</f>
        <v>12/06/2011 23:45</v>
      </c>
    </row>
    <row r="3721" spans="1:10" x14ac:dyDescent="0.3">
      <c r="A3721" t="s">
        <v>6</v>
      </c>
      <c r="B3721" t="str">
        <f>"12/07/2011 00:00"</f>
        <v>12/07/2011 00:00</v>
      </c>
      <c r="C3721">
        <v>1.62</v>
      </c>
      <c r="D3721" t="s">
        <v>7</v>
      </c>
      <c r="E3721" s="2" t="s">
        <v>12</v>
      </c>
      <c r="F3721">
        <f t="shared" si="58"/>
        <v>3.2124600000000005</v>
      </c>
      <c r="G3721" t="s">
        <v>16</v>
      </c>
      <c r="J3721" t="str">
        <f>"12/07/2011 23:45"</f>
        <v>12/07/2011 23:45</v>
      </c>
    </row>
    <row r="3722" spans="1:10" x14ac:dyDescent="0.3">
      <c r="A3722" t="s">
        <v>6</v>
      </c>
      <c r="B3722" t="str">
        <f>"12/08/2011 00:00"</f>
        <v>12/08/2011 00:00</v>
      </c>
      <c r="C3722">
        <v>1.62</v>
      </c>
      <c r="D3722" t="s">
        <v>7</v>
      </c>
      <c r="E3722" s="2" t="s">
        <v>12</v>
      </c>
      <c r="F3722">
        <f t="shared" si="58"/>
        <v>3.2124600000000005</v>
      </c>
      <c r="G3722" t="s">
        <v>16</v>
      </c>
      <c r="J3722" t="str">
        <f>"12/08/2011 23:45"</f>
        <v>12/08/2011 23:45</v>
      </c>
    </row>
    <row r="3723" spans="1:10" x14ac:dyDescent="0.3">
      <c r="A3723" t="s">
        <v>6</v>
      </c>
      <c r="B3723" t="str">
        <f>"12/09/2011 00:00"</f>
        <v>12/09/2011 00:00</v>
      </c>
      <c r="C3723">
        <v>1.62</v>
      </c>
      <c r="D3723" t="s">
        <v>7</v>
      </c>
      <c r="E3723" s="2" t="s">
        <v>12</v>
      </c>
      <c r="F3723">
        <f t="shared" si="58"/>
        <v>3.2124600000000005</v>
      </c>
      <c r="G3723" t="s">
        <v>16</v>
      </c>
      <c r="J3723" t="str">
        <f>"12/09/2011 23:45"</f>
        <v>12/09/2011 23:45</v>
      </c>
    </row>
    <row r="3724" spans="1:10" x14ac:dyDescent="0.3">
      <c r="A3724" t="s">
        <v>6</v>
      </c>
      <c r="B3724" t="str">
        <f>"12/10/2011 00:00"</f>
        <v>12/10/2011 00:00</v>
      </c>
      <c r="C3724">
        <v>1.64</v>
      </c>
      <c r="D3724" t="s">
        <v>7</v>
      </c>
      <c r="E3724" s="2" t="s">
        <v>12</v>
      </c>
      <c r="F3724">
        <f t="shared" si="58"/>
        <v>3.2521200000000001</v>
      </c>
      <c r="G3724" t="s">
        <v>16</v>
      </c>
      <c r="J3724" t="str">
        <f>"12/10/2011 23:45"</f>
        <v>12/10/2011 23:45</v>
      </c>
    </row>
    <row r="3725" spans="1:10" x14ac:dyDescent="0.3">
      <c r="A3725" t="s">
        <v>6</v>
      </c>
      <c r="B3725" t="str">
        <f>"12/11/2011 00:00"</f>
        <v>12/11/2011 00:00</v>
      </c>
      <c r="C3725">
        <v>1.74</v>
      </c>
      <c r="D3725" t="s">
        <v>7</v>
      </c>
      <c r="E3725" s="2" t="s">
        <v>12</v>
      </c>
      <c r="F3725">
        <f t="shared" si="58"/>
        <v>3.4504200000000003</v>
      </c>
      <c r="G3725" t="s">
        <v>16</v>
      </c>
      <c r="J3725" t="str">
        <f>"12/11/2011 23:45"</f>
        <v>12/11/2011 23:45</v>
      </c>
    </row>
    <row r="3726" spans="1:10" x14ac:dyDescent="0.3">
      <c r="A3726" t="s">
        <v>6</v>
      </c>
      <c r="B3726" t="str">
        <f>"12/12/2011 00:00"</f>
        <v>12/12/2011 00:00</v>
      </c>
      <c r="C3726">
        <v>2.0099999999999998</v>
      </c>
      <c r="D3726" t="s">
        <v>7</v>
      </c>
      <c r="E3726" s="2" t="s">
        <v>12</v>
      </c>
      <c r="F3726">
        <f t="shared" si="58"/>
        <v>3.98583</v>
      </c>
      <c r="G3726" t="s">
        <v>16</v>
      </c>
      <c r="J3726" t="str">
        <f>"12/12/2011 23:45"</f>
        <v>12/12/2011 23:45</v>
      </c>
    </row>
    <row r="3727" spans="1:10" x14ac:dyDescent="0.3">
      <c r="A3727" t="s">
        <v>6</v>
      </c>
      <c r="B3727" t="str">
        <f>"12/13/2011 00:00"</f>
        <v>12/13/2011 00:00</v>
      </c>
      <c r="C3727">
        <v>1.73</v>
      </c>
      <c r="D3727" t="s">
        <v>7</v>
      </c>
      <c r="E3727" s="2" t="s">
        <v>12</v>
      </c>
      <c r="F3727">
        <f t="shared" si="58"/>
        <v>3.43059</v>
      </c>
      <c r="G3727" t="s">
        <v>16</v>
      </c>
      <c r="J3727" t="str">
        <f>"12/13/2011 23:45"</f>
        <v>12/13/2011 23:45</v>
      </c>
    </row>
    <row r="3728" spans="1:10" x14ac:dyDescent="0.3">
      <c r="A3728" t="s">
        <v>6</v>
      </c>
      <c r="B3728" t="str">
        <f>"12/14/2011 00:00"</f>
        <v>12/14/2011 00:00</v>
      </c>
      <c r="C3728">
        <v>1.62</v>
      </c>
      <c r="D3728" t="s">
        <v>7</v>
      </c>
      <c r="E3728" s="2" t="s">
        <v>12</v>
      </c>
      <c r="F3728">
        <f t="shared" si="58"/>
        <v>3.2124600000000005</v>
      </c>
      <c r="G3728" t="s">
        <v>16</v>
      </c>
      <c r="J3728" t="str">
        <f>"12/14/2011 23:45"</f>
        <v>12/14/2011 23:45</v>
      </c>
    </row>
    <row r="3729" spans="1:10" x14ac:dyDescent="0.3">
      <c r="A3729" t="s">
        <v>6</v>
      </c>
      <c r="B3729" t="str">
        <f>"12/15/2011 00:00"</f>
        <v>12/15/2011 00:00</v>
      </c>
      <c r="C3729">
        <v>1.62</v>
      </c>
      <c r="D3729" t="s">
        <v>7</v>
      </c>
      <c r="E3729" s="2" t="s">
        <v>12</v>
      </c>
      <c r="F3729">
        <f t="shared" si="58"/>
        <v>3.2124600000000005</v>
      </c>
      <c r="G3729" t="s">
        <v>16</v>
      </c>
      <c r="J3729" t="str">
        <f>"12/15/2011 23:45"</f>
        <v>12/15/2011 23:45</v>
      </c>
    </row>
    <row r="3730" spans="1:10" x14ac:dyDescent="0.3">
      <c r="A3730" t="s">
        <v>6</v>
      </c>
      <c r="B3730" t="str">
        <f>"12/16/2011 00:00"</f>
        <v>12/16/2011 00:00</v>
      </c>
      <c r="C3730">
        <v>2.06</v>
      </c>
      <c r="D3730" t="s">
        <v>7</v>
      </c>
      <c r="E3730" s="2" t="s">
        <v>12</v>
      </c>
      <c r="F3730">
        <f t="shared" si="58"/>
        <v>4.0849800000000007</v>
      </c>
      <c r="G3730" t="s">
        <v>16</v>
      </c>
      <c r="J3730" t="str">
        <f>"12/16/2011 23:45"</f>
        <v>12/16/2011 23:45</v>
      </c>
    </row>
    <row r="3731" spans="1:10" x14ac:dyDescent="0.3">
      <c r="A3731" t="s">
        <v>6</v>
      </c>
      <c r="B3731" t="str">
        <f>"12/17/2011 00:00"</f>
        <v>12/17/2011 00:00</v>
      </c>
      <c r="C3731">
        <v>2.23</v>
      </c>
      <c r="D3731" t="s">
        <v>7</v>
      </c>
      <c r="E3731" s="2" t="s">
        <v>12</v>
      </c>
      <c r="F3731">
        <f t="shared" si="58"/>
        <v>4.4220899999999999</v>
      </c>
      <c r="G3731" t="s">
        <v>16</v>
      </c>
      <c r="J3731" t="str">
        <f>"12/17/2011 23:45"</f>
        <v>12/17/2011 23:45</v>
      </c>
    </row>
    <row r="3732" spans="1:10" x14ac:dyDescent="0.3">
      <c r="A3732" t="s">
        <v>6</v>
      </c>
      <c r="B3732" t="str">
        <f>"12/18/2011 00:00"</f>
        <v>12/18/2011 00:00</v>
      </c>
      <c r="C3732">
        <v>2.23</v>
      </c>
      <c r="D3732" t="s">
        <v>7</v>
      </c>
      <c r="E3732" s="2" t="s">
        <v>12</v>
      </c>
      <c r="F3732">
        <f t="shared" si="58"/>
        <v>4.4220899999999999</v>
      </c>
      <c r="G3732" t="s">
        <v>16</v>
      </c>
      <c r="J3732" t="str">
        <f>"12/18/2011 23:45"</f>
        <v>12/18/2011 23:45</v>
      </c>
    </row>
    <row r="3733" spans="1:10" x14ac:dyDescent="0.3">
      <c r="A3733" t="s">
        <v>6</v>
      </c>
      <c r="B3733" t="str">
        <f>"12/19/2011 00:00"</f>
        <v>12/19/2011 00:00</v>
      </c>
      <c r="C3733">
        <v>2.23</v>
      </c>
      <c r="D3733" t="s">
        <v>7</v>
      </c>
      <c r="E3733" s="2" t="s">
        <v>12</v>
      </c>
      <c r="F3733">
        <f t="shared" si="58"/>
        <v>4.4220899999999999</v>
      </c>
      <c r="G3733" t="s">
        <v>16</v>
      </c>
      <c r="J3733" t="str">
        <f>"12/19/2011 23:45"</f>
        <v>12/19/2011 23:45</v>
      </c>
    </row>
    <row r="3734" spans="1:10" x14ac:dyDescent="0.3">
      <c r="A3734" t="s">
        <v>6</v>
      </c>
      <c r="B3734" t="str">
        <f>"12/20/2011 00:00"</f>
        <v>12/20/2011 00:00</v>
      </c>
      <c r="C3734">
        <v>2.23</v>
      </c>
      <c r="D3734" t="s">
        <v>7</v>
      </c>
      <c r="E3734" s="2" t="s">
        <v>12</v>
      </c>
      <c r="F3734">
        <f t="shared" si="58"/>
        <v>4.4220899999999999</v>
      </c>
      <c r="G3734" t="s">
        <v>16</v>
      </c>
      <c r="J3734" t="str">
        <f>"12/20/2011 23:45"</f>
        <v>12/20/2011 23:45</v>
      </c>
    </row>
    <row r="3735" spans="1:10" x14ac:dyDescent="0.3">
      <c r="A3735" t="s">
        <v>6</v>
      </c>
      <c r="B3735" t="str">
        <f>"12/21/2011 00:00"</f>
        <v>12/21/2011 00:00</v>
      </c>
      <c r="C3735">
        <v>2.23</v>
      </c>
      <c r="D3735" t="s">
        <v>7</v>
      </c>
      <c r="E3735" s="2" t="s">
        <v>12</v>
      </c>
      <c r="F3735">
        <f t="shared" si="58"/>
        <v>4.4220899999999999</v>
      </c>
      <c r="G3735" t="s">
        <v>16</v>
      </c>
      <c r="J3735" t="str">
        <f>"12/21/2011 23:45"</f>
        <v>12/21/2011 23:45</v>
      </c>
    </row>
    <row r="3736" spans="1:10" x14ac:dyDescent="0.3">
      <c r="A3736" t="s">
        <v>6</v>
      </c>
      <c r="B3736" t="str">
        <f>"12/22/2011 00:00"</f>
        <v>12/22/2011 00:00</v>
      </c>
      <c r="C3736">
        <v>2.23</v>
      </c>
      <c r="D3736" t="s">
        <v>7</v>
      </c>
      <c r="E3736" s="2" t="s">
        <v>12</v>
      </c>
      <c r="F3736">
        <f t="shared" si="58"/>
        <v>4.4220899999999999</v>
      </c>
      <c r="G3736" t="s">
        <v>16</v>
      </c>
      <c r="J3736" t="str">
        <f>"12/22/2011 23:45"</f>
        <v>12/22/2011 23:45</v>
      </c>
    </row>
    <row r="3737" spans="1:10" x14ac:dyDescent="0.3">
      <c r="A3737" t="s">
        <v>6</v>
      </c>
      <c r="B3737" t="str">
        <f>"12/23/2011 00:00"</f>
        <v>12/23/2011 00:00</v>
      </c>
      <c r="C3737">
        <v>2.23</v>
      </c>
      <c r="D3737" t="s">
        <v>7</v>
      </c>
      <c r="E3737" s="2" t="s">
        <v>12</v>
      </c>
      <c r="F3737">
        <f t="shared" si="58"/>
        <v>4.4220899999999999</v>
      </c>
      <c r="G3737" t="s">
        <v>16</v>
      </c>
      <c r="J3737" t="str">
        <f>"12/23/2011 23:45"</f>
        <v>12/23/2011 23:45</v>
      </c>
    </row>
    <row r="3738" spans="1:10" x14ac:dyDescent="0.3">
      <c r="A3738" t="s">
        <v>6</v>
      </c>
      <c r="B3738" t="str">
        <f>"12/24/2011 00:00"</f>
        <v>12/24/2011 00:00</v>
      </c>
      <c r="C3738">
        <v>2.23</v>
      </c>
      <c r="D3738" t="s">
        <v>7</v>
      </c>
      <c r="E3738" s="2" t="s">
        <v>12</v>
      </c>
      <c r="F3738">
        <f t="shared" si="58"/>
        <v>4.4220899999999999</v>
      </c>
      <c r="G3738" t="s">
        <v>16</v>
      </c>
      <c r="J3738" t="str">
        <f>"12/24/2011 23:45"</f>
        <v>12/24/2011 23:45</v>
      </c>
    </row>
    <row r="3739" spans="1:10" x14ac:dyDescent="0.3">
      <c r="A3739" t="s">
        <v>6</v>
      </c>
      <c r="B3739" t="str">
        <f>"12/25/2011 00:00"</f>
        <v>12/25/2011 00:00</v>
      </c>
      <c r="C3739">
        <v>1.97</v>
      </c>
      <c r="D3739" t="s">
        <v>7</v>
      </c>
      <c r="E3739" s="2" t="s">
        <v>12</v>
      </c>
      <c r="F3739">
        <f t="shared" si="58"/>
        <v>3.9065099999999999</v>
      </c>
      <c r="G3739" t="s">
        <v>16</v>
      </c>
      <c r="J3739" t="str">
        <f>"12/25/2011 23:45"</f>
        <v>12/25/2011 23:45</v>
      </c>
    </row>
    <row r="3740" spans="1:10" x14ac:dyDescent="0.3">
      <c r="A3740" t="s">
        <v>6</v>
      </c>
      <c r="B3740" t="str">
        <f>"12/26/2011 00:00"</f>
        <v>12/26/2011 00:00</v>
      </c>
      <c r="C3740">
        <v>1.92</v>
      </c>
      <c r="D3740" t="s">
        <v>7</v>
      </c>
      <c r="E3740" s="2" t="s">
        <v>12</v>
      </c>
      <c r="F3740">
        <f t="shared" si="58"/>
        <v>3.8073600000000001</v>
      </c>
      <c r="G3740" t="s">
        <v>16</v>
      </c>
      <c r="J3740" t="str">
        <f>"12/26/2011 23:45"</f>
        <v>12/26/2011 23:45</v>
      </c>
    </row>
    <row r="3741" spans="1:10" x14ac:dyDescent="0.3">
      <c r="A3741" t="s">
        <v>6</v>
      </c>
      <c r="B3741" t="str">
        <f>"12/27/2011 00:00"</f>
        <v>12/27/2011 00:00</v>
      </c>
      <c r="C3741">
        <v>1.92</v>
      </c>
      <c r="D3741" t="s">
        <v>7</v>
      </c>
      <c r="E3741" s="2" t="s">
        <v>12</v>
      </c>
      <c r="F3741">
        <f t="shared" si="58"/>
        <v>3.8073600000000001</v>
      </c>
      <c r="G3741" t="s">
        <v>16</v>
      </c>
      <c r="J3741" t="str">
        <f>"12/27/2011 23:45"</f>
        <v>12/27/2011 23:45</v>
      </c>
    </row>
    <row r="3742" spans="1:10" x14ac:dyDescent="0.3">
      <c r="A3742" t="s">
        <v>6</v>
      </c>
      <c r="B3742" t="str">
        <f>"12/28/2011 00:00"</f>
        <v>12/28/2011 00:00</v>
      </c>
      <c r="C3742">
        <v>1.92</v>
      </c>
      <c r="D3742" t="s">
        <v>7</v>
      </c>
      <c r="E3742" s="2" t="s">
        <v>12</v>
      </c>
      <c r="F3742">
        <f t="shared" si="58"/>
        <v>3.8073600000000001</v>
      </c>
      <c r="G3742" t="s">
        <v>16</v>
      </c>
      <c r="J3742" t="str">
        <f>"12/28/2011 23:45"</f>
        <v>12/28/2011 23:45</v>
      </c>
    </row>
    <row r="3743" spans="1:10" x14ac:dyDescent="0.3">
      <c r="A3743" t="s">
        <v>6</v>
      </c>
      <c r="B3743" t="str">
        <f>"12/29/2011 00:00"</f>
        <v>12/29/2011 00:00</v>
      </c>
      <c r="C3743">
        <v>1.98</v>
      </c>
      <c r="D3743" t="s">
        <v>7</v>
      </c>
      <c r="E3743" s="2" t="s">
        <v>12</v>
      </c>
      <c r="F3743">
        <f t="shared" si="58"/>
        <v>3.9263400000000002</v>
      </c>
      <c r="G3743" t="s">
        <v>16</v>
      </c>
      <c r="J3743" t="str">
        <f>"12/29/2011 23:45"</f>
        <v>12/29/2011 23:45</v>
      </c>
    </row>
    <row r="3744" spans="1:10" x14ac:dyDescent="0.3">
      <c r="A3744" t="s">
        <v>6</v>
      </c>
      <c r="B3744" t="str">
        <f>"12/30/2011 00:00"</f>
        <v>12/30/2011 00:00</v>
      </c>
      <c r="C3744">
        <v>2.46</v>
      </c>
      <c r="D3744" t="s">
        <v>7</v>
      </c>
      <c r="E3744" s="2" t="s">
        <v>12</v>
      </c>
      <c r="F3744">
        <f t="shared" si="58"/>
        <v>4.8781800000000004</v>
      </c>
      <c r="G3744" t="s">
        <v>16</v>
      </c>
      <c r="J3744" t="str">
        <f>"12/30/2011 23:45"</f>
        <v>12/30/2011 23:45</v>
      </c>
    </row>
    <row r="3745" spans="1:10" x14ac:dyDescent="0.3">
      <c r="A3745" t="s">
        <v>6</v>
      </c>
      <c r="B3745" t="str">
        <f>"12/31/2011 00:00"</f>
        <v>12/31/2011 00:00</v>
      </c>
      <c r="C3745">
        <v>1.88</v>
      </c>
      <c r="D3745" t="s">
        <v>7</v>
      </c>
      <c r="E3745" s="2" t="s">
        <v>12</v>
      </c>
      <c r="F3745">
        <f t="shared" si="58"/>
        <v>3.72804</v>
      </c>
      <c r="G3745" t="s">
        <v>16</v>
      </c>
      <c r="J3745" t="str">
        <f>"12/31/2011 23:45"</f>
        <v>12/31/2011 23:45</v>
      </c>
    </row>
    <row r="3746" spans="1:10" x14ac:dyDescent="0.3">
      <c r="A3746" t="s">
        <v>6</v>
      </c>
      <c r="B3746" t="str">
        <f>"01/01/2012 00:00"</f>
        <v>01/01/2012 00:00</v>
      </c>
      <c r="C3746">
        <v>1.62</v>
      </c>
      <c r="D3746" t="s">
        <v>7</v>
      </c>
      <c r="E3746" s="2" t="s">
        <v>12</v>
      </c>
      <c r="F3746">
        <f t="shared" si="58"/>
        <v>3.2124600000000005</v>
      </c>
      <c r="G3746" t="s">
        <v>16</v>
      </c>
      <c r="J3746" t="str">
        <f>"01/01/2012 23:45"</f>
        <v>01/01/2012 23:45</v>
      </c>
    </row>
    <row r="3747" spans="1:10" x14ac:dyDescent="0.3">
      <c r="A3747" t="s">
        <v>6</v>
      </c>
      <c r="B3747" t="str">
        <f>"01/02/2012 00:00"</f>
        <v>01/02/2012 00:00</v>
      </c>
      <c r="C3747">
        <v>1.63</v>
      </c>
      <c r="D3747" t="s">
        <v>7</v>
      </c>
      <c r="E3747" s="2" t="s">
        <v>12</v>
      </c>
      <c r="F3747">
        <f t="shared" si="58"/>
        <v>3.2322899999999999</v>
      </c>
      <c r="G3747" t="s">
        <v>16</v>
      </c>
      <c r="J3747" t="str">
        <f>"01/02/2012 23:45"</f>
        <v>01/02/2012 23:45</v>
      </c>
    </row>
    <row r="3748" spans="1:10" x14ac:dyDescent="0.3">
      <c r="A3748" t="s">
        <v>6</v>
      </c>
      <c r="B3748" t="str">
        <f>"01/03/2012 00:00"</f>
        <v>01/03/2012 00:00</v>
      </c>
      <c r="C3748">
        <v>1.66</v>
      </c>
      <c r="D3748" t="s">
        <v>7</v>
      </c>
      <c r="E3748" s="2" t="s">
        <v>12</v>
      </c>
      <c r="F3748">
        <f t="shared" si="58"/>
        <v>3.2917800000000002</v>
      </c>
      <c r="G3748" t="s">
        <v>16</v>
      </c>
      <c r="J3748" t="str">
        <f>"01/03/2012 23:45"</f>
        <v>01/03/2012 23:45</v>
      </c>
    </row>
    <row r="3749" spans="1:10" x14ac:dyDescent="0.3">
      <c r="A3749" t="s">
        <v>6</v>
      </c>
      <c r="B3749" t="str">
        <f>"01/04/2012 00:00"</f>
        <v>01/04/2012 00:00</v>
      </c>
      <c r="C3749">
        <v>1.73</v>
      </c>
      <c r="D3749" t="s">
        <v>7</v>
      </c>
      <c r="E3749" s="2" t="s">
        <v>12</v>
      </c>
      <c r="F3749">
        <f t="shared" si="58"/>
        <v>3.43059</v>
      </c>
      <c r="G3749" t="s">
        <v>16</v>
      </c>
      <c r="J3749" t="str">
        <f>"01/04/2012 23:45"</f>
        <v>01/04/2012 23:45</v>
      </c>
    </row>
    <row r="3750" spans="1:10" x14ac:dyDescent="0.3">
      <c r="A3750" t="s">
        <v>6</v>
      </c>
      <c r="B3750" t="str">
        <f>"01/05/2012 00:00"</f>
        <v>01/05/2012 00:00</v>
      </c>
      <c r="C3750">
        <v>1.92</v>
      </c>
      <c r="D3750" t="s">
        <v>7</v>
      </c>
      <c r="E3750" s="2" t="s">
        <v>12</v>
      </c>
      <c r="F3750">
        <f t="shared" si="58"/>
        <v>3.8073600000000001</v>
      </c>
      <c r="G3750" t="s">
        <v>16</v>
      </c>
      <c r="J3750" t="str">
        <f>"01/05/2012 23:45"</f>
        <v>01/05/2012 23:45</v>
      </c>
    </row>
    <row r="3751" spans="1:10" x14ac:dyDescent="0.3">
      <c r="A3751" t="s">
        <v>6</v>
      </c>
      <c r="B3751" t="str">
        <f>"01/06/2012 00:00"</f>
        <v>01/06/2012 00:00</v>
      </c>
      <c r="C3751">
        <v>1.79</v>
      </c>
      <c r="D3751" t="s">
        <v>7</v>
      </c>
      <c r="E3751" s="2" t="s">
        <v>12</v>
      </c>
      <c r="F3751">
        <f t="shared" si="58"/>
        <v>3.5495700000000001</v>
      </c>
      <c r="G3751" t="s">
        <v>16</v>
      </c>
      <c r="J3751" t="str">
        <f>"01/06/2012 23:45"</f>
        <v>01/06/2012 23:45</v>
      </c>
    </row>
    <row r="3752" spans="1:10" x14ac:dyDescent="0.3">
      <c r="A3752" t="s">
        <v>6</v>
      </c>
      <c r="B3752" t="str">
        <f>"01/07/2012 00:00"</f>
        <v>01/07/2012 00:00</v>
      </c>
      <c r="C3752">
        <v>1.78</v>
      </c>
      <c r="D3752" t="s">
        <v>7</v>
      </c>
      <c r="E3752" s="2" t="s">
        <v>12</v>
      </c>
      <c r="F3752">
        <f t="shared" si="58"/>
        <v>3.5297400000000003</v>
      </c>
      <c r="G3752" t="s">
        <v>16</v>
      </c>
      <c r="J3752" t="str">
        <f>"01/07/2012 23:45"</f>
        <v>01/07/2012 23:45</v>
      </c>
    </row>
    <row r="3753" spans="1:10" x14ac:dyDescent="0.3">
      <c r="A3753" t="s">
        <v>6</v>
      </c>
      <c r="B3753" t="str">
        <f>"01/08/2012 00:00"</f>
        <v>01/08/2012 00:00</v>
      </c>
      <c r="C3753">
        <v>1.34</v>
      </c>
      <c r="D3753" t="s">
        <v>7</v>
      </c>
      <c r="E3753" s="2" t="s">
        <v>12</v>
      </c>
      <c r="F3753">
        <f t="shared" si="58"/>
        <v>2.6572200000000001</v>
      </c>
      <c r="G3753" t="s">
        <v>16</v>
      </c>
      <c r="J3753" t="str">
        <f>"01/08/2012 23:45"</f>
        <v>01/08/2012 23:45</v>
      </c>
    </row>
    <row r="3754" spans="1:10" x14ac:dyDescent="0.3">
      <c r="A3754" t="s">
        <v>6</v>
      </c>
      <c r="B3754" t="str">
        <f>"01/09/2012 00:00"</f>
        <v>01/09/2012 00:00</v>
      </c>
      <c r="C3754">
        <v>2.19</v>
      </c>
      <c r="D3754" t="s">
        <v>7</v>
      </c>
      <c r="E3754" s="2" t="s">
        <v>12</v>
      </c>
      <c r="F3754">
        <f t="shared" si="58"/>
        <v>4.3427699999999998</v>
      </c>
      <c r="G3754" t="s">
        <v>16</v>
      </c>
      <c r="J3754" t="str">
        <f>"01/09/2012 23:45"</f>
        <v>01/09/2012 23:45</v>
      </c>
    </row>
    <row r="3755" spans="1:10" x14ac:dyDescent="0.3">
      <c r="A3755" t="s">
        <v>6</v>
      </c>
      <c r="B3755" t="str">
        <f>"01/10/2012 00:00"</f>
        <v>01/10/2012 00:00</v>
      </c>
      <c r="C3755">
        <v>2.23</v>
      </c>
      <c r="D3755" t="s">
        <v>7</v>
      </c>
      <c r="E3755" s="2" t="s">
        <v>12</v>
      </c>
      <c r="F3755">
        <f t="shared" si="58"/>
        <v>4.4220899999999999</v>
      </c>
      <c r="G3755" t="s">
        <v>16</v>
      </c>
      <c r="J3755" t="str">
        <f>"01/10/2012 23:45"</f>
        <v>01/10/2012 23:45</v>
      </c>
    </row>
    <row r="3756" spans="1:10" x14ac:dyDescent="0.3">
      <c r="A3756" t="s">
        <v>6</v>
      </c>
      <c r="B3756" t="str">
        <f>"01/11/2012 00:00"</f>
        <v>01/11/2012 00:00</v>
      </c>
      <c r="C3756">
        <v>2.91</v>
      </c>
      <c r="D3756" t="s">
        <v>7</v>
      </c>
      <c r="E3756" s="2" t="s">
        <v>12</v>
      </c>
      <c r="F3756">
        <f t="shared" si="58"/>
        <v>5.7705300000000008</v>
      </c>
      <c r="G3756" t="s">
        <v>16</v>
      </c>
      <c r="J3756" t="str">
        <f>"01/11/2012 23:45"</f>
        <v>01/11/2012 23:45</v>
      </c>
    </row>
    <row r="3757" spans="1:10" x14ac:dyDescent="0.3">
      <c r="A3757" t="s">
        <v>6</v>
      </c>
      <c r="B3757" t="str">
        <f>"01/12/2012 00:00"</f>
        <v>01/12/2012 00:00</v>
      </c>
      <c r="C3757">
        <v>2.46</v>
      </c>
      <c r="D3757" t="s">
        <v>7</v>
      </c>
      <c r="E3757" s="2" t="s">
        <v>12</v>
      </c>
      <c r="F3757">
        <f t="shared" si="58"/>
        <v>4.8781800000000004</v>
      </c>
      <c r="G3757" t="s">
        <v>16</v>
      </c>
      <c r="J3757" t="str">
        <f>"01/12/2012 23:45"</f>
        <v>01/12/2012 23:45</v>
      </c>
    </row>
    <row r="3758" spans="1:10" x14ac:dyDescent="0.3">
      <c r="A3758" t="s">
        <v>6</v>
      </c>
      <c r="B3758" t="str">
        <f>"01/13/2012 00:00"</f>
        <v>01/13/2012 00:00</v>
      </c>
      <c r="C3758">
        <v>2.23</v>
      </c>
      <c r="D3758" t="s">
        <v>7</v>
      </c>
      <c r="E3758" s="2" t="s">
        <v>12</v>
      </c>
      <c r="F3758">
        <f t="shared" si="58"/>
        <v>4.4220899999999999</v>
      </c>
      <c r="G3758" t="s">
        <v>16</v>
      </c>
      <c r="J3758" t="str">
        <f>"01/13/2012 23:45"</f>
        <v>01/13/2012 23:45</v>
      </c>
    </row>
    <row r="3759" spans="1:10" x14ac:dyDescent="0.3">
      <c r="A3759" t="s">
        <v>6</v>
      </c>
      <c r="B3759" t="str">
        <f>"01/14/2012 00:00"</f>
        <v>01/14/2012 00:00</v>
      </c>
      <c r="C3759">
        <v>2.23</v>
      </c>
      <c r="D3759" t="s">
        <v>7</v>
      </c>
      <c r="E3759" s="2" t="s">
        <v>12</v>
      </c>
      <c r="F3759">
        <f t="shared" si="58"/>
        <v>4.4220899999999999</v>
      </c>
      <c r="G3759" t="s">
        <v>16</v>
      </c>
      <c r="J3759" t="str">
        <f>"01/14/2012 23:45"</f>
        <v>01/14/2012 23:45</v>
      </c>
    </row>
    <row r="3760" spans="1:10" x14ac:dyDescent="0.3">
      <c r="A3760" t="s">
        <v>6</v>
      </c>
      <c r="B3760" t="str">
        <f>"01/15/2012 00:00"</f>
        <v>01/15/2012 00:00</v>
      </c>
      <c r="C3760">
        <v>1.68</v>
      </c>
      <c r="D3760" t="s">
        <v>7</v>
      </c>
      <c r="E3760" s="2" t="s">
        <v>12</v>
      </c>
      <c r="F3760">
        <f t="shared" si="58"/>
        <v>3.3314400000000002</v>
      </c>
      <c r="G3760" t="s">
        <v>16</v>
      </c>
      <c r="J3760" t="str">
        <f>"01/15/2012 23:45"</f>
        <v>01/15/2012 23:45</v>
      </c>
    </row>
    <row r="3761" spans="1:10" x14ac:dyDescent="0.3">
      <c r="A3761" t="s">
        <v>6</v>
      </c>
      <c r="B3761" t="str">
        <f>"01/16/2012 00:00"</f>
        <v>01/16/2012 00:00</v>
      </c>
      <c r="C3761">
        <v>0.84599999999999997</v>
      </c>
      <c r="D3761" t="s">
        <v>7</v>
      </c>
      <c r="E3761" s="2" t="s">
        <v>12</v>
      </c>
      <c r="F3761">
        <f t="shared" si="58"/>
        <v>1.6776180000000001</v>
      </c>
      <c r="G3761" t="s">
        <v>16</v>
      </c>
      <c r="J3761" t="str">
        <f>"01/16/2012 23:45"</f>
        <v>01/16/2012 23:45</v>
      </c>
    </row>
    <row r="3762" spans="1:10" x14ac:dyDescent="0.3">
      <c r="A3762" t="s">
        <v>6</v>
      </c>
      <c r="B3762" t="str">
        <f>"01/17/2012 00:00"</f>
        <v>01/17/2012 00:00</v>
      </c>
      <c r="C3762">
        <v>0.84599999999999997</v>
      </c>
      <c r="D3762" t="s">
        <v>7</v>
      </c>
      <c r="E3762" s="2" t="s">
        <v>12</v>
      </c>
      <c r="F3762">
        <f t="shared" si="58"/>
        <v>1.6776180000000001</v>
      </c>
      <c r="G3762" t="s">
        <v>16</v>
      </c>
      <c r="J3762" t="str">
        <f>"01/17/2012 23:45"</f>
        <v>01/17/2012 23:45</v>
      </c>
    </row>
    <row r="3763" spans="1:10" x14ac:dyDescent="0.3">
      <c r="A3763" t="s">
        <v>6</v>
      </c>
      <c r="B3763" t="str">
        <f>"01/18/2012 00:00"</f>
        <v>01/18/2012 00:00</v>
      </c>
      <c r="C3763">
        <v>0.84599999999999997</v>
      </c>
      <c r="D3763" t="s">
        <v>7</v>
      </c>
      <c r="E3763" s="2" t="s">
        <v>12</v>
      </c>
      <c r="F3763">
        <f t="shared" si="58"/>
        <v>1.6776180000000001</v>
      </c>
      <c r="G3763" t="s">
        <v>16</v>
      </c>
      <c r="J3763" t="str">
        <f>"01/18/2012 23:45"</f>
        <v>01/18/2012 23:45</v>
      </c>
    </row>
    <row r="3764" spans="1:10" x14ac:dyDescent="0.3">
      <c r="A3764" t="s">
        <v>6</v>
      </c>
      <c r="B3764" t="str">
        <f>"01/19/2012 00:00"</f>
        <v>01/19/2012 00:00</v>
      </c>
      <c r="C3764">
        <v>0.84599999999999997</v>
      </c>
      <c r="D3764" t="s">
        <v>7</v>
      </c>
      <c r="E3764" s="2" t="s">
        <v>12</v>
      </c>
      <c r="F3764">
        <f t="shared" si="58"/>
        <v>1.6776180000000001</v>
      </c>
      <c r="G3764" t="s">
        <v>16</v>
      </c>
      <c r="J3764" t="str">
        <f>"01/19/2012 23:45"</f>
        <v>01/19/2012 23:45</v>
      </c>
    </row>
    <row r="3765" spans="1:10" x14ac:dyDescent="0.3">
      <c r="A3765" t="s">
        <v>6</v>
      </c>
      <c r="B3765" t="str">
        <f>"01/20/2012 00:00"</f>
        <v>01/20/2012 00:00</v>
      </c>
      <c r="C3765">
        <v>0.73899999999999999</v>
      </c>
      <c r="D3765" t="s">
        <v>7</v>
      </c>
      <c r="E3765" s="2" t="s">
        <v>12</v>
      </c>
      <c r="F3765">
        <f t="shared" si="58"/>
        <v>1.4654370000000001</v>
      </c>
      <c r="G3765" t="s">
        <v>16</v>
      </c>
      <c r="J3765" t="str">
        <f>"01/20/2012 23:45"</f>
        <v>01/20/2012 23:45</v>
      </c>
    </row>
    <row r="3766" spans="1:10" x14ac:dyDescent="0.3">
      <c r="A3766" t="s">
        <v>6</v>
      </c>
      <c r="B3766" t="str">
        <f>"01/21/2012 00:00"</f>
        <v>01/21/2012 00:00</v>
      </c>
      <c r="C3766">
        <v>0.63200000000000001</v>
      </c>
      <c r="D3766" t="s">
        <v>7</v>
      </c>
      <c r="E3766" s="2" t="s">
        <v>12</v>
      </c>
      <c r="F3766">
        <f t="shared" si="58"/>
        <v>1.2532560000000001</v>
      </c>
      <c r="G3766" t="s">
        <v>16</v>
      </c>
      <c r="J3766" t="str">
        <f>"01/21/2012 23:45"</f>
        <v>01/21/2012 23:45</v>
      </c>
    </row>
    <row r="3767" spans="1:10" x14ac:dyDescent="0.3">
      <c r="A3767" t="s">
        <v>6</v>
      </c>
      <c r="B3767" t="str">
        <f>"01/22/2012 00:00"</f>
        <v>01/22/2012 00:00</v>
      </c>
      <c r="C3767">
        <v>0.63200000000000001</v>
      </c>
      <c r="D3767" t="s">
        <v>7</v>
      </c>
      <c r="E3767" s="2" t="s">
        <v>12</v>
      </c>
      <c r="F3767">
        <f t="shared" si="58"/>
        <v>1.2532560000000001</v>
      </c>
      <c r="G3767" t="s">
        <v>16</v>
      </c>
      <c r="J3767" t="str">
        <f>"01/22/2012 23:45"</f>
        <v>01/22/2012 23:45</v>
      </c>
    </row>
    <row r="3768" spans="1:10" x14ac:dyDescent="0.3">
      <c r="A3768" t="s">
        <v>6</v>
      </c>
      <c r="B3768" t="str">
        <f>"01/23/2012 00:00"</f>
        <v>01/23/2012 00:00</v>
      </c>
      <c r="C3768">
        <v>0.63200000000000001</v>
      </c>
      <c r="D3768" t="s">
        <v>7</v>
      </c>
      <c r="E3768" s="2" t="s">
        <v>12</v>
      </c>
      <c r="F3768">
        <f t="shared" si="58"/>
        <v>1.2532560000000001</v>
      </c>
      <c r="G3768" t="s">
        <v>16</v>
      </c>
      <c r="J3768" t="str">
        <f>"01/23/2012 23:45"</f>
        <v>01/23/2012 23:45</v>
      </c>
    </row>
    <row r="3769" spans="1:10" x14ac:dyDescent="0.3">
      <c r="A3769" t="s">
        <v>6</v>
      </c>
      <c r="B3769" t="str">
        <f>"01/24/2012 00:00"</f>
        <v>01/24/2012 00:00</v>
      </c>
      <c r="C3769">
        <v>0.63200000000000001</v>
      </c>
      <c r="D3769" t="s">
        <v>7</v>
      </c>
      <c r="E3769" s="2" t="s">
        <v>12</v>
      </c>
      <c r="F3769">
        <f t="shared" si="58"/>
        <v>1.2532560000000001</v>
      </c>
      <c r="G3769" t="s">
        <v>16</v>
      </c>
      <c r="J3769" t="str">
        <f>"01/24/2012 23:45"</f>
        <v>01/24/2012 23:45</v>
      </c>
    </row>
    <row r="3770" spans="1:10" x14ac:dyDescent="0.3">
      <c r="A3770" t="s">
        <v>6</v>
      </c>
      <c r="B3770" t="str">
        <f>"01/25/2012 00:00"</f>
        <v>01/25/2012 00:00</v>
      </c>
      <c r="C3770">
        <v>0.52300000000000002</v>
      </c>
      <c r="D3770" t="s">
        <v>7</v>
      </c>
      <c r="E3770" s="2" t="s">
        <v>12</v>
      </c>
      <c r="F3770">
        <f t="shared" si="58"/>
        <v>1.0371090000000001</v>
      </c>
      <c r="G3770" t="s">
        <v>16</v>
      </c>
      <c r="J3770" t="str">
        <f>"01/25/2012 23:45"</f>
        <v>01/25/2012 23:45</v>
      </c>
    </row>
    <row r="3771" spans="1:10" x14ac:dyDescent="0.3">
      <c r="A3771" t="s">
        <v>6</v>
      </c>
      <c r="B3771" t="str">
        <f>"01/26/2012 00:00"</f>
        <v>01/26/2012 00:00</v>
      </c>
      <c r="C3771">
        <v>0.442</v>
      </c>
      <c r="D3771" t="s">
        <v>7</v>
      </c>
      <c r="E3771" s="2" t="s">
        <v>12</v>
      </c>
      <c r="F3771">
        <f t="shared" si="58"/>
        <v>0.8764860000000001</v>
      </c>
      <c r="G3771" t="s">
        <v>16</v>
      </c>
      <c r="J3771" t="str">
        <f>"01/26/2012 23:45"</f>
        <v>01/26/2012 23:45</v>
      </c>
    </row>
    <row r="3772" spans="1:10" x14ac:dyDescent="0.3">
      <c r="A3772" t="s">
        <v>6</v>
      </c>
      <c r="B3772" t="str">
        <f>"01/27/2012 00:00"</f>
        <v>01/27/2012 00:00</v>
      </c>
      <c r="C3772">
        <v>0.442</v>
      </c>
      <c r="D3772" t="s">
        <v>7</v>
      </c>
      <c r="E3772" s="2" t="s">
        <v>12</v>
      </c>
      <c r="F3772">
        <f t="shared" si="58"/>
        <v>0.8764860000000001</v>
      </c>
      <c r="G3772" t="s">
        <v>16</v>
      </c>
      <c r="J3772" t="str">
        <f>"01/27/2012 23:45"</f>
        <v>01/27/2012 23:45</v>
      </c>
    </row>
    <row r="3773" spans="1:10" x14ac:dyDescent="0.3">
      <c r="A3773" t="s">
        <v>6</v>
      </c>
      <c r="B3773" t="str">
        <f>"01/28/2012 00:00"</f>
        <v>01/28/2012 00:00</v>
      </c>
      <c r="C3773">
        <v>0.442</v>
      </c>
      <c r="D3773" t="s">
        <v>7</v>
      </c>
      <c r="E3773" s="2" t="s">
        <v>12</v>
      </c>
      <c r="F3773">
        <f t="shared" si="58"/>
        <v>0.8764860000000001</v>
      </c>
      <c r="G3773" t="s">
        <v>16</v>
      </c>
      <c r="J3773" t="str">
        <f>"01/28/2012 23:45"</f>
        <v>01/28/2012 23:45</v>
      </c>
    </row>
    <row r="3774" spans="1:10" x14ac:dyDescent="0.3">
      <c r="A3774" t="s">
        <v>6</v>
      </c>
      <c r="B3774" t="str">
        <f>"01/29/2012 00:00"</f>
        <v>01/29/2012 00:00</v>
      </c>
      <c r="C3774">
        <v>0.442</v>
      </c>
      <c r="D3774" t="s">
        <v>7</v>
      </c>
      <c r="E3774" s="2" t="s">
        <v>12</v>
      </c>
      <c r="F3774">
        <f t="shared" si="58"/>
        <v>0.8764860000000001</v>
      </c>
      <c r="G3774" t="s">
        <v>16</v>
      </c>
      <c r="J3774" t="str">
        <f>"01/29/2012 23:45"</f>
        <v>01/29/2012 23:45</v>
      </c>
    </row>
    <row r="3775" spans="1:10" x14ac:dyDescent="0.3">
      <c r="A3775" t="s">
        <v>6</v>
      </c>
      <c r="B3775" t="str">
        <f>"01/30/2012 00:00"</f>
        <v>01/30/2012 00:00</v>
      </c>
      <c r="C3775">
        <v>0.442</v>
      </c>
      <c r="D3775" t="s">
        <v>7</v>
      </c>
      <c r="E3775" s="2" t="s">
        <v>12</v>
      </c>
      <c r="F3775">
        <f t="shared" si="58"/>
        <v>0.8764860000000001</v>
      </c>
      <c r="G3775" t="s">
        <v>16</v>
      </c>
      <c r="J3775" t="str">
        <f>"01/30/2012 23:45"</f>
        <v>01/30/2012 23:45</v>
      </c>
    </row>
    <row r="3776" spans="1:10" x14ac:dyDescent="0.3">
      <c r="A3776" t="s">
        <v>6</v>
      </c>
      <c r="B3776" t="str">
        <f>"01/31/2012 00:00"</f>
        <v>01/31/2012 00:00</v>
      </c>
      <c r="C3776">
        <v>0.442</v>
      </c>
      <c r="D3776" t="s">
        <v>7</v>
      </c>
      <c r="E3776" s="2" t="s">
        <v>12</v>
      </c>
      <c r="F3776">
        <f t="shared" si="58"/>
        <v>0.8764860000000001</v>
      </c>
      <c r="G3776" t="s">
        <v>16</v>
      </c>
      <c r="J3776" t="str">
        <f>"01/31/2012 23:45"</f>
        <v>01/31/2012 23:45</v>
      </c>
    </row>
    <row r="3777" spans="1:10" x14ac:dyDescent="0.3">
      <c r="A3777" t="s">
        <v>6</v>
      </c>
      <c r="B3777" t="str">
        <f>"02/01/2012 00:00"</f>
        <v>02/01/2012 00:00</v>
      </c>
      <c r="C3777">
        <v>0.442</v>
      </c>
      <c r="D3777" t="s">
        <v>7</v>
      </c>
      <c r="E3777" s="2" t="s">
        <v>12</v>
      </c>
      <c r="F3777">
        <f t="shared" si="58"/>
        <v>0.8764860000000001</v>
      </c>
      <c r="G3777" t="s">
        <v>16</v>
      </c>
      <c r="J3777" t="str">
        <f>"02/01/2012 23:45"</f>
        <v>02/01/2012 23:45</v>
      </c>
    </row>
    <row r="3778" spans="1:10" x14ac:dyDescent="0.3">
      <c r="A3778" t="s">
        <v>6</v>
      </c>
      <c r="B3778" t="str">
        <f>"02/02/2012 00:00"</f>
        <v>02/02/2012 00:00</v>
      </c>
      <c r="C3778">
        <v>0.442</v>
      </c>
      <c r="D3778" t="s">
        <v>7</v>
      </c>
      <c r="E3778" s="2" t="s">
        <v>12</v>
      </c>
      <c r="F3778">
        <f t="shared" si="58"/>
        <v>0.8764860000000001</v>
      </c>
      <c r="G3778" t="s">
        <v>16</v>
      </c>
      <c r="J3778" t="str">
        <f>"02/02/2012 23:45"</f>
        <v>02/02/2012 23:45</v>
      </c>
    </row>
    <row r="3779" spans="1:10" x14ac:dyDescent="0.3">
      <c r="A3779" t="s">
        <v>6</v>
      </c>
      <c r="B3779" t="str">
        <f>"02/03/2012 00:00"</f>
        <v>02/03/2012 00:00</v>
      </c>
      <c r="C3779">
        <v>0.442</v>
      </c>
      <c r="D3779" t="s">
        <v>7</v>
      </c>
      <c r="E3779" s="2" t="s">
        <v>12</v>
      </c>
      <c r="F3779">
        <f t="shared" si="58"/>
        <v>0.8764860000000001</v>
      </c>
      <c r="G3779" t="s">
        <v>16</v>
      </c>
      <c r="J3779" t="str">
        <f>"02/03/2012 23:45"</f>
        <v>02/03/2012 23:45</v>
      </c>
    </row>
    <row r="3780" spans="1:10" x14ac:dyDescent="0.3">
      <c r="A3780" t="s">
        <v>6</v>
      </c>
      <c r="B3780" t="str">
        <f>"02/04/2012 00:00"</f>
        <v>02/04/2012 00:00</v>
      </c>
      <c r="C3780">
        <v>0.442</v>
      </c>
      <c r="D3780" t="s">
        <v>7</v>
      </c>
      <c r="E3780" s="2" t="s">
        <v>12</v>
      </c>
      <c r="F3780">
        <f t="shared" ref="F3780:F3843" si="59">C3780*1.983</f>
        <v>0.8764860000000001</v>
      </c>
      <c r="G3780" t="s">
        <v>16</v>
      </c>
      <c r="J3780" t="str">
        <f>"02/04/2012 23:45"</f>
        <v>02/04/2012 23:45</v>
      </c>
    </row>
    <row r="3781" spans="1:10" x14ac:dyDescent="0.3">
      <c r="A3781" t="s">
        <v>6</v>
      </c>
      <c r="B3781" t="str">
        <f>"02/05/2012 00:00"</f>
        <v>02/05/2012 00:00</v>
      </c>
      <c r="C3781">
        <v>0.442</v>
      </c>
      <c r="D3781" t="s">
        <v>7</v>
      </c>
      <c r="E3781" s="2" t="s">
        <v>12</v>
      </c>
      <c r="F3781">
        <f t="shared" si="59"/>
        <v>0.8764860000000001</v>
      </c>
      <c r="G3781" t="s">
        <v>16</v>
      </c>
      <c r="J3781" t="str">
        <f>"02/05/2012 23:45"</f>
        <v>02/05/2012 23:45</v>
      </c>
    </row>
    <row r="3782" spans="1:10" x14ac:dyDescent="0.3">
      <c r="A3782" t="s">
        <v>6</v>
      </c>
      <c r="B3782" t="str">
        <f>"02/06/2012 00:00"</f>
        <v>02/06/2012 00:00</v>
      </c>
      <c r="C3782">
        <v>0.442</v>
      </c>
      <c r="D3782" t="s">
        <v>7</v>
      </c>
      <c r="E3782" s="2" t="s">
        <v>12</v>
      </c>
      <c r="F3782">
        <f t="shared" si="59"/>
        <v>0.8764860000000001</v>
      </c>
      <c r="G3782" t="s">
        <v>16</v>
      </c>
      <c r="J3782" t="str">
        <f>"02/06/2012 23:45"</f>
        <v>02/06/2012 23:45</v>
      </c>
    </row>
    <row r="3783" spans="1:10" x14ac:dyDescent="0.3">
      <c r="A3783" t="s">
        <v>6</v>
      </c>
      <c r="B3783" t="str">
        <f>"02/07/2012 00:00"</f>
        <v>02/07/2012 00:00</v>
      </c>
      <c r="C3783">
        <v>0.442</v>
      </c>
      <c r="D3783" t="s">
        <v>7</v>
      </c>
      <c r="E3783" s="2" t="s">
        <v>12</v>
      </c>
      <c r="F3783">
        <f t="shared" si="59"/>
        <v>0.8764860000000001</v>
      </c>
      <c r="G3783" t="s">
        <v>16</v>
      </c>
      <c r="J3783" t="str">
        <f>"02/07/2012 23:45"</f>
        <v>02/07/2012 23:45</v>
      </c>
    </row>
    <row r="3784" spans="1:10" x14ac:dyDescent="0.3">
      <c r="A3784" t="s">
        <v>6</v>
      </c>
      <c r="B3784" t="str">
        <f>"02/08/2012 00:00"</f>
        <v>02/08/2012 00:00</v>
      </c>
      <c r="C3784">
        <v>0.442</v>
      </c>
      <c r="D3784" t="s">
        <v>7</v>
      </c>
      <c r="E3784" s="2" t="s">
        <v>12</v>
      </c>
      <c r="F3784">
        <f t="shared" si="59"/>
        <v>0.8764860000000001</v>
      </c>
      <c r="G3784" t="s">
        <v>16</v>
      </c>
      <c r="J3784" t="str">
        <f>"02/08/2012 23:45"</f>
        <v>02/08/2012 23:45</v>
      </c>
    </row>
    <row r="3785" spans="1:10" x14ac:dyDescent="0.3">
      <c r="A3785" t="s">
        <v>6</v>
      </c>
      <c r="B3785" t="str">
        <f>"02/09/2012 00:00"</f>
        <v>02/09/2012 00:00</v>
      </c>
      <c r="C3785">
        <v>0.442</v>
      </c>
      <c r="D3785" t="s">
        <v>7</v>
      </c>
      <c r="E3785" s="2" t="s">
        <v>12</v>
      </c>
      <c r="F3785">
        <f t="shared" si="59"/>
        <v>0.8764860000000001</v>
      </c>
      <c r="G3785" t="s">
        <v>16</v>
      </c>
      <c r="J3785" t="str">
        <f>"02/09/2012 23:45"</f>
        <v>02/09/2012 23:45</v>
      </c>
    </row>
    <row r="3786" spans="1:10" x14ac:dyDescent="0.3">
      <c r="A3786" t="s">
        <v>6</v>
      </c>
      <c r="B3786" t="str">
        <f>"02/10/2012 00:00"</f>
        <v>02/10/2012 00:00</v>
      </c>
      <c r="C3786">
        <v>0.442</v>
      </c>
      <c r="D3786" t="s">
        <v>7</v>
      </c>
      <c r="E3786" s="2" t="s">
        <v>12</v>
      </c>
      <c r="F3786">
        <f t="shared" si="59"/>
        <v>0.8764860000000001</v>
      </c>
      <c r="G3786" t="s">
        <v>16</v>
      </c>
      <c r="J3786" t="str">
        <f>"02/10/2012 23:45"</f>
        <v>02/10/2012 23:45</v>
      </c>
    </row>
    <row r="3787" spans="1:10" x14ac:dyDescent="0.3">
      <c r="A3787" t="s">
        <v>6</v>
      </c>
      <c r="B3787" t="str">
        <f>"02/11/2012 00:00"</f>
        <v>02/11/2012 00:00</v>
      </c>
      <c r="C3787">
        <v>0.442</v>
      </c>
      <c r="D3787" t="s">
        <v>7</v>
      </c>
      <c r="E3787" s="2" t="s">
        <v>12</v>
      </c>
      <c r="F3787">
        <f t="shared" si="59"/>
        <v>0.8764860000000001</v>
      </c>
      <c r="G3787" t="s">
        <v>16</v>
      </c>
      <c r="J3787" t="str">
        <f>"02/11/2012 23:45"</f>
        <v>02/11/2012 23:45</v>
      </c>
    </row>
    <row r="3788" spans="1:10" x14ac:dyDescent="0.3">
      <c r="A3788" t="s">
        <v>6</v>
      </c>
      <c r="B3788" t="str">
        <f>"02/12/2012 00:00"</f>
        <v>02/12/2012 00:00</v>
      </c>
      <c r="C3788">
        <v>0.442</v>
      </c>
      <c r="D3788" t="s">
        <v>7</v>
      </c>
      <c r="E3788" s="2" t="s">
        <v>12</v>
      </c>
      <c r="F3788">
        <f t="shared" si="59"/>
        <v>0.8764860000000001</v>
      </c>
      <c r="G3788" t="s">
        <v>16</v>
      </c>
      <c r="J3788" t="str">
        <f>"02/12/2012 23:45"</f>
        <v>02/12/2012 23:45</v>
      </c>
    </row>
    <row r="3789" spans="1:10" x14ac:dyDescent="0.3">
      <c r="A3789" t="s">
        <v>6</v>
      </c>
      <c r="B3789" t="str">
        <f>"02/13/2012 00:00"</f>
        <v>02/13/2012 00:00</v>
      </c>
      <c r="C3789">
        <v>0.442</v>
      </c>
      <c r="D3789" t="s">
        <v>7</v>
      </c>
      <c r="E3789" s="2" t="s">
        <v>12</v>
      </c>
      <c r="F3789">
        <f t="shared" si="59"/>
        <v>0.8764860000000001</v>
      </c>
      <c r="G3789" t="s">
        <v>16</v>
      </c>
      <c r="J3789" t="str">
        <f>"02/13/2012 23:45"</f>
        <v>02/13/2012 23:45</v>
      </c>
    </row>
    <row r="3790" spans="1:10" x14ac:dyDescent="0.3">
      <c r="A3790" t="s">
        <v>6</v>
      </c>
      <c r="B3790" t="str">
        <f>"02/14/2012 00:00"</f>
        <v>02/14/2012 00:00</v>
      </c>
      <c r="C3790">
        <v>0.442</v>
      </c>
      <c r="D3790" t="s">
        <v>7</v>
      </c>
      <c r="E3790" s="2" t="s">
        <v>12</v>
      </c>
      <c r="F3790">
        <f t="shared" si="59"/>
        <v>0.8764860000000001</v>
      </c>
      <c r="G3790" t="s">
        <v>16</v>
      </c>
      <c r="J3790" t="str">
        <f>"02/14/2012 23:45"</f>
        <v>02/14/2012 23:45</v>
      </c>
    </row>
    <row r="3791" spans="1:10" x14ac:dyDescent="0.3">
      <c r="A3791" t="s">
        <v>6</v>
      </c>
      <c r="B3791" t="str">
        <f>"02/15/2012 00:00"</f>
        <v>02/15/2012 00:00</v>
      </c>
      <c r="C3791">
        <v>0.442</v>
      </c>
      <c r="D3791" t="s">
        <v>7</v>
      </c>
      <c r="E3791" s="2" t="s">
        <v>12</v>
      </c>
      <c r="F3791">
        <f t="shared" si="59"/>
        <v>0.8764860000000001</v>
      </c>
      <c r="G3791" t="s">
        <v>16</v>
      </c>
      <c r="J3791" t="str">
        <f>"02/15/2012 23:45"</f>
        <v>02/15/2012 23:45</v>
      </c>
    </row>
    <row r="3792" spans="1:10" x14ac:dyDescent="0.3">
      <c r="A3792" t="s">
        <v>6</v>
      </c>
      <c r="B3792" t="str">
        <f>"02/16/2012 00:00"</f>
        <v>02/16/2012 00:00</v>
      </c>
      <c r="C3792">
        <v>0.442</v>
      </c>
      <c r="D3792" t="s">
        <v>7</v>
      </c>
      <c r="E3792" s="2" t="s">
        <v>12</v>
      </c>
      <c r="F3792">
        <f t="shared" si="59"/>
        <v>0.8764860000000001</v>
      </c>
      <c r="G3792" t="s">
        <v>16</v>
      </c>
      <c r="J3792" t="str">
        <f>"02/16/2012 23:45"</f>
        <v>02/16/2012 23:45</v>
      </c>
    </row>
    <row r="3793" spans="1:10" x14ac:dyDescent="0.3">
      <c r="A3793" t="s">
        <v>6</v>
      </c>
      <c r="B3793" t="str">
        <f>"02/17/2012 00:00"</f>
        <v>02/17/2012 00:00</v>
      </c>
      <c r="C3793">
        <v>0.442</v>
      </c>
      <c r="D3793" t="s">
        <v>7</v>
      </c>
      <c r="E3793" s="2" t="s">
        <v>12</v>
      </c>
      <c r="F3793">
        <f t="shared" si="59"/>
        <v>0.8764860000000001</v>
      </c>
      <c r="G3793" t="s">
        <v>16</v>
      </c>
      <c r="J3793" t="str">
        <f>"02/17/2012 23:45"</f>
        <v>02/17/2012 23:45</v>
      </c>
    </row>
    <row r="3794" spans="1:10" x14ac:dyDescent="0.3">
      <c r="A3794" t="s">
        <v>6</v>
      </c>
      <c r="B3794" t="str">
        <f>"02/18/2012 00:00"</f>
        <v>02/18/2012 00:00</v>
      </c>
      <c r="C3794">
        <v>0.442</v>
      </c>
      <c r="D3794" t="s">
        <v>7</v>
      </c>
      <c r="E3794" s="2" t="s">
        <v>12</v>
      </c>
      <c r="F3794">
        <f t="shared" si="59"/>
        <v>0.8764860000000001</v>
      </c>
      <c r="G3794" t="s">
        <v>16</v>
      </c>
      <c r="J3794" t="str">
        <f>"02/18/2012 23:45"</f>
        <v>02/18/2012 23:45</v>
      </c>
    </row>
    <row r="3795" spans="1:10" x14ac:dyDescent="0.3">
      <c r="A3795" t="s">
        <v>6</v>
      </c>
      <c r="B3795" t="str">
        <f>"02/19/2012 00:00"</f>
        <v>02/19/2012 00:00</v>
      </c>
      <c r="C3795">
        <v>0.374</v>
      </c>
      <c r="D3795" t="s">
        <v>7</v>
      </c>
      <c r="E3795" s="2" t="s">
        <v>12</v>
      </c>
      <c r="F3795">
        <f t="shared" si="59"/>
        <v>0.74164200000000002</v>
      </c>
      <c r="G3795" t="s">
        <v>16</v>
      </c>
      <c r="J3795" t="str">
        <f>"02/19/2012 23:45"</f>
        <v>02/19/2012 23:45</v>
      </c>
    </row>
    <row r="3796" spans="1:10" x14ac:dyDescent="0.3">
      <c r="A3796" t="s">
        <v>6</v>
      </c>
      <c r="B3796" t="str">
        <f>"02/20/2012 00:00"</f>
        <v>02/20/2012 00:00</v>
      </c>
      <c r="C3796">
        <v>0.28100000000000003</v>
      </c>
      <c r="D3796" t="s">
        <v>7</v>
      </c>
      <c r="E3796" s="2" t="s">
        <v>12</v>
      </c>
      <c r="F3796">
        <f t="shared" si="59"/>
        <v>0.55722300000000013</v>
      </c>
      <c r="G3796" t="s">
        <v>16</v>
      </c>
      <c r="J3796" t="str">
        <f>"02/20/2012 23:45"</f>
        <v>02/20/2012 23:45</v>
      </c>
    </row>
    <row r="3797" spans="1:10" x14ac:dyDescent="0.3">
      <c r="A3797" t="s">
        <v>6</v>
      </c>
      <c r="B3797" t="str">
        <f>"02/21/2012 00:00"</f>
        <v>02/21/2012 00:00</v>
      </c>
      <c r="C3797">
        <v>0.27900000000000003</v>
      </c>
      <c r="D3797" t="s">
        <v>7</v>
      </c>
      <c r="E3797" s="2" t="s">
        <v>12</v>
      </c>
      <c r="F3797">
        <f t="shared" si="59"/>
        <v>0.55325700000000011</v>
      </c>
      <c r="G3797" t="s">
        <v>16</v>
      </c>
      <c r="J3797" t="str">
        <f>"02/21/2012 23:45"</f>
        <v>02/21/2012 23:45</v>
      </c>
    </row>
    <row r="3798" spans="1:10" x14ac:dyDescent="0.3">
      <c r="A3798" t="s">
        <v>6</v>
      </c>
      <c r="B3798" t="str">
        <f>"02/22/2012 00:00"</f>
        <v>02/22/2012 00:00</v>
      </c>
      <c r="C3798">
        <v>0.27900000000000003</v>
      </c>
      <c r="D3798" t="s">
        <v>7</v>
      </c>
      <c r="E3798" s="2" t="s">
        <v>12</v>
      </c>
      <c r="F3798">
        <f t="shared" si="59"/>
        <v>0.55325700000000011</v>
      </c>
      <c r="G3798" t="s">
        <v>16</v>
      </c>
      <c r="J3798" t="str">
        <f>"02/22/2012 23:45"</f>
        <v>02/22/2012 23:45</v>
      </c>
    </row>
    <row r="3799" spans="1:10" x14ac:dyDescent="0.3">
      <c r="A3799" t="s">
        <v>6</v>
      </c>
      <c r="B3799" t="str">
        <f>"02/23/2012 00:00"</f>
        <v>02/23/2012 00:00</v>
      </c>
      <c r="C3799">
        <v>0.27900000000000003</v>
      </c>
      <c r="D3799" t="s">
        <v>7</v>
      </c>
      <c r="E3799" s="2" t="s">
        <v>12</v>
      </c>
      <c r="F3799">
        <f t="shared" si="59"/>
        <v>0.55325700000000011</v>
      </c>
      <c r="G3799" t="s">
        <v>16</v>
      </c>
      <c r="J3799" t="str">
        <f>"02/23/2012 23:45"</f>
        <v>02/23/2012 23:45</v>
      </c>
    </row>
    <row r="3800" spans="1:10" x14ac:dyDescent="0.3">
      <c r="A3800" t="s">
        <v>6</v>
      </c>
      <c r="B3800" t="str">
        <f>"02/24/2012 00:00"</f>
        <v>02/24/2012 00:00</v>
      </c>
      <c r="C3800">
        <v>0.27900000000000003</v>
      </c>
      <c r="D3800" t="s">
        <v>7</v>
      </c>
      <c r="E3800" s="2" t="s">
        <v>12</v>
      </c>
      <c r="F3800">
        <f t="shared" si="59"/>
        <v>0.55325700000000011</v>
      </c>
      <c r="G3800" t="s">
        <v>16</v>
      </c>
      <c r="J3800" t="str">
        <f>"02/24/2012 23:45"</f>
        <v>02/24/2012 23:45</v>
      </c>
    </row>
    <row r="3801" spans="1:10" x14ac:dyDescent="0.3">
      <c r="A3801" t="s">
        <v>6</v>
      </c>
      <c r="B3801" t="str">
        <f>"02/25/2012 00:00"</f>
        <v>02/25/2012 00:00</v>
      </c>
      <c r="C3801">
        <v>0.27900000000000003</v>
      </c>
      <c r="D3801" t="s">
        <v>7</v>
      </c>
      <c r="E3801" s="2" t="s">
        <v>12</v>
      </c>
      <c r="F3801">
        <f t="shared" si="59"/>
        <v>0.55325700000000011</v>
      </c>
      <c r="G3801" t="s">
        <v>16</v>
      </c>
      <c r="J3801" t="str">
        <f>"02/25/2012 23:45"</f>
        <v>02/25/2012 23:45</v>
      </c>
    </row>
    <row r="3802" spans="1:10" x14ac:dyDescent="0.3">
      <c r="A3802" t="s">
        <v>6</v>
      </c>
      <c r="B3802" t="str">
        <f>"02/26/2012 00:00"</f>
        <v>02/26/2012 00:00</v>
      </c>
      <c r="C3802">
        <v>0.27900000000000003</v>
      </c>
      <c r="D3802" t="s">
        <v>7</v>
      </c>
      <c r="E3802" s="2" t="s">
        <v>12</v>
      </c>
      <c r="F3802">
        <f t="shared" si="59"/>
        <v>0.55325700000000011</v>
      </c>
      <c r="G3802" t="s">
        <v>16</v>
      </c>
      <c r="J3802" t="str">
        <f>"02/26/2012 23:45"</f>
        <v>02/26/2012 23:45</v>
      </c>
    </row>
    <row r="3803" spans="1:10" x14ac:dyDescent="0.3">
      <c r="A3803" t="s">
        <v>6</v>
      </c>
      <c r="B3803" t="str">
        <f>"02/27/2012 00:00"</f>
        <v>02/27/2012 00:00</v>
      </c>
      <c r="C3803">
        <v>0.27900000000000003</v>
      </c>
      <c r="D3803" t="s">
        <v>7</v>
      </c>
      <c r="E3803" s="2" t="s">
        <v>12</v>
      </c>
      <c r="F3803">
        <f t="shared" si="59"/>
        <v>0.55325700000000011</v>
      </c>
      <c r="G3803" t="s">
        <v>16</v>
      </c>
      <c r="J3803" t="str">
        <f>"02/27/2012 23:45"</f>
        <v>02/27/2012 23:45</v>
      </c>
    </row>
    <row r="3804" spans="1:10" x14ac:dyDescent="0.3">
      <c r="A3804" t="s">
        <v>6</v>
      </c>
      <c r="B3804" t="str">
        <f>"02/28/2012 00:00"</f>
        <v>02/28/2012 00:00</v>
      </c>
      <c r="C3804">
        <v>0.27900000000000003</v>
      </c>
      <c r="D3804" t="s">
        <v>7</v>
      </c>
      <c r="E3804" s="2" t="s">
        <v>12</v>
      </c>
      <c r="F3804">
        <f t="shared" si="59"/>
        <v>0.55325700000000011</v>
      </c>
      <c r="G3804" t="s">
        <v>16</v>
      </c>
      <c r="J3804" t="str">
        <f>"02/28/2012 23:45"</f>
        <v>02/28/2012 23:45</v>
      </c>
    </row>
    <row r="3805" spans="1:10" x14ac:dyDescent="0.3">
      <c r="A3805" t="s">
        <v>6</v>
      </c>
      <c r="B3805" t="str">
        <f>"02/29/2012 00:00"</f>
        <v>02/29/2012 00:00</v>
      </c>
      <c r="C3805">
        <v>1.0900000000000001</v>
      </c>
      <c r="D3805" t="s">
        <v>7</v>
      </c>
      <c r="E3805" s="2" t="s">
        <v>12</v>
      </c>
      <c r="F3805">
        <f t="shared" si="59"/>
        <v>2.1614700000000004</v>
      </c>
      <c r="G3805" t="s">
        <v>16</v>
      </c>
      <c r="J3805" t="str">
        <f>"02/29/2012 23:45"</f>
        <v>02/29/2012 23:45</v>
      </c>
    </row>
    <row r="3806" spans="1:10" x14ac:dyDescent="0.3">
      <c r="A3806" t="s">
        <v>6</v>
      </c>
      <c r="B3806" t="str">
        <f>"03/01/2012 00:00"</f>
        <v>03/01/2012 00:00</v>
      </c>
      <c r="C3806">
        <v>0.63200000000000001</v>
      </c>
      <c r="D3806" t="s">
        <v>7</v>
      </c>
      <c r="E3806" s="2" t="s">
        <v>12</v>
      </c>
      <c r="F3806">
        <f t="shared" si="59"/>
        <v>1.2532560000000001</v>
      </c>
      <c r="G3806" t="s">
        <v>16</v>
      </c>
      <c r="J3806" t="str">
        <f>"03/01/2012 23:45"</f>
        <v>03/01/2012 23:45</v>
      </c>
    </row>
    <row r="3807" spans="1:10" x14ac:dyDescent="0.3">
      <c r="A3807" t="s">
        <v>6</v>
      </c>
      <c r="B3807" t="str">
        <f>"03/02/2012 00:00"</f>
        <v>03/02/2012 00:00</v>
      </c>
      <c r="C3807">
        <v>0.63200000000000001</v>
      </c>
      <c r="D3807" t="s">
        <v>7</v>
      </c>
      <c r="E3807" s="2" t="s">
        <v>12</v>
      </c>
      <c r="F3807">
        <f t="shared" si="59"/>
        <v>1.2532560000000001</v>
      </c>
      <c r="G3807" t="s">
        <v>16</v>
      </c>
      <c r="J3807" t="str">
        <f>"03/02/2012 23:45"</f>
        <v>03/02/2012 23:45</v>
      </c>
    </row>
    <row r="3808" spans="1:10" x14ac:dyDescent="0.3">
      <c r="A3808" t="s">
        <v>6</v>
      </c>
      <c r="B3808" t="str">
        <f>"03/03/2012 00:00"</f>
        <v>03/03/2012 00:00</v>
      </c>
      <c r="C3808">
        <v>0.63200000000000001</v>
      </c>
      <c r="D3808" t="s">
        <v>7</v>
      </c>
      <c r="E3808" s="2" t="s">
        <v>12</v>
      </c>
      <c r="F3808">
        <f t="shared" si="59"/>
        <v>1.2532560000000001</v>
      </c>
      <c r="G3808" t="s">
        <v>16</v>
      </c>
      <c r="J3808" t="str">
        <f>"03/03/2012 23:45"</f>
        <v>03/03/2012 23:45</v>
      </c>
    </row>
    <row r="3809" spans="1:10" x14ac:dyDescent="0.3">
      <c r="A3809" t="s">
        <v>6</v>
      </c>
      <c r="B3809" t="str">
        <f>"03/04/2012 00:00"</f>
        <v>03/04/2012 00:00</v>
      </c>
      <c r="C3809">
        <v>0.63200000000000001</v>
      </c>
      <c r="D3809" t="s">
        <v>7</v>
      </c>
      <c r="E3809" s="2" t="s">
        <v>12</v>
      </c>
      <c r="F3809">
        <f t="shared" si="59"/>
        <v>1.2532560000000001</v>
      </c>
      <c r="G3809" t="s">
        <v>16</v>
      </c>
      <c r="J3809" t="str">
        <f>"03/04/2012 23:45"</f>
        <v>03/04/2012 23:45</v>
      </c>
    </row>
    <row r="3810" spans="1:10" x14ac:dyDescent="0.3">
      <c r="A3810" t="s">
        <v>6</v>
      </c>
      <c r="B3810" t="str">
        <f>"03/05/2012 00:00"</f>
        <v>03/05/2012 00:00</v>
      </c>
      <c r="C3810">
        <v>0.63200000000000001</v>
      </c>
      <c r="D3810" t="s">
        <v>7</v>
      </c>
      <c r="E3810" s="2" t="s">
        <v>12</v>
      </c>
      <c r="F3810">
        <f t="shared" si="59"/>
        <v>1.2532560000000001</v>
      </c>
      <c r="G3810" t="s">
        <v>16</v>
      </c>
      <c r="J3810" t="str">
        <f>"03/05/2012 23:45"</f>
        <v>03/05/2012 23:45</v>
      </c>
    </row>
    <row r="3811" spans="1:10" x14ac:dyDescent="0.3">
      <c r="A3811" t="s">
        <v>6</v>
      </c>
      <c r="B3811" t="str">
        <f>"03/06/2012 00:00"</f>
        <v>03/06/2012 00:00</v>
      </c>
      <c r="C3811">
        <v>0.63200000000000001</v>
      </c>
      <c r="D3811" t="s">
        <v>7</v>
      </c>
      <c r="E3811" s="2" t="s">
        <v>12</v>
      </c>
      <c r="F3811">
        <f t="shared" si="59"/>
        <v>1.2532560000000001</v>
      </c>
      <c r="G3811" t="s">
        <v>16</v>
      </c>
      <c r="J3811" t="str">
        <f>"03/06/2012 23:45"</f>
        <v>03/06/2012 23:45</v>
      </c>
    </row>
    <row r="3812" spans="1:10" x14ac:dyDescent="0.3">
      <c r="A3812" t="s">
        <v>6</v>
      </c>
      <c r="B3812" t="str">
        <f>"03/07/2012 00:00"</f>
        <v>03/07/2012 00:00</v>
      </c>
      <c r="C3812">
        <v>0.63200000000000001</v>
      </c>
      <c r="D3812" t="s">
        <v>7</v>
      </c>
      <c r="E3812" s="2" t="s">
        <v>12</v>
      </c>
      <c r="F3812">
        <f t="shared" si="59"/>
        <v>1.2532560000000001</v>
      </c>
      <c r="G3812" t="s">
        <v>16</v>
      </c>
      <c r="J3812" t="str">
        <f>"03/07/2012 23:45"</f>
        <v>03/07/2012 23:45</v>
      </c>
    </row>
    <row r="3813" spans="1:10" x14ac:dyDescent="0.3">
      <c r="A3813" t="s">
        <v>6</v>
      </c>
      <c r="B3813" t="str">
        <f>"03/08/2012 00:00"</f>
        <v>03/08/2012 00:00</v>
      </c>
      <c r="C3813">
        <v>0.63200000000000001</v>
      </c>
      <c r="D3813" t="s">
        <v>7</v>
      </c>
      <c r="E3813" s="2" t="s">
        <v>12</v>
      </c>
      <c r="F3813">
        <f t="shared" si="59"/>
        <v>1.2532560000000001</v>
      </c>
      <c r="G3813" t="s">
        <v>16</v>
      </c>
      <c r="J3813" t="str">
        <f>"03/08/2012 23:45"</f>
        <v>03/08/2012 23:45</v>
      </c>
    </row>
    <row r="3814" spans="1:10" x14ac:dyDescent="0.3">
      <c r="A3814" t="s">
        <v>6</v>
      </c>
      <c r="B3814" t="str">
        <f>"03/09/2012 00:00"</f>
        <v>03/09/2012 00:00</v>
      </c>
      <c r="C3814">
        <v>0.57499999999999996</v>
      </c>
      <c r="D3814" t="s">
        <v>7</v>
      </c>
      <c r="E3814" s="2" t="s">
        <v>12</v>
      </c>
      <c r="F3814">
        <f t="shared" si="59"/>
        <v>1.140225</v>
      </c>
      <c r="G3814" t="s">
        <v>16</v>
      </c>
      <c r="J3814" t="str">
        <f>"03/09/2012 23:45"</f>
        <v>03/09/2012 23:45</v>
      </c>
    </row>
    <row r="3815" spans="1:10" x14ac:dyDescent="0.3">
      <c r="A3815" t="s">
        <v>6</v>
      </c>
      <c r="B3815" t="str">
        <f>"03/10/2012 00:00"</f>
        <v>03/10/2012 00:00</v>
      </c>
      <c r="C3815">
        <v>0.442</v>
      </c>
      <c r="D3815" t="s">
        <v>7</v>
      </c>
      <c r="E3815" s="2" t="s">
        <v>12</v>
      </c>
      <c r="F3815">
        <f t="shared" si="59"/>
        <v>0.8764860000000001</v>
      </c>
      <c r="G3815" t="s">
        <v>16</v>
      </c>
      <c r="J3815" t="str">
        <f>"03/10/2012 23:45"</f>
        <v>03/10/2012 23:45</v>
      </c>
    </row>
    <row r="3816" spans="1:10" x14ac:dyDescent="0.3">
      <c r="A3816" t="s">
        <v>6</v>
      </c>
      <c r="B3816" t="str">
        <f>"03/11/2012 00:00"</f>
        <v>03/11/2012 00:00</v>
      </c>
      <c r="C3816">
        <v>0.442</v>
      </c>
      <c r="D3816" t="s">
        <v>7</v>
      </c>
      <c r="E3816" s="2" t="s">
        <v>12</v>
      </c>
      <c r="F3816">
        <f t="shared" si="59"/>
        <v>0.8764860000000001</v>
      </c>
      <c r="G3816" t="s">
        <v>16</v>
      </c>
      <c r="J3816" t="str">
        <f>"03/11/2012 23:45"</f>
        <v>03/11/2012 23:45</v>
      </c>
    </row>
    <row r="3817" spans="1:10" x14ac:dyDescent="0.3">
      <c r="A3817" t="s">
        <v>6</v>
      </c>
      <c r="B3817" t="str">
        <f>"03/12/2012 00:00"</f>
        <v>03/12/2012 00:00</v>
      </c>
      <c r="C3817">
        <v>0.442</v>
      </c>
      <c r="D3817" t="s">
        <v>7</v>
      </c>
      <c r="E3817" s="2" t="s">
        <v>12</v>
      </c>
      <c r="F3817">
        <f t="shared" si="59"/>
        <v>0.8764860000000001</v>
      </c>
      <c r="G3817" t="s">
        <v>16</v>
      </c>
      <c r="J3817" t="str">
        <f>"03/12/2012 23:45"</f>
        <v>03/12/2012 23:45</v>
      </c>
    </row>
    <row r="3818" spans="1:10" x14ac:dyDescent="0.3">
      <c r="A3818" t="s">
        <v>6</v>
      </c>
      <c r="B3818" t="str">
        <f>"03/13/2012 00:00"</f>
        <v>03/13/2012 00:00</v>
      </c>
      <c r="C3818">
        <v>0.442</v>
      </c>
      <c r="D3818" t="s">
        <v>7</v>
      </c>
      <c r="E3818" s="2" t="s">
        <v>12</v>
      </c>
      <c r="F3818">
        <f t="shared" si="59"/>
        <v>0.8764860000000001</v>
      </c>
      <c r="G3818" t="s">
        <v>16</v>
      </c>
      <c r="J3818" t="str">
        <f>"03/13/2012 23:45"</f>
        <v>03/13/2012 23:45</v>
      </c>
    </row>
    <row r="3819" spans="1:10" x14ac:dyDescent="0.3">
      <c r="A3819" t="s">
        <v>6</v>
      </c>
      <c r="B3819" t="str">
        <f>"03/14/2012 00:00"</f>
        <v>03/14/2012 00:00</v>
      </c>
      <c r="C3819">
        <v>0.442</v>
      </c>
      <c r="D3819" t="s">
        <v>7</v>
      </c>
      <c r="E3819" s="2" t="s">
        <v>12</v>
      </c>
      <c r="F3819">
        <f t="shared" si="59"/>
        <v>0.8764860000000001</v>
      </c>
      <c r="G3819" t="s">
        <v>16</v>
      </c>
      <c r="J3819" t="str">
        <f>"03/14/2012 23:45"</f>
        <v>03/14/2012 23:45</v>
      </c>
    </row>
    <row r="3820" spans="1:10" x14ac:dyDescent="0.3">
      <c r="A3820" t="s">
        <v>6</v>
      </c>
      <c r="B3820" t="str">
        <f>"03/15/2012 00:00"</f>
        <v>03/15/2012 00:00</v>
      </c>
      <c r="C3820">
        <v>0.442</v>
      </c>
      <c r="D3820" t="s">
        <v>7</v>
      </c>
      <c r="E3820" s="2" t="s">
        <v>12</v>
      </c>
      <c r="F3820">
        <f t="shared" si="59"/>
        <v>0.8764860000000001</v>
      </c>
      <c r="G3820" t="s">
        <v>16</v>
      </c>
      <c r="J3820" t="str">
        <f>"03/15/2012 23:45"</f>
        <v>03/15/2012 23:45</v>
      </c>
    </row>
    <row r="3821" spans="1:10" x14ac:dyDescent="0.3">
      <c r="A3821" t="s">
        <v>6</v>
      </c>
      <c r="B3821" t="str">
        <f>"03/16/2012 00:00"</f>
        <v>03/16/2012 00:00</v>
      </c>
      <c r="C3821">
        <v>3.25</v>
      </c>
      <c r="D3821" t="s">
        <v>7</v>
      </c>
      <c r="E3821" s="2" t="s">
        <v>12</v>
      </c>
      <c r="F3821">
        <f t="shared" si="59"/>
        <v>6.44475</v>
      </c>
      <c r="G3821" t="s">
        <v>16</v>
      </c>
      <c r="J3821" t="str">
        <f>"03/16/2012 23:45"</f>
        <v>03/16/2012 23:45</v>
      </c>
    </row>
    <row r="3822" spans="1:10" x14ac:dyDescent="0.3">
      <c r="A3822" t="s">
        <v>6</v>
      </c>
      <c r="B3822" t="str">
        <f>"03/17/2012 00:00"</f>
        <v>03/17/2012 00:00</v>
      </c>
      <c r="C3822">
        <v>6.76</v>
      </c>
      <c r="D3822" t="s">
        <v>7</v>
      </c>
      <c r="E3822" s="2" t="s">
        <v>12</v>
      </c>
      <c r="F3822">
        <f t="shared" si="59"/>
        <v>13.40508</v>
      </c>
      <c r="G3822" t="s">
        <v>16</v>
      </c>
      <c r="J3822" t="str">
        <f>"03/17/2012 23:45"</f>
        <v>03/17/2012 23:45</v>
      </c>
    </row>
    <row r="3823" spans="1:10" x14ac:dyDescent="0.3">
      <c r="A3823" t="s">
        <v>6</v>
      </c>
      <c r="B3823" t="str">
        <f>"03/18/2012 00:00"</f>
        <v>03/18/2012 00:00</v>
      </c>
      <c r="C3823">
        <v>6.76</v>
      </c>
      <c r="D3823" t="s">
        <v>7</v>
      </c>
      <c r="E3823" s="2" t="s">
        <v>12</v>
      </c>
      <c r="F3823">
        <f t="shared" si="59"/>
        <v>13.40508</v>
      </c>
      <c r="G3823" t="s">
        <v>16</v>
      </c>
      <c r="J3823" t="str">
        <f>"03/18/2012 23:45"</f>
        <v>03/18/2012 23:45</v>
      </c>
    </row>
    <row r="3824" spans="1:10" x14ac:dyDescent="0.3">
      <c r="A3824" t="s">
        <v>6</v>
      </c>
      <c r="B3824" t="str">
        <f>"03/19/2012 00:00"</f>
        <v>03/19/2012 00:00</v>
      </c>
      <c r="C3824">
        <v>14.4</v>
      </c>
      <c r="D3824" t="s">
        <v>7</v>
      </c>
      <c r="E3824" s="2" t="s">
        <v>12</v>
      </c>
      <c r="F3824">
        <f t="shared" si="59"/>
        <v>28.555200000000003</v>
      </c>
      <c r="G3824" t="s">
        <v>16</v>
      </c>
      <c r="J3824" t="str">
        <f>"03/19/2012 23:45"</f>
        <v>03/19/2012 23:45</v>
      </c>
    </row>
    <row r="3825" spans="1:10" x14ac:dyDescent="0.3">
      <c r="A3825" t="s">
        <v>6</v>
      </c>
      <c r="B3825" t="str">
        <f>"03/20/2012 00:00"</f>
        <v>03/20/2012 00:00</v>
      </c>
      <c r="C3825">
        <v>28.4</v>
      </c>
      <c r="D3825" t="s">
        <v>7</v>
      </c>
      <c r="E3825" s="2" t="s">
        <v>12</v>
      </c>
      <c r="F3825">
        <f t="shared" si="59"/>
        <v>56.3172</v>
      </c>
      <c r="G3825" t="s">
        <v>16</v>
      </c>
      <c r="J3825" t="str">
        <f>"03/20/2012 23:45"</f>
        <v>03/20/2012 23:45</v>
      </c>
    </row>
    <row r="3826" spans="1:10" x14ac:dyDescent="0.3">
      <c r="A3826" t="s">
        <v>6</v>
      </c>
      <c r="B3826" t="str">
        <f>"03/21/2012 00:00"</f>
        <v>03/21/2012 00:00</v>
      </c>
      <c r="C3826">
        <v>42.9</v>
      </c>
      <c r="D3826" t="s">
        <v>7</v>
      </c>
      <c r="E3826" s="2" t="s">
        <v>12</v>
      </c>
      <c r="F3826">
        <f t="shared" si="59"/>
        <v>85.070700000000002</v>
      </c>
      <c r="G3826" t="s">
        <v>16</v>
      </c>
      <c r="J3826" t="str">
        <f>"03/21/2012 23:45"</f>
        <v>03/21/2012 23:45</v>
      </c>
    </row>
    <row r="3827" spans="1:10" x14ac:dyDescent="0.3">
      <c r="A3827" t="s">
        <v>6</v>
      </c>
      <c r="B3827" t="str">
        <f>"03/22/2012 00:00"</f>
        <v>03/22/2012 00:00</v>
      </c>
      <c r="C3827">
        <v>66</v>
      </c>
      <c r="D3827" t="s">
        <v>7</v>
      </c>
      <c r="E3827" s="2" t="s">
        <v>12</v>
      </c>
      <c r="F3827">
        <f t="shared" si="59"/>
        <v>130.87800000000001</v>
      </c>
      <c r="G3827" t="s">
        <v>16</v>
      </c>
      <c r="J3827" t="str">
        <f>"03/22/2012 23:45"</f>
        <v>03/22/2012 23:45</v>
      </c>
    </row>
    <row r="3828" spans="1:10" x14ac:dyDescent="0.3">
      <c r="A3828" t="s">
        <v>6</v>
      </c>
      <c r="B3828" t="str">
        <f>"03/23/2012 00:00"</f>
        <v>03/23/2012 00:00</v>
      </c>
      <c r="C3828">
        <v>91.1</v>
      </c>
      <c r="D3828" t="s">
        <v>7</v>
      </c>
      <c r="E3828" s="2" t="s">
        <v>12</v>
      </c>
      <c r="F3828">
        <f t="shared" si="59"/>
        <v>180.65129999999999</v>
      </c>
      <c r="G3828" t="s">
        <v>16</v>
      </c>
      <c r="J3828" t="str">
        <f>"03/23/2012 23:45"</f>
        <v>03/23/2012 23:45</v>
      </c>
    </row>
    <row r="3829" spans="1:10" x14ac:dyDescent="0.3">
      <c r="A3829" t="s">
        <v>6</v>
      </c>
      <c r="B3829" t="str">
        <f>"03/24/2012 00:00"</f>
        <v>03/24/2012 00:00</v>
      </c>
      <c r="C3829">
        <v>105</v>
      </c>
      <c r="D3829" t="s">
        <v>7</v>
      </c>
      <c r="E3829" s="2" t="s">
        <v>12</v>
      </c>
      <c r="F3829">
        <f t="shared" si="59"/>
        <v>208.215</v>
      </c>
      <c r="G3829" t="s">
        <v>16</v>
      </c>
      <c r="J3829" t="str">
        <f>"03/24/2012 23:45"</f>
        <v>03/24/2012 23:45</v>
      </c>
    </row>
    <row r="3830" spans="1:10" x14ac:dyDescent="0.3">
      <c r="A3830" t="s">
        <v>6</v>
      </c>
      <c r="B3830" t="str">
        <f>"03/25/2012 00:00"</f>
        <v>03/25/2012 00:00</v>
      </c>
      <c r="C3830">
        <v>121</v>
      </c>
      <c r="D3830" t="s">
        <v>7</v>
      </c>
      <c r="E3830" s="2" t="s">
        <v>12</v>
      </c>
      <c r="F3830">
        <f t="shared" si="59"/>
        <v>239.94300000000001</v>
      </c>
      <c r="G3830" t="s">
        <v>16</v>
      </c>
      <c r="J3830" t="str">
        <f>"03/25/2012 23:45"</f>
        <v>03/25/2012 23:45</v>
      </c>
    </row>
    <row r="3831" spans="1:10" x14ac:dyDescent="0.3">
      <c r="A3831" t="s">
        <v>6</v>
      </c>
      <c r="B3831" t="str">
        <f>"03/26/2012 00:00"</f>
        <v>03/26/2012 00:00</v>
      </c>
      <c r="C3831">
        <v>128</v>
      </c>
      <c r="D3831" t="s">
        <v>7</v>
      </c>
      <c r="E3831" s="2" t="s">
        <v>12</v>
      </c>
      <c r="F3831">
        <f t="shared" si="59"/>
        <v>253.82400000000001</v>
      </c>
      <c r="G3831" t="s">
        <v>16</v>
      </c>
      <c r="J3831" t="str">
        <f>"03/26/2012 23:45"</f>
        <v>03/26/2012 23:45</v>
      </c>
    </row>
    <row r="3832" spans="1:10" x14ac:dyDescent="0.3">
      <c r="A3832" t="s">
        <v>6</v>
      </c>
      <c r="B3832" t="str">
        <f>"03/27/2012 00:00"</f>
        <v>03/27/2012 00:00</v>
      </c>
      <c r="C3832">
        <v>128</v>
      </c>
      <c r="D3832" t="s">
        <v>7</v>
      </c>
      <c r="E3832" s="2" t="s">
        <v>12</v>
      </c>
      <c r="F3832">
        <f t="shared" si="59"/>
        <v>253.82400000000001</v>
      </c>
      <c r="G3832" t="s">
        <v>16</v>
      </c>
      <c r="J3832" t="str">
        <f>"03/27/2012 23:45"</f>
        <v>03/27/2012 23:45</v>
      </c>
    </row>
    <row r="3833" spans="1:10" x14ac:dyDescent="0.3">
      <c r="A3833" t="s">
        <v>6</v>
      </c>
      <c r="B3833" t="str">
        <f>"03/28/2012 00:00"</f>
        <v>03/28/2012 00:00</v>
      </c>
      <c r="C3833">
        <v>129</v>
      </c>
      <c r="D3833" t="s">
        <v>7</v>
      </c>
      <c r="E3833" s="2" t="s">
        <v>12</v>
      </c>
      <c r="F3833">
        <f t="shared" si="59"/>
        <v>255.80700000000002</v>
      </c>
      <c r="G3833" t="s">
        <v>16</v>
      </c>
      <c r="J3833" t="str">
        <f>"03/28/2012 23:45"</f>
        <v>03/28/2012 23:45</v>
      </c>
    </row>
    <row r="3834" spans="1:10" x14ac:dyDescent="0.3">
      <c r="A3834" t="s">
        <v>6</v>
      </c>
      <c r="B3834" t="str">
        <f>"03/29/2012 00:00"</f>
        <v>03/29/2012 00:00</v>
      </c>
      <c r="C3834">
        <v>150</v>
      </c>
      <c r="D3834" t="s">
        <v>7</v>
      </c>
      <c r="E3834" s="2" t="s">
        <v>12</v>
      </c>
      <c r="F3834">
        <f t="shared" si="59"/>
        <v>297.45</v>
      </c>
      <c r="G3834" t="s">
        <v>16</v>
      </c>
      <c r="J3834" t="str">
        <f>"03/29/2012 23:45"</f>
        <v>03/29/2012 23:45</v>
      </c>
    </row>
    <row r="3835" spans="1:10" x14ac:dyDescent="0.3">
      <c r="A3835" t="s">
        <v>6</v>
      </c>
      <c r="B3835" t="str">
        <f>"03/30/2012 00:00"</f>
        <v>03/30/2012 00:00</v>
      </c>
      <c r="C3835">
        <v>185</v>
      </c>
      <c r="D3835" t="s">
        <v>7</v>
      </c>
      <c r="E3835" s="2" t="s">
        <v>12</v>
      </c>
      <c r="F3835">
        <f t="shared" si="59"/>
        <v>366.85500000000002</v>
      </c>
      <c r="G3835" t="s">
        <v>16</v>
      </c>
      <c r="J3835" t="str">
        <f>"03/30/2012 23:45"</f>
        <v>03/30/2012 23:45</v>
      </c>
    </row>
    <row r="3836" spans="1:10" x14ac:dyDescent="0.3">
      <c r="A3836" t="s">
        <v>6</v>
      </c>
      <c r="B3836" t="str">
        <f>"03/31/2012 00:00"</f>
        <v>03/31/2012 00:00</v>
      </c>
      <c r="C3836">
        <v>211</v>
      </c>
      <c r="D3836" t="s">
        <v>7</v>
      </c>
      <c r="E3836" s="2" t="s">
        <v>12</v>
      </c>
      <c r="F3836">
        <f t="shared" si="59"/>
        <v>418.41300000000001</v>
      </c>
      <c r="G3836" t="s">
        <v>16</v>
      </c>
      <c r="J3836" t="str">
        <f>"03/31/2012 23:45"</f>
        <v>03/31/2012 23:45</v>
      </c>
    </row>
    <row r="3837" spans="1:10" x14ac:dyDescent="0.3">
      <c r="A3837" t="s">
        <v>6</v>
      </c>
      <c r="B3837" t="str">
        <f>"04/01/2012 00:00"</f>
        <v>04/01/2012 00:00</v>
      </c>
      <c r="C3837">
        <v>226</v>
      </c>
      <c r="D3837" t="s">
        <v>7</v>
      </c>
      <c r="E3837" s="2" t="s">
        <v>12</v>
      </c>
      <c r="F3837">
        <f t="shared" si="59"/>
        <v>448.15800000000002</v>
      </c>
      <c r="G3837" t="s">
        <v>16</v>
      </c>
      <c r="J3837" t="str">
        <f>"04/01/2012 23:45"</f>
        <v>04/01/2012 23:45</v>
      </c>
    </row>
    <row r="3838" spans="1:10" x14ac:dyDescent="0.3">
      <c r="A3838" t="s">
        <v>6</v>
      </c>
      <c r="B3838" t="str">
        <f>"04/02/2012 00:00"</f>
        <v>04/02/2012 00:00</v>
      </c>
      <c r="C3838">
        <v>225</v>
      </c>
      <c r="D3838" t="s">
        <v>7</v>
      </c>
      <c r="E3838" s="2" t="s">
        <v>12</v>
      </c>
      <c r="F3838">
        <f t="shared" si="59"/>
        <v>446.17500000000001</v>
      </c>
      <c r="G3838" t="s">
        <v>16</v>
      </c>
      <c r="J3838" t="str">
        <f>"04/02/2012 23:45"</f>
        <v>04/02/2012 23:45</v>
      </c>
    </row>
    <row r="3839" spans="1:10" x14ac:dyDescent="0.3">
      <c r="A3839" t="s">
        <v>6</v>
      </c>
      <c r="B3839" t="str">
        <f>"04/03/2012 00:00"</f>
        <v>04/03/2012 00:00</v>
      </c>
      <c r="C3839">
        <v>225</v>
      </c>
      <c r="D3839" t="s">
        <v>7</v>
      </c>
      <c r="E3839" s="2" t="s">
        <v>12</v>
      </c>
      <c r="F3839">
        <f t="shared" si="59"/>
        <v>446.17500000000001</v>
      </c>
      <c r="G3839" t="s">
        <v>16</v>
      </c>
      <c r="J3839" t="str">
        <f>"04/03/2012 23:45"</f>
        <v>04/03/2012 23:45</v>
      </c>
    </row>
    <row r="3840" spans="1:10" x14ac:dyDescent="0.3">
      <c r="A3840" t="s">
        <v>6</v>
      </c>
      <c r="B3840" t="str">
        <f>"04/04/2012 00:00"</f>
        <v>04/04/2012 00:00</v>
      </c>
      <c r="C3840">
        <v>194</v>
      </c>
      <c r="D3840" t="s">
        <v>7</v>
      </c>
      <c r="E3840" s="2" t="s">
        <v>12</v>
      </c>
      <c r="F3840">
        <f t="shared" si="59"/>
        <v>384.702</v>
      </c>
      <c r="G3840" t="s">
        <v>16</v>
      </c>
      <c r="J3840" t="str">
        <f>"04/04/2012 23:45"</f>
        <v>04/04/2012 23:45</v>
      </c>
    </row>
    <row r="3841" spans="1:10" x14ac:dyDescent="0.3">
      <c r="A3841" t="s">
        <v>6</v>
      </c>
      <c r="B3841" t="str">
        <f>"04/05/2012 00:00"</f>
        <v>04/05/2012 00:00</v>
      </c>
      <c r="C3841">
        <v>168</v>
      </c>
      <c r="D3841" t="s">
        <v>7</v>
      </c>
      <c r="E3841" s="2" t="s">
        <v>12</v>
      </c>
      <c r="F3841">
        <f t="shared" si="59"/>
        <v>333.14400000000001</v>
      </c>
      <c r="G3841" t="s">
        <v>16</v>
      </c>
      <c r="J3841" t="str">
        <f>"04/05/2012 23:45"</f>
        <v>04/05/2012 23:45</v>
      </c>
    </row>
    <row r="3842" spans="1:10" x14ac:dyDescent="0.3">
      <c r="A3842" t="s">
        <v>6</v>
      </c>
      <c r="B3842" t="str">
        <f>"04/06/2012 00:00"</f>
        <v>04/06/2012 00:00</v>
      </c>
      <c r="C3842">
        <v>186</v>
      </c>
      <c r="D3842" t="s">
        <v>7</v>
      </c>
      <c r="E3842" s="2" t="s">
        <v>12</v>
      </c>
      <c r="F3842">
        <f t="shared" si="59"/>
        <v>368.83800000000002</v>
      </c>
      <c r="G3842" t="s">
        <v>16</v>
      </c>
      <c r="J3842" t="str">
        <f>"04/06/2012 23:45"</f>
        <v>04/06/2012 23:45</v>
      </c>
    </row>
    <row r="3843" spans="1:10" x14ac:dyDescent="0.3">
      <c r="A3843" t="s">
        <v>6</v>
      </c>
      <c r="B3843" t="str">
        <f>"04/07/2012 00:00"</f>
        <v>04/07/2012 00:00</v>
      </c>
      <c r="C3843">
        <v>199</v>
      </c>
      <c r="D3843" t="s">
        <v>7</v>
      </c>
      <c r="E3843" s="2" t="s">
        <v>12</v>
      </c>
      <c r="F3843">
        <f t="shared" si="59"/>
        <v>394.61700000000002</v>
      </c>
      <c r="G3843" t="s">
        <v>16</v>
      </c>
      <c r="J3843" t="str">
        <f>"04/07/2012 23:45"</f>
        <v>04/07/2012 23:45</v>
      </c>
    </row>
    <row r="3844" spans="1:10" x14ac:dyDescent="0.3">
      <c r="A3844" t="s">
        <v>6</v>
      </c>
      <c r="B3844" t="str">
        <f>"04/08/2012 00:00"</f>
        <v>04/08/2012 00:00</v>
      </c>
      <c r="C3844">
        <v>243</v>
      </c>
      <c r="D3844" t="s">
        <v>7</v>
      </c>
      <c r="E3844" s="2" t="s">
        <v>12</v>
      </c>
      <c r="F3844">
        <f t="shared" ref="F3844:F3907" si="60">C3844*1.983</f>
        <v>481.86900000000003</v>
      </c>
      <c r="G3844" t="s">
        <v>16</v>
      </c>
      <c r="J3844" t="str">
        <f>"04/08/2012 23:45"</f>
        <v>04/08/2012 23:45</v>
      </c>
    </row>
    <row r="3845" spans="1:10" x14ac:dyDescent="0.3">
      <c r="A3845" t="s">
        <v>6</v>
      </c>
      <c r="B3845" t="str">
        <f>"04/09/2012 00:00"</f>
        <v>04/09/2012 00:00</v>
      </c>
      <c r="C3845">
        <v>268</v>
      </c>
      <c r="D3845" t="s">
        <v>7</v>
      </c>
      <c r="E3845" s="2" t="s">
        <v>12</v>
      </c>
      <c r="F3845">
        <f t="shared" si="60"/>
        <v>531.44400000000007</v>
      </c>
      <c r="G3845" t="s">
        <v>16</v>
      </c>
      <c r="J3845" t="str">
        <f>"04/09/2012 23:45"</f>
        <v>04/09/2012 23:45</v>
      </c>
    </row>
    <row r="3846" spans="1:10" x14ac:dyDescent="0.3">
      <c r="A3846" t="s">
        <v>6</v>
      </c>
      <c r="B3846" t="str">
        <f>"04/10/2012 00:00"</f>
        <v>04/10/2012 00:00</v>
      </c>
      <c r="C3846">
        <v>268</v>
      </c>
      <c r="D3846" t="s">
        <v>7</v>
      </c>
      <c r="E3846" s="2" t="s">
        <v>12</v>
      </c>
      <c r="F3846">
        <f t="shared" si="60"/>
        <v>531.44400000000007</v>
      </c>
      <c r="G3846" t="s">
        <v>16</v>
      </c>
      <c r="J3846" t="str">
        <f>"04/10/2012 23:45"</f>
        <v>04/10/2012 23:45</v>
      </c>
    </row>
    <row r="3847" spans="1:10" x14ac:dyDescent="0.3">
      <c r="A3847" t="s">
        <v>6</v>
      </c>
      <c r="B3847" t="str">
        <f>"04/11/2012 00:00"</f>
        <v>04/11/2012 00:00</v>
      </c>
      <c r="C3847">
        <v>289</v>
      </c>
      <c r="D3847" t="s">
        <v>7</v>
      </c>
      <c r="E3847" s="2" t="s">
        <v>12</v>
      </c>
      <c r="F3847">
        <f t="shared" si="60"/>
        <v>573.08699999999999</v>
      </c>
      <c r="G3847" t="s">
        <v>16</v>
      </c>
      <c r="J3847" t="str">
        <f>"04/11/2012 23:45"</f>
        <v>04/11/2012 23:45</v>
      </c>
    </row>
    <row r="3848" spans="1:10" x14ac:dyDescent="0.3">
      <c r="A3848" t="s">
        <v>6</v>
      </c>
      <c r="B3848" t="str">
        <f>"04/12/2012 00:00"</f>
        <v>04/12/2012 00:00</v>
      </c>
      <c r="C3848">
        <v>305</v>
      </c>
      <c r="D3848" t="s">
        <v>7</v>
      </c>
      <c r="E3848" s="2" t="s">
        <v>12</v>
      </c>
      <c r="F3848">
        <f t="shared" si="60"/>
        <v>604.81500000000005</v>
      </c>
      <c r="G3848" t="s">
        <v>16</v>
      </c>
      <c r="J3848" t="str">
        <f>"04/12/2012 23:45"</f>
        <v>04/12/2012 23:45</v>
      </c>
    </row>
    <row r="3849" spans="1:10" x14ac:dyDescent="0.3">
      <c r="A3849" t="s">
        <v>6</v>
      </c>
      <c r="B3849" t="str">
        <f>"04/13/2012 00:00"</f>
        <v>04/13/2012 00:00</v>
      </c>
      <c r="C3849">
        <v>267</v>
      </c>
      <c r="D3849" t="s">
        <v>7</v>
      </c>
      <c r="E3849" s="2" t="s">
        <v>12</v>
      </c>
      <c r="F3849">
        <f t="shared" si="60"/>
        <v>529.46100000000001</v>
      </c>
      <c r="G3849" t="s">
        <v>16</v>
      </c>
      <c r="J3849" t="str">
        <f>"04/13/2012 23:45"</f>
        <v>04/13/2012 23:45</v>
      </c>
    </row>
    <row r="3850" spans="1:10" x14ac:dyDescent="0.3">
      <c r="A3850" t="s">
        <v>6</v>
      </c>
      <c r="B3850" t="str">
        <f>"04/14/2012 00:00"</f>
        <v>04/14/2012 00:00</v>
      </c>
      <c r="C3850">
        <v>229</v>
      </c>
      <c r="D3850" t="s">
        <v>7</v>
      </c>
      <c r="E3850" s="2" t="s">
        <v>12</v>
      </c>
      <c r="F3850">
        <f t="shared" si="60"/>
        <v>454.10700000000003</v>
      </c>
      <c r="G3850" t="s">
        <v>16</v>
      </c>
      <c r="J3850" t="str">
        <f>"04/14/2012 23:45"</f>
        <v>04/14/2012 23:45</v>
      </c>
    </row>
    <row r="3851" spans="1:10" x14ac:dyDescent="0.3">
      <c r="A3851" t="s">
        <v>6</v>
      </c>
      <c r="B3851" t="str">
        <f>"04/15/2012 00:00"</f>
        <v>04/15/2012 00:00</v>
      </c>
      <c r="C3851">
        <v>177</v>
      </c>
      <c r="D3851" t="s">
        <v>7</v>
      </c>
      <c r="E3851" s="2" t="s">
        <v>12</v>
      </c>
      <c r="F3851">
        <f t="shared" si="60"/>
        <v>350.99100000000004</v>
      </c>
      <c r="G3851" t="s">
        <v>16</v>
      </c>
      <c r="J3851" t="str">
        <f>"04/15/2012 23:45"</f>
        <v>04/15/2012 23:45</v>
      </c>
    </row>
    <row r="3852" spans="1:10" x14ac:dyDescent="0.3">
      <c r="A3852" t="s">
        <v>6</v>
      </c>
      <c r="B3852" t="str">
        <f>"04/16/2012 00:00"</f>
        <v>04/16/2012 00:00</v>
      </c>
      <c r="C3852">
        <v>140</v>
      </c>
      <c r="D3852" t="s">
        <v>7</v>
      </c>
      <c r="E3852" s="2" t="s">
        <v>12</v>
      </c>
      <c r="F3852">
        <f t="shared" si="60"/>
        <v>277.62</v>
      </c>
      <c r="G3852" t="s">
        <v>16</v>
      </c>
      <c r="J3852" t="str">
        <f>"04/16/2012 23:45"</f>
        <v>04/16/2012 23:45</v>
      </c>
    </row>
    <row r="3853" spans="1:10" x14ac:dyDescent="0.3">
      <c r="A3853" t="s">
        <v>6</v>
      </c>
      <c r="B3853" t="str">
        <f>"04/17/2012 00:00"</f>
        <v>04/17/2012 00:00</v>
      </c>
      <c r="C3853">
        <v>169</v>
      </c>
      <c r="D3853" t="s">
        <v>7</v>
      </c>
      <c r="E3853" s="2" t="s">
        <v>12</v>
      </c>
      <c r="F3853">
        <f t="shared" si="60"/>
        <v>335.12700000000001</v>
      </c>
      <c r="G3853" t="s">
        <v>16</v>
      </c>
      <c r="J3853" t="str">
        <f>"04/17/2012 23:45"</f>
        <v>04/17/2012 23:45</v>
      </c>
    </row>
    <row r="3854" spans="1:10" x14ac:dyDescent="0.3">
      <c r="A3854" t="s">
        <v>6</v>
      </c>
      <c r="B3854" t="str">
        <f>"04/18/2012 00:00"</f>
        <v>04/18/2012 00:00</v>
      </c>
      <c r="C3854">
        <v>189</v>
      </c>
      <c r="D3854" t="s">
        <v>7</v>
      </c>
      <c r="E3854" s="2" t="s">
        <v>12</v>
      </c>
      <c r="F3854">
        <f t="shared" si="60"/>
        <v>374.78700000000003</v>
      </c>
      <c r="G3854" t="s">
        <v>16</v>
      </c>
      <c r="J3854" t="str">
        <f>"04/18/2012 23:45"</f>
        <v>04/18/2012 23:45</v>
      </c>
    </row>
    <row r="3855" spans="1:10" x14ac:dyDescent="0.3">
      <c r="A3855" t="s">
        <v>6</v>
      </c>
      <c r="B3855" t="str">
        <f>"04/19/2012 00:00"</f>
        <v>04/19/2012 00:00</v>
      </c>
      <c r="C3855">
        <v>225</v>
      </c>
      <c r="D3855" t="s">
        <v>7</v>
      </c>
      <c r="E3855" s="2" t="s">
        <v>12</v>
      </c>
      <c r="F3855">
        <f t="shared" si="60"/>
        <v>446.17500000000001</v>
      </c>
      <c r="G3855" t="s">
        <v>16</v>
      </c>
      <c r="J3855" t="str">
        <f>"04/19/2012 23:45"</f>
        <v>04/19/2012 23:45</v>
      </c>
    </row>
    <row r="3856" spans="1:10" x14ac:dyDescent="0.3">
      <c r="A3856" t="s">
        <v>6</v>
      </c>
      <c r="B3856" t="str">
        <f>"04/20/2012 00:00"</f>
        <v>04/20/2012 00:00</v>
      </c>
      <c r="C3856">
        <v>249</v>
      </c>
      <c r="D3856" t="s">
        <v>7</v>
      </c>
      <c r="E3856" s="2" t="s">
        <v>12</v>
      </c>
      <c r="F3856">
        <f t="shared" si="60"/>
        <v>493.767</v>
      </c>
      <c r="G3856" t="s">
        <v>16</v>
      </c>
      <c r="J3856" t="str">
        <f>"04/20/2012 23:45"</f>
        <v>04/20/2012 23:45</v>
      </c>
    </row>
    <row r="3857" spans="1:10" x14ac:dyDescent="0.3">
      <c r="A3857" t="s">
        <v>6</v>
      </c>
      <c r="B3857" t="str">
        <f>"04/21/2012 00:00"</f>
        <v>04/21/2012 00:00</v>
      </c>
      <c r="C3857">
        <v>249</v>
      </c>
      <c r="D3857" t="s">
        <v>7</v>
      </c>
      <c r="E3857" s="2" t="s">
        <v>12</v>
      </c>
      <c r="F3857">
        <f t="shared" si="60"/>
        <v>493.767</v>
      </c>
      <c r="G3857" t="s">
        <v>16</v>
      </c>
      <c r="J3857" t="str">
        <f>"04/21/2012 23:45"</f>
        <v>04/21/2012 23:45</v>
      </c>
    </row>
    <row r="3858" spans="1:10" x14ac:dyDescent="0.3">
      <c r="A3858" t="s">
        <v>6</v>
      </c>
      <c r="B3858" t="str">
        <f>"04/22/2012 00:00"</f>
        <v>04/22/2012 00:00</v>
      </c>
      <c r="C3858">
        <v>249</v>
      </c>
      <c r="D3858" t="s">
        <v>7</v>
      </c>
      <c r="E3858" s="2" t="s">
        <v>12</v>
      </c>
      <c r="F3858">
        <f t="shared" si="60"/>
        <v>493.767</v>
      </c>
      <c r="G3858" t="s">
        <v>16</v>
      </c>
      <c r="J3858" t="str">
        <f>"04/22/2012 23:45"</f>
        <v>04/22/2012 23:45</v>
      </c>
    </row>
    <row r="3859" spans="1:10" x14ac:dyDescent="0.3">
      <c r="A3859" t="s">
        <v>6</v>
      </c>
      <c r="B3859" t="str">
        <f>"04/23/2012 00:00"</f>
        <v>04/23/2012 00:00</v>
      </c>
      <c r="C3859">
        <v>250</v>
      </c>
      <c r="D3859" t="s">
        <v>7</v>
      </c>
      <c r="E3859" s="2" t="s">
        <v>12</v>
      </c>
      <c r="F3859">
        <f t="shared" si="60"/>
        <v>495.75</v>
      </c>
      <c r="G3859" t="s">
        <v>16</v>
      </c>
      <c r="J3859" t="str">
        <f>"04/23/2012 23:45"</f>
        <v>04/23/2012 23:45</v>
      </c>
    </row>
    <row r="3860" spans="1:10" x14ac:dyDescent="0.3">
      <c r="A3860" t="s">
        <v>6</v>
      </c>
      <c r="B3860" t="str">
        <f>"04/24/2012 00:00"</f>
        <v>04/24/2012 00:00</v>
      </c>
      <c r="C3860">
        <v>280</v>
      </c>
      <c r="D3860" t="s">
        <v>7</v>
      </c>
      <c r="E3860" s="2" t="s">
        <v>12</v>
      </c>
      <c r="F3860">
        <f t="shared" si="60"/>
        <v>555.24</v>
      </c>
      <c r="G3860" t="s">
        <v>16</v>
      </c>
      <c r="J3860" t="str">
        <f>"04/24/2012 23:45"</f>
        <v>04/24/2012 23:45</v>
      </c>
    </row>
    <row r="3861" spans="1:10" x14ac:dyDescent="0.3">
      <c r="A3861" t="s">
        <v>6</v>
      </c>
      <c r="B3861" t="str">
        <f>"04/25/2012 00:00"</f>
        <v>04/25/2012 00:00</v>
      </c>
      <c r="C3861">
        <v>300</v>
      </c>
      <c r="D3861" t="s">
        <v>7</v>
      </c>
      <c r="E3861" s="2" t="s">
        <v>12</v>
      </c>
      <c r="F3861">
        <f t="shared" si="60"/>
        <v>594.9</v>
      </c>
      <c r="G3861" t="s">
        <v>16</v>
      </c>
      <c r="J3861" t="str">
        <f>"04/25/2012 23:45"</f>
        <v>04/25/2012 23:45</v>
      </c>
    </row>
    <row r="3862" spans="1:10" x14ac:dyDescent="0.3">
      <c r="A3862" t="s">
        <v>6</v>
      </c>
      <c r="B3862" t="str">
        <f>"04/26/2012 00:00"</f>
        <v>04/26/2012 00:00</v>
      </c>
      <c r="C3862">
        <v>298</v>
      </c>
      <c r="D3862" t="s">
        <v>7</v>
      </c>
      <c r="E3862" s="2" t="s">
        <v>12</v>
      </c>
      <c r="F3862">
        <f t="shared" si="60"/>
        <v>590.93400000000008</v>
      </c>
      <c r="G3862" t="s">
        <v>16</v>
      </c>
      <c r="J3862" t="str">
        <f>"04/26/2012 23:45"</f>
        <v>04/26/2012 23:45</v>
      </c>
    </row>
    <row r="3863" spans="1:10" x14ac:dyDescent="0.3">
      <c r="A3863" t="s">
        <v>6</v>
      </c>
      <c r="B3863" t="str">
        <f>"04/27/2012 00:00"</f>
        <v>04/27/2012 00:00</v>
      </c>
      <c r="C3863">
        <v>273</v>
      </c>
      <c r="D3863" t="s">
        <v>7</v>
      </c>
      <c r="E3863" s="2" t="s">
        <v>12</v>
      </c>
      <c r="F3863">
        <f t="shared" si="60"/>
        <v>541.35900000000004</v>
      </c>
      <c r="G3863" t="s">
        <v>16</v>
      </c>
      <c r="J3863" t="str">
        <f>"04/27/2012 23:45"</f>
        <v>04/27/2012 23:45</v>
      </c>
    </row>
    <row r="3864" spans="1:10" x14ac:dyDescent="0.3">
      <c r="A3864" t="s">
        <v>6</v>
      </c>
      <c r="B3864" t="str">
        <f>"04/28/2012 00:00"</f>
        <v>04/28/2012 00:00</v>
      </c>
      <c r="C3864">
        <v>184</v>
      </c>
      <c r="D3864" t="s">
        <v>7</v>
      </c>
      <c r="E3864" s="2" t="s">
        <v>12</v>
      </c>
      <c r="F3864">
        <f t="shared" si="60"/>
        <v>364.87200000000001</v>
      </c>
      <c r="G3864" t="s">
        <v>16</v>
      </c>
      <c r="J3864" t="str">
        <f>"04/28/2012 23:45"</f>
        <v>04/28/2012 23:45</v>
      </c>
    </row>
    <row r="3865" spans="1:10" x14ac:dyDescent="0.3">
      <c r="A3865" t="s">
        <v>6</v>
      </c>
      <c r="B3865" t="str">
        <f>"04/29/2012 00:00"</f>
        <v>04/29/2012 00:00</v>
      </c>
      <c r="C3865">
        <v>121</v>
      </c>
      <c r="D3865" t="s">
        <v>7</v>
      </c>
      <c r="E3865" s="2" t="s">
        <v>12</v>
      </c>
      <c r="F3865">
        <f t="shared" si="60"/>
        <v>239.94300000000001</v>
      </c>
      <c r="G3865" t="s">
        <v>16</v>
      </c>
      <c r="J3865" t="str">
        <f>"04/29/2012 23:45"</f>
        <v>04/29/2012 23:45</v>
      </c>
    </row>
    <row r="3866" spans="1:10" x14ac:dyDescent="0.3">
      <c r="A3866" t="s">
        <v>6</v>
      </c>
      <c r="B3866" t="str">
        <f>"04/30/2012 00:00"</f>
        <v>04/30/2012 00:00</v>
      </c>
      <c r="C3866">
        <v>194</v>
      </c>
      <c r="D3866" t="s">
        <v>7</v>
      </c>
      <c r="E3866" s="2" t="s">
        <v>12</v>
      </c>
      <c r="F3866">
        <f t="shared" si="60"/>
        <v>384.702</v>
      </c>
      <c r="G3866" t="s">
        <v>16</v>
      </c>
      <c r="J3866" t="str">
        <f>"04/30/2012 23:45"</f>
        <v>04/30/2012 23:45</v>
      </c>
    </row>
    <row r="3867" spans="1:10" x14ac:dyDescent="0.3">
      <c r="A3867" t="s">
        <v>6</v>
      </c>
      <c r="B3867" t="str">
        <f>"05/01/2012 00:00"</f>
        <v>05/01/2012 00:00</v>
      </c>
      <c r="C3867">
        <v>253</v>
      </c>
      <c r="D3867" t="s">
        <v>7</v>
      </c>
      <c r="E3867" s="2" t="s">
        <v>12</v>
      </c>
      <c r="F3867">
        <f t="shared" si="60"/>
        <v>501.69900000000001</v>
      </c>
      <c r="G3867" t="s">
        <v>16</v>
      </c>
      <c r="J3867" t="str">
        <f>"05/01/2012 23:45"</f>
        <v>05/01/2012 23:45</v>
      </c>
    </row>
    <row r="3868" spans="1:10" x14ac:dyDescent="0.3">
      <c r="A3868" t="s">
        <v>6</v>
      </c>
      <c r="B3868" t="str">
        <f>"05/02/2012 00:00"</f>
        <v>05/02/2012 00:00</v>
      </c>
      <c r="C3868">
        <v>284</v>
      </c>
      <c r="D3868" t="s">
        <v>7</v>
      </c>
      <c r="E3868" s="2" t="s">
        <v>12</v>
      </c>
      <c r="F3868">
        <f t="shared" si="60"/>
        <v>563.17200000000003</v>
      </c>
      <c r="G3868" t="s">
        <v>16</v>
      </c>
      <c r="J3868" t="str">
        <f>"05/02/2012 23:45"</f>
        <v>05/02/2012 23:45</v>
      </c>
    </row>
    <row r="3869" spans="1:10" x14ac:dyDescent="0.3">
      <c r="A3869" t="s">
        <v>6</v>
      </c>
      <c r="B3869" t="str">
        <f>"05/03/2012 00:00"</f>
        <v>05/03/2012 00:00</v>
      </c>
      <c r="C3869">
        <v>333</v>
      </c>
      <c r="D3869" t="s">
        <v>7</v>
      </c>
      <c r="E3869" s="2" t="s">
        <v>12</v>
      </c>
      <c r="F3869">
        <f t="shared" si="60"/>
        <v>660.33900000000006</v>
      </c>
      <c r="G3869" t="s">
        <v>16</v>
      </c>
      <c r="J3869" t="str">
        <f>"05/03/2012 23:45"</f>
        <v>05/03/2012 23:45</v>
      </c>
    </row>
    <row r="3870" spans="1:10" x14ac:dyDescent="0.3">
      <c r="A3870" t="s">
        <v>6</v>
      </c>
      <c r="B3870" t="str">
        <f>"05/04/2012 00:00"</f>
        <v>05/04/2012 00:00</v>
      </c>
      <c r="C3870">
        <v>352</v>
      </c>
      <c r="D3870" t="s">
        <v>7</v>
      </c>
      <c r="E3870" s="2" t="s">
        <v>12</v>
      </c>
      <c r="F3870">
        <f t="shared" si="60"/>
        <v>698.01600000000008</v>
      </c>
      <c r="G3870" t="s">
        <v>16</v>
      </c>
      <c r="J3870" t="str">
        <f>"05/04/2012 23:45"</f>
        <v>05/04/2012 23:45</v>
      </c>
    </row>
    <row r="3871" spans="1:10" x14ac:dyDescent="0.3">
      <c r="A3871" t="s">
        <v>6</v>
      </c>
      <c r="B3871" t="str">
        <f>"05/05/2012 00:00"</f>
        <v>05/05/2012 00:00</v>
      </c>
      <c r="C3871">
        <v>352</v>
      </c>
      <c r="D3871" t="s">
        <v>7</v>
      </c>
      <c r="E3871" s="2" t="s">
        <v>12</v>
      </c>
      <c r="F3871">
        <f t="shared" si="60"/>
        <v>698.01600000000008</v>
      </c>
      <c r="G3871" t="s">
        <v>16</v>
      </c>
      <c r="J3871" t="str">
        <f>"05/05/2012 23:45"</f>
        <v>05/05/2012 23:45</v>
      </c>
    </row>
    <row r="3872" spans="1:10" x14ac:dyDescent="0.3">
      <c r="A3872" t="s">
        <v>6</v>
      </c>
      <c r="B3872" t="str">
        <f>"05/06/2012 00:00"</f>
        <v>05/06/2012 00:00</v>
      </c>
      <c r="C3872">
        <v>319</v>
      </c>
      <c r="D3872" t="s">
        <v>7</v>
      </c>
      <c r="E3872" s="2" t="s">
        <v>12</v>
      </c>
      <c r="F3872">
        <f t="shared" si="60"/>
        <v>632.577</v>
      </c>
      <c r="G3872" t="s">
        <v>16</v>
      </c>
      <c r="J3872" t="str">
        <f>"05/06/2012 23:45"</f>
        <v>05/06/2012 23:45</v>
      </c>
    </row>
    <row r="3873" spans="1:10" x14ac:dyDescent="0.3">
      <c r="A3873" t="s">
        <v>6</v>
      </c>
      <c r="B3873" t="str">
        <f>"05/07/2012 00:00"</f>
        <v>05/07/2012 00:00</v>
      </c>
      <c r="C3873">
        <v>238</v>
      </c>
      <c r="D3873" t="s">
        <v>7</v>
      </c>
      <c r="E3873" s="2" t="s">
        <v>12</v>
      </c>
      <c r="F3873">
        <f t="shared" si="60"/>
        <v>471.95400000000001</v>
      </c>
      <c r="G3873" t="s">
        <v>16</v>
      </c>
      <c r="J3873" t="str">
        <f>"05/07/2012 23:45"</f>
        <v>05/07/2012 23:45</v>
      </c>
    </row>
    <row r="3874" spans="1:10" x14ac:dyDescent="0.3">
      <c r="A3874" t="s">
        <v>6</v>
      </c>
      <c r="B3874" t="str">
        <f>"05/08/2012 00:00"</f>
        <v>05/08/2012 00:00</v>
      </c>
      <c r="C3874">
        <v>174</v>
      </c>
      <c r="D3874" t="s">
        <v>7</v>
      </c>
      <c r="E3874" s="2" t="s">
        <v>12</v>
      </c>
      <c r="F3874">
        <f t="shared" si="60"/>
        <v>345.04200000000003</v>
      </c>
      <c r="G3874" t="s">
        <v>16</v>
      </c>
      <c r="J3874" t="str">
        <f>"05/08/2012 23:45"</f>
        <v>05/08/2012 23:45</v>
      </c>
    </row>
    <row r="3875" spans="1:10" x14ac:dyDescent="0.3">
      <c r="A3875" t="s">
        <v>6</v>
      </c>
      <c r="B3875" t="str">
        <f>"05/09/2012 00:00"</f>
        <v>05/09/2012 00:00</v>
      </c>
      <c r="C3875">
        <v>153</v>
      </c>
      <c r="D3875" t="s">
        <v>7</v>
      </c>
      <c r="E3875" s="2" t="s">
        <v>12</v>
      </c>
      <c r="F3875">
        <f t="shared" si="60"/>
        <v>303.399</v>
      </c>
      <c r="G3875" t="s">
        <v>16</v>
      </c>
      <c r="J3875" t="str">
        <f>"05/09/2012 23:45"</f>
        <v>05/09/2012 23:45</v>
      </c>
    </row>
    <row r="3876" spans="1:10" x14ac:dyDescent="0.3">
      <c r="A3876" t="s">
        <v>6</v>
      </c>
      <c r="B3876" t="str">
        <f>"05/10/2012 00:00"</f>
        <v>05/10/2012 00:00</v>
      </c>
      <c r="C3876">
        <v>181</v>
      </c>
      <c r="D3876" t="s">
        <v>7</v>
      </c>
      <c r="E3876" s="2" t="s">
        <v>12</v>
      </c>
      <c r="F3876">
        <f t="shared" si="60"/>
        <v>358.923</v>
      </c>
      <c r="G3876" t="s">
        <v>16</v>
      </c>
      <c r="J3876" t="str">
        <f>"05/10/2012 23:45"</f>
        <v>05/10/2012 23:45</v>
      </c>
    </row>
    <row r="3877" spans="1:10" x14ac:dyDescent="0.3">
      <c r="A3877" t="s">
        <v>6</v>
      </c>
      <c r="B3877" t="str">
        <f>"05/11/2012 00:00"</f>
        <v>05/11/2012 00:00</v>
      </c>
      <c r="C3877">
        <v>205</v>
      </c>
      <c r="D3877" t="s">
        <v>7</v>
      </c>
      <c r="E3877" s="2" t="s">
        <v>12</v>
      </c>
      <c r="F3877">
        <f t="shared" si="60"/>
        <v>406.51500000000004</v>
      </c>
      <c r="G3877" t="s">
        <v>16</v>
      </c>
      <c r="J3877" t="str">
        <f>"05/11/2012 23:45"</f>
        <v>05/11/2012 23:45</v>
      </c>
    </row>
    <row r="3878" spans="1:10" x14ac:dyDescent="0.3">
      <c r="A3878" t="s">
        <v>6</v>
      </c>
      <c r="B3878" t="str">
        <f>"05/12/2012 00:00"</f>
        <v>05/12/2012 00:00</v>
      </c>
      <c r="C3878">
        <v>205</v>
      </c>
      <c r="D3878" t="s">
        <v>7</v>
      </c>
      <c r="E3878" s="2" t="s">
        <v>12</v>
      </c>
      <c r="F3878">
        <f t="shared" si="60"/>
        <v>406.51500000000004</v>
      </c>
      <c r="G3878" t="s">
        <v>16</v>
      </c>
      <c r="J3878" t="str">
        <f>"05/12/2012 23:45"</f>
        <v>05/12/2012 23:45</v>
      </c>
    </row>
    <row r="3879" spans="1:10" x14ac:dyDescent="0.3">
      <c r="A3879" t="s">
        <v>6</v>
      </c>
      <c r="B3879" t="str">
        <f>"05/13/2012 00:00"</f>
        <v>05/13/2012 00:00</v>
      </c>
      <c r="C3879">
        <v>205</v>
      </c>
      <c r="D3879" t="s">
        <v>7</v>
      </c>
      <c r="E3879" s="2" t="s">
        <v>12</v>
      </c>
      <c r="F3879">
        <f t="shared" si="60"/>
        <v>406.51500000000004</v>
      </c>
      <c r="G3879" t="s">
        <v>16</v>
      </c>
      <c r="J3879" t="str">
        <f>"05/13/2012 23:45"</f>
        <v>05/13/2012 23:45</v>
      </c>
    </row>
    <row r="3880" spans="1:10" x14ac:dyDescent="0.3">
      <c r="A3880" t="s">
        <v>6</v>
      </c>
      <c r="B3880" t="str">
        <f>"05/14/2012 00:00"</f>
        <v>05/14/2012 00:00</v>
      </c>
      <c r="C3880">
        <v>205</v>
      </c>
      <c r="D3880" t="s">
        <v>7</v>
      </c>
      <c r="E3880" s="2" t="s">
        <v>12</v>
      </c>
      <c r="F3880">
        <f t="shared" si="60"/>
        <v>406.51500000000004</v>
      </c>
      <c r="G3880" t="s">
        <v>16</v>
      </c>
      <c r="J3880" t="str">
        <f>"05/14/2012 23:45"</f>
        <v>05/14/2012 23:45</v>
      </c>
    </row>
    <row r="3881" spans="1:10" x14ac:dyDescent="0.3">
      <c r="A3881" t="s">
        <v>6</v>
      </c>
      <c r="B3881" t="str">
        <f>"05/15/2012 00:00"</f>
        <v>05/15/2012 00:00</v>
      </c>
      <c r="C3881">
        <v>263</v>
      </c>
      <c r="D3881" t="s">
        <v>7</v>
      </c>
      <c r="E3881" s="2" t="s">
        <v>12</v>
      </c>
      <c r="F3881">
        <f t="shared" si="60"/>
        <v>521.529</v>
      </c>
      <c r="G3881" t="s">
        <v>16</v>
      </c>
      <c r="J3881" t="str">
        <f>"05/15/2012 23:45"</f>
        <v>05/15/2012 23:45</v>
      </c>
    </row>
    <row r="3882" spans="1:10" x14ac:dyDescent="0.3">
      <c r="A3882" t="s">
        <v>6</v>
      </c>
      <c r="B3882" t="str">
        <f>"05/16/2012 00:00"</f>
        <v>05/16/2012 00:00</v>
      </c>
      <c r="C3882">
        <v>302</v>
      </c>
      <c r="D3882" t="s">
        <v>7</v>
      </c>
      <c r="E3882" s="2" t="s">
        <v>12</v>
      </c>
      <c r="F3882">
        <f t="shared" si="60"/>
        <v>598.86599999999999</v>
      </c>
      <c r="G3882" t="s">
        <v>16</v>
      </c>
      <c r="J3882" t="str">
        <f>"05/16/2012 23:45"</f>
        <v>05/16/2012 23:45</v>
      </c>
    </row>
    <row r="3883" spans="1:10" x14ac:dyDescent="0.3">
      <c r="A3883" t="s">
        <v>6</v>
      </c>
      <c r="B3883" t="str">
        <f>"05/17/2012 00:00"</f>
        <v>05/17/2012 00:00</v>
      </c>
      <c r="C3883">
        <v>302</v>
      </c>
      <c r="D3883" t="s">
        <v>7</v>
      </c>
      <c r="E3883" s="2" t="s">
        <v>12</v>
      </c>
      <c r="F3883">
        <f t="shared" si="60"/>
        <v>598.86599999999999</v>
      </c>
      <c r="G3883" t="s">
        <v>16</v>
      </c>
      <c r="J3883" t="str">
        <f>"05/17/2012 23:45"</f>
        <v>05/17/2012 23:45</v>
      </c>
    </row>
    <row r="3884" spans="1:10" x14ac:dyDescent="0.3">
      <c r="A3884" t="s">
        <v>6</v>
      </c>
      <c r="B3884" t="str">
        <f>"05/18/2012 00:00"</f>
        <v>05/18/2012 00:00</v>
      </c>
      <c r="C3884">
        <v>286</v>
      </c>
      <c r="D3884" t="s">
        <v>7</v>
      </c>
      <c r="E3884" s="2" t="s">
        <v>12</v>
      </c>
      <c r="F3884">
        <f t="shared" si="60"/>
        <v>567.13800000000003</v>
      </c>
      <c r="G3884" t="s">
        <v>16</v>
      </c>
      <c r="J3884" t="str">
        <f>"05/18/2012 23:45"</f>
        <v>05/18/2012 23:45</v>
      </c>
    </row>
    <row r="3885" spans="1:10" x14ac:dyDescent="0.3">
      <c r="A3885" t="s">
        <v>6</v>
      </c>
      <c r="B3885" t="str">
        <f>"05/19/2012 00:00"</f>
        <v>05/19/2012 00:00</v>
      </c>
      <c r="C3885">
        <v>222</v>
      </c>
      <c r="D3885" t="s">
        <v>7</v>
      </c>
      <c r="E3885" s="2" t="s">
        <v>12</v>
      </c>
      <c r="F3885">
        <f t="shared" si="60"/>
        <v>440.226</v>
      </c>
      <c r="G3885" t="s">
        <v>16</v>
      </c>
      <c r="J3885" t="str">
        <f>"05/19/2012 23:45"</f>
        <v>05/19/2012 23:45</v>
      </c>
    </row>
    <row r="3886" spans="1:10" x14ac:dyDescent="0.3">
      <c r="A3886" t="s">
        <v>6</v>
      </c>
      <c r="B3886" t="str">
        <f>"05/20/2012 00:00"</f>
        <v>05/20/2012 00:00</v>
      </c>
      <c r="C3886">
        <v>169</v>
      </c>
      <c r="D3886" t="s">
        <v>7</v>
      </c>
      <c r="E3886" s="2" t="s">
        <v>12</v>
      </c>
      <c r="F3886">
        <f t="shared" si="60"/>
        <v>335.12700000000001</v>
      </c>
      <c r="G3886" t="s">
        <v>16</v>
      </c>
      <c r="J3886" t="str">
        <f>"05/20/2012 23:45"</f>
        <v>05/20/2012 23:45</v>
      </c>
    </row>
    <row r="3887" spans="1:10" x14ac:dyDescent="0.3">
      <c r="A3887" t="s">
        <v>6</v>
      </c>
      <c r="B3887" t="str">
        <f>"05/21/2012 00:00"</f>
        <v>05/21/2012 00:00</v>
      </c>
      <c r="C3887">
        <v>146</v>
      </c>
      <c r="D3887" t="s">
        <v>7</v>
      </c>
      <c r="E3887" s="2" t="s">
        <v>12</v>
      </c>
      <c r="F3887">
        <f t="shared" si="60"/>
        <v>289.51800000000003</v>
      </c>
      <c r="G3887" t="s">
        <v>16</v>
      </c>
      <c r="J3887" t="str">
        <f>"05/21/2012 23:45"</f>
        <v>05/21/2012 23:45</v>
      </c>
    </row>
    <row r="3888" spans="1:10" x14ac:dyDescent="0.3">
      <c r="A3888" t="s">
        <v>6</v>
      </c>
      <c r="B3888" t="str">
        <f>"05/22/2012 00:00"</f>
        <v>05/22/2012 00:00</v>
      </c>
      <c r="C3888">
        <v>160</v>
      </c>
      <c r="D3888" t="s">
        <v>7</v>
      </c>
      <c r="E3888" s="2" t="s">
        <v>12</v>
      </c>
      <c r="F3888">
        <f t="shared" si="60"/>
        <v>317.28000000000003</v>
      </c>
      <c r="G3888" t="s">
        <v>16</v>
      </c>
      <c r="J3888" t="str">
        <f>"05/22/2012 23:45"</f>
        <v>05/22/2012 23:45</v>
      </c>
    </row>
    <row r="3889" spans="1:10" x14ac:dyDescent="0.3">
      <c r="A3889" t="s">
        <v>6</v>
      </c>
      <c r="B3889" t="str">
        <f>"05/23/2012 00:00"</f>
        <v>05/23/2012 00:00</v>
      </c>
      <c r="C3889">
        <v>174</v>
      </c>
      <c r="D3889" t="s">
        <v>7</v>
      </c>
      <c r="E3889" s="2" t="s">
        <v>12</v>
      </c>
      <c r="F3889">
        <f t="shared" si="60"/>
        <v>345.04200000000003</v>
      </c>
      <c r="G3889" t="s">
        <v>16</v>
      </c>
      <c r="J3889" t="str">
        <f>"05/23/2012 23:45"</f>
        <v>05/23/2012 23:45</v>
      </c>
    </row>
    <row r="3890" spans="1:10" x14ac:dyDescent="0.3">
      <c r="A3890" t="s">
        <v>6</v>
      </c>
      <c r="B3890" t="str">
        <f>"05/24/2012 00:00"</f>
        <v>05/24/2012 00:00</v>
      </c>
      <c r="C3890">
        <v>118</v>
      </c>
      <c r="D3890" t="s">
        <v>7</v>
      </c>
      <c r="E3890" s="2" t="s">
        <v>12</v>
      </c>
      <c r="F3890">
        <f t="shared" si="60"/>
        <v>233.994</v>
      </c>
      <c r="G3890" t="s">
        <v>16</v>
      </c>
      <c r="J3890" t="str">
        <f>"05/24/2012 23:45"</f>
        <v>05/24/2012 23:45</v>
      </c>
    </row>
    <row r="3891" spans="1:10" x14ac:dyDescent="0.3">
      <c r="A3891" t="s">
        <v>6</v>
      </c>
      <c r="B3891" t="str">
        <f>"05/25/2012 00:00"</f>
        <v>05/25/2012 00:00</v>
      </c>
      <c r="C3891">
        <v>98.1</v>
      </c>
      <c r="D3891" t="s">
        <v>7</v>
      </c>
      <c r="E3891" s="2" t="s">
        <v>12</v>
      </c>
      <c r="F3891">
        <f t="shared" si="60"/>
        <v>194.53229999999999</v>
      </c>
      <c r="G3891" t="s">
        <v>16</v>
      </c>
      <c r="J3891" t="str">
        <f>"05/25/2012 23:45"</f>
        <v>05/25/2012 23:45</v>
      </c>
    </row>
    <row r="3892" spans="1:10" x14ac:dyDescent="0.3">
      <c r="A3892" t="s">
        <v>6</v>
      </c>
      <c r="B3892" t="str">
        <f>"05/26/2012 00:00"</f>
        <v>05/26/2012 00:00</v>
      </c>
      <c r="C3892">
        <v>129</v>
      </c>
      <c r="D3892" t="s">
        <v>7</v>
      </c>
      <c r="E3892" s="2" t="s">
        <v>12</v>
      </c>
      <c r="F3892">
        <f t="shared" si="60"/>
        <v>255.80700000000002</v>
      </c>
      <c r="G3892" t="s">
        <v>16</v>
      </c>
      <c r="J3892" t="str">
        <f>"05/26/2012 23:45"</f>
        <v>05/26/2012 23:45</v>
      </c>
    </row>
    <row r="3893" spans="1:10" x14ac:dyDescent="0.3">
      <c r="A3893" t="s">
        <v>6</v>
      </c>
      <c r="B3893" t="str">
        <f>"05/27/2012 00:00"</f>
        <v>05/27/2012 00:00</v>
      </c>
      <c r="C3893">
        <v>149</v>
      </c>
      <c r="D3893" t="s">
        <v>7</v>
      </c>
      <c r="E3893" s="2" t="s">
        <v>12</v>
      </c>
      <c r="F3893">
        <f t="shared" si="60"/>
        <v>295.46700000000004</v>
      </c>
      <c r="G3893" t="s">
        <v>16</v>
      </c>
      <c r="J3893" t="str">
        <f>"05/27/2012 23:45"</f>
        <v>05/27/2012 23:45</v>
      </c>
    </row>
    <row r="3894" spans="1:10" x14ac:dyDescent="0.3">
      <c r="A3894" t="s">
        <v>6</v>
      </c>
      <c r="B3894" t="str">
        <f>"05/28/2012 00:00"</f>
        <v>05/28/2012 00:00</v>
      </c>
      <c r="C3894">
        <v>195</v>
      </c>
      <c r="D3894" t="s">
        <v>7</v>
      </c>
      <c r="E3894" s="2" t="s">
        <v>12</v>
      </c>
      <c r="F3894">
        <f t="shared" si="60"/>
        <v>386.685</v>
      </c>
      <c r="G3894" t="s">
        <v>16</v>
      </c>
      <c r="J3894" t="str">
        <f>"05/28/2012 23:45"</f>
        <v>05/28/2012 23:45</v>
      </c>
    </row>
    <row r="3895" spans="1:10" x14ac:dyDescent="0.3">
      <c r="A3895" t="s">
        <v>6</v>
      </c>
      <c r="B3895" t="str">
        <f>"05/29/2012 00:00"</f>
        <v>05/29/2012 00:00</v>
      </c>
      <c r="C3895">
        <v>249</v>
      </c>
      <c r="D3895" t="s">
        <v>7</v>
      </c>
      <c r="E3895" s="2" t="s">
        <v>12</v>
      </c>
      <c r="F3895">
        <f t="shared" si="60"/>
        <v>493.767</v>
      </c>
      <c r="G3895" t="s">
        <v>16</v>
      </c>
      <c r="J3895" t="str">
        <f>"05/29/2012 23:45"</f>
        <v>05/29/2012 23:45</v>
      </c>
    </row>
    <row r="3896" spans="1:10" x14ac:dyDescent="0.3">
      <c r="A3896" t="s">
        <v>6</v>
      </c>
      <c r="B3896" t="str">
        <f>"05/30/2012 00:00"</f>
        <v>05/30/2012 00:00</v>
      </c>
      <c r="C3896">
        <v>273</v>
      </c>
      <c r="D3896" t="s">
        <v>7</v>
      </c>
      <c r="E3896" s="2" t="s">
        <v>12</v>
      </c>
      <c r="F3896">
        <f t="shared" si="60"/>
        <v>541.35900000000004</v>
      </c>
      <c r="G3896" t="s">
        <v>16</v>
      </c>
      <c r="J3896" t="str">
        <f>"05/30/2012 23:45"</f>
        <v>05/30/2012 23:45</v>
      </c>
    </row>
    <row r="3897" spans="1:10" x14ac:dyDescent="0.3">
      <c r="A3897" t="s">
        <v>6</v>
      </c>
      <c r="B3897" t="str">
        <f>"05/31/2012 00:00"</f>
        <v>05/31/2012 00:00</v>
      </c>
      <c r="C3897">
        <v>274</v>
      </c>
      <c r="D3897" t="s">
        <v>7</v>
      </c>
      <c r="E3897" s="2" t="s">
        <v>12</v>
      </c>
      <c r="F3897">
        <f t="shared" si="60"/>
        <v>543.34199999999998</v>
      </c>
      <c r="G3897" t="s">
        <v>16</v>
      </c>
      <c r="J3897" t="str">
        <f>"05/31/2012 23:45"</f>
        <v>05/31/2012 23:45</v>
      </c>
    </row>
    <row r="3898" spans="1:10" x14ac:dyDescent="0.3">
      <c r="A3898" t="s">
        <v>6</v>
      </c>
      <c r="B3898" t="str">
        <f>"06/01/2012 00:00"</f>
        <v>06/01/2012 00:00</v>
      </c>
      <c r="C3898">
        <v>274</v>
      </c>
      <c r="D3898" t="s">
        <v>7</v>
      </c>
      <c r="E3898" s="2" t="s">
        <v>12</v>
      </c>
      <c r="F3898">
        <f t="shared" si="60"/>
        <v>543.34199999999998</v>
      </c>
      <c r="G3898" t="s">
        <v>16</v>
      </c>
      <c r="J3898" t="str">
        <f>"06/01/2012 23:45"</f>
        <v>06/01/2012 23:45</v>
      </c>
    </row>
    <row r="3899" spans="1:10" x14ac:dyDescent="0.3">
      <c r="A3899" t="s">
        <v>6</v>
      </c>
      <c r="B3899" t="str">
        <f>"06/02/2012 00:00"</f>
        <v>06/02/2012 00:00</v>
      </c>
      <c r="C3899">
        <v>274</v>
      </c>
      <c r="D3899" t="s">
        <v>7</v>
      </c>
      <c r="E3899" s="2" t="s">
        <v>12</v>
      </c>
      <c r="F3899">
        <f t="shared" si="60"/>
        <v>543.34199999999998</v>
      </c>
      <c r="G3899" t="s">
        <v>16</v>
      </c>
      <c r="J3899" t="str">
        <f>"06/02/2012 23:45"</f>
        <v>06/02/2012 23:45</v>
      </c>
    </row>
    <row r="3900" spans="1:10" x14ac:dyDescent="0.3">
      <c r="A3900" t="s">
        <v>6</v>
      </c>
      <c r="B3900" t="str">
        <f>"06/03/2012 00:00"</f>
        <v>06/03/2012 00:00</v>
      </c>
      <c r="C3900">
        <v>274</v>
      </c>
      <c r="D3900" t="s">
        <v>7</v>
      </c>
      <c r="E3900" s="2" t="s">
        <v>12</v>
      </c>
      <c r="F3900">
        <f t="shared" si="60"/>
        <v>543.34199999999998</v>
      </c>
      <c r="G3900" t="s">
        <v>16</v>
      </c>
      <c r="J3900" t="str">
        <f>"06/03/2012 23:45"</f>
        <v>06/03/2012 23:45</v>
      </c>
    </row>
    <row r="3901" spans="1:10" x14ac:dyDescent="0.3">
      <c r="A3901" t="s">
        <v>6</v>
      </c>
      <c r="B3901" t="str">
        <f>"06/04/2012 00:00"</f>
        <v>06/04/2012 00:00</v>
      </c>
      <c r="C3901">
        <v>246</v>
      </c>
      <c r="D3901" t="s">
        <v>7</v>
      </c>
      <c r="E3901" s="2" t="s">
        <v>12</v>
      </c>
      <c r="F3901">
        <f t="shared" si="60"/>
        <v>487.81800000000004</v>
      </c>
      <c r="G3901" t="s">
        <v>16</v>
      </c>
      <c r="J3901" t="str">
        <f>"06/04/2012 23:45"</f>
        <v>06/04/2012 23:45</v>
      </c>
    </row>
    <row r="3902" spans="1:10" x14ac:dyDescent="0.3">
      <c r="A3902" t="s">
        <v>6</v>
      </c>
      <c r="B3902" t="str">
        <f>"06/05/2012 00:00"</f>
        <v>06/05/2012 00:00</v>
      </c>
      <c r="C3902">
        <v>229</v>
      </c>
      <c r="D3902" t="s">
        <v>7</v>
      </c>
      <c r="E3902" s="2" t="s">
        <v>12</v>
      </c>
      <c r="F3902">
        <f t="shared" si="60"/>
        <v>454.10700000000003</v>
      </c>
      <c r="G3902" t="s">
        <v>16</v>
      </c>
      <c r="J3902" t="str">
        <f>"06/05/2012 23:45"</f>
        <v>06/05/2012 23:45</v>
      </c>
    </row>
    <row r="3903" spans="1:10" x14ac:dyDescent="0.3">
      <c r="A3903" t="s">
        <v>6</v>
      </c>
      <c r="B3903" t="str">
        <f>"06/06/2012 00:00"</f>
        <v>06/06/2012 00:00</v>
      </c>
      <c r="C3903">
        <v>258</v>
      </c>
      <c r="D3903" t="s">
        <v>7</v>
      </c>
      <c r="E3903" s="2" t="s">
        <v>12</v>
      </c>
      <c r="F3903">
        <f t="shared" si="60"/>
        <v>511.61400000000003</v>
      </c>
      <c r="G3903" t="s">
        <v>16</v>
      </c>
      <c r="J3903" t="str">
        <f>"06/06/2012 23:45"</f>
        <v>06/06/2012 23:45</v>
      </c>
    </row>
    <row r="3904" spans="1:10" x14ac:dyDescent="0.3">
      <c r="A3904" t="s">
        <v>6</v>
      </c>
      <c r="B3904" t="str">
        <f>"06/07/2012 00:00"</f>
        <v>06/07/2012 00:00</v>
      </c>
      <c r="C3904">
        <v>280</v>
      </c>
      <c r="D3904" t="s">
        <v>7</v>
      </c>
      <c r="E3904" s="2" t="s">
        <v>12</v>
      </c>
      <c r="F3904">
        <f t="shared" si="60"/>
        <v>555.24</v>
      </c>
      <c r="G3904" t="s">
        <v>16</v>
      </c>
      <c r="J3904" t="str">
        <f>"06/07/2012 23:45"</f>
        <v>06/07/2012 23:45</v>
      </c>
    </row>
    <row r="3905" spans="1:10" x14ac:dyDescent="0.3">
      <c r="A3905" t="s">
        <v>6</v>
      </c>
      <c r="B3905" t="str">
        <f>"06/08/2012 00:00"</f>
        <v>06/08/2012 00:00</v>
      </c>
      <c r="C3905">
        <v>267</v>
      </c>
      <c r="D3905" t="s">
        <v>7</v>
      </c>
      <c r="E3905" s="2" t="s">
        <v>12</v>
      </c>
      <c r="F3905">
        <f t="shared" si="60"/>
        <v>529.46100000000001</v>
      </c>
      <c r="G3905" t="s">
        <v>16</v>
      </c>
      <c r="J3905" t="str">
        <f>"06/08/2012 23:45"</f>
        <v>06/08/2012 23:45</v>
      </c>
    </row>
    <row r="3906" spans="1:10" x14ac:dyDescent="0.3">
      <c r="A3906" t="s">
        <v>6</v>
      </c>
      <c r="B3906" t="str">
        <f>"06/09/2012 00:00"</f>
        <v>06/09/2012 00:00</v>
      </c>
      <c r="C3906">
        <v>279</v>
      </c>
      <c r="D3906" t="s">
        <v>7</v>
      </c>
      <c r="E3906" s="2" t="s">
        <v>12</v>
      </c>
      <c r="F3906">
        <f t="shared" si="60"/>
        <v>553.25700000000006</v>
      </c>
      <c r="G3906" t="s">
        <v>16</v>
      </c>
      <c r="J3906" t="str">
        <f>"06/09/2012 23:45"</f>
        <v>06/09/2012 23:45</v>
      </c>
    </row>
    <row r="3907" spans="1:10" x14ac:dyDescent="0.3">
      <c r="A3907" t="s">
        <v>6</v>
      </c>
      <c r="B3907" t="str">
        <f>"06/10/2012 00:00"</f>
        <v>06/10/2012 00:00</v>
      </c>
      <c r="C3907">
        <v>301</v>
      </c>
      <c r="D3907" t="s">
        <v>7</v>
      </c>
      <c r="E3907" s="2" t="s">
        <v>12</v>
      </c>
      <c r="F3907">
        <f t="shared" si="60"/>
        <v>596.88300000000004</v>
      </c>
      <c r="G3907" t="s">
        <v>16</v>
      </c>
      <c r="J3907" t="str">
        <f>"06/10/2012 23:45"</f>
        <v>06/10/2012 23:45</v>
      </c>
    </row>
    <row r="3908" spans="1:10" x14ac:dyDescent="0.3">
      <c r="A3908" t="s">
        <v>6</v>
      </c>
      <c r="B3908" t="str">
        <f>"06/11/2012 00:00"</f>
        <v>06/11/2012 00:00</v>
      </c>
      <c r="C3908">
        <v>330</v>
      </c>
      <c r="D3908" t="s">
        <v>7</v>
      </c>
      <c r="E3908" s="2" t="s">
        <v>12</v>
      </c>
      <c r="F3908">
        <f t="shared" ref="F3908:F3971" si="61">C3908*1.983</f>
        <v>654.39</v>
      </c>
      <c r="G3908" t="s">
        <v>16</v>
      </c>
      <c r="J3908" t="str">
        <f>"06/11/2012 23:45"</f>
        <v>06/11/2012 23:45</v>
      </c>
    </row>
    <row r="3909" spans="1:10" x14ac:dyDescent="0.3">
      <c r="A3909" t="s">
        <v>6</v>
      </c>
      <c r="B3909" t="str">
        <f>"06/12/2012 00:00"</f>
        <v>06/12/2012 00:00</v>
      </c>
      <c r="C3909">
        <v>350</v>
      </c>
      <c r="D3909" t="s">
        <v>7</v>
      </c>
      <c r="E3909" s="2" t="s">
        <v>12</v>
      </c>
      <c r="F3909">
        <f t="shared" si="61"/>
        <v>694.05000000000007</v>
      </c>
      <c r="G3909" t="s">
        <v>16</v>
      </c>
      <c r="J3909" t="str">
        <f>"06/12/2012 23:45"</f>
        <v>06/12/2012 23:45</v>
      </c>
    </row>
    <row r="3910" spans="1:10" x14ac:dyDescent="0.3">
      <c r="A3910" t="s">
        <v>6</v>
      </c>
      <c r="B3910" t="str">
        <f>"06/13/2012 00:00"</f>
        <v>06/13/2012 00:00</v>
      </c>
      <c r="C3910">
        <v>350</v>
      </c>
      <c r="D3910" t="s">
        <v>7</v>
      </c>
      <c r="E3910" s="2" t="s">
        <v>12</v>
      </c>
      <c r="F3910">
        <f t="shared" si="61"/>
        <v>694.05000000000007</v>
      </c>
      <c r="G3910" t="s">
        <v>16</v>
      </c>
      <c r="J3910" t="str">
        <f>"06/13/2012 23:45"</f>
        <v>06/13/2012 23:45</v>
      </c>
    </row>
    <row r="3911" spans="1:10" x14ac:dyDescent="0.3">
      <c r="A3911" t="s">
        <v>6</v>
      </c>
      <c r="B3911" t="str">
        <f>"06/14/2012 00:00"</f>
        <v>06/14/2012 00:00</v>
      </c>
      <c r="C3911">
        <v>350</v>
      </c>
      <c r="D3911" t="s">
        <v>7</v>
      </c>
      <c r="E3911" s="2" t="s">
        <v>12</v>
      </c>
      <c r="F3911">
        <f t="shared" si="61"/>
        <v>694.05000000000007</v>
      </c>
      <c r="G3911" t="s">
        <v>16</v>
      </c>
      <c r="J3911" t="str">
        <f>"06/14/2012 23:45"</f>
        <v>06/14/2012 23:45</v>
      </c>
    </row>
    <row r="3912" spans="1:10" x14ac:dyDescent="0.3">
      <c r="A3912" t="s">
        <v>6</v>
      </c>
      <c r="B3912" t="str">
        <f>"06/15/2012 00:00"</f>
        <v>06/15/2012 00:00</v>
      </c>
      <c r="C3912">
        <v>350</v>
      </c>
      <c r="D3912" t="s">
        <v>7</v>
      </c>
      <c r="E3912" s="2" t="s">
        <v>12</v>
      </c>
      <c r="F3912">
        <f t="shared" si="61"/>
        <v>694.05000000000007</v>
      </c>
      <c r="G3912" t="s">
        <v>16</v>
      </c>
      <c r="J3912" t="str">
        <f>"06/15/2012 23:45"</f>
        <v>06/15/2012 23:45</v>
      </c>
    </row>
    <row r="3913" spans="1:10" x14ac:dyDescent="0.3">
      <c r="A3913" t="s">
        <v>6</v>
      </c>
      <c r="B3913" t="str">
        <f>"06/16/2012 00:00"</f>
        <v>06/16/2012 00:00</v>
      </c>
      <c r="C3913">
        <v>350</v>
      </c>
      <c r="D3913" t="s">
        <v>7</v>
      </c>
      <c r="E3913" s="2" t="s">
        <v>12</v>
      </c>
      <c r="F3913">
        <f t="shared" si="61"/>
        <v>694.05000000000007</v>
      </c>
      <c r="G3913" t="s">
        <v>16</v>
      </c>
      <c r="J3913" t="str">
        <f>"06/16/2012 23:45"</f>
        <v>06/16/2012 23:45</v>
      </c>
    </row>
    <row r="3914" spans="1:10" x14ac:dyDescent="0.3">
      <c r="A3914" t="s">
        <v>6</v>
      </c>
      <c r="B3914" t="str">
        <f>"06/17/2012 00:00"</f>
        <v>06/17/2012 00:00</v>
      </c>
      <c r="C3914">
        <v>349</v>
      </c>
      <c r="D3914" t="s">
        <v>7</v>
      </c>
      <c r="E3914" s="2" t="s">
        <v>12</v>
      </c>
      <c r="F3914">
        <f t="shared" si="61"/>
        <v>692.06700000000001</v>
      </c>
      <c r="G3914" t="s">
        <v>16</v>
      </c>
      <c r="J3914" t="str">
        <f>"06/17/2012 23:45"</f>
        <v>06/17/2012 23:45</v>
      </c>
    </row>
    <row r="3915" spans="1:10" x14ac:dyDescent="0.3">
      <c r="A3915" t="s">
        <v>6</v>
      </c>
      <c r="B3915" t="str">
        <f>"06/18/2012 00:00"</f>
        <v>06/18/2012 00:00</v>
      </c>
      <c r="C3915">
        <v>350</v>
      </c>
      <c r="D3915" t="s">
        <v>7</v>
      </c>
      <c r="E3915" s="2" t="s">
        <v>12</v>
      </c>
      <c r="F3915">
        <f t="shared" si="61"/>
        <v>694.05000000000007</v>
      </c>
      <c r="G3915" t="s">
        <v>16</v>
      </c>
      <c r="J3915" t="str">
        <f>"06/18/2012 23:45"</f>
        <v>06/18/2012 23:45</v>
      </c>
    </row>
    <row r="3916" spans="1:10" x14ac:dyDescent="0.3">
      <c r="A3916" t="s">
        <v>6</v>
      </c>
      <c r="B3916" t="str">
        <f>"06/19/2012 00:00"</f>
        <v>06/19/2012 00:00</v>
      </c>
      <c r="C3916">
        <v>359</v>
      </c>
      <c r="D3916" t="s">
        <v>7</v>
      </c>
      <c r="E3916" s="2" t="s">
        <v>12</v>
      </c>
      <c r="F3916">
        <f t="shared" si="61"/>
        <v>711.89700000000005</v>
      </c>
      <c r="G3916" t="s">
        <v>16</v>
      </c>
      <c r="J3916" t="str">
        <f>"06/19/2012 23:45"</f>
        <v>06/19/2012 23:45</v>
      </c>
    </row>
    <row r="3917" spans="1:10" x14ac:dyDescent="0.3">
      <c r="A3917" t="s">
        <v>6</v>
      </c>
      <c r="B3917" t="str">
        <f>"06/20/2012 00:00"</f>
        <v>06/20/2012 00:00</v>
      </c>
      <c r="C3917">
        <v>376</v>
      </c>
      <c r="D3917" t="s">
        <v>7</v>
      </c>
      <c r="E3917" s="2" t="s">
        <v>12</v>
      </c>
      <c r="F3917">
        <f t="shared" si="61"/>
        <v>745.60800000000006</v>
      </c>
      <c r="G3917" t="s">
        <v>16</v>
      </c>
      <c r="J3917" t="str">
        <f>"06/20/2012 23:45"</f>
        <v>06/20/2012 23:45</v>
      </c>
    </row>
    <row r="3918" spans="1:10" x14ac:dyDescent="0.3">
      <c r="A3918" t="s">
        <v>6</v>
      </c>
      <c r="B3918" t="str">
        <f>"06/21/2012 00:00"</f>
        <v>06/21/2012 00:00</v>
      </c>
      <c r="C3918">
        <v>378</v>
      </c>
      <c r="D3918" t="s">
        <v>7</v>
      </c>
      <c r="E3918" s="2" t="s">
        <v>12</v>
      </c>
      <c r="F3918">
        <f t="shared" si="61"/>
        <v>749.57400000000007</v>
      </c>
      <c r="G3918" t="s">
        <v>16</v>
      </c>
      <c r="J3918" t="str">
        <f>"06/21/2012 23:45"</f>
        <v>06/21/2012 23:45</v>
      </c>
    </row>
    <row r="3919" spans="1:10" x14ac:dyDescent="0.3">
      <c r="A3919" t="s">
        <v>6</v>
      </c>
      <c r="B3919" t="str">
        <f>"06/22/2012 00:00"</f>
        <v>06/22/2012 00:00</v>
      </c>
      <c r="C3919">
        <v>378</v>
      </c>
      <c r="D3919" t="s">
        <v>7</v>
      </c>
      <c r="E3919" s="2" t="s">
        <v>12</v>
      </c>
      <c r="F3919">
        <f t="shared" si="61"/>
        <v>749.57400000000007</v>
      </c>
      <c r="G3919" t="s">
        <v>16</v>
      </c>
      <c r="J3919" t="str">
        <f>"06/22/2012 23:45"</f>
        <v>06/22/2012 23:45</v>
      </c>
    </row>
    <row r="3920" spans="1:10" x14ac:dyDescent="0.3">
      <c r="A3920" t="s">
        <v>6</v>
      </c>
      <c r="B3920" t="str">
        <f>"06/23/2012 00:00"</f>
        <v>06/23/2012 00:00</v>
      </c>
      <c r="C3920">
        <v>378</v>
      </c>
      <c r="D3920" t="s">
        <v>7</v>
      </c>
      <c r="E3920" s="2" t="s">
        <v>12</v>
      </c>
      <c r="F3920">
        <f t="shared" si="61"/>
        <v>749.57400000000007</v>
      </c>
      <c r="G3920" t="s">
        <v>16</v>
      </c>
      <c r="J3920" t="str">
        <f>"06/23/2012 23:45"</f>
        <v>06/23/2012 23:45</v>
      </c>
    </row>
    <row r="3921" spans="1:10" x14ac:dyDescent="0.3">
      <c r="A3921" t="s">
        <v>6</v>
      </c>
      <c r="B3921" t="str">
        <f>"06/24/2012 00:00"</f>
        <v>06/24/2012 00:00</v>
      </c>
      <c r="C3921">
        <v>378</v>
      </c>
      <c r="D3921" t="s">
        <v>7</v>
      </c>
      <c r="E3921" s="2" t="s">
        <v>12</v>
      </c>
      <c r="F3921">
        <f t="shared" si="61"/>
        <v>749.57400000000007</v>
      </c>
      <c r="G3921" t="s">
        <v>16</v>
      </c>
      <c r="J3921" t="str">
        <f>"06/24/2012 23:45"</f>
        <v>06/24/2012 23:45</v>
      </c>
    </row>
    <row r="3922" spans="1:10" x14ac:dyDescent="0.3">
      <c r="A3922" t="s">
        <v>6</v>
      </c>
      <c r="B3922" t="str">
        <f>"06/25/2012 00:00"</f>
        <v>06/25/2012 00:00</v>
      </c>
      <c r="C3922">
        <v>315</v>
      </c>
      <c r="D3922" t="s">
        <v>7</v>
      </c>
      <c r="E3922" s="2" t="s">
        <v>12</v>
      </c>
      <c r="F3922">
        <f t="shared" si="61"/>
        <v>624.64499999999998</v>
      </c>
      <c r="G3922" t="s">
        <v>16</v>
      </c>
      <c r="J3922" t="str">
        <f>"06/25/2012 23:45"</f>
        <v>06/25/2012 23:45</v>
      </c>
    </row>
    <row r="3923" spans="1:10" x14ac:dyDescent="0.3">
      <c r="A3923" t="s">
        <v>6</v>
      </c>
      <c r="B3923" t="str">
        <f>"06/26/2012 00:00"</f>
        <v>06/26/2012 00:00</v>
      </c>
      <c r="C3923">
        <v>280</v>
      </c>
      <c r="D3923" t="s">
        <v>7</v>
      </c>
      <c r="E3923" s="2" t="s">
        <v>12</v>
      </c>
      <c r="F3923">
        <f t="shared" si="61"/>
        <v>555.24</v>
      </c>
      <c r="G3923" t="s">
        <v>16</v>
      </c>
      <c r="J3923" t="str">
        <f>"06/26/2012 23:45"</f>
        <v>06/26/2012 23:45</v>
      </c>
    </row>
    <row r="3924" spans="1:10" x14ac:dyDescent="0.3">
      <c r="A3924" t="s">
        <v>6</v>
      </c>
      <c r="B3924" t="str">
        <f>"06/27/2012 00:00"</f>
        <v>06/27/2012 00:00</v>
      </c>
      <c r="C3924">
        <v>280</v>
      </c>
      <c r="D3924" t="s">
        <v>7</v>
      </c>
      <c r="E3924" s="2" t="s">
        <v>12</v>
      </c>
      <c r="F3924">
        <f t="shared" si="61"/>
        <v>555.24</v>
      </c>
      <c r="G3924" t="s">
        <v>16</v>
      </c>
      <c r="J3924" t="str">
        <f>"06/27/2012 23:45"</f>
        <v>06/27/2012 23:45</v>
      </c>
    </row>
    <row r="3925" spans="1:10" x14ac:dyDescent="0.3">
      <c r="A3925" t="s">
        <v>6</v>
      </c>
      <c r="B3925" t="str">
        <f>"06/28/2012 00:00"</f>
        <v>06/28/2012 00:00</v>
      </c>
      <c r="C3925">
        <v>309</v>
      </c>
      <c r="D3925" t="s">
        <v>7</v>
      </c>
      <c r="E3925" s="2" t="s">
        <v>12</v>
      </c>
      <c r="F3925">
        <f t="shared" si="61"/>
        <v>612.74700000000007</v>
      </c>
      <c r="G3925" t="s">
        <v>16</v>
      </c>
      <c r="J3925" t="str">
        <f>"06/28/2012 23:45"</f>
        <v>06/28/2012 23:45</v>
      </c>
    </row>
    <row r="3926" spans="1:10" x14ac:dyDescent="0.3">
      <c r="A3926" t="s">
        <v>6</v>
      </c>
      <c r="B3926" t="str">
        <f>"06/29/2012 00:00"</f>
        <v>06/29/2012 00:00</v>
      </c>
      <c r="C3926">
        <v>327</v>
      </c>
      <c r="D3926" t="s">
        <v>7</v>
      </c>
      <c r="E3926" s="2" t="s">
        <v>12</v>
      </c>
      <c r="F3926">
        <f t="shared" si="61"/>
        <v>648.44100000000003</v>
      </c>
      <c r="G3926" t="s">
        <v>16</v>
      </c>
      <c r="J3926" t="str">
        <f>"06/29/2012 23:45"</f>
        <v>06/29/2012 23:45</v>
      </c>
    </row>
    <row r="3927" spans="1:10" x14ac:dyDescent="0.3">
      <c r="A3927" t="s">
        <v>6</v>
      </c>
      <c r="B3927" t="str">
        <f>"06/30/2012 00:00"</f>
        <v>06/30/2012 00:00</v>
      </c>
      <c r="C3927">
        <v>339</v>
      </c>
      <c r="D3927" t="s">
        <v>7</v>
      </c>
      <c r="E3927" s="2" t="s">
        <v>12</v>
      </c>
      <c r="F3927">
        <f t="shared" si="61"/>
        <v>672.23700000000008</v>
      </c>
      <c r="G3927" t="s">
        <v>16</v>
      </c>
      <c r="J3927" t="str">
        <f>"06/30/2012 23:45"</f>
        <v>06/30/2012 23:45</v>
      </c>
    </row>
    <row r="3928" spans="1:10" x14ac:dyDescent="0.3">
      <c r="A3928" t="s">
        <v>6</v>
      </c>
      <c r="B3928" t="str">
        <f>"07/01/2012 00:00"</f>
        <v>07/01/2012 00:00</v>
      </c>
      <c r="C3928">
        <v>365</v>
      </c>
      <c r="D3928" t="s">
        <v>7</v>
      </c>
      <c r="E3928" s="2" t="s">
        <v>12</v>
      </c>
      <c r="F3928">
        <f t="shared" si="61"/>
        <v>723.79500000000007</v>
      </c>
      <c r="G3928" t="s">
        <v>16</v>
      </c>
      <c r="J3928" t="str">
        <f>"07/01/2012 23:45"</f>
        <v>07/01/2012 23:45</v>
      </c>
    </row>
    <row r="3929" spans="1:10" x14ac:dyDescent="0.3">
      <c r="A3929" t="s">
        <v>6</v>
      </c>
      <c r="B3929" t="str">
        <f>"07/02/2012 00:00"</f>
        <v>07/02/2012 00:00</v>
      </c>
      <c r="C3929">
        <v>374</v>
      </c>
      <c r="D3929" t="s">
        <v>7</v>
      </c>
      <c r="E3929" s="2" t="s">
        <v>12</v>
      </c>
      <c r="F3929">
        <f t="shared" si="61"/>
        <v>741.64200000000005</v>
      </c>
      <c r="G3929" t="s">
        <v>16</v>
      </c>
      <c r="J3929" t="str">
        <f>"07/02/2012 23:45"</f>
        <v>07/02/2012 23:45</v>
      </c>
    </row>
    <row r="3930" spans="1:10" x14ac:dyDescent="0.3">
      <c r="A3930" t="s">
        <v>6</v>
      </c>
      <c r="B3930" t="str">
        <f>"07/03/2012 00:00"</f>
        <v>07/03/2012 00:00</v>
      </c>
      <c r="C3930">
        <v>374</v>
      </c>
      <c r="D3930" t="s">
        <v>7</v>
      </c>
      <c r="E3930" s="2" t="s">
        <v>12</v>
      </c>
      <c r="F3930">
        <f t="shared" si="61"/>
        <v>741.64200000000005</v>
      </c>
      <c r="G3930" t="s">
        <v>16</v>
      </c>
      <c r="J3930" t="str">
        <f>"07/03/2012 23:45"</f>
        <v>07/03/2012 23:45</v>
      </c>
    </row>
    <row r="3931" spans="1:10" x14ac:dyDescent="0.3">
      <c r="A3931" t="s">
        <v>6</v>
      </c>
      <c r="B3931" t="str">
        <f>"07/04/2012 00:00"</f>
        <v>07/04/2012 00:00</v>
      </c>
      <c r="C3931">
        <v>374</v>
      </c>
      <c r="D3931" t="s">
        <v>7</v>
      </c>
      <c r="E3931" s="2" t="s">
        <v>12</v>
      </c>
      <c r="F3931">
        <f t="shared" si="61"/>
        <v>741.64200000000005</v>
      </c>
      <c r="G3931" t="s">
        <v>16</v>
      </c>
      <c r="J3931" t="str">
        <f>"07/04/2012 23:45"</f>
        <v>07/04/2012 23:45</v>
      </c>
    </row>
    <row r="3932" spans="1:10" x14ac:dyDescent="0.3">
      <c r="A3932" t="s">
        <v>6</v>
      </c>
      <c r="B3932" t="str">
        <f>"07/05/2012 00:00"</f>
        <v>07/05/2012 00:00</v>
      </c>
      <c r="C3932">
        <v>386</v>
      </c>
      <c r="D3932" t="s">
        <v>7</v>
      </c>
      <c r="E3932" s="2" t="s">
        <v>12</v>
      </c>
      <c r="F3932">
        <f t="shared" si="61"/>
        <v>765.43799999999999</v>
      </c>
      <c r="G3932" t="s">
        <v>16</v>
      </c>
      <c r="J3932" t="str">
        <f>"07/05/2012 23:45"</f>
        <v>07/05/2012 23:45</v>
      </c>
    </row>
    <row r="3933" spans="1:10" x14ac:dyDescent="0.3">
      <c r="A3933" t="s">
        <v>6</v>
      </c>
      <c r="B3933" t="str">
        <f>"07/06/2012 00:00"</f>
        <v>07/06/2012 00:00</v>
      </c>
      <c r="C3933">
        <v>399</v>
      </c>
      <c r="D3933" t="s">
        <v>7</v>
      </c>
      <c r="E3933" s="2" t="s">
        <v>12</v>
      </c>
      <c r="F3933">
        <f t="shared" si="61"/>
        <v>791.21699999999998</v>
      </c>
      <c r="G3933" t="s">
        <v>16</v>
      </c>
      <c r="J3933" t="str">
        <f>"07/06/2012 23:45"</f>
        <v>07/06/2012 23:45</v>
      </c>
    </row>
    <row r="3934" spans="1:10" x14ac:dyDescent="0.3">
      <c r="A3934" t="s">
        <v>6</v>
      </c>
      <c r="B3934" t="str">
        <f>"07/07/2012 00:00"</f>
        <v>07/07/2012 00:00</v>
      </c>
      <c r="C3934">
        <v>311</v>
      </c>
      <c r="D3934" t="s">
        <v>7</v>
      </c>
      <c r="E3934" s="2" t="s">
        <v>12</v>
      </c>
      <c r="F3934">
        <f t="shared" si="61"/>
        <v>616.71300000000008</v>
      </c>
      <c r="G3934" t="s">
        <v>16</v>
      </c>
      <c r="J3934" t="str">
        <f>"07/07/2012 23:45"</f>
        <v>07/07/2012 23:45</v>
      </c>
    </row>
    <row r="3935" spans="1:10" x14ac:dyDescent="0.3">
      <c r="A3935" t="s">
        <v>6</v>
      </c>
      <c r="B3935" t="str">
        <f>"07/08/2012 00:00"</f>
        <v>07/08/2012 00:00</v>
      </c>
      <c r="C3935">
        <v>221</v>
      </c>
      <c r="D3935" t="s">
        <v>7</v>
      </c>
      <c r="E3935" s="2" t="s">
        <v>12</v>
      </c>
      <c r="F3935">
        <f t="shared" si="61"/>
        <v>438.24299999999999</v>
      </c>
      <c r="G3935" t="s">
        <v>16</v>
      </c>
      <c r="J3935" t="str">
        <f>"07/08/2012 23:45"</f>
        <v>07/08/2012 23:45</v>
      </c>
    </row>
    <row r="3936" spans="1:10" x14ac:dyDescent="0.3">
      <c r="A3936" t="s">
        <v>6</v>
      </c>
      <c r="B3936" t="str">
        <f>"07/09/2012 00:00"</f>
        <v>07/09/2012 00:00</v>
      </c>
      <c r="C3936">
        <v>201</v>
      </c>
      <c r="D3936" t="s">
        <v>7</v>
      </c>
      <c r="E3936" s="2" t="s">
        <v>12</v>
      </c>
      <c r="F3936">
        <f t="shared" si="61"/>
        <v>398.58300000000003</v>
      </c>
      <c r="G3936" t="s">
        <v>16</v>
      </c>
      <c r="J3936" t="str">
        <f>"07/09/2012 23:45"</f>
        <v>07/09/2012 23:45</v>
      </c>
    </row>
    <row r="3937" spans="1:10" x14ac:dyDescent="0.3">
      <c r="A3937" t="s">
        <v>6</v>
      </c>
      <c r="B3937" t="str">
        <f>"07/10/2012 00:00"</f>
        <v>07/10/2012 00:00</v>
      </c>
      <c r="C3937">
        <v>250</v>
      </c>
      <c r="D3937" t="s">
        <v>7</v>
      </c>
      <c r="E3937" s="2" t="s">
        <v>12</v>
      </c>
      <c r="F3937">
        <f t="shared" si="61"/>
        <v>495.75</v>
      </c>
      <c r="G3937" t="s">
        <v>16</v>
      </c>
      <c r="J3937" t="str">
        <f>"07/10/2012 23:45"</f>
        <v>07/10/2012 23:45</v>
      </c>
    </row>
    <row r="3938" spans="1:10" x14ac:dyDescent="0.3">
      <c r="A3938" t="s">
        <v>6</v>
      </c>
      <c r="B3938" t="str">
        <f>"07/11/2012 00:00"</f>
        <v>07/11/2012 00:00</v>
      </c>
      <c r="C3938">
        <v>291</v>
      </c>
      <c r="D3938" t="s">
        <v>7</v>
      </c>
      <c r="E3938" s="2" t="s">
        <v>12</v>
      </c>
      <c r="F3938">
        <f t="shared" si="61"/>
        <v>577.053</v>
      </c>
      <c r="G3938" t="s">
        <v>16</v>
      </c>
      <c r="J3938" t="str">
        <f>"07/11/2012 23:45"</f>
        <v>07/11/2012 23:45</v>
      </c>
    </row>
    <row r="3939" spans="1:10" x14ac:dyDescent="0.3">
      <c r="A3939" t="s">
        <v>6</v>
      </c>
      <c r="B3939" t="str">
        <f>"07/12/2012 00:00"</f>
        <v>07/12/2012 00:00</v>
      </c>
      <c r="C3939">
        <v>344</v>
      </c>
      <c r="D3939" t="s">
        <v>7</v>
      </c>
      <c r="E3939" s="2" t="s">
        <v>12</v>
      </c>
      <c r="F3939">
        <f t="shared" si="61"/>
        <v>682.15200000000004</v>
      </c>
      <c r="G3939" t="s">
        <v>16</v>
      </c>
      <c r="J3939" t="str">
        <f>"07/12/2012 23:45"</f>
        <v>07/12/2012 23:45</v>
      </c>
    </row>
    <row r="3940" spans="1:10" x14ac:dyDescent="0.3">
      <c r="A3940" t="s">
        <v>6</v>
      </c>
      <c r="B3940" t="str">
        <f>"07/13/2012 00:00"</f>
        <v>07/13/2012 00:00</v>
      </c>
      <c r="C3940">
        <v>374</v>
      </c>
      <c r="D3940" t="s">
        <v>7</v>
      </c>
      <c r="E3940" s="2" t="s">
        <v>12</v>
      </c>
      <c r="F3940">
        <f t="shared" si="61"/>
        <v>741.64200000000005</v>
      </c>
      <c r="G3940" t="s">
        <v>16</v>
      </c>
      <c r="J3940" t="str">
        <f>"07/13/2012 23:45"</f>
        <v>07/13/2012 23:45</v>
      </c>
    </row>
    <row r="3941" spans="1:10" x14ac:dyDescent="0.3">
      <c r="A3941" t="s">
        <v>6</v>
      </c>
      <c r="B3941" t="str">
        <f>"07/14/2012 00:00"</f>
        <v>07/14/2012 00:00</v>
      </c>
      <c r="C3941">
        <v>374</v>
      </c>
      <c r="D3941" t="s">
        <v>7</v>
      </c>
      <c r="E3941" s="2" t="s">
        <v>12</v>
      </c>
      <c r="F3941">
        <f t="shared" si="61"/>
        <v>741.64200000000005</v>
      </c>
      <c r="G3941" t="s">
        <v>16</v>
      </c>
      <c r="J3941" t="str">
        <f>"07/14/2012 23:45"</f>
        <v>07/14/2012 23:45</v>
      </c>
    </row>
    <row r="3942" spans="1:10" x14ac:dyDescent="0.3">
      <c r="A3942" t="s">
        <v>6</v>
      </c>
      <c r="B3942" t="str">
        <f>"07/15/2012 00:00"</f>
        <v>07/15/2012 00:00</v>
      </c>
      <c r="C3942">
        <v>372</v>
      </c>
      <c r="D3942" t="s">
        <v>7</v>
      </c>
      <c r="E3942" s="2" t="s">
        <v>12</v>
      </c>
      <c r="F3942">
        <f t="shared" si="61"/>
        <v>737.67600000000004</v>
      </c>
      <c r="G3942" t="s">
        <v>16</v>
      </c>
      <c r="J3942" t="str">
        <f>"07/15/2012 23:45"</f>
        <v>07/15/2012 23:45</v>
      </c>
    </row>
    <row r="3943" spans="1:10" x14ac:dyDescent="0.3">
      <c r="A3943" t="s">
        <v>6</v>
      </c>
      <c r="B3943" t="str">
        <f>"07/16/2012 00:00"</f>
        <v>07/16/2012 00:00</v>
      </c>
      <c r="C3943">
        <v>372</v>
      </c>
      <c r="D3943" t="s">
        <v>7</v>
      </c>
      <c r="E3943" s="2" t="s">
        <v>12</v>
      </c>
      <c r="F3943">
        <f t="shared" si="61"/>
        <v>737.67600000000004</v>
      </c>
      <c r="G3943" t="s">
        <v>16</v>
      </c>
      <c r="J3943" t="str">
        <f>"07/16/2012 23:45"</f>
        <v>07/16/2012 23:45</v>
      </c>
    </row>
    <row r="3944" spans="1:10" x14ac:dyDescent="0.3">
      <c r="A3944" t="s">
        <v>6</v>
      </c>
      <c r="B3944" t="str">
        <f>"07/17/2012 00:00"</f>
        <v>07/17/2012 00:00</v>
      </c>
      <c r="C3944">
        <v>341</v>
      </c>
      <c r="D3944" t="s">
        <v>7</v>
      </c>
      <c r="E3944" s="2" t="s">
        <v>12</v>
      </c>
      <c r="F3944">
        <f t="shared" si="61"/>
        <v>676.20300000000009</v>
      </c>
      <c r="G3944" t="s">
        <v>16</v>
      </c>
      <c r="J3944" t="str">
        <f>"07/17/2012 23:45"</f>
        <v>07/17/2012 23:45</v>
      </c>
    </row>
    <row r="3945" spans="1:10" x14ac:dyDescent="0.3">
      <c r="A3945" t="s">
        <v>6</v>
      </c>
      <c r="B3945" t="str">
        <f>"07/18/2012 00:00"</f>
        <v>07/18/2012 00:00</v>
      </c>
      <c r="C3945">
        <v>320</v>
      </c>
      <c r="D3945" t="s">
        <v>7</v>
      </c>
      <c r="E3945" s="2" t="s">
        <v>12</v>
      </c>
      <c r="F3945">
        <f t="shared" si="61"/>
        <v>634.56000000000006</v>
      </c>
      <c r="G3945" t="s">
        <v>16</v>
      </c>
      <c r="J3945" t="str">
        <f>"07/18/2012 23:45"</f>
        <v>07/18/2012 23:45</v>
      </c>
    </row>
    <row r="3946" spans="1:10" x14ac:dyDescent="0.3">
      <c r="A3946" t="s">
        <v>6</v>
      </c>
      <c r="B3946" t="str">
        <f>"07/19/2012 00:00"</f>
        <v>07/19/2012 00:00</v>
      </c>
      <c r="C3946">
        <v>320</v>
      </c>
      <c r="D3946" t="s">
        <v>7</v>
      </c>
      <c r="E3946" s="2" t="s">
        <v>12</v>
      </c>
      <c r="F3946">
        <f t="shared" si="61"/>
        <v>634.56000000000006</v>
      </c>
      <c r="G3946" t="s">
        <v>16</v>
      </c>
      <c r="J3946" t="str">
        <f>"07/19/2012 23:45"</f>
        <v>07/19/2012 23:45</v>
      </c>
    </row>
    <row r="3947" spans="1:10" x14ac:dyDescent="0.3">
      <c r="A3947" t="s">
        <v>6</v>
      </c>
      <c r="B3947" t="str">
        <f>"07/20/2012 00:00"</f>
        <v>07/20/2012 00:00</v>
      </c>
      <c r="C3947">
        <v>320</v>
      </c>
      <c r="D3947" t="s">
        <v>7</v>
      </c>
      <c r="E3947" s="2" t="s">
        <v>12</v>
      </c>
      <c r="F3947">
        <f t="shared" si="61"/>
        <v>634.56000000000006</v>
      </c>
      <c r="G3947" t="s">
        <v>16</v>
      </c>
      <c r="J3947" t="str">
        <f>"07/20/2012 23:45"</f>
        <v>07/20/2012 23:45</v>
      </c>
    </row>
    <row r="3948" spans="1:10" x14ac:dyDescent="0.3">
      <c r="A3948" t="s">
        <v>6</v>
      </c>
      <c r="B3948" t="str">
        <f>"07/21/2012 00:00"</f>
        <v>07/21/2012 00:00</v>
      </c>
      <c r="C3948">
        <v>320</v>
      </c>
      <c r="D3948" t="s">
        <v>7</v>
      </c>
      <c r="E3948" s="2" t="s">
        <v>12</v>
      </c>
      <c r="F3948">
        <f t="shared" si="61"/>
        <v>634.56000000000006</v>
      </c>
      <c r="G3948" t="s">
        <v>16</v>
      </c>
      <c r="J3948" t="str">
        <f>"07/21/2012 23:45"</f>
        <v>07/21/2012 23:45</v>
      </c>
    </row>
    <row r="3949" spans="1:10" x14ac:dyDescent="0.3">
      <c r="A3949" t="s">
        <v>6</v>
      </c>
      <c r="B3949" t="str">
        <f>"07/22/2012 00:00"</f>
        <v>07/22/2012 00:00</v>
      </c>
      <c r="C3949">
        <v>320</v>
      </c>
      <c r="D3949" t="s">
        <v>7</v>
      </c>
      <c r="E3949" s="2" t="s">
        <v>12</v>
      </c>
      <c r="F3949">
        <f t="shared" si="61"/>
        <v>634.56000000000006</v>
      </c>
      <c r="G3949" t="s">
        <v>16</v>
      </c>
      <c r="J3949" t="str">
        <f>"07/22/2012 23:45"</f>
        <v>07/22/2012 23:45</v>
      </c>
    </row>
    <row r="3950" spans="1:10" x14ac:dyDescent="0.3">
      <c r="A3950" t="s">
        <v>6</v>
      </c>
      <c r="B3950" t="str">
        <f>"07/23/2012 00:00"</f>
        <v>07/23/2012 00:00</v>
      </c>
      <c r="C3950">
        <v>317</v>
      </c>
      <c r="D3950" t="s">
        <v>7</v>
      </c>
      <c r="E3950" s="2" t="s">
        <v>12</v>
      </c>
      <c r="F3950">
        <f t="shared" si="61"/>
        <v>628.61099999999999</v>
      </c>
      <c r="G3950" t="s">
        <v>16</v>
      </c>
      <c r="J3950" t="str">
        <f>"07/23/2012 23:45"</f>
        <v>07/23/2012 23:45</v>
      </c>
    </row>
    <row r="3951" spans="1:10" x14ac:dyDescent="0.3">
      <c r="A3951" t="s">
        <v>6</v>
      </c>
      <c r="B3951" t="str">
        <f>"07/24/2012 00:00"</f>
        <v>07/24/2012 00:00</v>
      </c>
      <c r="C3951">
        <v>321</v>
      </c>
      <c r="D3951" t="s">
        <v>7</v>
      </c>
      <c r="E3951" s="2" t="s">
        <v>12</v>
      </c>
      <c r="F3951">
        <f t="shared" si="61"/>
        <v>636.54300000000001</v>
      </c>
      <c r="G3951" t="s">
        <v>16</v>
      </c>
      <c r="J3951" t="str">
        <f>"07/24/2012 23:45"</f>
        <v>07/24/2012 23:45</v>
      </c>
    </row>
    <row r="3952" spans="1:10" x14ac:dyDescent="0.3">
      <c r="A3952" t="s">
        <v>6</v>
      </c>
      <c r="B3952" t="str">
        <f>"07/25/2012 00:00"</f>
        <v>07/25/2012 00:00</v>
      </c>
      <c r="C3952">
        <v>321</v>
      </c>
      <c r="D3952" t="s">
        <v>7</v>
      </c>
      <c r="E3952" s="2" t="s">
        <v>12</v>
      </c>
      <c r="F3952">
        <f t="shared" si="61"/>
        <v>636.54300000000001</v>
      </c>
      <c r="G3952" t="s">
        <v>16</v>
      </c>
      <c r="J3952" t="str">
        <f>"07/25/2012 23:45"</f>
        <v>07/25/2012 23:45</v>
      </c>
    </row>
    <row r="3953" spans="1:10" x14ac:dyDescent="0.3">
      <c r="A3953" t="s">
        <v>6</v>
      </c>
      <c r="B3953" t="str">
        <f>"07/26/2012 00:00"</f>
        <v>07/26/2012 00:00</v>
      </c>
      <c r="C3953">
        <v>320</v>
      </c>
      <c r="D3953" t="s">
        <v>7</v>
      </c>
      <c r="E3953" s="2" t="s">
        <v>12</v>
      </c>
      <c r="F3953">
        <f t="shared" si="61"/>
        <v>634.56000000000006</v>
      </c>
      <c r="G3953" t="s">
        <v>16</v>
      </c>
      <c r="J3953" t="str">
        <f>"07/26/2012 23:45"</f>
        <v>07/26/2012 23:45</v>
      </c>
    </row>
    <row r="3954" spans="1:10" x14ac:dyDescent="0.3">
      <c r="A3954" t="s">
        <v>6</v>
      </c>
      <c r="B3954" t="str">
        <f>"07/27/2012 00:00"</f>
        <v>07/27/2012 00:00</v>
      </c>
      <c r="C3954">
        <v>319</v>
      </c>
      <c r="D3954" t="s">
        <v>7</v>
      </c>
      <c r="E3954" s="2" t="s">
        <v>12</v>
      </c>
      <c r="F3954">
        <f t="shared" si="61"/>
        <v>632.577</v>
      </c>
      <c r="G3954" t="s">
        <v>16</v>
      </c>
      <c r="J3954" t="str">
        <f>"07/27/2012 23:45"</f>
        <v>07/27/2012 23:45</v>
      </c>
    </row>
    <row r="3955" spans="1:10" x14ac:dyDescent="0.3">
      <c r="A3955" t="s">
        <v>6</v>
      </c>
      <c r="B3955" t="str">
        <f>"07/28/2012 00:00"</f>
        <v>07/28/2012 00:00</v>
      </c>
      <c r="C3955">
        <v>318</v>
      </c>
      <c r="D3955" t="s">
        <v>7</v>
      </c>
      <c r="E3955" s="2" t="s">
        <v>12</v>
      </c>
      <c r="F3955">
        <f t="shared" si="61"/>
        <v>630.59400000000005</v>
      </c>
      <c r="G3955" t="s">
        <v>16</v>
      </c>
      <c r="J3955" t="str">
        <f>"07/28/2012 23:45"</f>
        <v>07/28/2012 23:45</v>
      </c>
    </row>
    <row r="3956" spans="1:10" x14ac:dyDescent="0.3">
      <c r="A3956" t="s">
        <v>6</v>
      </c>
      <c r="B3956" t="str">
        <f>"07/29/2012 00:00"</f>
        <v>07/29/2012 00:00</v>
      </c>
      <c r="C3956">
        <v>318</v>
      </c>
      <c r="D3956" t="s">
        <v>7</v>
      </c>
      <c r="E3956" s="2" t="s">
        <v>12</v>
      </c>
      <c r="F3956">
        <f t="shared" si="61"/>
        <v>630.59400000000005</v>
      </c>
      <c r="G3956" t="s">
        <v>16</v>
      </c>
      <c r="J3956" t="str">
        <f>"07/29/2012 23:45"</f>
        <v>07/29/2012 23:45</v>
      </c>
    </row>
    <row r="3957" spans="1:10" x14ac:dyDescent="0.3">
      <c r="A3957" t="s">
        <v>6</v>
      </c>
      <c r="B3957" t="str">
        <f>"07/30/2012 00:00"</f>
        <v>07/30/2012 00:00</v>
      </c>
      <c r="C3957">
        <v>319</v>
      </c>
      <c r="D3957" t="s">
        <v>7</v>
      </c>
      <c r="E3957" s="2" t="s">
        <v>12</v>
      </c>
      <c r="F3957">
        <f t="shared" si="61"/>
        <v>632.577</v>
      </c>
      <c r="G3957" t="s">
        <v>16</v>
      </c>
      <c r="J3957" t="str">
        <f>"07/30/2012 23:45"</f>
        <v>07/30/2012 23:45</v>
      </c>
    </row>
    <row r="3958" spans="1:10" x14ac:dyDescent="0.3">
      <c r="A3958" t="s">
        <v>6</v>
      </c>
      <c r="B3958" t="str">
        <f>"07/31/2012 00:00"</f>
        <v>07/31/2012 00:00</v>
      </c>
      <c r="C3958">
        <v>320</v>
      </c>
      <c r="D3958" t="s">
        <v>7</v>
      </c>
      <c r="E3958" s="2" t="s">
        <v>12</v>
      </c>
      <c r="F3958">
        <f t="shared" si="61"/>
        <v>634.56000000000006</v>
      </c>
      <c r="G3958" t="s">
        <v>16</v>
      </c>
      <c r="J3958" t="str">
        <f>"07/31/2012 23:45"</f>
        <v>07/31/2012 23:45</v>
      </c>
    </row>
    <row r="3959" spans="1:10" x14ac:dyDescent="0.3">
      <c r="A3959" t="s">
        <v>6</v>
      </c>
      <c r="B3959" t="str">
        <f>"08/01/2012 00:00"</f>
        <v>08/01/2012 00:00</v>
      </c>
      <c r="C3959">
        <v>232</v>
      </c>
      <c r="D3959" t="s">
        <v>7</v>
      </c>
      <c r="E3959" s="2" t="s">
        <v>12</v>
      </c>
      <c r="F3959">
        <f t="shared" si="61"/>
        <v>460.05600000000004</v>
      </c>
      <c r="G3959" t="s">
        <v>16</v>
      </c>
      <c r="J3959" t="str">
        <f>"08/01/2012 23:45"</f>
        <v>08/01/2012 23:45</v>
      </c>
    </row>
    <row r="3960" spans="1:10" x14ac:dyDescent="0.3">
      <c r="A3960" t="s">
        <v>6</v>
      </c>
      <c r="B3960" t="str">
        <f>"08/02/2012 00:00"</f>
        <v>08/02/2012 00:00</v>
      </c>
      <c r="C3960">
        <v>169</v>
      </c>
      <c r="D3960" t="s">
        <v>7</v>
      </c>
      <c r="E3960" s="2" t="s">
        <v>12</v>
      </c>
      <c r="F3960">
        <f t="shared" si="61"/>
        <v>335.12700000000001</v>
      </c>
      <c r="G3960" t="s">
        <v>16</v>
      </c>
      <c r="J3960" t="str">
        <f>"08/02/2012 23:45"</f>
        <v>08/02/2012 23:45</v>
      </c>
    </row>
    <row r="3961" spans="1:10" x14ac:dyDescent="0.3">
      <c r="A3961" t="s">
        <v>6</v>
      </c>
      <c r="B3961" t="str">
        <f>"08/03/2012 00:00"</f>
        <v>08/03/2012 00:00</v>
      </c>
      <c r="C3961">
        <v>252</v>
      </c>
      <c r="D3961" t="s">
        <v>7</v>
      </c>
      <c r="E3961" s="2" t="s">
        <v>12</v>
      </c>
      <c r="F3961">
        <f t="shared" si="61"/>
        <v>499.71600000000001</v>
      </c>
      <c r="G3961" t="s">
        <v>16</v>
      </c>
      <c r="J3961" t="str">
        <f>"08/03/2012 23:45"</f>
        <v>08/03/2012 23:45</v>
      </c>
    </row>
    <row r="3962" spans="1:10" x14ac:dyDescent="0.3">
      <c r="A3962" t="s">
        <v>6</v>
      </c>
      <c r="B3962" t="str">
        <f>"08/04/2012 00:00"</f>
        <v>08/04/2012 00:00</v>
      </c>
      <c r="C3962">
        <v>335</v>
      </c>
      <c r="D3962" t="s">
        <v>7</v>
      </c>
      <c r="E3962" s="2" t="s">
        <v>12</v>
      </c>
      <c r="F3962">
        <f t="shared" si="61"/>
        <v>664.30500000000006</v>
      </c>
      <c r="G3962" t="s">
        <v>16</v>
      </c>
      <c r="J3962" t="str">
        <f>"08/04/2012 23:45"</f>
        <v>08/04/2012 23:45</v>
      </c>
    </row>
    <row r="3963" spans="1:10" x14ac:dyDescent="0.3">
      <c r="A3963" t="s">
        <v>6</v>
      </c>
      <c r="B3963" t="str">
        <f>"08/05/2012 00:00"</f>
        <v>08/05/2012 00:00</v>
      </c>
      <c r="C3963">
        <v>350</v>
      </c>
      <c r="D3963" t="s">
        <v>7</v>
      </c>
      <c r="E3963" s="2" t="s">
        <v>12</v>
      </c>
      <c r="F3963">
        <f t="shared" si="61"/>
        <v>694.05000000000007</v>
      </c>
      <c r="G3963" t="s">
        <v>16</v>
      </c>
      <c r="J3963" t="str">
        <f>"08/05/2012 23:45"</f>
        <v>08/05/2012 23:45</v>
      </c>
    </row>
    <row r="3964" spans="1:10" x14ac:dyDescent="0.3">
      <c r="A3964" t="s">
        <v>6</v>
      </c>
      <c r="B3964" t="str">
        <f>"08/06/2012 00:00"</f>
        <v>08/06/2012 00:00</v>
      </c>
      <c r="C3964">
        <v>351</v>
      </c>
      <c r="D3964" t="s">
        <v>7</v>
      </c>
      <c r="E3964" s="2" t="s">
        <v>12</v>
      </c>
      <c r="F3964">
        <f t="shared" si="61"/>
        <v>696.03300000000002</v>
      </c>
      <c r="G3964" t="s">
        <v>16</v>
      </c>
      <c r="J3964" t="str">
        <f>"08/06/2012 23:45"</f>
        <v>08/06/2012 23:45</v>
      </c>
    </row>
    <row r="3965" spans="1:10" x14ac:dyDescent="0.3">
      <c r="A3965" t="s">
        <v>6</v>
      </c>
      <c r="B3965" t="str">
        <f>"08/07/2012 00:00"</f>
        <v>08/07/2012 00:00</v>
      </c>
      <c r="C3965">
        <v>352</v>
      </c>
      <c r="D3965" t="s">
        <v>7</v>
      </c>
      <c r="E3965" s="2" t="s">
        <v>12</v>
      </c>
      <c r="F3965">
        <f t="shared" si="61"/>
        <v>698.01600000000008</v>
      </c>
      <c r="G3965" t="s">
        <v>16</v>
      </c>
      <c r="J3965" t="str">
        <f>"08/07/2012 23:45"</f>
        <v>08/07/2012 23:45</v>
      </c>
    </row>
    <row r="3966" spans="1:10" x14ac:dyDescent="0.3">
      <c r="A3966" t="s">
        <v>6</v>
      </c>
      <c r="B3966" t="str">
        <f>"08/08/2012 00:00"</f>
        <v>08/08/2012 00:00</v>
      </c>
      <c r="C3966">
        <v>359</v>
      </c>
      <c r="D3966" t="s">
        <v>7</v>
      </c>
      <c r="E3966" s="2" t="s">
        <v>12</v>
      </c>
      <c r="F3966">
        <f t="shared" si="61"/>
        <v>711.89700000000005</v>
      </c>
      <c r="G3966" t="s">
        <v>16</v>
      </c>
      <c r="J3966" t="str">
        <f>"08/08/2012 23:45"</f>
        <v>08/08/2012 23:45</v>
      </c>
    </row>
    <row r="3967" spans="1:10" x14ac:dyDescent="0.3">
      <c r="A3967" t="s">
        <v>6</v>
      </c>
      <c r="B3967" t="str">
        <f>"08/09/2012 00:00"</f>
        <v>08/09/2012 00:00</v>
      </c>
      <c r="C3967">
        <v>368</v>
      </c>
      <c r="D3967" t="s">
        <v>7</v>
      </c>
      <c r="E3967" s="2" t="s">
        <v>12</v>
      </c>
      <c r="F3967">
        <f t="shared" si="61"/>
        <v>729.74400000000003</v>
      </c>
      <c r="G3967" t="s">
        <v>16</v>
      </c>
      <c r="J3967" t="str">
        <f>"08/09/2012 23:45"</f>
        <v>08/09/2012 23:45</v>
      </c>
    </row>
    <row r="3968" spans="1:10" x14ac:dyDescent="0.3">
      <c r="A3968" t="s">
        <v>6</v>
      </c>
      <c r="B3968" t="str">
        <f>"08/10/2012 00:00"</f>
        <v>08/10/2012 00:00</v>
      </c>
      <c r="C3968">
        <v>368</v>
      </c>
      <c r="D3968" t="s">
        <v>7</v>
      </c>
      <c r="E3968" s="2" t="s">
        <v>12</v>
      </c>
      <c r="F3968">
        <f t="shared" si="61"/>
        <v>729.74400000000003</v>
      </c>
      <c r="G3968" t="s">
        <v>16</v>
      </c>
      <c r="J3968" t="str">
        <f>"08/10/2012 23:45"</f>
        <v>08/10/2012 23:45</v>
      </c>
    </row>
    <row r="3969" spans="1:10" x14ac:dyDescent="0.3">
      <c r="A3969" t="s">
        <v>6</v>
      </c>
      <c r="B3969" t="str">
        <f>"08/11/2012 00:00"</f>
        <v>08/11/2012 00:00</v>
      </c>
      <c r="C3969">
        <v>368</v>
      </c>
      <c r="D3969" t="s">
        <v>7</v>
      </c>
      <c r="E3969" s="2" t="s">
        <v>12</v>
      </c>
      <c r="F3969">
        <f t="shared" si="61"/>
        <v>729.74400000000003</v>
      </c>
      <c r="G3969" t="s">
        <v>16</v>
      </c>
      <c r="J3969" t="str">
        <f>"08/11/2012 23:45"</f>
        <v>08/11/2012 23:45</v>
      </c>
    </row>
    <row r="3970" spans="1:10" x14ac:dyDescent="0.3">
      <c r="A3970" t="s">
        <v>6</v>
      </c>
      <c r="B3970" t="str">
        <f>"08/12/2012 00:00"</f>
        <v>08/12/2012 00:00</v>
      </c>
      <c r="C3970">
        <v>368</v>
      </c>
      <c r="D3970" t="s">
        <v>7</v>
      </c>
      <c r="E3970" s="2" t="s">
        <v>12</v>
      </c>
      <c r="F3970">
        <f t="shared" si="61"/>
        <v>729.74400000000003</v>
      </c>
      <c r="G3970" t="s">
        <v>16</v>
      </c>
      <c r="J3970" t="str">
        <f>"08/12/2012 23:45"</f>
        <v>08/12/2012 23:45</v>
      </c>
    </row>
    <row r="3971" spans="1:10" x14ac:dyDescent="0.3">
      <c r="A3971" t="s">
        <v>6</v>
      </c>
      <c r="B3971" t="str">
        <f>"08/13/2012 00:00"</f>
        <v>08/13/2012 00:00</v>
      </c>
      <c r="C3971">
        <v>368</v>
      </c>
      <c r="D3971" t="s">
        <v>7</v>
      </c>
      <c r="E3971" s="2" t="s">
        <v>12</v>
      </c>
      <c r="F3971">
        <f t="shared" si="61"/>
        <v>729.74400000000003</v>
      </c>
      <c r="G3971" t="s">
        <v>16</v>
      </c>
      <c r="J3971" t="str">
        <f>"08/13/2012 23:45"</f>
        <v>08/13/2012 23:45</v>
      </c>
    </row>
    <row r="3972" spans="1:10" x14ac:dyDescent="0.3">
      <c r="A3972" t="s">
        <v>6</v>
      </c>
      <c r="B3972" t="str">
        <f>"08/14/2012 00:00"</f>
        <v>08/14/2012 00:00</v>
      </c>
      <c r="C3972">
        <v>325</v>
      </c>
      <c r="D3972" t="s">
        <v>7</v>
      </c>
      <c r="E3972" s="2" t="s">
        <v>12</v>
      </c>
      <c r="F3972">
        <f t="shared" ref="F3972:F4035" si="62">C3972*1.983</f>
        <v>644.47500000000002</v>
      </c>
      <c r="G3972" t="s">
        <v>16</v>
      </c>
      <c r="J3972" t="str">
        <f>"08/14/2012 23:45"</f>
        <v>08/14/2012 23:45</v>
      </c>
    </row>
    <row r="3973" spans="1:10" x14ac:dyDescent="0.3">
      <c r="A3973" t="s">
        <v>6</v>
      </c>
      <c r="B3973" t="str">
        <f>"08/15/2012 00:00"</f>
        <v>08/15/2012 00:00</v>
      </c>
      <c r="C3973">
        <v>257</v>
      </c>
      <c r="D3973" t="s">
        <v>7</v>
      </c>
      <c r="E3973" s="2" t="s">
        <v>12</v>
      </c>
      <c r="F3973">
        <f t="shared" si="62"/>
        <v>509.63100000000003</v>
      </c>
      <c r="G3973" t="s">
        <v>16</v>
      </c>
      <c r="J3973" t="str">
        <f>"08/15/2012 23:45"</f>
        <v>08/15/2012 23:45</v>
      </c>
    </row>
    <row r="3974" spans="1:10" x14ac:dyDescent="0.3">
      <c r="A3974" t="s">
        <v>6</v>
      </c>
      <c r="B3974" t="str">
        <f>"08/16/2012 00:00"</f>
        <v>08/16/2012 00:00</v>
      </c>
      <c r="C3974">
        <v>207</v>
      </c>
      <c r="D3974" t="s">
        <v>7</v>
      </c>
      <c r="E3974" s="2" t="s">
        <v>12</v>
      </c>
      <c r="F3974">
        <f t="shared" si="62"/>
        <v>410.48099999999999</v>
      </c>
      <c r="G3974" t="s">
        <v>16</v>
      </c>
      <c r="J3974" t="str">
        <f>"08/16/2012 23:45"</f>
        <v>08/16/2012 23:45</v>
      </c>
    </row>
    <row r="3975" spans="1:10" x14ac:dyDescent="0.3">
      <c r="A3975" t="s">
        <v>6</v>
      </c>
      <c r="B3975" t="str">
        <f>"08/17/2012 00:00"</f>
        <v>08/17/2012 00:00</v>
      </c>
      <c r="C3975">
        <v>177</v>
      </c>
      <c r="D3975" t="s">
        <v>7</v>
      </c>
      <c r="E3975" s="2" t="s">
        <v>12</v>
      </c>
      <c r="F3975">
        <f t="shared" si="62"/>
        <v>350.99100000000004</v>
      </c>
      <c r="G3975" t="s">
        <v>16</v>
      </c>
      <c r="J3975" t="str">
        <f>"08/17/2012 23:45"</f>
        <v>08/17/2012 23:45</v>
      </c>
    </row>
    <row r="3976" spans="1:10" x14ac:dyDescent="0.3">
      <c r="A3976" t="s">
        <v>6</v>
      </c>
      <c r="B3976" t="str">
        <f>"08/18/2012 00:00"</f>
        <v>08/18/2012 00:00</v>
      </c>
      <c r="C3976">
        <v>179</v>
      </c>
      <c r="D3976" t="s">
        <v>7</v>
      </c>
      <c r="E3976" s="2" t="s">
        <v>12</v>
      </c>
      <c r="F3976">
        <f t="shared" si="62"/>
        <v>354.95699999999999</v>
      </c>
      <c r="G3976" t="s">
        <v>16</v>
      </c>
      <c r="J3976" t="str">
        <f>"08/18/2012 23:45"</f>
        <v>08/18/2012 23:45</v>
      </c>
    </row>
    <row r="3977" spans="1:10" x14ac:dyDescent="0.3">
      <c r="A3977" t="s">
        <v>6</v>
      </c>
      <c r="B3977" t="str">
        <f>"08/19/2012 00:00"</f>
        <v>08/19/2012 00:00</v>
      </c>
      <c r="C3977">
        <v>181</v>
      </c>
      <c r="D3977" t="s">
        <v>7</v>
      </c>
      <c r="E3977" s="2" t="s">
        <v>12</v>
      </c>
      <c r="F3977">
        <f t="shared" si="62"/>
        <v>358.923</v>
      </c>
      <c r="G3977" t="s">
        <v>16</v>
      </c>
      <c r="J3977" t="str">
        <f>"08/19/2012 23:45"</f>
        <v>08/19/2012 23:45</v>
      </c>
    </row>
    <row r="3978" spans="1:10" x14ac:dyDescent="0.3">
      <c r="A3978" t="s">
        <v>6</v>
      </c>
      <c r="B3978" t="str">
        <f>"08/20/2012 00:00"</f>
        <v>08/20/2012 00:00</v>
      </c>
      <c r="C3978">
        <v>232</v>
      </c>
      <c r="D3978" t="s">
        <v>7</v>
      </c>
      <c r="E3978" s="2" t="s">
        <v>12</v>
      </c>
      <c r="F3978">
        <f t="shared" si="62"/>
        <v>460.05600000000004</v>
      </c>
      <c r="G3978" t="s">
        <v>16</v>
      </c>
      <c r="J3978" t="str">
        <f>"08/20/2012 23:45"</f>
        <v>08/20/2012 23:45</v>
      </c>
    </row>
    <row r="3979" spans="1:10" x14ac:dyDescent="0.3">
      <c r="A3979" t="s">
        <v>6</v>
      </c>
      <c r="B3979" t="str">
        <f>"08/21/2012 00:00"</f>
        <v>08/21/2012 00:00</v>
      </c>
      <c r="C3979">
        <v>330</v>
      </c>
      <c r="D3979" t="s">
        <v>7</v>
      </c>
      <c r="E3979" s="2" t="s">
        <v>12</v>
      </c>
      <c r="F3979">
        <f t="shared" si="62"/>
        <v>654.39</v>
      </c>
      <c r="G3979" t="s">
        <v>16</v>
      </c>
      <c r="J3979" t="str">
        <f>"08/21/2012 23:45"</f>
        <v>08/21/2012 23:45</v>
      </c>
    </row>
    <row r="3980" spans="1:10" x14ac:dyDescent="0.3">
      <c r="A3980" t="s">
        <v>6</v>
      </c>
      <c r="B3980" t="str">
        <f>"08/22/2012 00:00"</f>
        <v>08/22/2012 00:00</v>
      </c>
      <c r="C3980">
        <v>398</v>
      </c>
      <c r="D3980" t="s">
        <v>7</v>
      </c>
      <c r="E3980" s="2" t="s">
        <v>12</v>
      </c>
      <c r="F3980">
        <f t="shared" si="62"/>
        <v>789.23400000000004</v>
      </c>
      <c r="G3980" t="s">
        <v>16</v>
      </c>
      <c r="J3980" t="str">
        <f>"08/22/2012 23:45"</f>
        <v>08/22/2012 23:45</v>
      </c>
    </row>
    <row r="3981" spans="1:10" x14ac:dyDescent="0.3">
      <c r="A3981" t="s">
        <v>6</v>
      </c>
      <c r="B3981" t="str">
        <f>"08/23/2012 00:00"</f>
        <v>08/23/2012 00:00</v>
      </c>
      <c r="C3981">
        <v>399</v>
      </c>
      <c r="D3981" t="s">
        <v>7</v>
      </c>
      <c r="E3981" s="2" t="s">
        <v>12</v>
      </c>
      <c r="F3981">
        <f t="shared" si="62"/>
        <v>791.21699999999998</v>
      </c>
      <c r="G3981" t="s">
        <v>16</v>
      </c>
      <c r="J3981" t="str">
        <f>"08/23/2012 23:45"</f>
        <v>08/23/2012 23:45</v>
      </c>
    </row>
    <row r="3982" spans="1:10" x14ac:dyDescent="0.3">
      <c r="A3982" t="s">
        <v>6</v>
      </c>
      <c r="B3982" t="str">
        <f>"08/24/2012 00:00"</f>
        <v>08/24/2012 00:00</v>
      </c>
      <c r="C3982">
        <v>360</v>
      </c>
      <c r="D3982" t="s">
        <v>7</v>
      </c>
      <c r="E3982" s="2" t="s">
        <v>12</v>
      </c>
      <c r="F3982">
        <f t="shared" si="62"/>
        <v>713.88</v>
      </c>
      <c r="G3982" t="s">
        <v>16</v>
      </c>
      <c r="J3982" t="str">
        <f>"08/24/2012 23:45"</f>
        <v>08/24/2012 23:45</v>
      </c>
    </row>
    <row r="3983" spans="1:10" x14ac:dyDescent="0.3">
      <c r="A3983" t="s">
        <v>6</v>
      </c>
      <c r="B3983" t="str">
        <f>"08/25/2012 00:00"</f>
        <v>08/25/2012 00:00</v>
      </c>
      <c r="C3983">
        <v>347</v>
      </c>
      <c r="D3983" t="s">
        <v>7</v>
      </c>
      <c r="E3983" s="2" t="s">
        <v>12</v>
      </c>
      <c r="F3983">
        <f t="shared" si="62"/>
        <v>688.101</v>
      </c>
      <c r="G3983" t="s">
        <v>16</v>
      </c>
      <c r="J3983" t="str">
        <f>"08/25/2012 23:45"</f>
        <v>08/25/2012 23:45</v>
      </c>
    </row>
    <row r="3984" spans="1:10" x14ac:dyDescent="0.3">
      <c r="A3984" t="s">
        <v>6</v>
      </c>
      <c r="B3984" t="str">
        <f>"08/26/2012 00:00"</f>
        <v>08/26/2012 00:00</v>
      </c>
      <c r="C3984">
        <v>347</v>
      </c>
      <c r="D3984" t="s">
        <v>7</v>
      </c>
      <c r="E3984" s="2" t="s">
        <v>12</v>
      </c>
      <c r="F3984">
        <f t="shared" si="62"/>
        <v>688.101</v>
      </c>
      <c r="G3984" t="s">
        <v>16</v>
      </c>
      <c r="J3984" t="str">
        <f>"08/26/2012 23:45"</f>
        <v>08/26/2012 23:45</v>
      </c>
    </row>
    <row r="3985" spans="1:10" x14ac:dyDescent="0.3">
      <c r="A3985" t="s">
        <v>6</v>
      </c>
      <c r="B3985" t="str">
        <f>"08/27/2012 00:00"</f>
        <v>08/27/2012 00:00</v>
      </c>
      <c r="C3985">
        <v>366</v>
      </c>
      <c r="D3985" t="s">
        <v>7</v>
      </c>
      <c r="E3985" s="2" t="s">
        <v>12</v>
      </c>
      <c r="F3985">
        <f t="shared" si="62"/>
        <v>725.77800000000002</v>
      </c>
      <c r="G3985" t="s">
        <v>16</v>
      </c>
      <c r="J3985" t="str">
        <f>"08/27/2012 23:45"</f>
        <v>08/27/2012 23:45</v>
      </c>
    </row>
    <row r="3986" spans="1:10" x14ac:dyDescent="0.3">
      <c r="A3986" t="s">
        <v>6</v>
      </c>
      <c r="B3986" t="str">
        <f>"08/28/2012 00:00"</f>
        <v>08/28/2012 00:00</v>
      </c>
      <c r="C3986">
        <v>377</v>
      </c>
      <c r="D3986" t="s">
        <v>7</v>
      </c>
      <c r="E3986" s="2" t="s">
        <v>12</v>
      </c>
      <c r="F3986">
        <f t="shared" si="62"/>
        <v>747.59100000000001</v>
      </c>
      <c r="G3986" t="s">
        <v>16</v>
      </c>
      <c r="J3986" t="str">
        <f>"08/28/2012 23:45"</f>
        <v>08/28/2012 23:45</v>
      </c>
    </row>
    <row r="3987" spans="1:10" x14ac:dyDescent="0.3">
      <c r="A3987" t="s">
        <v>6</v>
      </c>
      <c r="B3987" t="str">
        <f>"08/29/2012 00:00"</f>
        <v>08/29/2012 00:00</v>
      </c>
      <c r="C3987">
        <v>377</v>
      </c>
      <c r="D3987" t="s">
        <v>7</v>
      </c>
      <c r="E3987" s="2" t="s">
        <v>12</v>
      </c>
      <c r="F3987">
        <f t="shared" si="62"/>
        <v>747.59100000000001</v>
      </c>
      <c r="G3987" t="s">
        <v>16</v>
      </c>
      <c r="J3987" t="str">
        <f>"08/29/2012 23:45"</f>
        <v>08/29/2012 23:45</v>
      </c>
    </row>
    <row r="3988" spans="1:10" x14ac:dyDescent="0.3">
      <c r="A3988" t="s">
        <v>6</v>
      </c>
      <c r="B3988" t="str">
        <f>"08/30/2012 00:00"</f>
        <v>08/30/2012 00:00</v>
      </c>
      <c r="C3988">
        <v>377</v>
      </c>
      <c r="D3988" t="s">
        <v>7</v>
      </c>
      <c r="E3988" s="2" t="s">
        <v>12</v>
      </c>
      <c r="F3988">
        <f t="shared" si="62"/>
        <v>747.59100000000001</v>
      </c>
      <c r="G3988" t="s">
        <v>16</v>
      </c>
      <c r="J3988" t="str">
        <f>"08/30/2012 23:45"</f>
        <v>08/30/2012 23:45</v>
      </c>
    </row>
    <row r="3989" spans="1:10" x14ac:dyDescent="0.3">
      <c r="A3989" t="s">
        <v>6</v>
      </c>
      <c r="B3989" t="str">
        <f>"08/31/2012 00:00"</f>
        <v>08/31/2012 00:00</v>
      </c>
      <c r="C3989">
        <v>377</v>
      </c>
      <c r="D3989" t="s">
        <v>7</v>
      </c>
      <c r="E3989" s="2" t="s">
        <v>12</v>
      </c>
      <c r="F3989">
        <f t="shared" si="62"/>
        <v>747.59100000000001</v>
      </c>
      <c r="G3989" t="s">
        <v>16</v>
      </c>
      <c r="J3989" t="str">
        <f>"08/31/2012 23:45"</f>
        <v>08/31/2012 23:45</v>
      </c>
    </row>
    <row r="3990" spans="1:10" x14ac:dyDescent="0.3">
      <c r="A3990" t="s">
        <v>6</v>
      </c>
      <c r="B3990" t="str">
        <f>"09/01/2012 00:00"</f>
        <v>09/01/2012 00:00</v>
      </c>
      <c r="C3990">
        <v>376</v>
      </c>
      <c r="D3990" t="s">
        <v>7</v>
      </c>
      <c r="E3990" s="2" t="s">
        <v>12</v>
      </c>
      <c r="F3990">
        <f t="shared" si="62"/>
        <v>745.60800000000006</v>
      </c>
      <c r="G3990" t="s">
        <v>16</v>
      </c>
      <c r="J3990" t="str">
        <f>"09/01/2012 23:45"</f>
        <v>09/01/2012 23:45</v>
      </c>
    </row>
    <row r="3991" spans="1:10" x14ac:dyDescent="0.3">
      <c r="A3991" t="s">
        <v>6</v>
      </c>
      <c r="B3991" t="str">
        <f>"09/02/2012 00:00"</f>
        <v>09/02/2012 00:00</v>
      </c>
      <c r="C3991">
        <v>375</v>
      </c>
      <c r="D3991" t="s">
        <v>7</v>
      </c>
      <c r="E3991" s="2" t="s">
        <v>12</v>
      </c>
      <c r="F3991">
        <f t="shared" si="62"/>
        <v>743.625</v>
      </c>
      <c r="G3991" t="s">
        <v>16</v>
      </c>
      <c r="J3991" t="str">
        <f>"09/02/2012 23:45"</f>
        <v>09/02/2012 23:45</v>
      </c>
    </row>
    <row r="3992" spans="1:10" x14ac:dyDescent="0.3">
      <c r="A3992" t="s">
        <v>6</v>
      </c>
      <c r="B3992" t="str">
        <f>"09/03/2012 00:00"</f>
        <v>09/03/2012 00:00</v>
      </c>
      <c r="C3992">
        <v>342</v>
      </c>
      <c r="D3992" t="s">
        <v>7</v>
      </c>
      <c r="E3992" s="2" t="s">
        <v>12</v>
      </c>
      <c r="F3992">
        <f t="shared" si="62"/>
        <v>678.18600000000004</v>
      </c>
      <c r="G3992" t="s">
        <v>16</v>
      </c>
      <c r="J3992" t="str">
        <f>"09/03/2012 23:45"</f>
        <v>09/03/2012 23:45</v>
      </c>
    </row>
    <row r="3993" spans="1:10" x14ac:dyDescent="0.3">
      <c r="A3993" t="s">
        <v>6</v>
      </c>
      <c r="B3993" t="str">
        <f>"09/04/2012 00:00"</f>
        <v>09/04/2012 00:00</v>
      </c>
      <c r="C3993">
        <v>321</v>
      </c>
      <c r="D3993" t="s">
        <v>7</v>
      </c>
      <c r="E3993" s="2" t="s">
        <v>12</v>
      </c>
      <c r="F3993">
        <f t="shared" si="62"/>
        <v>636.54300000000001</v>
      </c>
      <c r="G3993" t="s">
        <v>16</v>
      </c>
      <c r="J3993" t="str">
        <f>"09/04/2012 23:45"</f>
        <v>09/04/2012 23:45</v>
      </c>
    </row>
    <row r="3994" spans="1:10" x14ac:dyDescent="0.3">
      <c r="A3994" t="s">
        <v>6</v>
      </c>
      <c r="B3994" t="str">
        <f>"09/05/2012 00:00"</f>
        <v>09/05/2012 00:00</v>
      </c>
      <c r="C3994">
        <v>322</v>
      </c>
      <c r="D3994" t="s">
        <v>7</v>
      </c>
      <c r="E3994" s="2" t="s">
        <v>12</v>
      </c>
      <c r="F3994">
        <f t="shared" si="62"/>
        <v>638.52600000000007</v>
      </c>
      <c r="G3994" t="s">
        <v>16</v>
      </c>
      <c r="J3994" t="str">
        <f>"09/05/2012 23:45"</f>
        <v>09/05/2012 23:45</v>
      </c>
    </row>
    <row r="3995" spans="1:10" x14ac:dyDescent="0.3">
      <c r="A3995" t="s">
        <v>6</v>
      </c>
      <c r="B3995" t="str">
        <f>"09/06/2012 00:00"</f>
        <v>09/06/2012 00:00</v>
      </c>
      <c r="C3995">
        <v>284</v>
      </c>
      <c r="D3995" t="s">
        <v>7</v>
      </c>
      <c r="E3995" s="2" t="s">
        <v>12</v>
      </c>
      <c r="F3995">
        <f t="shared" si="62"/>
        <v>563.17200000000003</v>
      </c>
      <c r="G3995" t="s">
        <v>16</v>
      </c>
      <c r="J3995" t="str">
        <f>"09/06/2012 23:45"</f>
        <v>09/06/2012 23:45</v>
      </c>
    </row>
    <row r="3996" spans="1:10" x14ac:dyDescent="0.3">
      <c r="A3996" t="s">
        <v>6</v>
      </c>
      <c r="B3996" t="str">
        <f>"09/07/2012 00:00"</f>
        <v>09/07/2012 00:00</v>
      </c>
      <c r="C3996">
        <v>210</v>
      </c>
      <c r="D3996" t="s">
        <v>7</v>
      </c>
      <c r="E3996" s="2" t="s">
        <v>12</v>
      </c>
      <c r="F3996">
        <f t="shared" si="62"/>
        <v>416.43</v>
      </c>
      <c r="G3996" t="s">
        <v>16</v>
      </c>
      <c r="J3996" t="str">
        <f>"09/07/2012 23:45"</f>
        <v>09/07/2012 23:45</v>
      </c>
    </row>
    <row r="3997" spans="1:10" x14ac:dyDescent="0.3">
      <c r="A3997" t="s">
        <v>6</v>
      </c>
      <c r="B3997" t="str">
        <f>"09/08/2012 00:00"</f>
        <v>09/08/2012 00:00</v>
      </c>
      <c r="C3997">
        <v>120</v>
      </c>
      <c r="D3997" t="s">
        <v>7</v>
      </c>
      <c r="E3997" s="2" t="s">
        <v>12</v>
      </c>
      <c r="F3997">
        <f t="shared" si="62"/>
        <v>237.96</v>
      </c>
      <c r="G3997" t="s">
        <v>16</v>
      </c>
      <c r="J3997" t="str">
        <f>"09/08/2012 23:45"</f>
        <v>09/08/2012 23:45</v>
      </c>
    </row>
    <row r="3998" spans="1:10" x14ac:dyDescent="0.3">
      <c r="A3998" t="s">
        <v>6</v>
      </c>
      <c r="B3998" t="str">
        <f>"09/09/2012 00:00"</f>
        <v>09/09/2012 00:00</v>
      </c>
      <c r="C3998">
        <v>80.2</v>
      </c>
      <c r="D3998" t="s">
        <v>7</v>
      </c>
      <c r="E3998" s="2" t="s">
        <v>12</v>
      </c>
      <c r="F3998">
        <f t="shared" si="62"/>
        <v>159.03660000000002</v>
      </c>
      <c r="G3998" t="s">
        <v>16</v>
      </c>
      <c r="J3998" t="str">
        <f>"09/09/2012 23:45"</f>
        <v>09/09/2012 23:45</v>
      </c>
    </row>
    <row r="3999" spans="1:10" x14ac:dyDescent="0.3">
      <c r="A3999" t="s">
        <v>6</v>
      </c>
      <c r="B3999" t="str">
        <f>"09/10/2012 00:00"</f>
        <v>09/10/2012 00:00</v>
      </c>
      <c r="C3999">
        <v>80.5</v>
      </c>
      <c r="D3999" t="s">
        <v>7</v>
      </c>
      <c r="E3999" s="2" t="s">
        <v>12</v>
      </c>
      <c r="F3999">
        <f t="shared" si="62"/>
        <v>159.63150000000002</v>
      </c>
      <c r="G3999" t="s">
        <v>16</v>
      </c>
      <c r="J3999" t="str">
        <f>"09/10/2012 23:45"</f>
        <v>09/10/2012 23:45</v>
      </c>
    </row>
    <row r="4000" spans="1:10" x14ac:dyDescent="0.3">
      <c r="A4000" t="s">
        <v>6</v>
      </c>
      <c r="B4000" t="str">
        <f>"09/11/2012 00:00"</f>
        <v>09/11/2012 00:00</v>
      </c>
      <c r="C4000">
        <v>81.2</v>
      </c>
      <c r="D4000" t="s">
        <v>7</v>
      </c>
      <c r="E4000" s="2" t="s">
        <v>12</v>
      </c>
      <c r="F4000">
        <f t="shared" si="62"/>
        <v>161.01960000000003</v>
      </c>
      <c r="G4000" t="s">
        <v>16</v>
      </c>
      <c r="J4000" t="str">
        <f>"09/11/2012 23:45"</f>
        <v>09/11/2012 23:45</v>
      </c>
    </row>
    <row r="4001" spans="1:10" x14ac:dyDescent="0.3">
      <c r="A4001" t="s">
        <v>6</v>
      </c>
      <c r="B4001" t="str">
        <f>"09/12/2012 00:00"</f>
        <v>09/12/2012 00:00</v>
      </c>
      <c r="C4001">
        <v>126</v>
      </c>
      <c r="D4001" t="s">
        <v>7</v>
      </c>
      <c r="E4001" s="2" t="s">
        <v>12</v>
      </c>
      <c r="F4001">
        <f t="shared" si="62"/>
        <v>249.858</v>
      </c>
      <c r="G4001" t="s">
        <v>16</v>
      </c>
      <c r="J4001" t="str">
        <f>"09/12/2012 23:45"</f>
        <v>09/12/2012 23:45</v>
      </c>
    </row>
    <row r="4002" spans="1:10" x14ac:dyDescent="0.3">
      <c r="A4002" t="s">
        <v>6</v>
      </c>
      <c r="B4002" t="str">
        <f>"09/13/2012 00:00"</f>
        <v>09/13/2012 00:00</v>
      </c>
      <c r="C4002">
        <v>153</v>
      </c>
      <c r="D4002" t="s">
        <v>7</v>
      </c>
      <c r="E4002" s="2" t="s">
        <v>12</v>
      </c>
      <c r="F4002">
        <f t="shared" si="62"/>
        <v>303.399</v>
      </c>
      <c r="G4002" t="s">
        <v>16</v>
      </c>
      <c r="J4002" t="str">
        <f>"09/13/2012 23:45"</f>
        <v>09/13/2012 23:45</v>
      </c>
    </row>
    <row r="4003" spans="1:10" x14ac:dyDescent="0.3">
      <c r="A4003" t="s">
        <v>6</v>
      </c>
      <c r="B4003" t="str">
        <f>"09/14/2012 00:00"</f>
        <v>09/14/2012 00:00</v>
      </c>
      <c r="C4003">
        <v>153</v>
      </c>
      <c r="D4003" t="s">
        <v>7</v>
      </c>
      <c r="E4003" s="2" t="s">
        <v>12</v>
      </c>
      <c r="F4003">
        <f t="shared" si="62"/>
        <v>303.399</v>
      </c>
      <c r="G4003" t="s">
        <v>16</v>
      </c>
      <c r="J4003" t="str">
        <f>"09/14/2012 23:45"</f>
        <v>09/14/2012 23:45</v>
      </c>
    </row>
    <row r="4004" spans="1:10" x14ac:dyDescent="0.3">
      <c r="A4004" t="s">
        <v>6</v>
      </c>
      <c r="B4004" t="str">
        <f>"09/15/2012 00:00"</f>
        <v>09/15/2012 00:00</v>
      </c>
      <c r="C4004">
        <v>178</v>
      </c>
      <c r="D4004" t="s">
        <v>7</v>
      </c>
      <c r="E4004" s="2" t="s">
        <v>12</v>
      </c>
      <c r="F4004">
        <f t="shared" si="62"/>
        <v>352.97399999999999</v>
      </c>
      <c r="G4004" t="s">
        <v>16</v>
      </c>
      <c r="J4004" t="str">
        <f>"09/15/2012 23:45"</f>
        <v>09/15/2012 23:45</v>
      </c>
    </row>
    <row r="4005" spans="1:10" x14ac:dyDescent="0.3">
      <c r="A4005" t="s">
        <v>6</v>
      </c>
      <c r="B4005" t="str">
        <f>"09/16/2012 00:00"</f>
        <v>09/16/2012 00:00</v>
      </c>
      <c r="C4005">
        <v>200</v>
      </c>
      <c r="D4005" t="s">
        <v>7</v>
      </c>
      <c r="E4005" s="2" t="s">
        <v>12</v>
      </c>
      <c r="F4005">
        <f t="shared" si="62"/>
        <v>396.6</v>
      </c>
      <c r="G4005" t="s">
        <v>16</v>
      </c>
      <c r="J4005" t="str">
        <f>"09/16/2012 23:45"</f>
        <v>09/16/2012 23:45</v>
      </c>
    </row>
    <row r="4006" spans="1:10" x14ac:dyDescent="0.3">
      <c r="A4006" t="s">
        <v>6</v>
      </c>
      <c r="B4006" t="str">
        <f>"09/17/2012 00:00"</f>
        <v>09/17/2012 00:00</v>
      </c>
      <c r="C4006">
        <v>222</v>
      </c>
      <c r="D4006" t="s">
        <v>7</v>
      </c>
      <c r="E4006" s="2" t="s">
        <v>12</v>
      </c>
      <c r="F4006">
        <f t="shared" si="62"/>
        <v>440.226</v>
      </c>
      <c r="G4006" t="s">
        <v>16</v>
      </c>
      <c r="J4006" t="str">
        <f>"09/17/2012 23:45"</f>
        <v>09/17/2012 23:45</v>
      </c>
    </row>
    <row r="4007" spans="1:10" x14ac:dyDescent="0.3">
      <c r="A4007" t="s">
        <v>6</v>
      </c>
      <c r="B4007" t="str">
        <f>"09/18/2012 00:00"</f>
        <v>09/18/2012 00:00</v>
      </c>
      <c r="C4007">
        <v>246</v>
      </c>
      <c r="D4007" t="s">
        <v>7</v>
      </c>
      <c r="E4007" s="2" t="s">
        <v>12</v>
      </c>
      <c r="F4007">
        <f t="shared" si="62"/>
        <v>487.81800000000004</v>
      </c>
      <c r="G4007" t="s">
        <v>16</v>
      </c>
      <c r="J4007" t="str">
        <f>"09/18/2012 23:45"</f>
        <v>09/18/2012 23:45</v>
      </c>
    </row>
    <row r="4008" spans="1:10" x14ac:dyDescent="0.3">
      <c r="A4008" t="s">
        <v>6</v>
      </c>
      <c r="B4008" t="str">
        <f>"09/19/2012 00:00"</f>
        <v>09/19/2012 00:00</v>
      </c>
      <c r="C4008">
        <v>246</v>
      </c>
      <c r="D4008" t="s">
        <v>7</v>
      </c>
      <c r="E4008" s="2" t="s">
        <v>12</v>
      </c>
      <c r="F4008">
        <f t="shared" si="62"/>
        <v>487.81800000000004</v>
      </c>
      <c r="G4008" t="s">
        <v>16</v>
      </c>
      <c r="J4008" t="str">
        <f>"09/19/2012 23:45"</f>
        <v>09/19/2012 23:45</v>
      </c>
    </row>
    <row r="4009" spans="1:10" x14ac:dyDescent="0.3">
      <c r="A4009" t="s">
        <v>6</v>
      </c>
      <c r="B4009" t="str">
        <f>"09/20/2012 00:00"</f>
        <v>09/20/2012 00:00</v>
      </c>
      <c r="C4009">
        <v>246</v>
      </c>
      <c r="D4009" t="s">
        <v>7</v>
      </c>
      <c r="E4009" s="2" t="s">
        <v>12</v>
      </c>
      <c r="F4009">
        <f t="shared" si="62"/>
        <v>487.81800000000004</v>
      </c>
      <c r="G4009" t="s">
        <v>16</v>
      </c>
      <c r="J4009" t="str">
        <f>"09/20/2012 23:45"</f>
        <v>09/20/2012 23:45</v>
      </c>
    </row>
    <row r="4010" spans="1:10" x14ac:dyDescent="0.3">
      <c r="A4010" t="s">
        <v>6</v>
      </c>
      <c r="B4010" t="str">
        <f>"09/21/2012 00:00"</f>
        <v>09/21/2012 00:00</v>
      </c>
      <c r="C4010">
        <v>246</v>
      </c>
      <c r="D4010" t="s">
        <v>7</v>
      </c>
      <c r="E4010" s="2" t="s">
        <v>12</v>
      </c>
      <c r="F4010">
        <f t="shared" si="62"/>
        <v>487.81800000000004</v>
      </c>
      <c r="G4010" t="s">
        <v>16</v>
      </c>
      <c r="J4010" t="str">
        <f>"09/21/2012 23:45"</f>
        <v>09/21/2012 23:45</v>
      </c>
    </row>
    <row r="4011" spans="1:10" x14ac:dyDescent="0.3">
      <c r="A4011" t="s">
        <v>6</v>
      </c>
      <c r="B4011" t="str">
        <f>"09/22/2012 00:00"</f>
        <v>09/22/2012 00:00</v>
      </c>
      <c r="C4011">
        <v>246</v>
      </c>
      <c r="D4011" t="s">
        <v>7</v>
      </c>
      <c r="E4011" s="2" t="s">
        <v>12</v>
      </c>
      <c r="F4011">
        <f t="shared" si="62"/>
        <v>487.81800000000004</v>
      </c>
      <c r="G4011" t="s">
        <v>16</v>
      </c>
      <c r="J4011" t="str">
        <f>"09/22/2012 23:45"</f>
        <v>09/22/2012 23:45</v>
      </c>
    </row>
    <row r="4012" spans="1:10" x14ac:dyDescent="0.3">
      <c r="A4012" t="s">
        <v>6</v>
      </c>
      <c r="B4012" t="str">
        <f>"09/23/2012 00:00"</f>
        <v>09/23/2012 00:00</v>
      </c>
      <c r="C4012">
        <v>246</v>
      </c>
      <c r="D4012" t="s">
        <v>7</v>
      </c>
      <c r="E4012" s="2" t="s">
        <v>12</v>
      </c>
      <c r="F4012">
        <f t="shared" si="62"/>
        <v>487.81800000000004</v>
      </c>
      <c r="G4012" t="s">
        <v>16</v>
      </c>
      <c r="J4012" t="str">
        <f>"09/23/2012 23:45"</f>
        <v>09/23/2012 23:45</v>
      </c>
    </row>
    <row r="4013" spans="1:10" x14ac:dyDescent="0.3">
      <c r="A4013" t="s">
        <v>6</v>
      </c>
      <c r="B4013" t="str">
        <f>"09/24/2012 00:00"</f>
        <v>09/24/2012 00:00</v>
      </c>
      <c r="C4013">
        <v>247</v>
      </c>
      <c r="D4013" t="s">
        <v>7</v>
      </c>
      <c r="E4013" s="2" t="s">
        <v>12</v>
      </c>
      <c r="F4013">
        <f t="shared" si="62"/>
        <v>489.80100000000004</v>
      </c>
      <c r="G4013" t="s">
        <v>16</v>
      </c>
      <c r="J4013" t="str">
        <f>"09/24/2012 23:45"</f>
        <v>09/24/2012 23:45</v>
      </c>
    </row>
    <row r="4014" spans="1:10" x14ac:dyDescent="0.3">
      <c r="A4014" t="s">
        <v>6</v>
      </c>
      <c r="B4014" t="str">
        <f>"09/25/2012 00:00"</f>
        <v>09/25/2012 00:00</v>
      </c>
      <c r="C4014">
        <v>248</v>
      </c>
      <c r="D4014" t="s">
        <v>7</v>
      </c>
      <c r="E4014" s="2" t="s">
        <v>12</v>
      </c>
      <c r="F4014">
        <f t="shared" si="62"/>
        <v>491.78400000000005</v>
      </c>
      <c r="G4014" t="s">
        <v>16</v>
      </c>
      <c r="J4014" t="str">
        <f>"09/25/2012 23:45"</f>
        <v>09/25/2012 23:45</v>
      </c>
    </row>
    <row r="4015" spans="1:10" x14ac:dyDescent="0.3">
      <c r="A4015" t="s">
        <v>6</v>
      </c>
      <c r="B4015" t="str">
        <f>"09/26/2012 00:00"</f>
        <v>09/26/2012 00:00</v>
      </c>
      <c r="C4015">
        <v>186</v>
      </c>
      <c r="D4015" t="s">
        <v>7</v>
      </c>
      <c r="E4015" s="2" t="s">
        <v>12</v>
      </c>
      <c r="F4015">
        <f t="shared" si="62"/>
        <v>368.83800000000002</v>
      </c>
      <c r="G4015" t="s">
        <v>16</v>
      </c>
      <c r="J4015" t="str">
        <f>"09/26/2012 23:45"</f>
        <v>09/26/2012 23:45</v>
      </c>
    </row>
    <row r="4016" spans="1:10" x14ac:dyDescent="0.3">
      <c r="A4016" t="s">
        <v>6</v>
      </c>
      <c r="B4016" t="str">
        <f>"09/27/2012 00:00"</f>
        <v>09/27/2012 00:00</v>
      </c>
      <c r="C4016">
        <v>147</v>
      </c>
      <c r="D4016" t="s">
        <v>7</v>
      </c>
      <c r="E4016" s="2" t="s">
        <v>12</v>
      </c>
      <c r="F4016">
        <f t="shared" si="62"/>
        <v>291.50100000000003</v>
      </c>
      <c r="G4016" t="s">
        <v>16</v>
      </c>
      <c r="J4016" t="str">
        <f>"09/27/2012 23:45"</f>
        <v>09/27/2012 23:45</v>
      </c>
    </row>
    <row r="4017" spans="1:10" x14ac:dyDescent="0.3">
      <c r="A4017" t="s">
        <v>6</v>
      </c>
      <c r="B4017" t="str">
        <f>"09/28/2012 00:00"</f>
        <v>09/28/2012 00:00</v>
      </c>
      <c r="C4017">
        <v>147</v>
      </c>
      <c r="D4017" t="s">
        <v>7</v>
      </c>
      <c r="E4017" s="2" t="s">
        <v>12</v>
      </c>
      <c r="F4017">
        <f t="shared" si="62"/>
        <v>291.50100000000003</v>
      </c>
      <c r="G4017" t="s">
        <v>16</v>
      </c>
      <c r="J4017" t="str">
        <f>"09/28/2012 23:45"</f>
        <v>09/28/2012 23:45</v>
      </c>
    </row>
    <row r="4018" spans="1:10" x14ac:dyDescent="0.3">
      <c r="A4018" t="s">
        <v>6</v>
      </c>
      <c r="B4018" t="str">
        <f>"09/29/2012 00:00"</f>
        <v>09/29/2012 00:00</v>
      </c>
      <c r="C4018">
        <v>147</v>
      </c>
      <c r="D4018" t="s">
        <v>7</v>
      </c>
      <c r="E4018" s="2" t="s">
        <v>12</v>
      </c>
      <c r="F4018">
        <f t="shared" si="62"/>
        <v>291.50100000000003</v>
      </c>
      <c r="G4018" t="s">
        <v>16</v>
      </c>
      <c r="J4018" t="str">
        <f>"09/29/2012 23:45"</f>
        <v>09/29/2012 23:45</v>
      </c>
    </row>
    <row r="4019" spans="1:10" x14ac:dyDescent="0.3">
      <c r="A4019" t="s">
        <v>6</v>
      </c>
      <c r="B4019" t="str">
        <f>"09/30/2012 00:00"</f>
        <v>09/30/2012 00:00</v>
      </c>
      <c r="C4019">
        <v>147</v>
      </c>
      <c r="D4019" t="s">
        <v>7</v>
      </c>
      <c r="E4019" s="2" t="s">
        <v>12</v>
      </c>
      <c r="F4019">
        <f t="shared" si="62"/>
        <v>291.50100000000003</v>
      </c>
      <c r="G4019" t="s">
        <v>16</v>
      </c>
      <c r="J4019" t="str">
        <f>"09/30/2012 23:45"</f>
        <v>09/30/2012 23:45</v>
      </c>
    </row>
    <row r="4020" spans="1:10" x14ac:dyDescent="0.3">
      <c r="A4020" t="s">
        <v>6</v>
      </c>
      <c r="B4020" t="str">
        <f>"10/01/2012 00:00"</f>
        <v>10/01/2012 00:00</v>
      </c>
      <c r="C4020">
        <v>180</v>
      </c>
      <c r="D4020" t="s">
        <v>7</v>
      </c>
      <c r="E4020" s="2" t="s">
        <v>12</v>
      </c>
      <c r="F4020">
        <f t="shared" si="62"/>
        <v>356.94</v>
      </c>
      <c r="G4020" t="s">
        <v>16</v>
      </c>
      <c r="J4020" t="str">
        <f>"10/01/2012 23:45"</f>
        <v>10/01/2012 23:45</v>
      </c>
    </row>
    <row r="4021" spans="1:10" x14ac:dyDescent="0.3">
      <c r="A4021" t="s">
        <v>6</v>
      </c>
      <c r="B4021" t="str">
        <f>"10/02/2012 00:00"</f>
        <v>10/02/2012 00:00</v>
      </c>
      <c r="C4021">
        <v>200</v>
      </c>
      <c r="D4021" t="s">
        <v>7</v>
      </c>
      <c r="E4021" s="2" t="s">
        <v>12</v>
      </c>
      <c r="F4021">
        <f t="shared" si="62"/>
        <v>396.6</v>
      </c>
      <c r="G4021" t="s">
        <v>16</v>
      </c>
      <c r="J4021" t="str">
        <f>"10/02/2012 23:45"</f>
        <v>10/02/2012 23:45</v>
      </c>
    </row>
    <row r="4022" spans="1:10" x14ac:dyDescent="0.3">
      <c r="A4022" t="s">
        <v>6</v>
      </c>
      <c r="B4022" t="str">
        <f>"10/03/2012 00:00"</f>
        <v>10/03/2012 00:00</v>
      </c>
      <c r="C4022">
        <v>171</v>
      </c>
      <c r="D4022" t="s">
        <v>7</v>
      </c>
      <c r="E4022" s="2" t="s">
        <v>12</v>
      </c>
      <c r="F4022">
        <f t="shared" si="62"/>
        <v>339.09300000000002</v>
      </c>
      <c r="G4022" t="s">
        <v>16</v>
      </c>
      <c r="J4022" t="str">
        <f>"10/03/2012 23:45"</f>
        <v>10/03/2012 23:45</v>
      </c>
    </row>
    <row r="4023" spans="1:10" x14ac:dyDescent="0.3">
      <c r="A4023" t="s">
        <v>6</v>
      </c>
      <c r="B4023" t="str">
        <f>"10/04/2012 00:00"</f>
        <v>10/04/2012 00:00</v>
      </c>
      <c r="C4023">
        <v>184</v>
      </c>
      <c r="D4023" t="s">
        <v>7</v>
      </c>
      <c r="E4023" s="2" t="s">
        <v>12</v>
      </c>
      <c r="F4023">
        <f t="shared" si="62"/>
        <v>364.87200000000001</v>
      </c>
      <c r="G4023" t="s">
        <v>16</v>
      </c>
      <c r="J4023" t="str">
        <f>"10/04/2012 23:45"</f>
        <v>10/04/2012 23:45</v>
      </c>
    </row>
    <row r="4024" spans="1:10" x14ac:dyDescent="0.3">
      <c r="A4024" t="s">
        <v>6</v>
      </c>
      <c r="B4024" t="str">
        <f>"10/05/2012 00:00"</f>
        <v>10/05/2012 00:00</v>
      </c>
      <c r="C4024">
        <v>231</v>
      </c>
      <c r="D4024" t="s">
        <v>7</v>
      </c>
      <c r="E4024" s="2" t="s">
        <v>12</v>
      </c>
      <c r="F4024">
        <f t="shared" si="62"/>
        <v>458.07300000000004</v>
      </c>
      <c r="G4024" t="s">
        <v>16</v>
      </c>
      <c r="J4024" t="str">
        <f>"10/05/2012 23:45"</f>
        <v>10/05/2012 23:45</v>
      </c>
    </row>
    <row r="4025" spans="1:10" x14ac:dyDescent="0.3">
      <c r="A4025" t="s">
        <v>6</v>
      </c>
      <c r="B4025" t="str">
        <f>"10/06/2012 00:00"</f>
        <v>10/06/2012 00:00</v>
      </c>
      <c r="C4025">
        <v>231</v>
      </c>
      <c r="D4025" t="s">
        <v>7</v>
      </c>
      <c r="E4025" s="2" t="s">
        <v>12</v>
      </c>
      <c r="F4025">
        <f t="shared" si="62"/>
        <v>458.07300000000004</v>
      </c>
      <c r="G4025" t="s">
        <v>16</v>
      </c>
      <c r="J4025" t="str">
        <f>"10/06/2012 23:45"</f>
        <v>10/06/2012 23:45</v>
      </c>
    </row>
    <row r="4026" spans="1:10" x14ac:dyDescent="0.3">
      <c r="A4026" t="s">
        <v>6</v>
      </c>
      <c r="B4026" t="str">
        <f>"10/07/2012 00:00"</f>
        <v>10/07/2012 00:00</v>
      </c>
      <c r="C4026">
        <v>231</v>
      </c>
      <c r="D4026" t="s">
        <v>7</v>
      </c>
      <c r="E4026" s="2" t="s">
        <v>12</v>
      </c>
      <c r="F4026">
        <f t="shared" si="62"/>
        <v>458.07300000000004</v>
      </c>
      <c r="G4026" t="s">
        <v>16</v>
      </c>
      <c r="J4026" t="str">
        <f>"10/07/2012 23:45"</f>
        <v>10/07/2012 23:45</v>
      </c>
    </row>
    <row r="4027" spans="1:10" x14ac:dyDescent="0.3">
      <c r="A4027" t="s">
        <v>6</v>
      </c>
      <c r="B4027" t="str">
        <f>"10/08/2012 00:00"</f>
        <v>10/08/2012 00:00</v>
      </c>
      <c r="C4027">
        <v>196</v>
      </c>
      <c r="D4027" t="s">
        <v>7</v>
      </c>
      <c r="E4027" s="2" t="s">
        <v>12</v>
      </c>
      <c r="F4027">
        <f t="shared" si="62"/>
        <v>388.66800000000001</v>
      </c>
      <c r="G4027" t="s">
        <v>16</v>
      </c>
      <c r="J4027" t="str">
        <f>"10/08/2012 23:45"</f>
        <v>10/08/2012 23:45</v>
      </c>
    </row>
    <row r="4028" spans="1:10" x14ac:dyDescent="0.3">
      <c r="A4028" t="s">
        <v>6</v>
      </c>
      <c r="B4028" t="str">
        <f>"10/09/2012 00:00"</f>
        <v>10/09/2012 00:00</v>
      </c>
      <c r="C4028">
        <v>172</v>
      </c>
      <c r="D4028" t="s">
        <v>7</v>
      </c>
      <c r="E4028" s="2" t="s">
        <v>12</v>
      </c>
      <c r="F4028">
        <f t="shared" si="62"/>
        <v>341.07600000000002</v>
      </c>
      <c r="G4028" t="s">
        <v>16</v>
      </c>
      <c r="J4028" t="str">
        <f>"10/09/2012 23:45"</f>
        <v>10/09/2012 23:45</v>
      </c>
    </row>
    <row r="4029" spans="1:10" x14ac:dyDescent="0.3">
      <c r="A4029" t="s">
        <v>6</v>
      </c>
      <c r="B4029" t="str">
        <f>"10/10/2012 00:00"</f>
        <v>10/10/2012 00:00</v>
      </c>
      <c r="C4029">
        <v>160</v>
      </c>
      <c r="D4029" t="s">
        <v>7</v>
      </c>
      <c r="E4029" s="2" t="s">
        <v>12</v>
      </c>
      <c r="F4029">
        <f t="shared" si="62"/>
        <v>317.28000000000003</v>
      </c>
      <c r="G4029" t="s">
        <v>16</v>
      </c>
      <c r="J4029" t="str">
        <f>"10/10/2012 23:45"</f>
        <v>10/10/2012 23:45</v>
      </c>
    </row>
    <row r="4030" spans="1:10" x14ac:dyDescent="0.3">
      <c r="A4030" t="s">
        <v>6</v>
      </c>
      <c r="B4030" t="str">
        <f>"10/11/2012 00:00"</f>
        <v>10/11/2012 00:00</v>
      </c>
      <c r="C4030">
        <v>153</v>
      </c>
      <c r="D4030" t="s">
        <v>7</v>
      </c>
      <c r="E4030" s="2" t="s">
        <v>12</v>
      </c>
      <c r="F4030">
        <f t="shared" si="62"/>
        <v>303.399</v>
      </c>
      <c r="G4030" t="s">
        <v>16</v>
      </c>
      <c r="J4030" t="str">
        <f>"10/11/2012 23:45"</f>
        <v>10/11/2012 23:45</v>
      </c>
    </row>
    <row r="4031" spans="1:10" x14ac:dyDescent="0.3">
      <c r="A4031" t="s">
        <v>6</v>
      </c>
      <c r="B4031" t="str">
        <f>"10/12/2012 00:00"</f>
        <v>10/12/2012 00:00</v>
      </c>
      <c r="C4031">
        <v>152</v>
      </c>
      <c r="D4031" t="s">
        <v>7</v>
      </c>
      <c r="E4031" s="2" t="s">
        <v>12</v>
      </c>
      <c r="F4031">
        <f t="shared" si="62"/>
        <v>301.416</v>
      </c>
      <c r="G4031" t="s">
        <v>16</v>
      </c>
      <c r="J4031" t="str">
        <f>"10/12/2012 23:45"</f>
        <v>10/12/2012 23:45</v>
      </c>
    </row>
    <row r="4032" spans="1:10" x14ac:dyDescent="0.3">
      <c r="A4032" t="s">
        <v>6</v>
      </c>
      <c r="B4032" t="str">
        <f>"10/13/2012 00:00"</f>
        <v>10/13/2012 00:00</v>
      </c>
      <c r="C4032">
        <v>152</v>
      </c>
      <c r="D4032" t="s">
        <v>7</v>
      </c>
      <c r="E4032" s="2" t="s">
        <v>12</v>
      </c>
      <c r="F4032">
        <f t="shared" si="62"/>
        <v>301.416</v>
      </c>
      <c r="G4032" t="s">
        <v>16</v>
      </c>
      <c r="J4032" t="str">
        <f>"10/13/2012 23:45"</f>
        <v>10/13/2012 23:45</v>
      </c>
    </row>
    <row r="4033" spans="1:10" x14ac:dyDescent="0.3">
      <c r="A4033" t="s">
        <v>6</v>
      </c>
      <c r="B4033" t="str">
        <f>"10/14/2012 00:00"</f>
        <v>10/14/2012 00:00</v>
      </c>
      <c r="C4033">
        <v>152</v>
      </c>
      <c r="D4033" t="s">
        <v>7</v>
      </c>
      <c r="E4033" s="2" t="s">
        <v>12</v>
      </c>
      <c r="F4033">
        <f t="shared" si="62"/>
        <v>301.416</v>
      </c>
      <c r="G4033" t="s">
        <v>16</v>
      </c>
      <c r="J4033" t="str">
        <f>"10/14/2012 23:45"</f>
        <v>10/14/2012 23:45</v>
      </c>
    </row>
    <row r="4034" spans="1:10" x14ac:dyDescent="0.3">
      <c r="A4034" t="s">
        <v>6</v>
      </c>
      <c r="B4034" t="str">
        <f>"10/15/2012 00:00"</f>
        <v>10/15/2012 00:00</v>
      </c>
      <c r="C4034">
        <v>180</v>
      </c>
      <c r="D4034" t="s">
        <v>7</v>
      </c>
      <c r="E4034" s="2" t="s">
        <v>12</v>
      </c>
      <c r="F4034">
        <f t="shared" si="62"/>
        <v>356.94</v>
      </c>
      <c r="G4034" t="s">
        <v>16</v>
      </c>
      <c r="J4034" t="str">
        <f>"10/15/2012 23:45"</f>
        <v>10/15/2012 23:45</v>
      </c>
    </row>
    <row r="4035" spans="1:10" x14ac:dyDescent="0.3">
      <c r="A4035" t="s">
        <v>6</v>
      </c>
      <c r="B4035" t="str">
        <f>"10/16/2012 00:00"</f>
        <v>10/16/2012 00:00</v>
      </c>
      <c r="C4035">
        <v>199</v>
      </c>
      <c r="D4035" t="s">
        <v>7</v>
      </c>
      <c r="E4035" s="2" t="s">
        <v>12</v>
      </c>
      <c r="F4035">
        <f t="shared" si="62"/>
        <v>394.61700000000002</v>
      </c>
      <c r="G4035" t="s">
        <v>16</v>
      </c>
      <c r="J4035" t="str">
        <f>"10/16/2012 23:45"</f>
        <v>10/16/2012 23:45</v>
      </c>
    </row>
    <row r="4036" spans="1:10" x14ac:dyDescent="0.3">
      <c r="A4036" t="s">
        <v>6</v>
      </c>
      <c r="B4036" t="str">
        <f>"10/17/2012 00:00"</f>
        <v>10/17/2012 00:00</v>
      </c>
      <c r="C4036">
        <v>200</v>
      </c>
      <c r="D4036" t="s">
        <v>7</v>
      </c>
      <c r="E4036" s="2" t="s">
        <v>12</v>
      </c>
      <c r="F4036">
        <f t="shared" ref="F4036:F4099" si="63">C4036*1.983</f>
        <v>396.6</v>
      </c>
      <c r="G4036" t="s">
        <v>16</v>
      </c>
      <c r="J4036" t="str">
        <f>"10/17/2012 23:45"</f>
        <v>10/17/2012 23:45</v>
      </c>
    </row>
    <row r="4037" spans="1:10" x14ac:dyDescent="0.3">
      <c r="A4037" t="s">
        <v>6</v>
      </c>
      <c r="B4037" t="str">
        <f>"10/18/2012 00:00"</f>
        <v>10/18/2012 00:00</v>
      </c>
      <c r="C4037">
        <v>200</v>
      </c>
      <c r="D4037" t="s">
        <v>7</v>
      </c>
      <c r="E4037" s="2" t="s">
        <v>12</v>
      </c>
      <c r="F4037">
        <f t="shared" si="63"/>
        <v>396.6</v>
      </c>
      <c r="G4037" t="s">
        <v>16</v>
      </c>
      <c r="J4037" t="str">
        <f>"10/18/2012 23:45"</f>
        <v>10/18/2012 23:45</v>
      </c>
    </row>
    <row r="4038" spans="1:10" x14ac:dyDescent="0.3">
      <c r="A4038" t="s">
        <v>6</v>
      </c>
      <c r="B4038" t="str">
        <f>"10/19/2012 00:00"</f>
        <v>10/19/2012 00:00</v>
      </c>
      <c r="C4038">
        <v>200</v>
      </c>
      <c r="D4038" t="s">
        <v>7</v>
      </c>
      <c r="E4038" s="2" t="s">
        <v>12</v>
      </c>
      <c r="F4038">
        <f t="shared" si="63"/>
        <v>396.6</v>
      </c>
      <c r="G4038" t="s">
        <v>16</v>
      </c>
      <c r="J4038" t="str">
        <f>"10/19/2012 23:45"</f>
        <v>10/19/2012 23:45</v>
      </c>
    </row>
    <row r="4039" spans="1:10" x14ac:dyDescent="0.3">
      <c r="A4039" t="s">
        <v>6</v>
      </c>
      <c r="B4039" t="str">
        <f>"10/20/2012 00:00"</f>
        <v>10/20/2012 00:00</v>
      </c>
      <c r="C4039">
        <v>200</v>
      </c>
      <c r="D4039" t="s">
        <v>7</v>
      </c>
      <c r="E4039" s="2" t="s">
        <v>12</v>
      </c>
      <c r="F4039">
        <f t="shared" si="63"/>
        <v>396.6</v>
      </c>
      <c r="G4039" t="s">
        <v>16</v>
      </c>
      <c r="J4039" t="str">
        <f>"10/20/2012 23:45"</f>
        <v>10/20/2012 23:45</v>
      </c>
    </row>
    <row r="4040" spans="1:10" x14ac:dyDescent="0.3">
      <c r="A4040" t="s">
        <v>6</v>
      </c>
      <c r="B4040" t="str">
        <f>"10/21/2012 00:00"</f>
        <v>10/21/2012 00:00</v>
      </c>
      <c r="C4040">
        <v>201</v>
      </c>
      <c r="D4040" t="s">
        <v>7</v>
      </c>
      <c r="E4040" s="2" t="s">
        <v>12</v>
      </c>
      <c r="F4040">
        <f t="shared" si="63"/>
        <v>398.58300000000003</v>
      </c>
      <c r="G4040" t="s">
        <v>16</v>
      </c>
      <c r="J4040" t="str">
        <f>"10/21/2012 23:45"</f>
        <v>10/21/2012 23:45</v>
      </c>
    </row>
    <row r="4041" spans="1:10" x14ac:dyDescent="0.3">
      <c r="A4041" t="s">
        <v>6</v>
      </c>
      <c r="B4041" t="str">
        <f>"10/22/2012 00:00"</f>
        <v>10/22/2012 00:00</v>
      </c>
      <c r="C4041">
        <v>201</v>
      </c>
      <c r="D4041" t="s">
        <v>7</v>
      </c>
      <c r="E4041" s="2" t="s">
        <v>12</v>
      </c>
      <c r="F4041">
        <f t="shared" si="63"/>
        <v>398.58300000000003</v>
      </c>
      <c r="G4041" t="s">
        <v>16</v>
      </c>
      <c r="J4041" t="str">
        <f>"10/22/2012 23:45"</f>
        <v>10/22/2012 23:45</v>
      </c>
    </row>
    <row r="4042" spans="1:10" x14ac:dyDescent="0.3">
      <c r="A4042" t="s">
        <v>6</v>
      </c>
      <c r="B4042" t="str">
        <f>"10/23/2012 00:00"</f>
        <v>10/23/2012 00:00</v>
      </c>
      <c r="C4042">
        <v>200</v>
      </c>
      <c r="D4042" t="s">
        <v>7</v>
      </c>
      <c r="E4042" s="2" t="s">
        <v>12</v>
      </c>
      <c r="F4042">
        <f t="shared" si="63"/>
        <v>396.6</v>
      </c>
      <c r="G4042" t="s">
        <v>16</v>
      </c>
      <c r="J4042" t="str">
        <f>"10/23/2012 23:45"</f>
        <v>10/23/2012 23:45</v>
      </c>
    </row>
    <row r="4043" spans="1:10" x14ac:dyDescent="0.3">
      <c r="A4043" t="s">
        <v>6</v>
      </c>
      <c r="B4043" t="str">
        <f>"10/24/2012 00:00"</f>
        <v>10/24/2012 00:00</v>
      </c>
      <c r="C4043">
        <v>201</v>
      </c>
      <c r="D4043" t="s">
        <v>7</v>
      </c>
      <c r="E4043" s="2" t="s">
        <v>12</v>
      </c>
      <c r="F4043">
        <f t="shared" si="63"/>
        <v>398.58300000000003</v>
      </c>
      <c r="G4043" t="s">
        <v>16</v>
      </c>
      <c r="J4043" t="str">
        <f>"10/24/2012 23:45"</f>
        <v>10/24/2012 23:45</v>
      </c>
    </row>
    <row r="4044" spans="1:10" x14ac:dyDescent="0.3">
      <c r="A4044" t="s">
        <v>6</v>
      </c>
      <c r="B4044" t="str">
        <f>"10/25/2012 00:00"</f>
        <v>10/25/2012 00:00</v>
      </c>
      <c r="C4044">
        <v>172</v>
      </c>
      <c r="D4044" t="s">
        <v>7</v>
      </c>
      <c r="E4044" s="2" t="s">
        <v>12</v>
      </c>
      <c r="F4044">
        <f t="shared" si="63"/>
        <v>341.07600000000002</v>
      </c>
      <c r="G4044" t="s">
        <v>16</v>
      </c>
      <c r="J4044" t="str">
        <f>"10/25/2012 23:45"</f>
        <v>10/25/2012 23:45</v>
      </c>
    </row>
    <row r="4045" spans="1:10" x14ac:dyDescent="0.3">
      <c r="A4045" t="s">
        <v>6</v>
      </c>
      <c r="B4045" t="str">
        <f>"10/26/2012 00:00"</f>
        <v>10/26/2012 00:00</v>
      </c>
      <c r="C4045">
        <v>148</v>
      </c>
      <c r="D4045" t="s">
        <v>7</v>
      </c>
      <c r="E4045" s="2" t="s">
        <v>12</v>
      </c>
      <c r="F4045">
        <f t="shared" si="63"/>
        <v>293.48400000000004</v>
      </c>
      <c r="G4045" t="s">
        <v>16</v>
      </c>
      <c r="J4045" t="str">
        <f>"10/26/2012 23:45"</f>
        <v>10/26/2012 23:45</v>
      </c>
    </row>
    <row r="4046" spans="1:10" x14ac:dyDescent="0.3">
      <c r="A4046" t="s">
        <v>6</v>
      </c>
      <c r="B4046" t="str">
        <f>"10/27/2012 00:00"</f>
        <v>10/27/2012 00:00</v>
      </c>
      <c r="C4046">
        <v>148</v>
      </c>
      <c r="D4046" t="s">
        <v>7</v>
      </c>
      <c r="E4046" s="2" t="s">
        <v>12</v>
      </c>
      <c r="F4046">
        <f t="shared" si="63"/>
        <v>293.48400000000004</v>
      </c>
      <c r="G4046" t="s">
        <v>16</v>
      </c>
      <c r="J4046" t="str">
        <f>"10/27/2012 23:45"</f>
        <v>10/27/2012 23:45</v>
      </c>
    </row>
    <row r="4047" spans="1:10" x14ac:dyDescent="0.3">
      <c r="A4047" t="s">
        <v>6</v>
      </c>
      <c r="B4047" t="str">
        <f>"10/28/2012 00:00"</f>
        <v>10/28/2012 00:00</v>
      </c>
      <c r="C4047">
        <v>148</v>
      </c>
      <c r="D4047" t="s">
        <v>7</v>
      </c>
      <c r="E4047" s="2" t="s">
        <v>12</v>
      </c>
      <c r="F4047">
        <f t="shared" si="63"/>
        <v>293.48400000000004</v>
      </c>
      <c r="G4047" t="s">
        <v>16</v>
      </c>
      <c r="J4047" t="str">
        <f>"10/28/2012 23:45"</f>
        <v>10/28/2012 23:45</v>
      </c>
    </row>
    <row r="4048" spans="1:10" x14ac:dyDescent="0.3">
      <c r="A4048" t="s">
        <v>6</v>
      </c>
      <c r="B4048" t="str">
        <f>"10/29/2012 00:00"</f>
        <v>10/29/2012 00:00</v>
      </c>
      <c r="C4048">
        <v>118</v>
      </c>
      <c r="D4048" t="s">
        <v>7</v>
      </c>
      <c r="E4048" s="2" t="s">
        <v>12</v>
      </c>
      <c r="F4048">
        <f t="shared" si="63"/>
        <v>233.994</v>
      </c>
      <c r="G4048" t="s">
        <v>16</v>
      </c>
      <c r="J4048" t="str">
        <f>"10/29/2012 23:45"</f>
        <v>10/29/2012 23:45</v>
      </c>
    </row>
    <row r="4049" spans="1:10" x14ac:dyDescent="0.3">
      <c r="A4049" t="s">
        <v>6</v>
      </c>
      <c r="B4049" t="str">
        <f>"10/30/2012 00:00"</f>
        <v>10/30/2012 00:00</v>
      </c>
      <c r="C4049">
        <v>94.4</v>
      </c>
      <c r="D4049" t="s">
        <v>7</v>
      </c>
      <c r="E4049" s="2" t="s">
        <v>12</v>
      </c>
      <c r="F4049">
        <f t="shared" si="63"/>
        <v>187.19520000000003</v>
      </c>
      <c r="G4049" t="s">
        <v>16</v>
      </c>
      <c r="J4049" t="str">
        <f>"10/30/2012 23:45"</f>
        <v>10/30/2012 23:45</v>
      </c>
    </row>
    <row r="4050" spans="1:10" x14ac:dyDescent="0.3">
      <c r="A4050" t="s">
        <v>6</v>
      </c>
      <c r="B4050" t="str">
        <f>"10/31/2012 00:00"</f>
        <v>10/31/2012 00:00</v>
      </c>
      <c r="C4050">
        <v>97.6</v>
      </c>
      <c r="D4050" t="s">
        <v>7</v>
      </c>
      <c r="E4050" s="2" t="s">
        <v>12</v>
      </c>
      <c r="F4050">
        <f t="shared" si="63"/>
        <v>193.54079999999999</v>
      </c>
      <c r="G4050" t="s">
        <v>16</v>
      </c>
      <c r="J4050" t="str">
        <f>"10/31/2012 23:45"</f>
        <v>10/31/2012 23:45</v>
      </c>
    </row>
    <row r="4051" spans="1:10" x14ac:dyDescent="0.3">
      <c r="A4051" t="s">
        <v>6</v>
      </c>
      <c r="B4051" t="str">
        <f>"11/01/2012 00:00"</f>
        <v>11/01/2012 00:00</v>
      </c>
      <c r="C4051">
        <v>114</v>
      </c>
      <c r="D4051" t="s">
        <v>7</v>
      </c>
      <c r="E4051" s="2" t="s">
        <v>12</v>
      </c>
      <c r="F4051">
        <f t="shared" si="63"/>
        <v>226.06200000000001</v>
      </c>
      <c r="G4051" t="s">
        <v>16</v>
      </c>
      <c r="J4051" t="str">
        <f>"11/01/2012 23:45"</f>
        <v>11/01/2012 23:45</v>
      </c>
    </row>
    <row r="4052" spans="1:10" x14ac:dyDescent="0.3">
      <c r="A4052" t="s">
        <v>6</v>
      </c>
      <c r="B4052" t="str">
        <f>"11/02/2012 00:00"</f>
        <v>11/02/2012 00:00</v>
      </c>
      <c r="C4052">
        <v>143</v>
      </c>
      <c r="D4052" t="s">
        <v>7</v>
      </c>
      <c r="E4052" s="2" t="s">
        <v>12</v>
      </c>
      <c r="F4052">
        <f t="shared" si="63"/>
        <v>283.56900000000002</v>
      </c>
      <c r="G4052" t="s">
        <v>16</v>
      </c>
      <c r="J4052" t="str">
        <f>"11/02/2012 23:45"</f>
        <v>11/02/2012 23:45</v>
      </c>
    </row>
    <row r="4053" spans="1:10" x14ac:dyDescent="0.3">
      <c r="A4053" t="s">
        <v>6</v>
      </c>
      <c r="B4053" t="str">
        <f>"11/03/2012 00:00"</f>
        <v>11/03/2012 00:00</v>
      </c>
      <c r="C4053">
        <v>144</v>
      </c>
      <c r="D4053" t="s">
        <v>7</v>
      </c>
      <c r="E4053" s="2" t="s">
        <v>12</v>
      </c>
      <c r="F4053">
        <f t="shared" si="63"/>
        <v>285.55200000000002</v>
      </c>
      <c r="G4053" t="s">
        <v>16</v>
      </c>
      <c r="J4053" t="str">
        <f>"11/03/2012 23:45"</f>
        <v>11/03/2012 23:45</v>
      </c>
    </row>
    <row r="4054" spans="1:10" x14ac:dyDescent="0.3">
      <c r="A4054" t="s">
        <v>6</v>
      </c>
      <c r="B4054" t="str">
        <f>"11/04/2012 00:00"</f>
        <v>11/04/2012 00:00</v>
      </c>
      <c r="C4054">
        <v>144</v>
      </c>
      <c r="D4054" t="s">
        <v>7</v>
      </c>
      <c r="E4054" s="2" t="s">
        <v>12</v>
      </c>
      <c r="F4054">
        <f t="shared" si="63"/>
        <v>285.55200000000002</v>
      </c>
      <c r="G4054" t="s">
        <v>16</v>
      </c>
      <c r="J4054" t="str">
        <f>"11/04/2012 23:45"</f>
        <v>11/04/2012 23:45</v>
      </c>
    </row>
    <row r="4055" spans="1:10" x14ac:dyDescent="0.3">
      <c r="A4055" t="s">
        <v>6</v>
      </c>
      <c r="B4055" t="str">
        <f>"11/05/2012 00:00"</f>
        <v>11/05/2012 00:00</v>
      </c>
      <c r="C4055">
        <v>144</v>
      </c>
      <c r="D4055" t="s">
        <v>7</v>
      </c>
      <c r="E4055" s="2" t="s">
        <v>12</v>
      </c>
      <c r="F4055">
        <f t="shared" si="63"/>
        <v>285.55200000000002</v>
      </c>
      <c r="G4055" t="s">
        <v>16</v>
      </c>
      <c r="J4055" t="str">
        <f>"11/05/2012 23:45"</f>
        <v>11/05/2012 23:45</v>
      </c>
    </row>
    <row r="4056" spans="1:10" x14ac:dyDescent="0.3">
      <c r="A4056" t="s">
        <v>6</v>
      </c>
      <c r="B4056" t="str">
        <f>"11/06/2012 00:00"</f>
        <v>11/06/2012 00:00</v>
      </c>
      <c r="C4056">
        <v>144</v>
      </c>
      <c r="D4056" t="s">
        <v>7</v>
      </c>
      <c r="E4056" s="2" t="s">
        <v>12</v>
      </c>
      <c r="F4056">
        <f t="shared" si="63"/>
        <v>285.55200000000002</v>
      </c>
      <c r="G4056" t="s">
        <v>16</v>
      </c>
      <c r="J4056" t="str">
        <f>"11/06/2012 23:45"</f>
        <v>11/06/2012 23:45</v>
      </c>
    </row>
    <row r="4057" spans="1:10" x14ac:dyDescent="0.3">
      <c r="A4057" t="s">
        <v>6</v>
      </c>
      <c r="B4057" t="str">
        <f>"11/07/2012 00:00"</f>
        <v>11/07/2012 00:00</v>
      </c>
      <c r="C4057">
        <v>175</v>
      </c>
      <c r="D4057" t="s">
        <v>7</v>
      </c>
      <c r="E4057" s="2" t="s">
        <v>12</v>
      </c>
      <c r="F4057">
        <f t="shared" si="63"/>
        <v>347.02500000000003</v>
      </c>
      <c r="G4057" t="s">
        <v>16</v>
      </c>
      <c r="J4057" t="str">
        <f>"11/07/2012 23:45"</f>
        <v>11/07/2012 23:45</v>
      </c>
    </row>
    <row r="4058" spans="1:10" x14ac:dyDescent="0.3">
      <c r="A4058" t="s">
        <v>6</v>
      </c>
      <c r="B4058" t="str">
        <f>"11/08/2012 00:00"</f>
        <v>11/08/2012 00:00</v>
      </c>
      <c r="C4058">
        <v>194</v>
      </c>
      <c r="D4058" t="s">
        <v>7</v>
      </c>
      <c r="E4058" s="2" t="s">
        <v>12</v>
      </c>
      <c r="F4058">
        <f t="shared" si="63"/>
        <v>384.702</v>
      </c>
      <c r="G4058" t="s">
        <v>16</v>
      </c>
      <c r="J4058" t="str">
        <f>"11/08/2012 23:45"</f>
        <v>11/08/2012 23:45</v>
      </c>
    </row>
    <row r="4059" spans="1:10" x14ac:dyDescent="0.3">
      <c r="A4059" t="s">
        <v>6</v>
      </c>
      <c r="B4059" t="str">
        <f>"11/09/2012 00:00"</f>
        <v>11/09/2012 00:00</v>
      </c>
      <c r="C4059">
        <v>210</v>
      </c>
      <c r="D4059" t="s">
        <v>7</v>
      </c>
      <c r="E4059" s="2" t="s">
        <v>12</v>
      </c>
      <c r="F4059">
        <f t="shared" si="63"/>
        <v>416.43</v>
      </c>
      <c r="G4059" t="s">
        <v>16</v>
      </c>
      <c r="J4059" t="str">
        <f>"11/09/2012 23:45"</f>
        <v>11/09/2012 23:45</v>
      </c>
    </row>
    <row r="4060" spans="1:10" x14ac:dyDescent="0.3">
      <c r="A4060" t="s">
        <v>6</v>
      </c>
      <c r="B4060" t="str">
        <f>"11/10/2012 00:00"</f>
        <v>11/10/2012 00:00</v>
      </c>
      <c r="C4060">
        <v>224</v>
      </c>
      <c r="D4060" t="s">
        <v>7</v>
      </c>
      <c r="E4060" s="2" t="s">
        <v>12</v>
      </c>
      <c r="F4060">
        <f t="shared" si="63"/>
        <v>444.19200000000001</v>
      </c>
      <c r="G4060" t="s">
        <v>16</v>
      </c>
      <c r="J4060" t="str">
        <f>"11/10/2012 23:45"</f>
        <v>11/10/2012 23:45</v>
      </c>
    </row>
    <row r="4061" spans="1:10" x14ac:dyDescent="0.3">
      <c r="A4061" t="s">
        <v>6</v>
      </c>
      <c r="B4061" t="str">
        <f>"11/11/2012 00:00"</f>
        <v>11/11/2012 00:00</v>
      </c>
      <c r="C4061">
        <v>225</v>
      </c>
      <c r="D4061" t="s">
        <v>7</v>
      </c>
      <c r="E4061" s="2" t="s">
        <v>12</v>
      </c>
      <c r="F4061">
        <f t="shared" si="63"/>
        <v>446.17500000000001</v>
      </c>
      <c r="G4061" t="s">
        <v>16</v>
      </c>
      <c r="J4061" t="str">
        <f>"11/11/2012 23:45"</f>
        <v>11/11/2012 23:45</v>
      </c>
    </row>
    <row r="4062" spans="1:10" x14ac:dyDescent="0.3">
      <c r="A4062" t="s">
        <v>6</v>
      </c>
      <c r="B4062" t="str">
        <f>"11/12/2012 00:00"</f>
        <v>11/12/2012 00:00</v>
      </c>
      <c r="C4062">
        <v>225</v>
      </c>
      <c r="D4062" t="s">
        <v>7</v>
      </c>
      <c r="E4062" s="2" t="s">
        <v>12</v>
      </c>
      <c r="F4062">
        <f t="shared" si="63"/>
        <v>446.17500000000001</v>
      </c>
      <c r="G4062" t="s">
        <v>16</v>
      </c>
      <c r="J4062" t="str">
        <f>"11/12/2012 23:45"</f>
        <v>11/12/2012 23:45</v>
      </c>
    </row>
    <row r="4063" spans="1:10" x14ac:dyDescent="0.3">
      <c r="A4063" t="s">
        <v>6</v>
      </c>
      <c r="B4063" t="str">
        <f>"11/13/2012 00:00"</f>
        <v>11/13/2012 00:00</v>
      </c>
      <c r="C4063">
        <v>197</v>
      </c>
      <c r="D4063" t="s">
        <v>7</v>
      </c>
      <c r="E4063" s="2" t="s">
        <v>12</v>
      </c>
      <c r="F4063">
        <f t="shared" si="63"/>
        <v>390.65100000000001</v>
      </c>
      <c r="G4063" t="s">
        <v>16</v>
      </c>
      <c r="J4063" t="str">
        <f>"11/13/2012 23:45"</f>
        <v>11/13/2012 23:45</v>
      </c>
    </row>
    <row r="4064" spans="1:10" x14ac:dyDescent="0.3">
      <c r="A4064" t="s">
        <v>6</v>
      </c>
      <c r="B4064" t="str">
        <f>"11/14/2012 00:00"</f>
        <v>11/14/2012 00:00</v>
      </c>
      <c r="C4064">
        <v>174</v>
      </c>
      <c r="D4064" t="s">
        <v>7</v>
      </c>
      <c r="E4064" s="2" t="s">
        <v>12</v>
      </c>
      <c r="F4064">
        <f t="shared" si="63"/>
        <v>345.04200000000003</v>
      </c>
      <c r="G4064" t="s">
        <v>16</v>
      </c>
      <c r="J4064" t="str">
        <f>"11/14/2012 23:45"</f>
        <v>11/14/2012 23:45</v>
      </c>
    </row>
    <row r="4065" spans="1:10" x14ac:dyDescent="0.3">
      <c r="A4065" t="s">
        <v>6</v>
      </c>
      <c r="B4065" t="str">
        <f>"11/15/2012 00:00"</f>
        <v>11/15/2012 00:00</v>
      </c>
      <c r="C4065">
        <v>172</v>
      </c>
      <c r="D4065" t="s">
        <v>7</v>
      </c>
      <c r="E4065" s="2" t="s">
        <v>12</v>
      </c>
      <c r="F4065">
        <f t="shared" si="63"/>
        <v>341.07600000000002</v>
      </c>
      <c r="G4065" t="s">
        <v>16</v>
      </c>
      <c r="J4065" t="str">
        <f>"11/15/2012 23:45"</f>
        <v>11/15/2012 23:45</v>
      </c>
    </row>
    <row r="4066" spans="1:10" x14ac:dyDescent="0.3">
      <c r="A4066" t="s">
        <v>6</v>
      </c>
      <c r="B4066" t="str">
        <f>"11/16/2012 00:00"</f>
        <v>11/16/2012 00:00</v>
      </c>
      <c r="C4066">
        <v>143</v>
      </c>
      <c r="D4066" t="s">
        <v>7</v>
      </c>
      <c r="E4066" s="2" t="s">
        <v>12</v>
      </c>
      <c r="F4066">
        <f t="shared" si="63"/>
        <v>283.56900000000002</v>
      </c>
      <c r="G4066" t="s">
        <v>16</v>
      </c>
      <c r="J4066" t="str">
        <f>"11/16/2012 23:45"</f>
        <v>11/16/2012 23:45</v>
      </c>
    </row>
    <row r="4067" spans="1:10" x14ac:dyDescent="0.3">
      <c r="A4067" t="s">
        <v>6</v>
      </c>
      <c r="B4067" t="str">
        <f>"11/17/2012 00:00"</f>
        <v>11/17/2012 00:00</v>
      </c>
      <c r="C4067">
        <v>150</v>
      </c>
      <c r="D4067" t="s">
        <v>7</v>
      </c>
      <c r="E4067" s="2" t="s">
        <v>12</v>
      </c>
      <c r="F4067">
        <f t="shared" si="63"/>
        <v>297.45</v>
      </c>
      <c r="G4067" t="s">
        <v>16</v>
      </c>
      <c r="J4067" t="str">
        <f>"11/17/2012 23:45"</f>
        <v>11/17/2012 23:45</v>
      </c>
    </row>
    <row r="4068" spans="1:10" x14ac:dyDescent="0.3">
      <c r="A4068" t="s">
        <v>6</v>
      </c>
      <c r="B4068" t="str">
        <f>"11/18/2012 00:00"</f>
        <v>11/18/2012 00:00</v>
      </c>
      <c r="C4068">
        <v>150</v>
      </c>
      <c r="D4068" t="s">
        <v>7</v>
      </c>
      <c r="E4068" s="2" t="s">
        <v>12</v>
      </c>
      <c r="F4068">
        <f t="shared" si="63"/>
        <v>297.45</v>
      </c>
      <c r="G4068" t="s">
        <v>16</v>
      </c>
      <c r="J4068" t="str">
        <f>"11/18/2012 23:45"</f>
        <v>11/18/2012 23:45</v>
      </c>
    </row>
    <row r="4069" spans="1:10" x14ac:dyDescent="0.3">
      <c r="A4069" t="s">
        <v>6</v>
      </c>
      <c r="B4069" t="str">
        <f>"11/19/2012 00:00"</f>
        <v>11/19/2012 00:00</v>
      </c>
      <c r="C4069">
        <v>150</v>
      </c>
      <c r="D4069" t="s">
        <v>7</v>
      </c>
      <c r="E4069" s="2" t="s">
        <v>12</v>
      </c>
      <c r="F4069">
        <f t="shared" si="63"/>
        <v>297.45</v>
      </c>
      <c r="G4069" t="s">
        <v>16</v>
      </c>
      <c r="J4069" t="str">
        <f>"11/19/2012 23:45"</f>
        <v>11/19/2012 23:45</v>
      </c>
    </row>
    <row r="4070" spans="1:10" x14ac:dyDescent="0.3">
      <c r="A4070" t="s">
        <v>6</v>
      </c>
      <c r="B4070" t="str">
        <f>"11/20/2012 00:00"</f>
        <v>11/20/2012 00:00</v>
      </c>
      <c r="C4070">
        <v>149</v>
      </c>
      <c r="D4070" t="s">
        <v>7</v>
      </c>
      <c r="E4070" s="2" t="s">
        <v>12</v>
      </c>
      <c r="F4070">
        <f t="shared" si="63"/>
        <v>295.46700000000004</v>
      </c>
      <c r="G4070" t="s">
        <v>16</v>
      </c>
      <c r="J4070" t="str">
        <f>"11/20/2012 23:45"</f>
        <v>11/20/2012 23:45</v>
      </c>
    </row>
    <row r="4071" spans="1:10" x14ac:dyDescent="0.3">
      <c r="A4071" t="s">
        <v>6</v>
      </c>
      <c r="B4071" t="str">
        <f>"11/21/2012 00:00"</f>
        <v>11/21/2012 00:00</v>
      </c>
      <c r="C4071">
        <v>149</v>
      </c>
      <c r="D4071" t="s">
        <v>7</v>
      </c>
      <c r="E4071" s="2" t="s">
        <v>12</v>
      </c>
      <c r="F4071">
        <f t="shared" si="63"/>
        <v>295.46700000000004</v>
      </c>
      <c r="G4071" t="s">
        <v>16</v>
      </c>
      <c r="J4071" t="str">
        <f>"11/21/2012 23:45"</f>
        <v>11/21/2012 23:45</v>
      </c>
    </row>
    <row r="4072" spans="1:10" x14ac:dyDescent="0.3">
      <c r="A4072" t="s">
        <v>6</v>
      </c>
      <c r="B4072" t="str">
        <f>"11/22/2012 00:00"</f>
        <v>11/22/2012 00:00</v>
      </c>
      <c r="C4072">
        <v>150</v>
      </c>
      <c r="D4072" t="s">
        <v>7</v>
      </c>
      <c r="E4072" s="2" t="s">
        <v>12</v>
      </c>
      <c r="F4072">
        <f t="shared" si="63"/>
        <v>297.45</v>
      </c>
      <c r="G4072" t="s">
        <v>16</v>
      </c>
      <c r="J4072" t="str">
        <f>"11/22/2012 23:45"</f>
        <v>11/22/2012 23:45</v>
      </c>
    </row>
    <row r="4073" spans="1:10" x14ac:dyDescent="0.3">
      <c r="A4073" t="s">
        <v>6</v>
      </c>
      <c r="B4073" t="str">
        <f>"11/23/2012 00:00"</f>
        <v>11/23/2012 00:00</v>
      </c>
      <c r="C4073">
        <v>149</v>
      </c>
      <c r="D4073" t="s">
        <v>7</v>
      </c>
      <c r="E4073" s="2" t="s">
        <v>12</v>
      </c>
      <c r="F4073">
        <f t="shared" si="63"/>
        <v>295.46700000000004</v>
      </c>
      <c r="G4073" t="s">
        <v>16</v>
      </c>
      <c r="J4073" t="str">
        <f>"11/23/2012 23:45"</f>
        <v>11/23/2012 23:45</v>
      </c>
    </row>
    <row r="4074" spans="1:10" x14ac:dyDescent="0.3">
      <c r="A4074" t="s">
        <v>6</v>
      </c>
      <c r="B4074" t="str">
        <f>"11/24/2012 00:00"</f>
        <v>11/24/2012 00:00</v>
      </c>
      <c r="C4074">
        <v>150</v>
      </c>
      <c r="D4074" t="s">
        <v>7</v>
      </c>
      <c r="E4074" s="2" t="s">
        <v>12</v>
      </c>
      <c r="F4074">
        <f t="shared" si="63"/>
        <v>297.45</v>
      </c>
      <c r="G4074" t="s">
        <v>16</v>
      </c>
      <c r="J4074" t="str">
        <f>"11/24/2012 23:45"</f>
        <v>11/24/2012 23:45</v>
      </c>
    </row>
    <row r="4075" spans="1:10" x14ac:dyDescent="0.3">
      <c r="A4075" t="s">
        <v>6</v>
      </c>
      <c r="B4075" t="str">
        <f>"11/25/2012 00:00"</f>
        <v>11/25/2012 00:00</v>
      </c>
      <c r="C4075">
        <v>149</v>
      </c>
      <c r="D4075" t="s">
        <v>7</v>
      </c>
      <c r="E4075" s="2" t="s">
        <v>12</v>
      </c>
      <c r="F4075">
        <f t="shared" si="63"/>
        <v>295.46700000000004</v>
      </c>
      <c r="G4075" t="s">
        <v>16</v>
      </c>
      <c r="J4075" t="str">
        <f>"11/25/2012 23:45"</f>
        <v>11/25/2012 23:45</v>
      </c>
    </row>
    <row r="4076" spans="1:10" x14ac:dyDescent="0.3">
      <c r="A4076" t="s">
        <v>6</v>
      </c>
      <c r="B4076" t="str">
        <f>"11/26/2012 00:00"</f>
        <v>11/26/2012 00:00</v>
      </c>
      <c r="C4076">
        <v>150</v>
      </c>
      <c r="D4076" t="s">
        <v>7</v>
      </c>
      <c r="E4076" s="2" t="s">
        <v>12</v>
      </c>
      <c r="F4076">
        <f t="shared" si="63"/>
        <v>297.45</v>
      </c>
      <c r="G4076" t="s">
        <v>16</v>
      </c>
      <c r="J4076" t="str">
        <f>"11/26/2012 23:45"</f>
        <v>11/26/2012 23:45</v>
      </c>
    </row>
    <row r="4077" spans="1:10" x14ac:dyDescent="0.3">
      <c r="A4077" t="s">
        <v>6</v>
      </c>
      <c r="B4077" t="str">
        <f>"11/27/2012 00:00"</f>
        <v>11/27/2012 00:00</v>
      </c>
      <c r="C4077">
        <v>147</v>
      </c>
      <c r="D4077" t="s">
        <v>7</v>
      </c>
      <c r="E4077" s="2" t="s">
        <v>12</v>
      </c>
      <c r="F4077">
        <f t="shared" si="63"/>
        <v>291.50100000000003</v>
      </c>
      <c r="G4077" t="s">
        <v>16</v>
      </c>
      <c r="J4077" t="str">
        <f>"11/27/2012 23:45"</f>
        <v>11/27/2012 23:45</v>
      </c>
    </row>
    <row r="4078" spans="1:10" x14ac:dyDescent="0.3">
      <c r="A4078" t="s">
        <v>6</v>
      </c>
      <c r="B4078" t="str">
        <f>"11/28/2012 00:00"</f>
        <v>11/28/2012 00:00</v>
      </c>
      <c r="C4078">
        <v>147</v>
      </c>
      <c r="D4078" t="s">
        <v>7</v>
      </c>
      <c r="E4078" s="2" t="s">
        <v>12</v>
      </c>
      <c r="F4078">
        <f t="shared" si="63"/>
        <v>291.50100000000003</v>
      </c>
      <c r="G4078" t="s">
        <v>16</v>
      </c>
      <c r="J4078" t="str">
        <f>"11/28/2012 23:45"</f>
        <v>11/28/2012 23:45</v>
      </c>
    </row>
    <row r="4079" spans="1:10" x14ac:dyDescent="0.3">
      <c r="A4079" t="s">
        <v>6</v>
      </c>
      <c r="B4079" t="str">
        <f>"11/29/2012 00:00"</f>
        <v>11/29/2012 00:00</v>
      </c>
      <c r="C4079">
        <v>108</v>
      </c>
      <c r="D4079" t="s">
        <v>7</v>
      </c>
      <c r="E4079" s="2" t="s">
        <v>12</v>
      </c>
      <c r="F4079">
        <f t="shared" si="63"/>
        <v>214.16400000000002</v>
      </c>
      <c r="G4079" t="s">
        <v>16</v>
      </c>
      <c r="J4079" t="str">
        <f>"11/29/2012 23:45"</f>
        <v>11/29/2012 23:45</v>
      </c>
    </row>
    <row r="4080" spans="1:10" x14ac:dyDescent="0.3">
      <c r="A4080" t="s">
        <v>6</v>
      </c>
      <c r="B4080" t="str">
        <f>"11/30/2012 00:00"</f>
        <v>11/30/2012 00:00</v>
      </c>
      <c r="C4080">
        <v>87.2</v>
      </c>
      <c r="D4080" t="s">
        <v>7</v>
      </c>
      <c r="E4080" s="2" t="s">
        <v>12</v>
      </c>
      <c r="F4080">
        <f t="shared" si="63"/>
        <v>172.91760000000002</v>
      </c>
      <c r="G4080" t="s">
        <v>16</v>
      </c>
      <c r="J4080" t="str">
        <f>"11/30/2012 23:45"</f>
        <v>11/30/2012 23:45</v>
      </c>
    </row>
    <row r="4081" spans="1:10" x14ac:dyDescent="0.3">
      <c r="A4081" t="s">
        <v>6</v>
      </c>
      <c r="B4081" t="str">
        <f>"12/01/2012 00:00"</f>
        <v>12/01/2012 00:00</v>
      </c>
      <c r="C4081">
        <v>91.5</v>
      </c>
      <c r="D4081" t="s">
        <v>7</v>
      </c>
      <c r="E4081" s="2" t="s">
        <v>12</v>
      </c>
      <c r="F4081">
        <f t="shared" si="63"/>
        <v>181.44450000000001</v>
      </c>
      <c r="G4081" t="s">
        <v>16</v>
      </c>
      <c r="J4081" t="str">
        <f>"12/01/2012 23:45"</f>
        <v>12/01/2012 23:45</v>
      </c>
    </row>
    <row r="4082" spans="1:10" x14ac:dyDescent="0.3">
      <c r="A4082" t="s">
        <v>6</v>
      </c>
      <c r="B4082" t="str">
        <f>"12/02/2012 00:00"</f>
        <v>12/02/2012 00:00</v>
      </c>
      <c r="C4082">
        <v>91</v>
      </c>
      <c r="D4082" t="s">
        <v>7</v>
      </c>
      <c r="E4082" s="2" t="s">
        <v>12</v>
      </c>
      <c r="F4082">
        <f t="shared" si="63"/>
        <v>180.453</v>
      </c>
      <c r="G4082" t="s">
        <v>16</v>
      </c>
      <c r="J4082" t="str">
        <f>"12/02/2012 23:45"</f>
        <v>12/02/2012 23:45</v>
      </c>
    </row>
    <row r="4083" spans="1:10" x14ac:dyDescent="0.3">
      <c r="A4083" t="s">
        <v>6</v>
      </c>
      <c r="B4083" t="str">
        <f>"12/03/2012 00:00"</f>
        <v>12/03/2012 00:00</v>
      </c>
      <c r="C4083">
        <v>90</v>
      </c>
      <c r="D4083" t="s">
        <v>7</v>
      </c>
      <c r="E4083" s="2" t="s">
        <v>12</v>
      </c>
      <c r="F4083">
        <f t="shared" si="63"/>
        <v>178.47</v>
      </c>
      <c r="G4083" t="s">
        <v>16</v>
      </c>
      <c r="J4083" t="str">
        <f>"12/03/2012 23:45"</f>
        <v>12/03/2012 23:45</v>
      </c>
    </row>
    <row r="4084" spans="1:10" x14ac:dyDescent="0.3">
      <c r="A4084" t="s">
        <v>6</v>
      </c>
      <c r="B4084" t="str">
        <f>"12/04/2012 00:00"</f>
        <v>12/04/2012 00:00</v>
      </c>
      <c r="C4084">
        <v>90.2</v>
      </c>
      <c r="D4084" t="s">
        <v>7</v>
      </c>
      <c r="E4084" s="2" t="s">
        <v>12</v>
      </c>
      <c r="F4084">
        <f t="shared" si="63"/>
        <v>178.86660000000001</v>
      </c>
      <c r="G4084" t="s">
        <v>16</v>
      </c>
      <c r="J4084" t="str">
        <f>"12/04/2012 23:45"</f>
        <v>12/04/2012 23:45</v>
      </c>
    </row>
    <row r="4085" spans="1:10" x14ac:dyDescent="0.3">
      <c r="A4085" t="s">
        <v>6</v>
      </c>
      <c r="B4085" t="str">
        <f>"12/05/2012 00:00"</f>
        <v>12/05/2012 00:00</v>
      </c>
      <c r="C4085">
        <v>89.4</v>
      </c>
      <c r="D4085" t="s">
        <v>7</v>
      </c>
      <c r="E4085" s="2" t="s">
        <v>12</v>
      </c>
      <c r="F4085">
        <f t="shared" si="63"/>
        <v>177.28020000000001</v>
      </c>
      <c r="G4085" t="s">
        <v>16</v>
      </c>
      <c r="J4085" t="str">
        <f>"12/05/2012 23:45"</f>
        <v>12/05/2012 23:45</v>
      </c>
    </row>
    <row r="4086" spans="1:10" x14ac:dyDescent="0.3">
      <c r="A4086" t="s">
        <v>6</v>
      </c>
      <c r="B4086" t="str">
        <f>"12/06/2012 00:00"</f>
        <v>12/06/2012 00:00</v>
      </c>
      <c r="C4086">
        <v>88.3</v>
      </c>
      <c r="D4086" t="s">
        <v>7</v>
      </c>
      <c r="E4086" s="2" t="s">
        <v>12</v>
      </c>
      <c r="F4086">
        <f t="shared" si="63"/>
        <v>175.09890000000001</v>
      </c>
      <c r="G4086" t="s">
        <v>16</v>
      </c>
      <c r="J4086" t="str">
        <f>"12/06/2012 23:45"</f>
        <v>12/06/2012 23:45</v>
      </c>
    </row>
    <row r="4087" spans="1:10" x14ac:dyDescent="0.3">
      <c r="A4087" t="s">
        <v>6</v>
      </c>
      <c r="B4087" t="str">
        <f>"12/07/2012 00:00"</f>
        <v>12/07/2012 00:00</v>
      </c>
      <c r="C4087">
        <v>89.4</v>
      </c>
      <c r="D4087" t="s">
        <v>7</v>
      </c>
      <c r="E4087" s="2" t="s">
        <v>12</v>
      </c>
      <c r="F4087">
        <f t="shared" si="63"/>
        <v>177.28020000000001</v>
      </c>
      <c r="G4087" t="s">
        <v>16</v>
      </c>
      <c r="J4087" t="str">
        <f>"12/07/2012 23:45"</f>
        <v>12/07/2012 23:45</v>
      </c>
    </row>
    <row r="4088" spans="1:10" x14ac:dyDescent="0.3">
      <c r="A4088" t="s">
        <v>6</v>
      </c>
      <c r="B4088" t="str">
        <f>"12/08/2012 00:00"</f>
        <v>12/08/2012 00:00</v>
      </c>
      <c r="C4088">
        <v>90.3</v>
      </c>
      <c r="D4088" t="s">
        <v>7</v>
      </c>
      <c r="E4088" s="2" t="s">
        <v>12</v>
      </c>
      <c r="F4088">
        <f t="shared" si="63"/>
        <v>179.06489999999999</v>
      </c>
      <c r="G4088" t="s">
        <v>16</v>
      </c>
      <c r="J4088" t="str">
        <f>"12/08/2012 23:45"</f>
        <v>12/08/2012 23:45</v>
      </c>
    </row>
    <row r="4089" spans="1:10" x14ac:dyDescent="0.3">
      <c r="A4089" t="s">
        <v>6</v>
      </c>
      <c r="B4089" t="str">
        <f>"12/09/2012 00:00"</f>
        <v>12/09/2012 00:00</v>
      </c>
      <c r="C4089">
        <v>90</v>
      </c>
      <c r="D4089" t="s">
        <v>7</v>
      </c>
      <c r="E4089" s="2" t="s">
        <v>12</v>
      </c>
      <c r="F4089">
        <f t="shared" si="63"/>
        <v>178.47</v>
      </c>
      <c r="G4089" t="s">
        <v>16</v>
      </c>
      <c r="J4089" t="str">
        <f>"12/09/2012 23:45"</f>
        <v>12/09/2012 23:45</v>
      </c>
    </row>
    <row r="4090" spans="1:10" x14ac:dyDescent="0.3">
      <c r="A4090" t="s">
        <v>6</v>
      </c>
      <c r="B4090" t="str">
        <f>"12/10/2012 00:00"</f>
        <v>12/10/2012 00:00</v>
      </c>
      <c r="C4090">
        <v>89.3</v>
      </c>
      <c r="D4090" t="s">
        <v>7</v>
      </c>
      <c r="E4090" s="2" t="s">
        <v>12</v>
      </c>
      <c r="F4090">
        <f t="shared" si="63"/>
        <v>177.08189999999999</v>
      </c>
      <c r="G4090" t="s">
        <v>16</v>
      </c>
      <c r="J4090" t="str">
        <f>"12/10/2012 23:45"</f>
        <v>12/10/2012 23:45</v>
      </c>
    </row>
    <row r="4091" spans="1:10" x14ac:dyDescent="0.3">
      <c r="A4091" t="s">
        <v>6</v>
      </c>
      <c r="B4091" t="str">
        <f>"12/11/2012 00:00"</f>
        <v>12/11/2012 00:00</v>
      </c>
      <c r="C4091">
        <v>90.4</v>
      </c>
      <c r="D4091" t="s">
        <v>7</v>
      </c>
      <c r="E4091" s="2" t="s">
        <v>12</v>
      </c>
      <c r="F4091">
        <f t="shared" si="63"/>
        <v>179.26320000000001</v>
      </c>
      <c r="G4091" t="s">
        <v>16</v>
      </c>
      <c r="J4091" t="str">
        <f>"12/11/2012 23:45"</f>
        <v>12/11/2012 23:45</v>
      </c>
    </row>
    <row r="4092" spans="1:10" x14ac:dyDescent="0.3">
      <c r="A4092" t="s">
        <v>6</v>
      </c>
      <c r="B4092" t="str">
        <f>"12/12/2012 00:00"</f>
        <v>12/12/2012 00:00</v>
      </c>
      <c r="C4092">
        <v>91.2</v>
      </c>
      <c r="D4092" t="s">
        <v>7</v>
      </c>
      <c r="E4092" s="2" t="s">
        <v>12</v>
      </c>
      <c r="F4092">
        <f t="shared" si="63"/>
        <v>180.84960000000001</v>
      </c>
      <c r="G4092" t="s">
        <v>16</v>
      </c>
      <c r="J4092" t="str">
        <f>"12/12/2012 23:45"</f>
        <v>12/12/2012 23:45</v>
      </c>
    </row>
    <row r="4093" spans="1:10" x14ac:dyDescent="0.3">
      <c r="A4093" t="s">
        <v>6</v>
      </c>
      <c r="B4093" t="str">
        <f>"12/13/2012 00:00"</f>
        <v>12/13/2012 00:00</v>
      </c>
      <c r="C4093">
        <v>90.9</v>
      </c>
      <c r="D4093" t="s">
        <v>7</v>
      </c>
      <c r="E4093" s="2" t="s">
        <v>12</v>
      </c>
      <c r="F4093">
        <f t="shared" si="63"/>
        <v>180.25470000000001</v>
      </c>
      <c r="G4093" t="s">
        <v>16</v>
      </c>
      <c r="J4093" t="str">
        <f>"12/13/2012 23:45"</f>
        <v>12/13/2012 23:45</v>
      </c>
    </row>
    <row r="4094" spans="1:10" x14ac:dyDescent="0.3">
      <c r="A4094" t="s">
        <v>6</v>
      </c>
      <c r="B4094" t="str">
        <f>"12/14/2012 00:00"</f>
        <v>12/14/2012 00:00</v>
      </c>
      <c r="C4094">
        <v>91</v>
      </c>
      <c r="D4094" t="s">
        <v>7</v>
      </c>
      <c r="E4094" s="2" t="s">
        <v>12</v>
      </c>
      <c r="F4094">
        <f t="shared" si="63"/>
        <v>180.453</v>
      </c>
      <c r="G4094" t="s">
        <v>16</v>
      </c>
      <c r="J4094" t="str">
        <f>"12/14/2012 23:45"</f>
        <v>12/14/2012 23:45</v>
      </c>
    </row>
    <row r="4095" spans="1:10" x14ac:dyDescent="0.3">
      <c r="A4095" t="s">
        <v>6</v>
      </c>
      <c r="B4095" t="str">
        <f>"12/15/2012 00:00"</f>
        <v>12/15/2012 00:00</v>
      </c>
      <c r="C4095">
        <v>92.3</v>
      </c>
      <c r="D4095" t="s">
        <v>7</v>
      </c>
      <c r="E4095" s="2" t="s">
        <v>12</v>
      </c>
      <c r="F4095">
        <f t="shared" si="63"/>
        <v>183.0309</v>
      </c>
      <c r="G4095" t="s">
        <v>16</v>
      </c>
      <c r="J4095" t="str">
        <f>"12/15/2012 23:45"</f>
        <v>12/15/2012 23:45</v>
      </c>
    </row>
    <row r="4096" spans="1:10" x14ac:dyDescent="0.3">
      <c r="A4096" t="s">
        <v>6</v>
      </c>
      <c r="B4096" t="str">
        <f>"12/16/2012 00:00"</f>
        <v>12/16/2012 00:00</v>
      </c>
      <c r="C4096">
        <v>92.3</v>
      </c>
      <c r="D4096" t="s">
        <v>7</v>
      </c>
      <c r="E4096" s="2" t="s">
        <v>12</v>
      </c>
      <c r="F4096">
        <f t="shared" si="63"/>
        <v>183.0309</v>
      </c>
      <c r="G4096" t="s">
        <v>16</v>
      </c>
      <c r="J4096" t="str">
        <f>"12/16/2012 23:45"</f>
        <v>12/16/2012 23:45</v>
      </c>
    </row>
    <row r="4097" spans="1:10" x14ac:dyDescent="0.3">
      <c r="A4097" t="s">
        <v>6</v>
      </c>
      <c r="B4097" t="str">
        <f>"12/17/2012 00:00"</f>
        <v>12/17/2012 00:00</v>
      </c>
      <c r="C4097">
        <v>92.5</v>
      </c>
      <c r="D4097" t="s">
        <v>7</v>
      </c>
      <c r="E4097" s="2" t="s">
        <v>12</v>
      </c>
      <c r="F4097">
        <f t="shared" si="63"/>
        <v>183.42750000000001</v>
      </c>
      <c r="G4097" t="s">
        <v>16</v>
      </c>
      <c r="J4097" t="str">
        <f>"12/17/2012 23:45"</f>
        <v>12/17/2012 23:45</v>
      </c>
    </row>
    <row r="4098" spans="1:10" x14ac:dyDescent="0.3">
      <c r="A4098" t="s">
        <v>6</v>
      </c>
      <c r="B4098" t="str">
        <f>"12/18/2012 00:00"</f>
        <v>12/18/2012 00:00</v>
      </c>
      <c r="C4098">
        <v>92.6</v>
      </c>
      <c r="D4098" t="s">
        <v>7</v>
      </c>
      <c r="E4098" s="2" t="s">
        <v>12</v>
      </c>
      <c r="F4098">
        <f t="shared" si="63"/>
        <v>183.6258</v>
      </c>
      <c r="G4098" t="s">
        <v>16</v>
      </c>
      <c r="J4098" t="str">
        <f>"12/18/2012 23:45"</f>
        <v>12/18/2012 23:45</v>
      </c>
    </row>
    <row r="4099" spans="1:10" x14ac:dyDescent="0.3">
      <c r="A4099" t="s">
        <v>6</v>
      </c>
      <c r="B4099" t="str">
        <f>"12/19/2012 00:00"</f>
        <v>12/19/2012 00:00</v>
      </c>
      <c r="C4099">
        <v>92.6</v>
      </c>
      <c r="D4099" t="s">
        <v>7</v>
      </c>
      <c r="E4099" s="2" t="s">
        <v>12</v>
      </c>
      <c r="F4099">
        <f t="shared" si="63"/>
        <v>183.6258</v>
      </c>
      <c r="G4099" t="s">
        <v>16</v>
      </c>
      <c r="J4099" t="str">
        <f>"12/19/2012 23:45"</f>
        <v>12/19/2012 23:45</v>
      </c>
    </row>
    <row r="4100" spans="1:10" x14ac:dyDescent="0.3">
      <c r="A4100" t="s">
        <v>6</v>
      </c>
      <c r="B4100" t="str">
        <f>"12/20/2012 00:00"</f>
        <v>12/20/2012 00:00</v>
      </c>
      <c r="C4100">
        <v>92.7</v>
      </c>
      <c r="D4100" t="s">
        <v>7</v>
      </c>
      <c r="E4100" s="2" t="s">
        <v>12</v>
      </c>
      <c r="F4100">
        <f t="shared" ref="F4100:F4163" si="64">C4100*1.983</f>
        <v>183.82410000000002</v>
      </c>
      <c r="G4100" t="s">
        <v>16</v>
      </c>
      <c r="J4100" t="str">
        <f>"12/20/2012 23:45"</f>
        <v>12/20/2012 23:45</v>
      </c>
    </row>
    <row r="4101" spans="1:10" x14ac:dyDescent="0.3">
      <c r="A4101" t="s">
        <v>6</v>
      </c>
      <c r="B4101" t="str">
        <f>"12/21/2012 00:00"</f>
        <v>12/21/2012 00:00</v>
      </c>
      <c r="C4101">
        <v>92.4</v>
      </c>
      <c r="D4101" t="s">
        <v>7</v>
      </c>
      <c r="E4101" s="2" t="s">
        <v>12</v>
      </c>
      <c r="F4101">
        <f t="shared" si="64"/>
        <v>183.22920000000002</v>
      </c>
      <c r="G4101" t="s">
        <v>16</v>
      </c>
      <c r="J4101" t="str">
        <f>"12/21/2012 23:45"</f>
        <v>12/21/2012 23:45</v>
      </c>
    </row>
    <row r="4102" spans="1:10" x14ac:dyDescent="0.3">
      <c r="A4102" t="s">
        <v>6</v>
      </c>
      <c r="B4102" t="str">
        <f>"12/22/2012 00:00"</f>
        <v>12/22/2012 00:00</v>
      </c>
      <c r="C4102">
        <v>92.7</v>
      </c>
      <c r="D4102" t="s">
        <v>7</v>
      </c>
      <c r="E4102" s="2" t="s">
        <v>12</v>
      </c>
      <c r="F4102">
        <f t="shared" si="64"/>
        <v>183.82410000000002</v>
      </c>
      <c r="G4102" t="s">
        <v>16</v>
      </c>
      <c r="J4102" t="str">
        <f>"12/22/2012 23:45"</f>
        <v>12/22/2012 23:45</v>
      </c>
    </row>
    <row r="4103" spans="1:10" x14ac:dyDescent="0.3">
      <c r="A4103" t="s">
        <v>6</v>
      </c>
      <c r="B4103" t="str">
        <f>"12/23/2012 00:00"</f>
        <v>12/23/2012 00:00</v>
      </c>
      <c r="C4103">
        <v>92.5</v>
      </c>
      <c r="D4103" t="s">
        <v>7</v>
      </c>
      <c r="E4103" s="2" t="s">
        <v>12</v>
      </c>
      <c r="F4103">
        <f t="shared" si="64"/>
        <v>183.42750000000001</v>
      </c>
      <c r="G4103" t="s">
        <v>16</v>
      </c>
      <c r="J4103" t="str">
        <f>"12/23/2012 23:45"</f>
        <v>12/23/2012 23:45</v>
      </c>
    </row>
    <row r="4104" spans="1:10" x14ac:dyDescent="0.3">
      <c r="A4104" t="s">
        <v>6</v>
      </c>
      <c r="B4104" t="str">
        <f>"12/24/2012 00:00"</f>
        <v>12/24/2012 00:00</v>
      </c>
      <c r="C4104">
        <v>92.8</v>
      </c>
      <c r="D4104" t="s">
        <v>7</v>
      </c>
      <c r="E4104" s="2" t="s">
        <v>12</v>
      </c>
      <c r="F4104">
        <f t="shared" si="64"/>
        <v>184.0224</v>
      </c>
      <c r="G4104" t="s">
        <v>16</v>
      </c>
      <c r="J4104" t="str">
        <f>"12/24/2012 23:45"</f>
        <v>12/24/2012 23:45</v>
      </c>
    </row>
    <row r="4105" spans="1:10" x14ac:dyDescent="0.3">
      <c r="A4105" t="s">
        <v>6</v>
      </c>
      <c r="B4105" t="str">
        <f>"12/25/2012 00:00"</f>
        <v>12/25/2012 00:00</v>
      </c>
      <c r="C4105">
        <v>92.7</v>
      </c>
      <c r="D4105" t="s">
        <v>7</v>
      </c>
      <c r="E4105" s="2" t="s">
        <v>12</v>
      </c>
      <c r="F4105">
        <f t="shared" si="64"/>
        <v>183.82410000000002</v>
      </c>
      <c r="G4105" t="s">
        <v>16</v>
      </c>
      <c r="J4105" t="str">
        <f>"12/25/2012 23:45"</f>
        <v>12/25/2012 23:45</v>
      </c>
    </row>
    <row r="4106" spans="1:10" x14ac:dyDescent="0.3">
      <c r="A4106" t="s">
        <v>6</v>
      </c>
      <c r="B4106" t="str">
        <f>"12/26/2012 00:00"</f>
        <v>12/26/2012 00:00</v>
      </c>
      <c r="C4106">
        <v>92.5</v>
      </c>
      <c r="D4106" t="s">
        <v>7</v>
      </c>
      <c r="E4106" s="2" t="s">
        <v>12</v>
      </c>
      <c r="F4106">
        <f t="shared" si="64"/>
        <v>183.42750000000001</v>
      </c>
      <c r="G4106" t="s">
        <v>16</v>
      </c>
      <c r="J4106" t="str">
        <f>"12/26/2012 23:45"</f>
        <v>12/26/2012 23:45</v>
      </c>
    </row>
    <row r="4107" spans="1:10" x14ac:dyDescent="0.3">
      <c r="A4107" t="s">
        <v>6</v>
      </c>
      <c r="B4107" t="str">
        <f>"12/27/2012 00:00"</f>
        <v>12/27/2012 00:00</v>
      </c>
      <c r="C4107">
        <v>92.3</v>
      </c>
      <c r="D4107" t="s">
        <v>7</v>
      </c>
      <c r="E4107" s="2" t="s">
        <v>12</v>
      </c>
      <c r="F4107">
        <f t="shared" si="64"/>
        <v>183.0309</v>
      </c>
      <c r="G4107" t="s">
        <v>16</v>
      </c>
      <c r="J4107" t="str">
        <f>"12/27/2012 23:45"</f>
        <v>12/27/2012 23:45</v>
      </c>
    </row>
    <row r="4108" spans="1:10" x14ac:dyDescent="0.3">
      <c r="A4108" t="s">
        <v>6</v>
      </c>
      <c r="B4108" t="str">
        <f>"12/28/2012 00:00"</f>
        <v>12/28/2012 00:00</v>
      </c>
      <c r="C4108">
        <v>92.5</v>
      </c>
      <c r="D4108" t="s">
        <v>7</v>
      </c>
      <c r="E4108" s="2" t="s">
        <v>12</v>
      </c>
      <c r="F4108">
        <f t="shared" si="64"/>
        <v>183.42750000000001</v>
      </c>
      <c r="G4108" t="s">
        <v>16</v>
      </c>
      <c r="J4108" t="str">
        <f>"12/28/2012 23:45"</f>
        <v>12/28/2012 23:45</v>
      </c>
    </row>
    <row r="4109" spans="1:10" x14ac:dyDescent="0.3">
      <c r="A4109" t="s">
        <v>6</v>
      </c>
      <c r="B4109" t="str">
        <f>"12/29/2012 00:00"</f>
        <v>12/29/2012 00:00</v>
      </c>
      <c r="C4109">
        <v>92.4</v>
      </c>
      <c r="D4109" t="s">
        <v>7</v>
      </c>
      <c r="E4109" s="2" t="s">
        <v>12</v>
      </c>
      <c r="F4109">
        <f t="shared" si="64"/>
        <v>183.22920000000002</v>
      </c>
      <c r="G4109" t="s">
        <v>16</v>
      </c>
      <c r="J4109" t="str">
        <f>"12/29/2012 23:45"</f>
        <v>12/29/2012 23:45</v>
      </c>
    </row>
    <row r="4110" spans="1:10" x14ac:dyDescent="0.3">
      <c r="A4110" t="s">
        <v>6</v>
      </c>
      <c r="B4110" t="str">
        <f>"12/30/2012 00:00"</f>
        <v>12/30/2012 00:00</v>
      </c>
      <c r="C4110">
        <v>92.6</v>
      </c>
      <c r="D4110" t="s">
        <v>7</v>
      </c>
      <c r="E4110" s="2" t="s">
        <v>12</v>
      </c>
      <c r="F4110">
        <f t="shared" si="64"/>
        <v>183.6258</v>
      </c>
      <c r="G4110" t="s">
        <v>16</v>
      </c>
      <c r="J4110" t="str">
        <f>"12/30/2012 23:45"</f>
        <v>12/30/2012 23:45</v>
      </c>
    </row>
    <row r="4111" spans="1:10" x14ac:dyDescent="0.3">
      <c r="A4111" t="s">
        <v>6</v>
      </c>
      <c r="B4111" t="str">
        <f>"12/31/2012 00:00"</f>
        <v>12/31/2012 00:00</v>
      </c>
      <c r="C4111">
        <v>92.3</v>
      </c>
      <c r="D4111" t="s">
        <v>7</v>
      </c>
      <c r="E4111" s="2" t="s">
        <v>12</v>
      </c>
      <c r="F4111">
        <f t="shared" si="64"/>
        <v>183.0309</v>
      </c>
      <c r="G4111" t="s">
        <v>16</v>
      </c>
      <c r="J4111" t="str">
        <f>"12/31/2012 23:45"</f>
        <v>12/31/2012 23:45</v>
      </c>
    </row>
    <row r="4112" spans="1:10" x14ac:dyDescent="0.3">
      <c r="A4112" t="s">
        <v>6</v>
      </c>
      <c r="B4112" t="str">
        <f>"01/01/2013 00:00"</f>
        <v>01/01/2013 00:00</v>
      </c>
      <c r="C4112">
        <v>92.7</v>
      </c>
      <c r="D4112" t="s">
        <v>7</v>
      </c>
      <c r="E4112" s="2" t="s">
        <v>12</v>
      </c>
      <c r="F4112">
        <f t="shared" si="64"/>
        <v>183.82410000000002</v>
      </c>
      <c r="G4112" t="s">
        <v>16</v>
      </c>
      <c r="J4112" t="str">
        <f>"01/01/2013 23:45"</f>
        <v>01/01/2013 23:45</v>
      </c>
    </row>
    <row r="4113" spans="1:10" x14ac:dyDescent="0.3">
      <c r="A4113" t="s">
        <v>6</v>
      </c>
      <c r="B4113" t="str">
        <f>"01/02/2013 00:00"</f>
        <v>01/02/2013 00:00</v>
      </c>
      <c r="C4113">
        <v>92.5</v>
      </c>
      <c r="D4113" t="s">
        <v>7</v>
      </c>
      <c r="E4113" s="2" t="s">
        <v>12</v>
      </c>
      <c r="F4113">
        <f t="shared" si="64"/>
        <v>183.42750000000001</v>
      </c>
      <c r="G4113" t="s">
        <v>16</v>
      </c>
      <c r="J4113" t="str">
        <f>"01/02/2013 23:45"</f>
        <v>01/02/2013 23:45</v>
      </c>
    </row>
    <row r="4114" spans="1:10" x14ac:dyDescent="0.3">
      <c r="A4114" t="s">
        <v>6</v>
      </c>
      <c r="B4114" t="str">
        <f>"01/03/2013 00:00"</f>
        <v>01/03/2013 00:00</v>
      </c>
      <c r="C4114">
        <v>92.7</v>
      </c>
      <c r="D4114" t="s">
        <v>7</v>
      </c>
      <c r="E4114" s="2" t="s">
        <v>12</v>
      </c>
      <c r="F4114">
        <f t="shared" si="64"/>
        <v>183.82410000000002</v>
      </c>
      <c r="G4114" t="s">
        <v>16</v>
      </c>
      <c r="J4114" t="str">
        <f>"01/03/2013 23:45"</f>
        <v>01/03/2013 23:45</v>
      </c>
    </row>
    <row r="4115" spans="1:10" x14ac:dyDescent="0.3">
      <c r="A4115" t="s">
        <v>6</v>
      </c>
      <c r="B4115" t="str">
        <f>"01/04/2013 00:00"</f>
        <v>01/04/2013 00:00</v>
      </c>
      <c r="C4115">
        <v>92.7</v>
      </c>
      <c r="D4115" t="s">
        <v>7</v>
      </c>
      <c r="E4115" s="2" t="s">
        <v>12</v>
      </c>
      <c r="F4115">
        <f t="shared" si="64"/>
        <v>183.82410000000002</v>
      </c>
      <c r="G4115" t="s">
        <v>16</v>
      </c>
      <c r="J4115" t="str">
        <f>"01/04/2013 23:45"</f>
        <v>01/04/2013 23:45</v>
      </c>
    </row>
    <row r="4116" spans="1:10" x14ac:dyDescent="0.3">
      <c r="A4116" t="s">
        <v>6</v>
      </c>
      <c r="B4116" t="str">
        <f>"01/05/2013 00:00"</f>
        <v>01/05/2013 00:00</v>
      </c>
      <c r="C4116">
        <v>92.6</v>
      </c>
      <c r="D4116" t="s">
        <v>7</v>
      </c>
      <c r="E4116" s="2" t="s">
        <v>12</v>
      </c>
      <c r="F4116">
        <f t="shared" si="64"/>
        <v>183.6258</v>
      </c>
      <c r="G4116" t="s">
        <v>16</v>
      </c>
      <c r="J4116" t="str">
        <f>"01/05/2013 23:45"</f>
        <v>01/05/2013 23:45</v>
      </c>
    </row>
    <row r="4117" spans="1:10" x14ac:dyDescent="0.3">
      <c r="A4117" t="s">
        <v>6</v>
      </c>
      <c r="B4117" t="str">
        <f>"01/06/2013 00:00"</f>
        <v>01/06/2013 00:00</v>
      </c>
      <c r="C4117">
        <v>92.4</v>
      </c>
      <c r="D4117" t="s">
        <v>7</v>
      </c>
      <c r="E4117" s="2" t="s">
        <v>12</v>
      </c>
      <c r="F4117">
        <f t="shared" si="64"/>
        <v>183.22920000000002</v>
      </c>
      <c r="G4117" t="s">
        <v>16</v>
      </c>
      <c r="J4117" t="str">
        <f>"01/06/2013 23:45"</f>
        <v>01/06/2013 23:45</v>
      </c>
    </row>
    <row r="4118" spans="1:10" x14ac:dyDescent="0.3">
      <c r="A4118" t="s">
        <v>6</v>
      </c>
      <c r="B4118" t="str">
        <f>"01/07/2013 00:00"</f>
        <v>01/07/2013 00:00</v>
      </c>
      <c r="C4118">
        <v>91.9</v>
      </c>
      <c r="D4118" t="s">
        <v>7</v>
      </c>
      <c r="E4118" s="2" t="s">
        <v>12</v>
      </c>
      <c r="F4118">
        <f t="shared" si="64"/>
        <v>182.23770000000002</v>
      </c>
      <c r="G4118" t="s">
        <v>16</v>
      </c>
      <c r="J4118" t="str">
        <f>"01/07/2013 23:45"</f>
        <v>01/07/2013 23:45</v>
      </c>
    </row>
    <row r="4119" spans="1:10" x14ac:dyDescent="0.3">
      <c r="A4119" t="s">
        <v>6</v>
      </c>
      <c r="B4119" t="str">
        <f>"01/08/2013 00:00"</f>
        <v>01/08/2013 00:00</v>
      </c>
      <c r="C4119">
        <v>92.4</v>
      </c>
      <c r="D4119" t="s">
        <v>7</v>
      </c>
      <c r="E4119" s="2" t="s">
        <v>12</v>
      </c>
      <c r="F4119">
        <f t="shared" si="64"/>
        <v>183.22920000000002</v>
      </c>
      <c r="G4119" t="s">
        <v>16</v>
      </c>
      <c r="J4119" t="str">
        <f>"01/08/2013 23:45"</f>
        <v>01/08/2013 23:45</v>
      </c>
    </row>
    <row r="4120" spans="1:10" x14ac:dyDescent="0.3">
      <c r="A4120" t="s">
        <v>6</v>
      </c>
      <c r="B4120" t="str">
        <f>"01/09/2013 00:00"</f>
        <v>01/09/2013 00:00</v>
      </c>
      <c r="C4120">
        <v>92.5</v>
      </c>
      <c r="D4120" t="s">
        <v>7</v>
      </c>
      <c r="E4120" s="2" t="s">
        <v>12</v>
      </c>
      <c r="F4120">
        <f t="shared" si="64"/>
        <v>183.42750000000001</v>
      </c>
      <c r="G4120" t="s">
        <v>16</v>
      </c>
      <c r="J4120" t="str">
        <f>"01/09/2013 23:45"</f>
        <v>01/09/2013 23:45</v>
      </c>
    </row>
    <row r="4121" spans="1:10" x14ac:dyDescent="0.3">
      <c r="A4121" t="s">
        <v>6</v>
      </c>
      <c r="B4121" t="str">
        <f>"01/10/2013 00:00"</f>
        <v>01/10/2013 00:00</v>
      </c>
      <c r="C4121">
        <v>92.6</v>
      </c>
      <c r="D4121" t="s">
        <v>7</v>
      </c>
      <c r="E4121" s="2" t="s">
        <v>12</v>
      </c>
      <c r="F4121">
        <f t="shared" si="64"/>
        <v>183.6258</v>
      </c>
      <c r="G4121" t="s">
        <v>16</v>
      </c>
      <c r="J4121" t="str">
        <f>"01/10/2013 23:45"</f>
        <v>01/10/2013 23:45</v>
      </c>
    </row>
    <row r="4122" spans="1:10" x14ac:dyDescent="0.3">
      <c r="A4122" t="s">
        <v>6</v>
      </c>
      <c r="B4122" t="str">
        <f>"01/11/2013 00:00"</f>
        <v>01/11/2013 00:00</v>
      </c>
      <c r="C4122">
        <v>91.6</v>
      </c>
      <c r="D4122" t="s">
        <v>7</v>
      </c>
      <c r="E4122" s="2" t="s">
        <v>12</v>
      </c>
      <c r="F4122">
        <f t="shared" si="64"/>
        <v>181.64279999999999</v>
      </c>
      <c r="G4122" t="s">
        <v>16</v>
      </c>
      <c r="J4122" t="str">
        <f>"01/11/2013 23:45"</f>
        <v>01/11/2013 23:45</v>
      </c>
    </row>
    <row r="4123" spans="1:10" x14ac:dyDescent="0.3">
      <c r="A4123" t="s">
        <v>6</v>
      </c>
      <c r="B4123" t="str">
        <f>"01/12/2013 00:00"</f>
        <v>01/12/2013 00:00</v>
      </c>
      <c r="C4123">
        <v>91.4</v>
      </c>
      <c r="D4123" t="s">
        <v>7</v>
      </c>
      <c r="E4123" s="2" t="s">
        <v>12</v>
      </c>
      <c r="F4123">
        <f t="shared" si="64"/>
        <v>181.24620000000002</v>
      </c>
      <c r="G4123" t="s">
        <v>16</v>
      </c>
      <c r="J4123" t="str">
        <f>"01/12/2013 23:45"</f>
        <v>01/12/2013 23:45</v>
      </c>
    </row>
    <row r="4124" spans="1:10" x14ac:dyDescent="0.3">
      <c r="A4124" t="s">
        <v>6</v>
      </c>
      <c r="B4124" t="str">
        <f>"01/13/2013 00:00"</f>
        <v>01/13/2013 00:00</v>
      </c>
      <c r="C4124">
        <v>91.5</v>
      </c>
      <c r="D4124" t="s">
        <v>7</v>
      </c>
      <c r="E4124" s="2" t="s">
        <v>12</v>
      </c>
      <c r="F4124">
        <f t="shared" si="64"/>
        <v>181.44450000000001</v>
      </c>
      <c r="G4124" t="s">
        <v>16</v>
      </c>
      <c r="J4124" t="str">
        <f>"01/13/2013 23:45"</f>
        <v>01/13/2013 23:45</v>
      </c>
    </row>
    <row r="4125" spans="1:10" x14ac:dyDescent="0.3">
      <c r="A4125" t="s">
        <v>6</v>
      </c>
      <c r="B4125" t="str">
        <f>"01/14/2013 00:00"</f>
        <v>01/14/2013 00:00</v>
      </c>
      <c r="C4125">
        <v>91.7</v>
      </c>
      <c r="D4125" t="s">
        <v>7</v>
      </c>
      <c r="E4125" s="2" t="s">
        <v>12</v>
      </c>
      <c r="F4125">
        <f t="shared" si="64"/>
        <v>181.84110000000001</v>
      </c>
      <c r="G4125" t="s">
        <v>16</v>
      </c>
      <c r="J4125" t="str">
        <f>"01/14/2013 23:45"</f>
        <v>01/14/2013 23:45</v>
      </c>
    </row>
    <row r="4126" spans="1:10" x14ac:dyDescent="0.3">
      <c r="A4126" t="s">
        <v>6</v>
      </c>
      <c r="B4126" t="str">
        <f>"01/15/2013 00:00"</f>
        <v>01/15/2013 00:00</v>
      </c>
      <c r="C4126">
        <v>91.7</v>
      </c>
      <c r="D4126" t="s">
        <v>7</v>
      </c>
      <c r="E4126" s="2" t="s">
        <v>12</v>
      </c>
      <c r="F4126">
        <f t="shared" si="64"/>
        <v>181.84110000000001</v>
      </c>
      <c r="G4126" t="s">
        <v>16</v>
      </c>
      <c r="J4126" t="str">
        <f>"01/15/2013 23:45"</f>
        <v>01/15/2013 23:45</v>
      </c>
    </row>
    <row r="4127" spans="1:10" x14ac:dyDescent="0.3">
      <c r="A4127" t="s">
        <v>6</v>
      </c>
      <c r="B4127" t="str">
        <f>"01/16/2013 00:00"</f>
        <v>01/16/2013 00:00</v>
      </c>
      <c r="C4127">
        <v>91.6</v>
      </c>
      <c r="D4127" t="s">
        <v>7</v>
      </c>
      <c r="E4127" s="2" t="s">
        <v>12</v>
      </c>
      <c r="F4127">
        <f t="shared" si="64"/>
        <v>181.64279999999999</v>
      </c>
      <c r="G4127" t="s">
        <v>16</v>
      </c>
      <c r="J4127" t="str">
        <f>"01/16/2013 23:45"</f>
        <v>01/16/2013 23:45</v>
      </c>
    </row>
    <row r="4128" spans="1:10" x14ac:dyDescent="0.3">
      <c r="A4128" t="s">
        <v>6</v>
      </c>
      <c r="B4128" t="str">
        <f>"01/17/2013 00:00"</f>
        <v>01/17/2013 00:00</v>
      </c>
      <c r="C4128">
        <v>90.9</v>
      </c>
      <c r="D4128" t="s">
        <v>7</v>
      </c>
      <c r="E4128" s="2" t="s">
        <v>12</v>
      </c>
      <c r="F4128">
        <f t="shared" si="64"/>
        <v>180.25470000000001</v>
      </c>
      <c r="G4128" t="s">
        <v>16</v>
      </c>
      <c r="J4128" t="str">
        <f>"01/17/2013 23:45"</f>
        <v>01/17/2013 23:45</v>
      </c>
    </row>
    <row r="4129" spans="1:10" x14ac:dyDescent="0.3">
      <c r="A4129" t="s">
        <v>6</v>
      </c>
      <c r="B4129" t="str">
        <f>"01/18/2013 00:00"</f>
        <v>01/18/2013 00:00</v>
      </c>
      <c r="C4129">
        <v>90.3</v>
      </c>
      <c r="D4129" t="s">
        <v>7</v>
      </c>
      <c r="E4129" s="2" t="s">
        <v>12</v>
      </c>
      <c r="F4129">
        <f t="shared" si="64"/>
        <v>179.06489999999999</v>
      </c>
      <c r="G4129" t="s">
        <v>16</v>
      </c>
      <c r="J4129" t="str">
        <f>"01/18/2013 23:45"</f>
        <v>01/18/2013 23:45</v>
      </c>
    </row>
    <row r="4130" spans="1:10" x14ac:dyDescent="0.3">
      <c r="A4130" t="s">
        <v>6</v>
      </c>
      <c r="B4130" t="str">
        <f>"01/19/2013 00:00"</f>
        <v>01/19/2013 00:00</v>
      </c>
      <c r="C4130">
        <v>90.4</v>
      </c>
      <c r="D4130" t="s">
        <v>7</v>
      </c>
      <c r="E4130" s="2" t="s">
        <v>12</v>
      </c>
      <c r="F4130">
        <f t="shared" si="64"/>
        <v>179.26320000000001</v>
      </c>
      <c r="G4130" t="s">
        <v>16</v>
      </c>
      <c r="J4130" t="str">
        <f>"01/19/2013 23:45"</f>
        <v>01/19/2013 23:45</v>
      </c>
    </row>
    <row r="4131" spans="1:10" x14ac:dyDescent="0.3">
      <c r="A4131" t="s">
        <v>6</v>
      </c>
      <c r="B4131" t="str">
        <f>"01/20/2013 00:00"</f>
        <v>01/20/2013 00:00</v>
      </c>
      <c r="C4131">
        <v>89.8</v>
      </c>
      <c r="D4131" t="s">
        <v>7</v>
      </c>
      <c r="E4131" s="2" t="s">
        <v>12</v>
      </c>
      <c r="F4131">
        <f t="shared" si="64"/>
        <v>178.07339999999999</v>
      </c>
      <c r="G4131" t="s">
        <v>16</v>
      </c>
      <c r="J4131" t="str">
        <f>"01/20/2013 23:45"</f>
        <v>01/20/2013 23:45</v>
      </c>
    </row>
    <row r="4132" spans="1:10" x14ac:dyDescent="0.3">
      <c r="A4132" t="s">
        <v>6</v>
      </c>
      <c r="B4132" t="str">
        <f>"01/21/2013 00:00"</f>
        <v>01/21/2013 00:00</v>
      </c>
      <c r="C4132">
        <v>90.3</v>
      </c>
      <c r="D4132" t="s">
        <v>7</v>
      </c>
      <c r="E4132" s="2" t="s">
        <v>12</v>
      </c>
      <c r="F4132">
        <f t="shared" si="64"/>
        <v>179.06489999999999</v>
      </c>
      <c r="G4132" t="s">
        <v>16</v>
      </c>
      <c r="J4132" t="str">
        <f>"01/21/2013 23:45"</f>
        <v>01/21/2013 23:45</v>
      </c>
    </row>
    <row r="4133" spans="1:10" x14ac:dyDescent="0.3">
      <c r="A4133" t="s">
        <v>6</v>
      </c>
      <c r="B4133" t="str">
        <f>"01/22/2013 00:00"</f>
        <v>01/22/2013 00:00</v>
      </c>
      <c r="C4133">
        <v>90.1</v>
      </c>
      <c r="D4133" t="s">
        <v>7</v>
      </c>
      <c r="E4133" s="2" t="s">
        <v>12</v>
      </c>
      <c r="F4133">
        <f t="shared" si="64"/>
        <v>178.66829999999999</v>
      </c>
      <c r="G4133" t="s">
        <v>16</v>
      </c>
      <c r="J4133" t="str">
        <f>"01/22/2013 23:45"</f>
        <v>01/22/2013 23:45</v>
      </c>
    </row>
    <row r="4134" spans="1:10" x14ac:dyDescent="0.3">
      <c r="A4134" t="s">
        <v>6</v>
      </c>
      <c r="B4134" t="str">
        <f>"01/23/2013 00:00"</f>
        <v>01/23/2013 00:00</v>
      </c>
      <c r="C4134">
        <v>90.2</v>
      </c>
      <c r="D4134" t="s">
        <v>7</v>
      </c>
      <c r="E4134" s="2" t="s">
        <v>12</v>
      </c>
      <c r="F4134">
        <f t="shared" si="64"/>
        <v>178.86660000000001</v>
      </c>
      <c r="G4134" t="s">
        <v>16</v>
      </c>
      <c r="J4134" t="str">
        <f>"01/23/2013 23:45"</f>
        <v>01/23/2013 23:45</v>
      </c>
    </row>
    <row r="4135" spans="1:10" x14ac:dyDescent="0.3">
      <c r="A4135" t="s">
        <v>6</v>
      </c>
      <c r="B4135" t="str">
        <f>"01/24/2013 00:00"</f>
        <v>01/24/2013 00:00</v>
      </c>
      <c r="C4135">
        <v>88.1</v>
      </c>
      <c r="D4135" t="s">
        <v>7</v>
      </c>
      <c r="E4135" s="2" t="s">
        <v>12</v>
      </c>
      <c r="F4135">
        <f t="shared" si="64"/>
        <v>174.70230000000001</v>
      </c>
      <c r="G4135" t="s">
        <v>16</v>
      </c>
      <c r="J4135" t="str">
        <f>"01/24/2013 23:45"</f>
        <v>01/24/2013 23:45</v>
      </c>
    </row>
    <row r="4136" spans="1:10" x14ac:dyDescent="0.3">
      <c r="A4136" t="s">
        <v>6</v>
      </c>
      <c r="B4136" t="str">
        <f>"01/25/2013 00:00"</f>
        <v>01/25/2013 00:00</v>
      </c>
      <c r="C4136">
        <v>92.2</v>
      </c>
      <c r="D4136" t="s">
        <v>7</v>
      </c>
      <c r="E4136" s="2" t="s">
        <v>12</v>
      </c>
      <c r="F4136">
        <f t="shared" si="64"/>
        <v>182.83260000000001</v>
      </c>
      <c r="G4136" t="s">
        <v>16</v>
      </c>
      <c r="J4136" t="str">
        <f>"01/25/2013 23:45"</f>
        <v>01/25/2013 23:45</v>
      </c>
    </row>
    <row r="4137" spans="1:10" x14ac:dyDescent="0.3">
      <c r="A4137" t="s">
        <v>6</v>
      </c>
      <c r="B4137" t="str">
        <f>"01/26/2013 00:00"</f>
        <v>01/26/2013 00:00</v>
      </c>
      <c r="C4137">
        <v>90.7</v>
      </c>
      <c r="D4137" t="s">
        <v>7</v>
      </c>
      <c r="E4137" s="2" t="s">
        <v>12</v>
      </c>
      <c r="F4137">
        <f t="shared" si="64"/>
        <v>179.85810000000001</v>
      </c>
      <c r="G4137" t="s">
        <v>16</v>
      </c>
      <c r="J4137" t="str">
        <f>"01/26/2013 23:45"</f>
        <v>01/26/2013 23:45</v>
      </c>
    </row>
    <row r="4138" spans="1:10" x14ac:dyDescent="0.3">
      <c r="A4138" t="s">
        <v>6</v>
      </c>
      <c r="B4138" t="str">
        <f>"01/27/2013 00:00"</f>
        <v>01/27/2013 00:00</v>
      </c>
      <c r="C4138">
        <v>92.2</v>
      </c>
      <c r="D4138" t="s">
        <v>7</v>
      </c>
      <c r="E4138" s="2" t="s">
        <v>12</v>
      </c>
      <c r="F4138">
        <f t="shared" si="64"/>
        <v>182.83260000000001</v>
      </c>
      <c r="G4138" t="s">
        <v>16</v>
      </c>
      <c r="J4138" t="str">
        <f>"01/27/2013 23:45"</f>
        <v>01/27/2013 23:45</v>
      </c>
    </row>
    <row r="4139" spans="1:10" x14ac:dyDescent="0.3">
      <c r="A4139" t="s">
        <v>6</v>
      </c>
      <c r="B4139" t="str">
        <f>"01/28/2013 00:00"</f>
        <v>01/28/2013 00:00</v>
      </c>
      <c r="C4139">
        <v>91.4</v>
      </c>
      <c r="D4139" t="s">
        <v>7</v>
      </c>
      <c r="E4139" s="2" t="s">
        <v>12</v>
      </c>
      <c r="F4139">
        <f t="shared" si="64"/>
        <v>181.24620000000002</v>
      </c>
      <c r="G4139" t="s">
        <v>16</v>
      </c>
      <c r="J4139" t="str">
        <f>"01/28/2013 23:45"</f>
        <v>01/28/2013 23:45</v>
      </c>
    </row>
    <row r="4140" spans="1:10" x14ac:dyDescent="0.3">
      <c r="A4140" t="s">
        <v>6</v>
      </c>
      <c r="B4140" t="str">
        <f>"01/29/2013 00:00"</f>
        <v>01/29/2013 00:00</v>
      </c>
      <c r="C4140">
        <v>91.6</v>
      </c>
      <c r="D4140" t="s">
        <v>7</v>
      </c>
      <c r="E4140" s="2" t="s">
        <v>12</v>
      </c>
      <c r="F4140">
        <f t="shared" si="64"/>
        <v>181.64279999999999</v>
      </c>
      <c r="G4140" t="s">
        <v>16</v>
      </c>
      <c r="J4140" t="str">
        <f>"01/29/2013 23:45"</f>
        <v>01/29/2013 23:45</v>
      </c>
    </row>
    <row r="4141" spans="1:10" x14ac:dyDescent="0.3">
      <c r="A4141" t="s">
        <v>6</v>
      </c>
      <c r="B4141" t="str">
        <f>"01/30/2013 00:00"</f>
        <v>01/30/2013 00:00</v>
      </c>
      <c r="C4141">
        <v>91</v>
      </c>
      <c r="D4141" t="s">
        <v>7</v>
      </c>
      <c r="E4141" s="2" t="s">
        <v>12</v>
      </c>
      <c r="F4141">
        <f t="shared" si="64"/>
        <v>180.453</v>
      </c>
      <c r="G4141" t="s">
        <v>16</v>
      </c>
      <c r="J4141" t="str">
        <f>"01/30/2013 23:45"</f>
        <v>01/30/2013 23:45</v>
      </c>
    </row>
    <row r="4142" spans="1:10" x14ac:dyDescent="0.3">
      <c r="A4142" t="s">
        <v>6</v>
      </c>
      <c r="B4142" t="str">
        <f>"01/31/2013 00:00"</f>
        <v>01/31/2013 00:00</v>
      </c>
      <c r="C4142">
        <v>91.2</v>
      </c>
      <c r="D4142" t="s">
        <v>7</v>
      </c>
      <c r="E4142" s="2" t="s">
        <v>12</v>
      </c>
      <c r="F4142">
        <f t="shared" si="64"/>
        <v>180.84960000000001</v>
      </c>
      <c r="G4142" t="s">
        <v>16</v>
      </c>
      <c r="J4142" t="str">
        <f>"01/31/2013 23:45"</f>
        <v>01/31/2013 23:45</v>
      </c>
    </row>
    <row r="4143" spans="1:10" x14ac:dyDescent="0.3">
      <c r="A4143" t="s">
        <v>6</v>
      </c>
      <c r="B4143" t="str">
        <f>"02/01/2013 00:00"</f>
        <v>02/01/2013 00:00</v>
      </c>
      <c r="C4143">
        <v>91.2</v>
      </c>
      <c r="D4143" t="s">
        <v>7</v>
      </c>
      <c r="E4143" s="2" t="s">
        <v>12</v>
      </c>
      <c r="F4143">
        <f t="shared" si="64"/>
        <v>180.84960000000001</v>
      </c>
      <c r="G4143" t="s">
        <v>16</v>
      </c>
      <c r="J4143" t="str">
        <f>"02/01/2013 23:45"</f>
        <v>02/01/2013 23:45</v>
      </c>
    </row>
    <row r="4144" spans="1:10" x14ac:dyDescent="0.3">
      <c r="A4144" t="s">
        <v>6</v>
      </c>
      <c r="B4144" t="str">
        <f>"02/02/2013 00:00"</f>
        <v>02/02/2013 00:00</v>
      </c>
      <c r="C4144">
        <v>91.2</v>
      </c>
      <c r="D4144" t="s">
        <v>7</v>
      </c>
      <c r="E4144" s="2" t="s">
        <v>12</v>
      </c>
      <c r="F4144">
        <f t="shared" si="64"/>
        <v>180.84960000000001</v>
      </c>
      <c r="G4144" t="s">
        <v>16</v>
      </c>
      <c r="J4144" t="str">
        <f>"02/02/2013 23:45"</f>
        <v>02/02/2013 23:45</v>
      </c>
    </row>
    <row r="4145" spans="1:10" x14ac:dyDescent="0.3">
      <c r="A4145" t="s">
        <v>6</v>
      </c>
      <c r="B4145" t="str">
        <f>"02/03/2013 00:00"</f>
        <v>02/03/2013 00:00</v>
      </c>
      <c r="C4145">
        <v>91.1</v>
      </c>
      <c r="D4145" t="s">
        <v>7</v>
      </c>
      <c r="E4145" s="2" t="s">
        <v>12</v>
      </c>
      <c r="F4145">
        <f t="shared" si="64"/>
        <v>180.65129999999999</v>
      </c>
      <c r="G4145" t="s">
        <v>16</v>
      </c>
      <c r="J4145" t="str">
        <f>"02/03/2013 23:45"</f>
        <v>02/03/2013 23:45</v>
      </c>
    </row>
    <row r="4146" spans="1:10" x14ac:dyDescent="0.3">
      <c r="A4146" t="s">
        <v>6</v>
      </c>
      <c r="B4146" t="str">
        <f>"02/04/2013 00:00"</f>
        <v>02/04/2013 00:00</v>
      </c>
      <c r="C4146">
        <v>90.5</v>
      </c>
      <c r="D4146" t="s">
        <v>7</v>
      </c>
      <c r="E4146" s="2" t="s">
        <v>12</v>
      </c>
      <c r="F4146">
        <f t="shared" si="64"/>
        <v>179.4615</v>
      </c>
      <c r="G4146" t="s">
        <v>16</v>
      </c>
      <c r="J4146" t="str">
        <f>"02/04/2013 23:45"</f>
        <v>02/04/2013 23:45</v>
      </c>
    </row>
    <row r="4147" spans="1:10" x14ac:dyDescent="0.3">
      <c r="A4147" t="s">
        <v>6</v>
      </c>
      <c r="B4147" t="str">
        <f>"02/05/2013 00:00"</f>
        <v>02/05/2013 00:00</v>
      </c>
      <c r="C4147">
        <v>90.6</v>
      </c>
      <c r="D4147" t="s">
        <v>7</v>
      </c>
      <c r="E4147" s="2" t="s">
        <v>12</v>
      </c>
      <c r="F4147">
        <f t="shared" si="64"/>
        <v>179.65979999999999</v>
      </c>
      <c r="G4147" t="s">
        <v>16</v>
      </c>
      <c r="J4147" t="str">
        <f>"02/05/2013 23:45"</f>
        <v>02/05/2013 23:45</v>
      </c>
    </row>
    <row r="4148" spans="1:10" x14ac:dyDescent="0.3">
      <c r="A4148" t="s">
        <v>6</v>
      </c>
      <c r="B4148" t="str">
        <f>"02/06/2013 00:00"</f>
        <v>02/06/2013 00:00</v>
      </c>
      <c r="C4148">
        <v>85.6</v>
      </c>
      <c r="D4148" t="s">
        <v>7</v>
      </c>
      <c r="E4148" s="2" t="s">
        <v>12</v>
      </c>
      <c r="F4148">
        <f t="shared" si="64"/>
        <v>169.7448</v>
      </c>
      <c r="G4148" t="s">
        <v>16</v>
      </c>
      <c r="J4148" t="str">
        <f>"02/06/2013 23:45"</f>
        <v>02/06/2013 23:45</v>
      </c>
    </row>
    <row r="4149" spans="1:10" x14ac:dyDescent="0.3">
      <c r="A4149" t="s">
        <v>6</v>
      </c>
      <c r="B4149" t="str">
        <f>"02/07/2013 00:00"</f>
        <v>02/07/2013 00:00</v>
      </c>
      <c r="C4149">
        <v>81.5</v>
      </c>
      <c r="D4149" t="s">
        <v>7</v>
      </c>
      <c r="E4149" s="2" t="s">
        <v>12</v>
      </c>
      <c r="F4149">
        <f t="shared" si="64"/>
        <v>161.61450000000002</v>
      </c>
      <c r="G4149" t="s">
        <v>16</v>
      </c>
      <c r="J4149" t="str">
        <f>"02/07/2013 23:45"</f>
        <v>02/07/2013 23:45</v>
      </c>
    </row>
    <row r="4150" spans="1:10" x14ac:dyDescent="0.3">
      <c r="A4150" t="s">
        <v>6</v>
      </c>
      <c r="B4150" t="str">
        <f>"02/08/2013 00:00"</f>
        <v>02/08/2013 00:00</v>
      </c>
      <c r="C4150">
        <v>77.900000000000006</v>
      </c>
      <c r="D4150" t="s">
        <v>7</v>
      </c>
      <c r="E4150" s="2" t="s">
        <v>12</v>
      </c>
      <c r="F4150">
        <f t="shared" si="64"/>
        <v>154.47570000000002</v>
      </c>
      <c r="G4150" t="s">
        <v>16</v>
      </c>
      <c r="J4150" t="str">
        <f>"02/08/2013 23:45"</f>
        <v>02/08/2013 23:45</v>
      </c>
    </row>
    <row r="4151" spans="1:10" x14ac:dyDescent="0.3">
      <c r="A4151" t="s">
        <v>6</v>
      </c>
      <c r="B4151" t="str">
        <f>"02/09/2013 00:00"</f>
        <v>02/09/2013 00:00</v>
      </c>
      <c r="C4151">
        <v>77.599999999999994</v>
      </c>
      <c r="D4151" t="s">
        <v>7</v>
      </c>
      <c r="E4151" s="2" t="s">
        <v>12</v>
      </c>
      <c r="F4151">
        <f t="shared" si="64"/>
        <v>153.88079999999999</v>
      </c>
      <c r="G4151" t="s">
        <v>16</v>
      </c>
      <c r="J4151" t="str">
        <f>"02/09/2013 23:45"</f>
        <v>02/09/2013 23:45</v>
      </c>
    </row>
    <row r="4152" spans="1:10" x14ac:dyDescent="0.3">
      <c r="A4152" t="s">
        <v>6</v>
      </c>
      <c r="B4152" t="str">
        <f>"02/10/2013 00:00"</f>
        <v>02/10/2013 00:00</v>
      </c>
      <c r="C4152">
        <v>77.8</v>
      </c>
      <c r="D4152" t="s">
        <v>7</v>
      </c>
      <c r="E4152" s="2" t="s">
        <v>12</v>
      </c>
      <c r="F4152">
        <f t="shared" si="64"/>
        <v>154.2774</v>
      </c>
      <c r="G4152" t="s">
        <v>16</v>
      </c>
      <c r="J4152" t="str">
        <f>"02/10/2013 23:45"</f>
        <v>02/10/2013 23:45</v>
      </c>
    </row>
    <row r="4153" spans="1:10" x14ac:dyDescent="0.3">
      <c r="A4153" t="s">
        <v>6</v>
      </c>
      <c r="B4153" t="str">
        <f>"02/11/2013 00:00"</f>
        <v>02/11/2013 00:00</v>
      </c>
      <c r="C4153">
        <v>76.599999999999994</v>
      </c>
      <c r="D4153" t="s">
        <v>7</v>
      </c>
      <c r="E4153" s="2" t="s">
        <v>12</v>
      </c>
      <c r="F4153">
        <f t="shared" si="64"/>
        <v>151.89779999999999</v>
      </c>
      <c r="G4153" t="s">
        <v>16</v>
      </c>
      <c r="J4153" t="str">
        <f>"02/11/2013 23:45"</f>
        <v>02/11/2013 23:45</v>
      </c>
    </row>
    <row r="4154" spans="1:10" x14ac:dyDescent="0.3">
      <c r="A4154" t="s">
        <v>6</v>
      </c>
      <c r="B4154" t="str">
        <f>"02/12/2013 00:00"</f>
        <v>02/12/2013 00:00</v>
      </c>
      <c r="C4154">
        <v>72</v>
      </c>
      <c r="D4154" t="s">
        <v>7</v>
      </c>
      <c r="E4154" s="2" t="s">
        <v>12</v>
      </c>
      <c r="F4154">
        <f t="shared" si="64"/>
        <v>142.77600000000001</v>
      </c>
      <c r="G4154" t="s">
        <v>16</v>
      </c>
      <c r="J4154" t="str">
        <f>"02/12/2013 23:45"</f>
        <v>02/12/2013 23:45</v>
      </c>
    </row>
    <row r="4155" spans="1:10" x14ac:dyDescent="0.3">
      <c r="A4155" t="s">
        <v>6</v>
      </c>
      <c r="B4155" t="str">
        <f>"02/13/2013 00:00"</f>
        <v>02/13/2013 00:00</v>
      </c>
      <c r="C4155">
        <v>71.3</v>
      </c>
      <c r="D4155" t="s">
        <v>7</v>
      </c>
      <c r="E4155" s="2" t="s">
        <v>12</v>
      </c>
      <c r="F4155">
        <f t="shared" si="64"/>
        <v>141.3879</v>
      </c>
      <c r="G4155" t="s">
        <v>16</v>
      </c>
      <c r="J4155" t="str">
        <f>"02/13/2013 23:45"</f>
        <v>02/13/2013 23:45</v>
      </c>
    </row>
    <row r="4156" spans="1:10" x14ac:dyDescent="0.3">
      <c r="A4156" t="s">
        <v>6</v>
      </c>
      <c r="B4156" t="str">
        <f>"02/14/2013 00:00"</f>
        <v>02/14/2013 00:00</v>
      </c>
      <c r="C4156">
        <v>73.400000000000006</v>
      </c>
      <c r="D4156" t="s">
        <v>7</v>
      </c>
      <c r="E4156" s="2" t="s">
        <v>12</v>
      </c>
      <c r="F4156">
        <f t="shared" si="64"/>
        <v>145.55220000000003</v>
      </c>
      <c r="G4156" t="s">
        <v>16</v>
      </c>
      <c r="J4156" t="str">
        <f>"02/14/2013 23:45"</f>
        <v>02/14/2013 23:45</v>
      </c>
    </row>
    <row r="4157" spans="1:10" x14ac:dyDescent="0.3">
      <c r="A4157" t="s">
        <v>6</v>
      </c>
      <c r="B4157" t="str">
        <f>"02/15/2013 00:00"</f>
        <v>02/15/2013 00:00</v>
      </c>
      <c r="C4157">
        <v>73.900000000000006</v>
      </c>
      <c r="D4157" t="s">
        <v>7</v>
      </c>
      <c r="E4157" s="2" t="s">
        <v>12</v>
      </c>
      <c r="F4157">
        <f t="shared" si="64"/>
        <v>146.54370000000003</v>
      </c>
      <c r="G4157" t="s">
        <v>16</v>
      </c>
      <c r="J4157" t="str">
        <f>"02/15/2013 23:45"</f>
        <v>02/15/2013 23:45</v>
      </c>
    </row>
    <row r="4158" spans="1:10" x14ac:dyDescent="0.3">
      <c r="A4158" t="s">
        <v>6</v>
      </c>
      <c r="B4158" t="str">
        <f>"02/16/2013 00:00"</f>
        <v>02/16/2013 00:00</v>
      </c>
      <c r="C4158">
        <v>73.400000000000006</v>
      </c>
      <c r="D4158" t="s">
        <v>7</v>
      </c>
      <c r="E4158" s="2" t="s">
        <v>12</v>
      </c>
      <c r="F4158">
        <f t="shared" si="64"/>
        <v>145.55220000000003</v>
      </c>
      <c r="G4158" t="s">
        <v>16</v>
      </c>
      <c r="J4158" t="str">
        <f>"02/16/2013 23:45"</f>
        <v>02/16/2013 23:45</v>
      </c>
    </row>
    <row r="4159" spans="1:10" x14ac:dyDescent="0.3">
      <c r="A4159" t="s">
        <v>6</v>
      </c>
      <c r="B4159" t="str">
        <f>"02/17/2013 00:00"</f>
        <v>02/17/2013 00:00</v>
      </c>
      <c r="C4159">
        <v>73.099999999999994</v>
      </c>
      <c r="D4159" t="s">
        <v>7</v>
      </c>
      <c r="E4159" s="2" t="s">
        <v>12</v>
      </c>
      <c r="F4159">
        <f t="shared" si="64"/>
        <v>144.9573</v>
      </c>
      <c r="G4159" t="s">
        <v>16</v>
      </c>
      <c r="J4159" t="str">
        <f>"02/17/2013 23:45"</f>
        <v>02/17/2013 23:45</v>
      </c>
    </row>
    <row r="4160" spans="1:10" x14ac:dyDescent="0.3">
      <c r="A4160" t="s">
        <v>6</v>
      </c>
      <c r="B4160" t="str">
        <f>"02/18/2013 00:00"</f>
        <v>02/18/2013 00:00</v>
      </c>
      <c r="C4160">
        <v>73.3</v>
      </c>
      <c r="D4160" t="s">
        <v>7</v>
      </c>
      <c r="E4160" s="2" t="s">
        <v>12</v>
      </c>
      <c r="F4160">
        <f t="shared" si="64"/>
        <v>145.35390000000001</v>
      </c>
      <c r="G4160" t="s">
        <v>16</v>
      </c>
      <c r="J4160" t="str">
        <f>"02/18/2013 23:45"</f>
        <v>02/18/2013 23:45</v>
      </c>
    </row>
    <row r="4161" spans="1:10" x14ac:dyDescent="0.3">
      <c r="A4161" t="s">
        <v>6</v>
      </c>
      <c r="B4161" t="str">
        <f>"02/19/2013 00:00"</f>
        <v>02/19/2013 00:00</v>
      </c>
      <c r="C4161">
        <v>73.099999999999994</v>
      </c>
      <c r="D4161" t="s">
        <v>7</v>
      </c>
      <c r="E4161" s="2" t="s">
        <v>12</v>
      </c>
      <c r="F4161">
        <f t="shared" si="64"/>
        <v>144.9573</v>
      </c>
      <c r="G4161" t="s">
        <v>16</v>
      </c>
      <c r="J4161" t="str">
        <f>"02/19/2013 23:45"</f>
        <v>02/19/2013 23:45</v>
      </c>
    </row>
    <row r="4162" spans="1:10" x14ac:dyDescent="0.3">
      <c r="A4162" t="s">
        <v>6</v>
      </c>
      <c r="B4162" t="str">
        <f>"02/20/2013 00:00"</f>
        <v>02/20/2013 00:00</v>
      </c>
      <c r="C4162">
        <v>71.3</v>
      </c>
      <c r="D4162" t="s">
        <v>7</v>
      </c>
      <c r="E4162" s="2" t="s">
        <v>12</v>
      </c>
      <c r="F4162">
        <f t="shared" si="64"/>
        <v>141.3879</v>
      </c>
      <c r="G4162" t="s">
        <v>16</v>
      </c>
      <c r="J4162" t="str">
        <f>"02/20/2013 23:45"</f>
        <v>02/20/2013 23:45</v>
      </c>
    </row>
    <row r="4163" spans="1:10" x14ac:dyDescent="0.3">
      <c r="A4163" t="s">
        <v>6</v>
      </c>
      <c r="B4163" t="str">
        <f>"02/21/2013 00:00"</f>
        <v>02/21/2013 00:00</v>
      </c>
      <c r="C4163">
        <v>68.8</v>
      </c>
      <c r="D4163" t="s">
        <v>7</v>
      </c>
      <c r="E4163" s="2" t="s">
        <v>12</v>
      </c>
      <c r="F4163">
        <f t="shared" si="64"/>
        <v>136.43039999999999</v>
      </c>
      <c r="G4163" t="s">
        <v>16</v>
      </c>
      <c r="J4163" t="str">
        <f>"02/21/2013 23:45"</f>
        <v>02/21/2013 23:45</v>
      </c>
    </row>
    <row r="4164" spans="1:10" x14ac:dyDescent="0.3">
      <c r="A4164" t="s">
        <v>6</v>
      </c>
      <c r="B4164" t="str">
        <f>"02/22/2013 00:00"</f>
        <v>02/22/2013 00:00</v>
      </c>
      <c r="C4164">
        <v>68.900000000000006</v>
      </c>
      <c r="D4164" t="s">
        <v>7</v>
      </c>
      <c r="E4164" s="2" t="s">
        <v>12</v>
      </c>
      <c r="F4164">
        <f t="shared" ref="F4164:F4227" si="65">C4164*1.983</f>
        <v>136.62870000000001</v>
      </c>
      <c r="G4164" t="s">
        <v>16</v>
      </c>
      <c r="J4164" t="str">
        <f>"02/22/2013 23:45"</f>
        <v>02/22/2013 23:45</v>
      </c>
    </row>
    <row r="4165" spans="1:10" x14ac:dyDescent="0.3">
      <c r="A4165" t="s">
        <v>6</v>
      </c>
      <c r="B4165" t="str">
        <f>"02/23/2013 00:00"</f>
        <v>02/23/2013 00:00</v>
      </c>
      <c r="C4165">
        <v>68.5</v>
      </c>
      <c r="D4165" t="s">
        <v>7</v>
      </c>
      <c r="E4165" s="2" t="s">
        <v>12</v>
      </c>
      <c r="F4165">
        <f t="shared" si="65"/>
        <v>135.8355</v>
      </c>
      <c r="G4165" t="s">
        <v>16</v>
      </c>
      <c r="J4165" t="str">
        <f>"02/23/2013 23:45"</f>
        <v>02/23/2013 23:45</v>
      </c>
    </row>
    <row r="4166" spans="1:10" x14ac:dyDescent="0.3">
      <c r="A4166" t="s">
        <v>6</v>
      </c>
      <c r="B4166" t="str">
        <f>"02/24/2013 00:00"</f>
        <v>02/24/2013 00:00</v>
      </c>
      <c r="C4166">
        <v>68.599999999999994</v>
      </c>
      <c r="D4166" t="s">
        <v>7</v>
      </c>
      <c r="E4166" s="2" t="s">
        <v>12</v>
      </c>
      <c r="F4166">
        <f t="shared" si="65"/>
        <v>136.03379999999999</v>
      </c>
      <c r="G4166" t="s">
        <v>16</v>
      </c>
      <c r="J4166" t="str">
        <f>"02/24/2013 23:45"</f>
        <v>02/24/2013 23:45</v>
      </c>
    </row>
    <row r="4167" spans="1:10" x14ac:dyDescent="0.3">
      <c r="A4167" t="s">
        <v>6</v>
      </c>
      <c r="B4167" t="str">
        <f>"02/25/2013 00:00"</f>
        <v>02/25/2013 00:00</v>
      </c>
      <c r="C4167">
        <v>69</v>
      </c>
      <c r="D4167" t="s">
        <v>7</v>
      </c>
      <c r="E4167" s="2" t="s">
        <v>12</v>
      </c>
      <c r="F4167">
        <f t="shared" si="65"/>
        <v>136.827</v>
      </c>
      <c r="G4167" t="s">
        <v>16</v>
      </c>
      <c r="J4167" t="str">
        <f>"02/25/2013 23:45"</f>
        <v>02/25/2013 23:45</v>
      </c>
    </row>
    <row r="4168" spans="1:10" x14ac:dyDescent="0.3">
      <c r="A4168" t="s">
        <v>6</v>
      </c>
      <c r="B4168" t="str">
        <f>"02/26/2013 00:00"</f>
        <v>02/26/2013 00:00</v>
      </c>
      <c r="C4168">
        <v>65.900000000000006</v>
      </c>
      <c r="D4168" t="s">
        <v>7</v>
      </c>
      <c r="E4168" s="2" t="s">
        <v>12</v>
      </c>
      <c r="F4168">
        <f t="shared" si="65"/>
        <v>130.67970000000003</v>
      </c>
      <c r="G4168" t="s">
        <v>16</v>
      </c>
      <c r="J4168" t="str">
        <f>"02/26/2013 23:45"</f>
        <v>02/26/2013 23:45</v>
      </c>
    </row>
    <row r="4169" spans="1:10" x14ac:dyDescent="0.3">
      <c r="A4169" t="s">
        <v>6</v>
      </c>
      <c r="B4169" t="str">
        <f>"02/27/2013 00:00"</f>
        <v>02/27/2013 00:00</v>
      </c>
      <c r="C4169">
        <v>64.400000000000006</v>
      </c>
      <c r="D4169" t="s">
        <v>7</v>
      </c>
      <c r="E4169" s="2" t="s">
        <v>12</v>
      </c>
      <c r="F4169">
        <f t="shared" si="65"/>
        <v>127.70520000000002</v>
      </c>
      <c r="G4169" t="s">
        <v>16</v>
      </c>
      <c r="J4169" t="str">
        <f>"02/27/2013 23:45"</f>
        <v>02/27/2013 23:45</v>
      </c>
    </row>
    <row r="4170" spans="1:10" x14ac:dyDescent="0.3">
      <c r="A4170" t="s">
        <v>6</v>
      </c>
      <c r="B4170" t="str">
        <f>"02/28/2013 00:00"</f>
        <v>02/28/2013 00:00</v>
      </c>
      <c r="C4170">
        <v>63.9</v>
      </c>
      <c r="D4170" t="s">
        <v>7</v>
      </c>
      <c r="E4170" s="2" t="s">
        <v>12</v>
      </c>
      <c r="F4170">
        <f t="shared" si="65"/>
        <v>126.7137</v>
      </c>
      <c r="G4170" t="s">
        <v>16</v>
      </c>
      <c r="J4170" t="str">
        <f>"02/28/2013 23:45"</f>
        <v>02/28/2013 23:45</v>
      </c>
    </row>
    <row r="4171" spans="1:10" x14ac:dyDescent="0.3">
      <c r="A4171" t="s">
        <v>6</v>
      </c>
      <c r="B4171" t="str">
        <f>"03/01/2013 00:00"</f>
        <v>03/01/2013 00:00</v>
      </c>
      <c r="C4171">
        <v>64</v>
      </c>
      <c r="D4171" t="s">
        <v>7</v>
      </c>
      <c r="E4171" s="2" t="s">
        <v>12</v>
      </c>
      <c r="F4171">
        <f t="shared" si="65"/>
        <v>126.91200000000001</v>
      </c>
      <c r="G4171" t="s">
        <v>16</v>
      </c>
      <c r="J4171" t="str">
        <f>"03/01/2013 23:45"</f>
        <v>03/01/2013 23:45</v>
      </c>
    </row>
    <row r="4172" spans="1:10" x14ac:dyDescent="0.3">
      <c r="A4172" t="s">
        <v>6</v>
      </c>
      <c r="B4172" t="str">
        <f>"03/02/2013 00:00"</f>
        <v>03/02/2013 00:00</v>
      </c>
      <c r="C4172">
        <v>63.9</v>
      </c>
      <c r="D4172" t="s">
        <v>7</v>
      </c>
      <c r="E4172" s="2" t="s">
        <v>12</v>
      </c>
      <c r="F4172">
        <f t="shared" si="65"/>
        <v>126.7137</v>
      </c>
      <c r="G4172" t="s">
        <v>16</v>
      </c>
      <c r="J4172" t="str">
        <f>"03/02/2013 23:45"</f>
        <v>03/02/2013 23:45</v>
      </c>
    </row>
    <row r="4173" spans="1:10" x14ac:dyDescent="0.3">
      <c r="A4173" t="s">
        <v>6</v>
      </c>
      <c r="B4173" t="str">
        <f>"03/03/2013 00:00"</f>
        <v>03/03/2013 00:00</v>
      </c>
      <c r="C4173">
        <v>63.9</v>
      </c>
      <c r="D4173" t="s">
        <v>7</v>
      </c>
      <c r="E4173" s="2" t="s">
        <v>12</v>
      </c>
      <c r="F4173">
        <f t="shared" si="65"/>
        <v>126.7137</v>
      </c>
      <c r="G4173" t="s">
        <v>16</v>
      </c>
      <c r="J4173" t="str">
        <f>"03/03/2013 23:45"</f>
        <v>03/03/2013 23:45</v>
      </c>
    </row>
    <row r="4174" spans="1:10" x14ac:dyDescent="0.3">
      <c r="A4174" t="s">
        <v>6</v>
      </c>
      <c r="B4174" t="str">
        <f>"03/04/2013 00:00"</f>
        <v>03/04/2013 00:00</v>
      </c>
      <c r="C4174">
        <v>64.099999999999994</v>
      </c>
      <c r="D4174" t="s">
        <v>7</v>
      </c>
      <c r="E4174" s="2" t="s">
        <v>12</v>
      </c>
      <c r="F4174">
        <f t="shared" si="65"/>
        <v>127.1103</v>
      </c>
      <c r="G4174" t="s">
        <v>16</v>
      </c>
      <c r="J4174" t="str">
        <f>"03/04/2013 23:45"</f>
        <v>03/04/2013 23:45</v>
      </c>
    </row>
    <row r="4175" spans="1:10" x14ac:dyDescent="0.3">
      <c r="A4175" t="s">
        <v>6</v>
      </c>
      <c r="B4175" t="str">
        <f>"03/05/2013 00:00"</f>
        <v>03/05/2013 00:00</v>
      </c>
      <c r="C4175">
        <v>64.2</v>
      </c>
      <c r="D4175" t="s">
        <v>7</v>
      </c>
      <c r="E4175" s="2" t="s">
        <v>12</v>
      </c>
      <c r="F4175">
        <f t="shared" si="65"/>
        <v>127.30860000000001</v>
      </c>
      <c r="G4175" t="s">
        <v>16</v>
      </c>
      <c r="J4175" t="str">
        <f>"03/05/2013 23:45"</f>
        <v>03/05/2013 23:45</v>
      </c>
    </row>
    <row r="4176" spans="1:10" x14ac:dyDescent="0.3">
      <c r="A4176" t="s">
        <v>6</v>
      </c>
      <c r="B4176" t="str">
        <f>"03/06/2013 00:00"</f>
        <v>03/06/2013 00:00</v>
      </c>
      <c r="C4176">
        <v>64</v>
      </c>
      <c r="D4176" t="s">
        <v>7</v>
      </c>
      <c r="E4176" s="2" t="s">
        <v>12</v>
      </c>
      <c r="F4176">
        <f t="shared" si="65"/>
        <v>126.91200000000001</v>
      </c>
      <c r="G4176" t="s">
        <v>16</v>
      </c>
      <c r="J4176" t="str">
        <f>"03/06/2013 23:45"</f>
        <v>03/06/2013 23:45</v>
      </c>
    </row>
    <row r="4177" spans="1:10" x14ac:dyDescent="0.3">
      <c r="A4177" t="s">
        <v>6</v>
      </c>
      <c r="B4177" t="str">
        <f>"03/07/2013 00:00"</f>
        <v>03/07/2013 00:00</v>
      </c>
      <c r="C4177">
        <v>64.099999999999994</v>
      </c>
      <c r="D4177" t="s">
        <v>7</v>
      </c>
      <c r="E4177" s="2" t="s">
        <v>12</v>
      </c>
      <c r="F4177">
        <f t="shared" si="65"/>
        <v>127.1103</v>
      </c>
      <c r="G4177" t="s">
        <v>16</v>
      </c>
      <c r="J4177" t="str">
        <f>"03/07/2013 23:45"</f>
        <v>03/07/2013 23:45</v>
      </c>
    </row>
    <row r="4178" spans="1:10" x14ac:dyDescent="0.3">
      <c r="A4178" t="s">
        <v>6</v>
      </c>
      <c r="B4178" t="str">
        <f>"03/08/2013 00:00"</f>
        <v>03/08/2013 00:00</v>
      </c>
      <c r="C4178">
        <v>64.099999999999994</v>
      </c>
      <c r="D4178" t="s">
        <v>7</v>
      </c>
      <c r="E4178" s="2" t="s">
        <v>12</v>
      </c>
      <c r="F4178">
        <f t="shared" si="65"/>
        <v>127.1103</v>
      </c>
      <c r="G4178" t="s">
        <v>16</v>
      </c>
      <c r="J4178" t="str">
        <f>"03/08/2013 23:45"</f>
        <v>03/08/2013 23:45</v>
      </c>
    </row>
    <row r="4179" spans="1:10" x14ac:dyDescent="0.3">
      <c r="A4179" t="s">
        <v>6</v>
      </c>
      <c r="B4179" t="str">
        <f>"03/09/2013 00:00"</f>
        <v>03/09/2013 00:00</v>
      </c>
      <c r="C4179">
        <v>62.8</v>
      </c>
      <c r="D4179" t="s">
        <v>7</v>
      </c>
      <c r="E4179" s="2" t="s">
        <v>12</v>
      </c>
      <c r="F4179">
        <f t="shared" si="65"/>
        <v>124.5324</v>
      </c>
      <c r="G4179" t="s">
        <v>16</v>
      </c>
      <c r="J4179" t="str">
        <f>"03/09/2013 23:45"</f>
        <v>03/09/2013 23:45</v>
      </c>
    </row>
    <row r="4180" spans="1:10" x14ac:dyDescent="0.3">
      <c r="A4180" t="s">
        <v>6</v>
      </c>
      <c r="B4180" t="str">
        <f>"03/10/2013 00:00"</f>
        <v>03/10/2013 00:00</v>
      </c>
      <c r="C4180">
        <v>60.9</v>
      </c>
      <c r="D4180" t="s">
        <v>7</v>
      </c>
      <c r="E4180" s="2" t="s">
        <v>12</v>
      </c>
      <c r="F4180">
        <f t="shared" si="65"/>
        <v>120.7647</v>
      </c>
      <c r="G4180" t="s">
        <v>16</v>
      </c>
      <c r="J4180" t="str">
        <f>"03/10/2013 23:45"</f>
        <v>03/10/2013 23:45</v>
      </c>
    </row>
    <row r="4181" spans="1:10" x14ac:dyDescent="0.3">
      <c r="A4181" t="s">
        <v>6</v>
      </c>
      <c r="B4181" t="str">
        <f>"03/11/2013 00:00"</f>
        <v>03/11/2013 00:00</v>
      </c>
      <c r="C4181">
        <v>60.7</v>
      </c>
      <c r="D4181" t="s">
        <v>7</v>
      </c>
      <c r="E4181" s="2" t="s">
        <v>12</v>
      </c>
      <c r="F4181">
        <f t="shared" si="65"/>
        <v>120.36810000000001</v>
      </c>
      <c r="G4181" t="s">
        <v>16</v>
      </c>
      <c r="J4181" t="str">
        <f>"03/11/2013 23:45"</f>
        <v>03/11/2013 23:45</v>
      </c>
    </row>
    <row r="4182" spans="1:10" x14ac:dyDescent="0.3">
      <c r="A4182" t="s">
        <v>6</v>
      </c>
      <c r="B4182" t="str">
        <f>"03/12/2013 00:00"</f>
        <v>03/12/2013 00:00</v>
      </c>
      <c r="C4182">
        <v>60.5</v>
      </c>
      <c r="D4182" t="s">
        <v>7</v>
      </c>
      <c r="E4182" s="2" t="s">
        <v>12</v>
      </c>
      <c r="F4182">
        <f t="shared" si="65"/>
        <v>119.97150000000001</v>
      </c>
      <c r="G4182" t="s">
        <v>16</v>
      </c>
      <c r="J4182" t="str">
        <f>"03/12/2013 23:45"</f>
        <v>03/12/2013 23:45</v>
      </c>
    </row>
    <row r="4183" spans="1:10" x14ac:dyDescent="0.3">
      <c r="A4183" t="s">
        <v>6</v>
      </c>
      <c r="B4183" t="str">
        <f>"03/13/2013 00:00"</f>
        <v>03/13/2013 00:00</v>
      </c>
      <c r="C4183">
        <v>60.7</v>
      </c>
      <c r="D4183" t="s">
        <v>7</v>
      </c>
      <c r="E4183" s="2" t="s">
        <v>12</v>
      </c>
      <c r="F4183">
        <f t="shared" si="65"/>
        <v>120.36810000000001</v>
      </c>
      <c r="G4183" t="s">
        <v>16</v>
      </c>
      <c r="J4183" t="str">
        <f>"03/13/2013 23:45"</f>
        <v>03/13/2013 23:45</v>
      </c>
    </row>
    <row r="4184" spans="1:10" x14ac:dyDescent="0.3">
      <c r="A4184" t="s">
        <v>6</v>
      </c>
      <c r="B4184" t="str">
        <f>"03/14/2013 00:00"</f>
        <v>03/14/2013 00:00</v>
      </c>
      <c r="C4184">
        <v>60.9</v>
      </c>
      <c r="D4184" t="s">
        <v>7</v>
      </c>
      <c r="E4184" s="2" t="s">
        <v>12</v>
      </c>
      <c r="F4184">
        <f t="shared" si="65"/>
        <v>120.7647</v>
      </c>
      <c r="G4184" t="s">
        <v>16</v>
      </c>
      <c r="J4184" t="str">
        <f>"03/14/2013 23:45"</f>
        <v>03/14/2013 23:45</v>
      </c>
    </row>
    <row r="4185" spans="1:10" x14ac:dyDescent="0.3">
      <c r="A4185" t="s">
        <v>6</v>
      </c>
      <c r="B4185" t="str">
        <f>"03/15/2013 00:00"</f>
        <v>03/15/2013 00:00</v>
      </c>
      <c r="C4185">
        <v>60.7</v>
      </c>
      <c r="D4185" t="s">
        <v>7</v>
      </c>
      <c r="E4185" s="2" t="s">
        <v>12</v>
      </c>
      <c r="F4185">
        <f t="shared" si="65"/>
        <v>120.36810000000001</v>
      </c>
      <c r="G4185" t="s">
        <v>16</v>
      </c>
      <c r="J4185" t="str">
        <f>"03/15/2013 23:45"</f>
        <v>03/15/2013 23:45</v>
      </c>
    </row>
    <row r="4186" spans="1:10" x14ac:dyDescent="0.3">
      <c r="A4186" t="s">
        <v>6</v>
      </c>
      <c r="B4186" t="str">
        <f>"03/16/2013 00:00"</f>
        <v>03/16/2013 00:00</v>
      </c>
      <c r="C4186">
        <v>60.7</v>
      </c>
      <c r="D4186" t="s">
        <v>7</v>
      </c>
      <c r="E4186" s="2" t="s">
        <v>12</v>
      </c>
      <c r="F4186">
        <f t="shared" si="65"/>
        <v>120.36810000000001</v>
      </c>
      <c r="G4186" t="s">
        <v>16</v>
      </c>
      <c r="J4186" t="str">
        <f>"03/16/2013 23:45"</f>
        <v>03/16/2013 23:45</v>
      </c>
    </row>
    <row r="4187" spans="1:10" x14ac:dyDescent="0.3">
      <c r="A4187" t="s">
        <v>6</v>
      </c>
      <c r="B4187" t="str">
        <f>"03/17/2013 00:00"</f>
        <v>03/17/2013 00:00</v>
      </c>
      <c r="C4187">
        <v>60.7</v>
      </c>
      <c r="D4187" t="s">
        <v>7</v>
      </c>
      <c r="E4187" s="2" t="s">
        <v>12</v>
      </c>
      <c r="F4187">
        <f t="shared" si="65"/>
        <v>120.36810000000001</v>
      </c>
      <c r="G4187" t="s">
        <v>16</v>
      </c>
      <c r="J4187" t="str">
        <f>"03/17/2013 23:45"</f>
        <v>03/17/2013 23:45</v>
      </c>
    </row>
    <row r="4188" spans="1:10" x14ac:dyDescent="0.3">
      <c r="A4188" t="s">
        <v>6</v>
      </c>
      <c r="B4188" t="str">
        <f>"03/18/2013 00:00"</f>
        <v>03/18/2013 00:00</v>
      </c>
      <c r="C4188">
        <v>60.8</v>
      </c>
      <c r="D4188" t="s">
        <v>7</v>
      </c>
      <c r="E4188" s="2" t="s">
        <v>12</v>
      </c>
      <c r="F4188">
        <f t="shared" si="65"/>
        <v>120.5664</v>
      </c>
      <c r="G4188" t="s">
        <v>16</v>
      </c>
      <c r="J4188" t="str">
        <f>"03/18/2013 23:45"</f>
        <v>03/18/2013 23:45</v>
      </c>
    </row>
    <row r="4189" spans="1:10" x14ac:dyDescent="0.3">
      <c r="A4189" t="s">
        <v>6</v>
      </c>
      <c r="B4189" t="str">
        <f>"03/19/2013 00:00"</f>
        <v>03/19/2013 00:00</v>
      </c>
      <c r="C4189">
        <v>60.7</v>
      </c>
      <c r="D4189" t="s">
        <v>7</v>
      </c>
      <c r="E4189" s="2" t="s">
        <v>12</v>
      </c>
      <c r="F4189">
        <f t="shared" si="65"/>
        <v>120.36810000000001</v>
      </c>
      <c r="G4189" t="s">
        <v>16</v>
      </c>
      <c r="J4189" t="str">
        <f>"03/19/2013 23:45"</f>
        <v>03/19/2013 23:45</v>
      </c>
    </row>
    <row r="4190" spans="1:10" x14ac:dyDescent="0.3">
      <c r="A4190" t="s">
        <v>6</v>
      </c>
      <c r="B4190" t="str">
        <f>"03/20/2013 00:00"</f>
        <v>03/20/2013 00:00</v>
      </c>
      <c r="C4190">
        <v>55.9</v>
      </c>
      <c r="D4190" t="s">
        <v>7</v>
      </c>
      <c r="E4190" s="2" t="s">
        <v>12</v>
      </c>
      <c r="F4190">
        <f t="shared" si="65"/>
        <v>110.8497</v>
      </c>
      <c r="G4190" t="s">
        <v>16</v>
      </c>
      <c r="J4190" t="str">
        <f>"03/20/2013 23:45"</f>
        <v>03/20/2013 23:45</v>
      </c>
    </row>
    <row r="4191" spans="1:10" x14ac:dyDescent="0.3">
      <c r="A4191" t="s">
        <v>6</v>
      </c>
      <c r="B4191" t="str">
        <f>"03/21/2013 00:00"</f>
        <v>03/21/2013 00:00</v>
      </c>
      <c r="C4191">
        <v>48.8</v>
      </c>
      <c r="D4191" t="s">
        <v>7</v>
      </c>
      <c r="E4191" s="2" t="s">
        <v>12</v>
      </c>
      <c r="F4191">
        <f t="shared" si="65"/>
        <v>96.770399999999995</v>
      </c>
      <c r="G4191" t="s">
        <v>16</v>
      </c>
      <c r="J4191" t="str">
        <f>"03/21/2013 23:45"</f>
        <v>03/21/2013 23:45</v>
      </c>
    </row>
    <row r="4192" spans="1:10" x14ac:dyDescent="0.3">
      <c r="A4192" t="s">
        <v>6</v>
      </c>
      <c r="B4192" t="str">
        <f>"03/22/2013 00:00"</f>
        <v>03/22/2013 00:00</v>
      </c>
      <c r="C4192">
        <v>46.4</v>
      </c>
      <c r="D4192" t="s">
        <v>7</v>
      </c>
      <c r="E4192" s="2" t="s">
        <v>12</v>
      </c>
      <c r="F4192">
        <f t="shared" si="65"/>
        <v>92.011200000000002</v>
      </c>
      <c r="G4192" t="s">
        <v>16</v>
      </c>
      <c r="J4192" t="str">
        <f>"03/22/2013 23:45"</f>
        <v>03/22/2013 23:45</v>
      </c>
    </row>
    <row r="4193" spans="1:10" x14ac:dyDescent="0.3">
      <c r="A4193" t="s">
        <v>6</v>
      </c>
      <c r="B4193" t="str">
        <f>"03/23/2013 00:00"</f>
        <v>03/23/2013 00:00</v>
      </c>
      <c r="C4193">
        <v>47.1</v>
      </c>
      <c r="D4193" t="s">
        <v>7</v>
      </c>
      <c r="E4193" s="2" t="s">
        <v>12</v>
      </c>
      <c r="F4193">
        <f t="shared" si="65"/>
        <v>93.399300000000011</v>
      </c>
      <c r="G4193" t="s">
        <v>16</v>
      </c>
      <c r="J4193" t="str">
        <f>"03/23/2013 23:45"</f>
        <v>03/23/2013 23:45</v>
      </c>
    </row>
    <row r="4194" spans="1:10" x14ac:dyDescent="0.3">
      <c r="A4194" t="s">
        <v>6</v>
      </c>
      <c r="B4194" t="str">
        <f>"03/24/2013 00:00"</f>
        <v>03/24/2013 00:00</v>
      </c>
      <c r="C4194">
        <v>47.1</v>
      </c>
      <c r="D4194" t="s">
        <v>7</v>
      </c>
      <c r="E4194" s="2" t="s">
        <v>12</v>
      </c>
      <c r="F4194">
        <f t="shared" si="65"/>
        <v>93.399300000000011</v>
      </c>
      <c r="G4194" t="s">
        <v>16</v>
      </c>
      <c r="J4194" t="str">
        <f>"03/24/2013 23:45"</f>
        <v>03/24/2013 23:45</v>
      </c>
    </row>
    <row r="4195" spans="1:10" x14ac:dyDescent="0.3">
      <c r="A4195" t="s">
        <v>6</v>
      </c>
      <c r="B4195" t="str">
        <f>"03/25/2013 00:00"</f>
        <v>03/25/2013 00:00</v>
      </c>
      <c r="C4195">
        <v>47.1</v>
      </c>
      <c r="D4195" t="s">
        <v>7</v>
      </c>
      <c r="E4195" s="2" t="s">
        <v>12</v>
      </c>
      <c r="F4195">
        <f t="shared" si="65"/>
        <v>93.399300000000011</v>
      </c>
      <c r="G4195" t="s">
        <v>16</v>
      </c>
      <c r="J4195" t="str">
        <f>"03/25/2013 23:45"</f>
        <v>03/25/2013 23:45</v>
      </c>
    </row>
    <row r="4196" spans="1:10" x14ac:dyDescent="0.3">
      <c r="A4196" t="s">
        <v>6</v>
      </c>
      <c r="B4196" t="str">
        <f>"03/26/2013 00:00"</f>
        <v>03/26/2013 00:00</v>
      </c>
      <c r="C4196">
        <v>52</v>
      </c>
      <c r="D4196" t="s">
        <v>7</v>
      </c>
      <c r="E4196" s="2" t="s">
        <v>12</v>
      </c>
      <c r="F4196">
        <f t="shared" si="65"/>
        <v>103.116</v>
      </c>
      <c r="G4196" t="s">
        <v>16</v>
      </c>
      <c r="J4196" t="str">
        <f>"03/26/2013 23:45"</f>
        <v>03/26/2013 23:45</v>
      </c>
    </row>
    <row r="4197" spans="1:10" x14ac:dyDescent="0.3">
      <c r="A4197" t="s">
        <v>6</v>
      </c>
      <c r="B4197" t="str">
        <f>"03/27/2013 00:00"</f>
        <v>03/27/2013 00:00</v>
      </c>
      <c r="C4197">
        <v>55.5</v>
      </c>
      <c r="D4197" t="s">
        <v>7</v>
      </c>
      <c r="E4197" s="2" t="s">
        <v>12</v>
      </c>
      <c r="F4197">
        <f t="shared" si="65"/>
        <v>110.0565</v>
      </c>
      <c r="G4197" t="s">
        <v>16</v>
      </c>
      <c r="J4197" t="str">
        <f>"03/27/2013 23:45"</f>
        <v>03/27/2013 23:45</v>
      </c>
    </row>
    <row r="4198" spans="1:10" x14ac:dyDescent="0.3">
      <c r="A4198" t="s">
        <v>6</v>
      </c>
      <c r="B4198" t="str">
        <f>"03/28/2013 00:00"</f>
        <v>03/28/2013 00:00</v>
      </c>
      <c r="C4198">
        <v>65.099999999999994</v>
      </c>
      <c r="D4198" t="s">
        <v>7</v>
      </c>
      <c r="E4198" s="2" t="s">
        <v>12</v>
      </c>
      <c r="F4198">
        <f t="shared" si="65"/>
        <v>129.0933</v>
      </c>
      <c r="G4198" t="s">
        <v>16</v>
      </c>
      <c r="J4198" t="str">
        <f>"03/28/2013 23:45"</f>
        <v>03/28/2013 23:45</v>
      </c>
    </row>
    <row r="4199" spans="1:10" x14ac:dyDescent="0.3">
      <c r="A4199" t="s">
        <v>6</v>
      </c>
      <c r="B4199" t="str">
        <f>"03/29/2013 00:00"</f>
        <v>03/29/2013 00:00</v>
      </c>
      <c r="C4199">
        <v>86.3</v>
      </c>
      <c r="D4199" t="s">
        <v>7</v>
      </c>
      <c r="E4199" s="2" t="s">
        <v>12</v>
      </c>
      <c r="F4199">
        <f t="shared" si="65"/>
        <v>171.13290000000001</v>
      </c>
      <c r="G4199" t="s">
        <v>16</v>
      </c>
      <c r="J4199" t="str">
        <f>"03/29/2013 23:45"</f>
        <v>03/29/2013 23:45</v>
      </c>
    </row>
    <row r="4200" spans="1:10" x14ac:dyDescent="0.3">
      <c r="A4200" t="s">
        <v>6</v>
      </c>
      <c r="B4200" t="str">
        <f>"03/30/2013 00:00"</f>
        <v>03/30/2013 00:00</v>
      </c>
      <c r="C4200">
        <v>100</v>
      </c>
      <c r="D4200" t="s">
        <v>7</v>
      </c>
      <c r="E4200" s="2" t="s">
        <v>12</v>
      </c>
      <c r="F4200">
        <f t="shared" si="65"/>
        <v>198.3</v>
      </c>
      <c r="G4200" t="s">
        <v>16</v>
      </c>
      <c r="J4200" t="str">
        <f>"03/30/2013 23:45"</f>
        <v>03/30/2013 23:45</v>
      </c>
    </row>
    <row r="4201" spans="1:10" x14ac:dyDescent="0.3">
      <c r="A4201" t="s">
        <v>6</v>
      </c>
      <c r="B4201" t="str">
        <f>"03/31/2013 00:00"</f>
        <v>03/31/2013 00:00</v>
      </c>
      <c r="C4201">
        <v>99.2</v>
      </c>
      <c r="D4201" t="s">
        <v>7</v>
      </c>
      <c r="E4201" s="2" t="s">
        <v>12</v>
      </c>
      <c r="F4201">
        <f t="shared" si="65"/>
        <v>196.71360000000001</v>
      </c>
      <c r="G4201" t="s">
        <v>16</v>
      </c>
      <c r="J4201" t="str">
        <f>"03/31/2013 23:45"</f>
        <v>03/31/2013 23:45</v>
      </c>
    </row>
    <row r="4202" spans="1:10" x14ac:dyDescent="0.3">
      <c r="A4202" t="s">
        <v>6</v>
      </c>
      <c r="B4202" t="str">
        <f>"04/01/2013 00:00"</f>
        <v>04/01/2013 00:00</v>
      </c>
      <c r="C4202">
        <v>98.7</v>
      </c>
      <c r="D4202" t="s">
        <v>7</v>
      </c>
      <c r="E4202" s="2" t="s">
        <v>12</v>
      </c>
      <c r="F4202">
        <f t="shared" si="65"/>
        <v>195.72210000000001</v>
      </c>
      <c r="G4202" t="s">
        <v>16</v>
      </c>
      <c r="J4202" t="str">
        <f>"04/01/2013 23:45"</f>
        <v>04/01/2013 23:45</v>
      </c>
    </row>
    <row r="4203" spans="1:10" x14ac:dyDescent="0.3">
      <c r="A4203" t="s">
        <v>6</v>
      </c>
      <c r="B4203" t="str">
        <f>"04/02/2013 00:00"</f>
        <v>04/02/2013 00:00</v>
      </c>
      <c r="C4203">
        <v>98.2</v>
      </c>
      <c r="D4203" t="s">
        <v>7</v>
      </c>
      <c r="E4203" s="2" t="s">
        <v>12</v>
      </c>
      <c r="F4203">
        <f t="shared" si="65"/>
        <v>194.73060000000001</v>
      </c>
      <c r="G4203" t="s">
        <v>16</v>
      </c>
      <c r="J4203" t="str">
        <f>"04/02/2013 23:45"</f>
        <v>04/02/2013 23:45</v>
      </c>
    </row>
    <row r="4204" spans="1:10" x14ac:dyDescent="0.3">
      <c r="A4204" t="s">
        <v>6</v>
      </c>
      <c r="B4204" t="str">
        <f>"04/03/2013 00:00"</f>
        <v>04/03/2013 00:00</v>
      </c>
      <c r="C4204">
        <v>98.6</v>
      </c>
      <c r="D4204" t="s">
        <v>7</v>
      </c>
      <c r="E4204" s="2" t="s">
        <v>12</v>
      </c>
      <c r="F4204">
        <f t="shared" si="65"/>
        <v>195.52379999999999</v>
      </c>
      <c r="G4204" t="s">
        <v>16</v>
      </c>
      <c r="J4204" t="str">
        <f>"04/03/2013 23:45"</f>
        <v>04/03/2013 23:45</v>
      </c>
    </row>
    <row r="4205" spans="1:10" x14ac:dyDescent="0.3">
      <c r="A4205" t="s">
        <v>6</v>
      </c>
      <c r="B4205" t="str">
        <f>"04/04/2013 00:00"</f>
        <v>04/04/2013 00:00</v>
      </c>
      <c r="C4205">
        <v>99.8</v>
      </c>
      <c r="D4205" t="s">
        <v>7</v>
      </c>
      <c r="E4205" s="2" t="s">
        <v>12</v>
      </c>
      <c r="F4205">
        <f t="shared" si="65"/>
        <v>197.9034</v>
      </c>
      <c r="G4205" t="s">
        <v>16</v>
      </c>
      <c r="J4205" t="str">
        <f>"04/04/2013 23:45"</f>
        <v>04/04/2013 23:45</v>
      </c>
    </row>
    <row r="4206" spans="1:10" x14ac:dyDescent="0.3">
      <c r="A4206" t="s">
        <v>6</v>
      </c>
      <c r="B4206" t="str">
        <f>"04/05/2013 00:00"</f>
        <v>04/05/2013 00:00</v>
      </c>
      <c r="C4206">
        <v>101</v>
      </c>
      <c r="D4206" t="s">
        <v>7</v>
      </c>
      <c r="E4206" s="2" t="s">
        <v>12</v>
      </c>
      <c r="F4206">
        <f t="shared" si="65"/>
        <v>200.28300000000002</v>
      </c>
      <c r="G4206" t="s">
        <v>16</v>
      </c>
      <c r="J4206" t="str">
        <f>"04/05/2013 23:45"</f>
        <v>04/05/2013 23:45</v>
      </c>
    </row>
    <row r="4207" spans="1:10" x14ac:dyDescent="0.3">
      <c r="A4207" t="s">
        <v>6</v>
      </c>
      <c r="B4207" t="str">
        <f>"04/06/2013 00:00"</f>
        <v>04/06/2013 00:00</v>
      </c>
      <c r="C4207">
        <v>101</v>
      </c>
      <c r="D4207" t="s">
        <v>7</v>
      </c>
      <c r="E4207" s="2" t="s">
        <v>12</v>
      </c>
      <c r="F4207">
        <f t="shared" si="65"/>
        <v>200.28300000000002</v>
      </c>
      <c r="G4207" t="s">
        <v>16</v>
      </c>
      <c r="J4207" t="str">
        <f>"04/06/2013 23:45"</f>
        <v>04/06/2013 23:45</v>
      </c>
    </row>
    <row r="4208" spans="1:10" x14ac:dyDescent="0.3">
      <c r="A4208" t="s">
        <v>6</v>
      </c>
      <c r="B4208" t="str">
        <f>"04/07/2013 00:00"</f>
        <v>04/07/2013 00:00</v>
      </c>
      <c r="C4208">
        <v>101</v>
      </c>
      <c r="D4208" t="s">
        <v>7</v>
      </c>
      <c r="E4208" s="2" t="s">
        <v>12</v>
      </c>
      <c r="F4208">
        <f t="shared" si="65"/>
        <v>200.28300000000002</v>
      </c>
      <c r="G4208" t="s">
        <v>16</v>
      </c>
      <c r="J4208" t="str">
        <f>"04/07/2013 23:45"</f>
        <v>04/07/2013 23:45</v>
      </c>
    </row>
    <row r="4209" spans="1:10" x14ac:dyDescent="0.3">
      <c r="A4209" t="s">
        <v>6</v>
      </c>
      <c r="B4209" t="str">
        <f>"04/08/2013 00:00"</f>
        <v>04/08/2013 00:00</v>
      </c>
      <c r="C4209">
        <v>101</v>
      </c>
      <c r="D4209" t="s">
        <v>7</v>
      </c>
      <c r="E4209" s="2" t="s">
        <v>12</v>
      </c>
      <c r="F4209">
        <f t="shared" si="65"/>
        <v>200.28300000000002</v>
      </c>
      <c r="G4209" t="s">
        <v>16</v>
      </c>
      <c r="J4209" t="str">
        <f>"04/08/2013 23:45"</f>
        <v>04/08/2013 23:45</v>
      </c>
    </row>
    <row r="4210" spans="1:10" x14ac:dyDescent="0.3">
      <c r="A4210" t="s">
        <v>6</v>
      </c>
      <c r="B4210" t="str">
        <f>"04/09/2013 00:00"</f>
        <v>04/09/2013 00:00</v>
      </c>
      <c r="C4210">
        <v>102</v>
      </c>
      <c r="D4210" t="s">
        <v>7</v>
      </c>
      <c r="E4210" s="2" t="s">
        <v>12</v>
      </c>
      <c r="F4210">
        <f t="shared" si="65"/>
        <v>202.26600000000002</v>
      </c>
      <c r="G4210" t="s">
        <v>16</v>
      </c>
      <c r="J4210" t="str">
        <f>"04/09/2013 23:45"</f>
        <v>04/09/2013 23:45</v>
      </c>
    </row>
    <row r="4211" spans="1:10" x14ac:dyDescent="0.3">
      <c r="A4211" t="s">
        <v>6</v>
      </c>
      <c r="B4211" t="str">
        <f>"04/10/2013 00:00"</f>
        <v>04/10/2013 00:00</v>
      </c>
      <c r="C4211">
        <v>102</v>
      </c>
      <c r="D4211" t="s">
        <v>7</v>
      </c>
      <c r="E4211" s="2" t="s">
        <v>12</v>
      </c>
      <c r="F4211">
        <f t="shared" si="65"/>
        <v>202.26600000000002</v>
      </c>
      <c r="G4211" t="s">
        <v>16</v>
      </c>
      <c r="J4211" t="str">
        <f>"04/10/2013 23:45"</f>
        <v>04/10/2013 23:45</v>
      </c>
    </row>
    <row r="4212" spans="1:10" x14ac:dyDescent="0.3">
      <c r="A4212" t="s">
        <v>6</v>
      </c>
      <c r="B4212" t="str">
        <f>"04/11/2013 00:00"</f>
        <v>04/11/2013 00:00</v>
      </c>
      <c r="C4212">
        <v>101</v>
      </c>
      <c r="D4212" t="s">
        <v>7</v>
      </c>
      <c r="E4212" s="2" t="s">
        <v>12</v>
      </c>
      <c r="F4212">
        <f t="shared" si="65"/>
        <v>200.28300000000002</v>
      </c>
      <c r="G4212" t="s">
        <v>16</v>
      </c>
      <c r="J4212" t="str">
        <f>"04/11/2013 23:45"</f>
        <v>04/11/2013 23:45</v>
      </c>
    </row>
    <row r="4213" spans="1:10" x14ac:dyDescent="0.3">
      <c r="A4213" t="s">
        <v>6</v>
      </c>
      <c r="B4213" t="str">
        <f>"04/12/2013 00:00"</f>
        <v>04/12/2013 00:00</v>
      </c>
      <c r="C4213">
        <v>89</v>
      </c>
      <c r="D4213" t="s">
        <v>7</v>
      </c>
      <c r="E4213" s="2" t="s">
        <v>12</v>
      </c>
      <c r="F4213">
        <f t="shared" si="65"/>
        <v>176.48699999999999</v>
      </c>
      <c r="G4213" t="s">
        <v>16</v>
      </c>
      <c r="J4213" t="str">
        <f>"04/12/2013 23:45"</f>
        <v>04/12/2013 23:45</v>
      </c>
    </row>
    <row r="4214" spans="1:10" x14ac:dyDescent="0.3">
      <c r="A4214" t="s">
        <v>6</v>
      </c>
      <c r="B4214" t="str">
        <f>"04/13/2013 00:00"</f>
        <v>04/13/2013 00:00</v>
      </c>
      <c r="C4214">
        <v>61.5</v>
      </c>
      <c r="D4214" t="s">
        <v>7</v>
      </c>
      <c r="E4214" s="2" t="s">
        <v>12</v>
      </c>
      <c r="F4214">
        <f t="shared" si="65"/>
        <v>121.95450000000001</v>
      </c>
      <c r="G4214" t="s">
        <v>16</v>
      </c>
      <c r="J4214" t="str">
        <f>"04/13/2013 23:45"</f>
        <v>04/13/2013 23:45</v>
      </c>
    </row>
    <row r="4215" spans="1:10" x14ac:dyDescent="0.3">
      <c r="A4215" t="s">
        <v>6</v>
      </c>
      <c r="B4215" t="str">
        <f>"04/14/2013 00:00"</f>
        <v>04/14/2013 00:00</v>
      </c>
      <c r="C4215">
        <v>51.2</v>
      </c>
      <c r="D4215" t="s">
        <v>7</v>
      </c>
      <c r="E4215" s="2" t="s">
        <v>12</v>
      </c>
      <c r="F4215">
        <f t="shared" si="65"/>
        <v>101.52960000000002</v>
      </c>
      <c r="G4215" t="s">
        <v>16</v>
      </c>
      <c r="J4215" t="str">
        <f>"04/14/2013 23:45"</f>
        <v>04/14/2013 23:45</v>
      </c>
    </row>
    <row r="4216" spans="1:10" x14ac:dyDescent="0.3">
      <c r="A4216" t="s">
        <v>6</v>
      </c>
      <c r="B4216" t="str">
        <f>"04/15/2013 00:00"</f>
        <v>04/15/2013 00:00</v>
      </c>
      <c r="C4216">
        <v>51.3</v>
      </c>
      <c r="D4216" t="s">
        <v>7</v>
      </c>
      <c r="E4216" s="2" t="s">
        <v>12</v>
      </c>
      <c r="F4216">
        <f t="shared" si="65"/>
        <v>101.72790000000001</v>
      </c>
      <c r="G4216" t="s">
        <v>16</v>
      </c>
      <c r="J4216" t="str">
        <f>"04/15/2013 23:45"</f>
        <v>04/15/2013 23:45</v>
      </c>
    </row>
    <row r="4217" spans="1:10" x14ac:dyDescent="0.3">
      <c r="A4217" t="s">
        <v>6</v>
      </c>
      <c r="B4217" t="str">
        <f>"04/16/2013 00:00"</f>
        <v>04/16/2013 00:00</v>
      </c>
      <c r="C4217">
        <v>51.6</v>
      </c>
      <c r="D4217" t="s">
        <v>7</v>
      </c>
      <c r="E4217" s="2" t="s">
        <v>12</v>
      </c>
      <c r="F4217">
        <f t="shared" si="65"/>
        <v>102.3228</v>
      </c>
      <c r="G4217" t="s">
        <v>16</v>
      </c>
      <c r="J4217" t="str">
        <f>"04/16/2013 23:45"</f>
        <v>04/16/2013 23:45</v>
      </c>
    </row>
    <row r="4218" spans="1:10" x14ac:dyDescent="0.3">
      <c r="A4218" t="s">
        <v>6</v>
      </c>
      <c r="B4218" t="str">
        <f>"04/17/2013 00:00"</f>
        <v>04/17/2013 00:00</v>
      </c>
      <c r="C4218">
        <v>52.3</v>
      </c>
      <c r="D4218" t="s">
        <v>7</v>
      </c>
      <c r="E4218" s="2" t="s">
        <v>12</v>
      </c>
      <c r="F4218">
        <f t="shared" si="65"/>
        <v>103.7109</v>
      </c>
      <c r="G4218" t="s">
        <v>16</v>
      </c>
      <c r="J4218" t="str">
        <f>"04/17/2013 23:45"</f>
        <v>04/17/2013 23:45</v>
      </c>
    </row>
    <row r="4219" spans="1:10" x14ac:dyDescent="0.3">
      <c r="A4219" t="s">
        <v>6</v>
      </c>
      <c r="B4219" t="str">
        <f>"04/18/2013 00:00"</f>
        <v>04/18/2013 00:00</v>
      </c>
      <c r="C4219">
        <v>52.3</v>
      </c>
      <c r="D4219" t="s">
        <v>7</v>
      </c>
      <c r="E4219" s="2" t="s">
        <v>12</v>
      </c>
      <c r="F4219">
        <f t="shared" si="65"/>
        <v>103.7109</v>
      </c>
      <c r="G4219" t="s">
        <v>16</v>
      </c>
      <c r="J4219" t="str">
        <f>"04/18/2013 23:45"</f>
        <v>04/18/2013 23:45</v>
      </c>
    </row>
    <row r="4220" spans="1:10" x14ac:dyDescent="0.3">
      <c r="A4220" t="s">
        <v>6</v>
      </c>
      <c r="B4220" t="str">
        <f>"04/19/2013 00:00"</f>
        <v>04/19/2013 00:00</v>
      </c>
      <c r="C4220">
        <v>67.8</v>
      </c>
      <c r="D4220" t="s">
        <v>7</v>
      </c>
      <c r="E4220" s="2" t="s">
        <v>12</v>
      </c>
      <c r="F4220">
        <f t="shared" si="65"/>
        <v>134.44739999999999</v>
      </c>
      <c r="G4220" t="s">
        <v>16</v>
      </c>
      <c r="J4220" t="str">
        <f>"04/19/2013 23:45"</f>
        <v>04/19/2013 23:45</v>
      </c>
    </row>
    <row r="4221" spans="1:10" x14ac:dyDescent="0.3">
      <c r="A4221" t="s">
        <v>6</v>
      </c>
      <c r="B4221" t="str">
        <f>"04/20/2013 00:00"</f>
        <v>04/20/2013 00:00</v>
      </c>
      <c r="C4221">
        <v>78.2</v>
      </c>
      <c r="D4221" t="s">
        <v>7</v>
      </c>
      <c r="E4221" s="2" t="s">
        <v>12</v>
      </c>
      <c r="F4221">
        <f t="shared" si="65"/>
        <v>155.07060000000001</v>
      </c>
      <c r="G4221" t="s">
        <v>16</v>
      </c>
      <c r="J4221" t="str">
        <f>"04/20/2013 23:45"</f>
        <v>04/20/2013 23:45</v>
      </c>
    </row>
    <row r="4222" spans="1:10" x14ac:dyDescent="0.3">
      <c r="A4222" t="s">
        <v>6</v>
      </c>
      <c r="B4222" t="str">
        <f>"04/21/2013 00:00"</f>
        <v>04/21/2013 00:00</v>
      </c>
      <c r="C4222">
        <v>78.2</v>
      </c>
      <c r="D4222" t="s">
        <v>7</v>
      </c>
      <c r="E4222" s="2" t="s">
        <v>12</v>
      </c>
      <c r="F4222">
        <f t="shared" si="65"/>
        <v>155.07060000000001</v>
      </c>
      <c r="G4222" t="s">
        <v>16</v>
      </c>
      <c r="J4222" t="str">
        <f>"04/21/2013 23:45"</f>
        <v>04/21/2013 23:45</v>
      </c>
    </row>
    <row r="4223" spans="1:10" x14ac:dyDescent="0.3">
      <c r="A4223" t="s">
        <v>6</v>
      </c>
      <c r="B4223" t="str">
        <f>"04/22/2013 00:00"</f>
        <v>04/22/2013 00:00</v>
      </c>
      <c r="C4223">
        <v>78</v>
      </c>
      <c r="D4223" t="s">
        <v>7</v>
      </c>
      <c r="E4223" s="2" t="s">
        <v>12</v>
      </c>
      <c r="F4223">
        <f t="shared" si="65"/>
        <v>154.67400000000001</v>
      </c>
      <c r="G4223" t="s">
        <v>16</v>
      </c>
      <c r="J4223" t="str">
        <f>"04/22/2013 23:45"</f>
        <v>04/22/2013 23:45</v>
      </c>
    </row>
    <row r="4224" spans="1:10" x14ac:dyDescent="0.3">
      <c r="A4224" t="s">
        <v>6</v>
      </c>
      <c r="B4224" t="str">
        <f>"04/23/2013 00:00"</f>
        <v>04/23/2013 00:00</v>
      </c>
      <c r="C4224">
        <v>77.2</v>
      </c>
      <c r="D4224" t="s">
        <v>7</v>
      </c>
      <c r="E4224" s="2" t="s">
        <v>12</v>
      </c>
      <c r="F4224">
        <f t="shared" si="65"/>
        <v>153.08760000000001</v>
      </c>
      <c r="G4224" t="s">
        <v>16</v>
      </c>
      <c r="J4224" t="str">
        <f>"04/23/2013 23:45"</f>
        <v>04/23/2013 23:45</v>
      </c>
    </row>
    <row r="4225" spans="1:10" x14ac:dyDescent="0.3">
      <c r="A4225" t="s">
        <v>6</v>
      </c>
      <c r="B4225" t="str">
        <f>"04/24/2013 00:00"</f>
        <v>04/24/2013 00:00</v>
      </c>
      <c r="C4225">
        <v>76.900000000000006</v>
      </c>
      <c r="D4225" t="s">
        <v>7</v>
      </c>
      <c r="E4225" s="2" t="s">
        <v>12</v>
      </c>
      <c r="F4225">
        <f t="shared" si="65"/>
        <v>152.49270000000001</v>
      </c>
      <c r="G4225" t="s">
        <v>16</v>
      </c>
      <c r="J4225" t="str">
        <f>"04/24/2013 23:45"</f>
        <v>04/24/2013 23:45</v>
      </c>
    </row>
    <row r="4226" spans="1:10" x14ac:dyDescent="0.3">
      <c r="A4226" t="s">
        <v>6</v>
      </c>
      <c r="B4226" t="str">
        <f>"04/25/2013 00:00"</f>
        <v>04/25/2013 00:00</v>
      </c>
      <c r="C4226">
        <v>82.7</v>
      </c>
      <c r="D4226" t="s">
        <v>7</v>
      </c>
      <c r="E4226" s="2" t="s">
        <v>12</v>
      </c>
      <c r="F4226">
        <f t="shared" si="65"/>
        <v>163.9941</v>
      </c>
      <c r="G4226" t="s">
        <v>16</v>
      </c>
      <c r="J4226" t="str">
        <f>"04/25/2013 23:45"</f>
        <v>04/25/2013 23:45</v>
      </c>
    </row>
    <row r="4227" spans="1:10" x14ac:dyDescent="0.3">
      <c r="A4227" t="s">
        <v>6</v>
      </c>
      <c r="B4227" t="str">
        <f>"04/26/2013 00:00"</f>
        <v>04/26/2013 00:00</v>
      </c>
      <c r="C4227">
        <v>88.5</v>
      </c>
      <c r="D4227" t="s">
        <v>7</v>
      </c>
      <c r="E4227" s="2" t="s">
        <v>12</v>
      </c>
      <c r="F4227">
        <f t="shared" si="65"/>
        <v>175.49550000000002</v>
      </c>
      <c r="G4227" t="s">
        <v>16</v>
      </c>
      <c r="J4227" t="str">
        <f>"04/26/2013 23:45"</f>
        <v>04/26/2013 23:45</v>
      </c>
    </row>
    <row r="4228" spans="1:10" x14ac:dyDescent="0.3">
      <c r="A4228" t="s">
        <v>6</v>
      </c>
      <c r="B4228" t="str">
        <f>"04/27/2013 00:00"</f>
        <v>04/27/2013 00:00</v>
      </c>
      <c r="C4228">
        <v>88.7</v>
      </c>
      <c r="D4228" t="s">
        <v>7</v>
      </c>
      <c r="E4228" s="2" t="s">
        <v>12</v>
      </c>
      <c r="F4228">
        <f t="shared" ref="F4228:F4291" si="66">C4228*1.983</f>
        <v>175.89210000000003</v>
      </c>
      <c r="G4228" t="s">
        <v>16</v>
      </c>
      <c r="J4228" t="str">
        <f>"04/27/2013 23:45"</f>
        <v>04/27/2013 23:45</v>
      </c>
    </row>
    <row r="4229" spans="1:10" x14ac:dyDescent="0.3">
      <c r="A4229" t="s">
        <v>6</v>
      </c>
      <c r="B4229" t="str">
        <f>"04/28/2013 00:00"</f>
        <v>04/28/2013 00:00</v>
      </c>
      <c r="C4229">
        <v>89.7</v>
      </c>
      <c r="D4229" t="s">
        <v>7</v>
      </c>
      <c r="E4229" s="2" t="s">
        <v>12</v>
      </c>
      <c r="F4229">
        <f t="shared" si="66"/>
        <v>177.8751</v>
      </c>
      <c r="G4229" t="s">
        <v>16</v>
      </c>
      <c r="J4229" t="str">
        <f>"04/28/2013 23:45"</f>
        <v>04/28/2013 23:45</v>
      </c>
    </row>
    <row r="4230" spans="1:10" x14ac:dyDescent="0.3">
      <c r="A4230" t="s">
        <v>6</v>
      </c>
      <c r="B4230" t="str">
        <f>"04/29/2013 00:00"</f>
        <v>04/29/2013 00:00</v>
      </c>
      <c r="C4230">
        <v>89.8</v>
      </c>
      <c r="D4230" t="s">
        <v>7</v>
      </c>
      <c r="E4230" s="2" t="s">
        <v>12</v>
      </c>
      <c r="F4230">
        <f t="shared" si="66"/>
        <v>178.07339999999999</v>
      </c>
      <c r="G4230" t="s">
        <v>16</v>
      </c>
      <c r="J4230" t="str">
        <f>"04/29/2013 23:45"</f>
        <v>04/29/2013 23:45</v>
      </c>
    </row>
    <row r="4231" spans="1:10" x14ac:dyDescent="0.3">
      <c r="A4231" t="s">
        <v>6</v>
      </c>
      <c r="B4231" t="str">
        <f>"04/30/2013 00:00"</f>
        <v>04/30/2013 00:00</v>
      </c>
      <c r="C4231">
        <v>89.3</v>
      </c>
      <c r="D4231" t="s">
        <v>7</v>
      </c>
      <c r="E4231" s="2" t="s">
        <v>12</v>
      </c>
      <c r="F4231">
        <f t="shared" si="66"/>
        <v>177.08189999999999</v>
      </c>
      <c r="G4231" t="s">
        <v>16</v>
      </c>
      <c r="J4231" t="str">
        <f>"04/30/2013 23:45"</f>
        <v>04/30/2013 23:45</v>
      </c>
    </row>
    <row r="4232" spans="1:10" x14ac:dyDescent="0.3">
      <c r="A4232" t="s">
        <v>6</v>
      </c>
      <c r="B4232" t="str">
        <f>"05/01/2013 00:00"</f>
        <v>05/01/2013 00:00</v>
      </c>
      <c r="C4232">
        <v>90</v>
      </c>
      <c r="D4232" t="s">
        <v>7</v>
      </c>
      <c r="E4232" s="2" t="s">
        <v>12</v>
      </c>
      <c r="F4232">
        <f t="shared" si="66"/>
        <v>178.47</v>
      </c>
      <c r="G4232" t="s">
        <v>16</v>
      </c>
      <c r="J4232" t="str">
        <f>"05/01/2013 23:45"</f>
        <v>05/01/2013 23:45</v>
      </c>
    </row>
    <row r="4233" spans="1:10" x14ac:dyDescent="0.3">
      <c r="A4233" t="s">
        <v>6</v>
      </c>
      <c r="B4233" t="str">
        <f>"05/02/2013 00:00"</f>
        <v>05/02/2013 00:00</v>
      </c>
      <c r="C4233">
        <v>43.7</v>
      </c>
      <c r="D4233" t="s">
        <v>7</v>
      </c>
      <c r="E4233" s="2" t="s">
        <v>12</v>
      </c>
      <c r="F4233">
        <f t="shared" si="66"/>
        <v>86.657100000000014</v>
      </c>
      <c r="G4233" t="s">
        <v>16</v>
      </c>
      <c r="J4233" t="str">
        <f>"05/02/2013 23:45"</f>
        <v>05/02/2013 23:45</v>
      </c>
    </row>
    <row r="4234" spans="1:10" x14ac:dyDescent="0.3">
      <c r="A4234" t="s">
        <v>6</v>
      </c>
      <c r="B4234" t="str">
        <f>"05/03/2013 00:00"</f>
        <v>05/03/2013 00:00</v>
      </c>
      <c r="C4234">
        <v>2.74</v>
      </c>
      <c r="D4234" t="s">
        <v>7</v>
      </c>
      <c r="E4234" s="2" t="s">
        <v>12</v>
      </c>
      <c r="F4234">
        <f t="shared" si="66"/>
        <v>5.4334200000000008</v>
      </c>
      <c r="G4234" t="s">
        <v>16</v>
      </c>
      <c r="J4234" t="str">
        <f>"05/03/2013 23:45"</f>
        <v>05/03/2013 23:45</v>
      </c>
    </row>
    <row r="4235" spans="1:10" x14ac:dyDescent="0.3">
      <c r="A4235" t="s">
        <v>6</v>
      </c>
      <c r="B4235" t="str">
        <f>"05/04/2013 00:00"</f>
        <v>05/04/2013 00:00</v>
      </c>
      <c r="C4235">
        <v>2.23</v>
      </c>
      <c r="D4235" t="s">
        <v>7</v>
      </c>
      <c r="E4235" s="2" t="s">
        <v>12</v>
      </c>
      <c r="F4235">
        <f t="shared" si="66"/>
        <v>4.4220899999999999</v>
      </c>
      <c r="G4235" t="s">
        <v>16</v>
      </c>
      <c r="J4235" t="str">
        <f>"05/04/2013 23:45"</f>
        <v>05/04/2013 23:45</v>
      </c>
    </row>
    <row r="4236" spans="1:10" x14ac:dyDescent="0.3">
      <c r="A4236" t="s">
        <v>6</v>
      </c>
      <c r="B4236" t="str">
        <f>"05/05/2013 00:00"</f>
        <v>05/05/2013 00:00</v>
      </c>
      <c r="C4236">
        <v>2.23</v>
      </c>
      <c r="D4236" t="s">
        <v>7</v>
      </c>
      <c r="E4236" s="2" t="s">
        <v>12</v>
      </c>
      <c r="F4236">
        <f t="shared" si="66"/>
        <v>4.4220899999999999</v>
      </c>
      <c r="G4236" t="s">
        <v>16</v>
      </c>
      <c r="J4236" t="str">
        <f>"05/05/2013 23:45"</f>
        <v>05/05/2013 23:45</v>
      </c>
    </row>
    <row r="4237" spans="1:10" x14ac:dyDescent="0.3">
      <c r="A4237" t="s">
        <v>6</v>
      </c>
      <c r="B4237" t="str">
        <f>"05/06/2013 00:00"</f>
        <v>05/06/2013 00:00</v>
      </c>
      <c r="C4237">
        <v>2.23</v>
      </c>
      <c r="D4237" t="s">
        <v>7</v>
      </c>
      <c r="E4237" s="2" t="s">
        <v>12</v>
      </c>
      <c r="F4237">
        <f t="shared" si="66"/>
        <v>4.4220899999999999</v>
      </c>
      <c r="G4237" t="s">
        <v>16</v>
      </c>
      <c r="J4237" t="str">
        <f>"05/06/2013 23:45"</f>
        <v>05/06/2013 23:45</v>
      </c>
    </row>
    <row r="4238" spans="1:10" x14ac:dyDescent="0.3">
      <c r="A4238" t="s">
        <v>6</v>
      </c>
      <c r="B4238" t="str">
        <f>"05/07/2013 00:00"</f>
        <v>05/07/2013 00:00</v>
      </c>
      <c r="C4238">
        <v>2.23</v>
      </c>
      <c r="D4238" t="s">
        <v>7</v>
      </c>
      <c r="E4238" s="2" t="s">
        <v>12</v>
      </c>
      <c r="F4238">
        <f t="shared" si="66"/>
        <v>4.4220899999999999</v>
      </c>
      <c r="G4238" t="s">
        <v>16</v>
      </c>
      <c r="J4238" t="str">
        <f>"05/07/2013 23:45"</f>
        <v>05/07/2013 23:45</v>
      </c>
    </row>
    <row r="4239" spans="1:10" x14ac:dyDescent="0.3">
      <c r="A4239" t="s">
        <v>6</v>
      </c>
      <c r="B4239" t="str">
        <f>"05/08/2013 00:00"</f>
        <v>05/08/2013 00:00</v>
      </c>
      <c r="C4239">
        <v>2.23</v>
      </c>
      <c r="D4239" t="s">
        <v>7</v>
      </c>
      <c r="E4239" s="2" t="s">
        <v>12</v>
      </c>
      <c r="F4239">
        <f t="shared" si="66"/>
        <v>4.4220899999999999</v>
      </c>
      <c r="G4239" t="s">
        <v>16</v>
      </c>
      <c r="J4239" t="str">
        <f>"05/08/2013 23:45"</f>
        <v>05/08/2013 23:45</v>
      </c>
    </row>
    <row r="4240" spans="1:10" x14ac:dyDescent="0.3">
      <c r="A4240" t="s">
        <v>6</v>
      </c>
      <c r="B4240" t="str">
        <f>"05/09/2013 00:00"</f>
        <v>05/09/2013 00:00</v>
      </c>
      <c r="C4240">
        <v>2.48</v>
      </c>
      <c r="D4240" t="s">
        <v>7</v>
      </c>
      <c r="E4240" s="2" t="s">
        <v>12</v>
      </c>
      <c r="F4240">
        <f t="shared" si="66"/>
        <v>4.91784</v>
      </c>
      <c r="G4240" t="s">
        <v>16</v>
      </c>
      <c r="J4240" t="str">
        <f>"05/09/2013 23:45"</f>
        <v>05/09/2013 23:45</v>
      </c>
    </row>
    <row r="4241" spans="1:10" x14ac:dyDescent="0.3">
      <c r="A4241" t="s">
        <v>6</v>
      </c>
      <c r="B4241" t="str">
        <f>"05/10/2013 00:00"</f>
        <v>05/10/2013 00:00</v>
      </c>
      <c r="C4241">
        <v>2.23</v>
      </c>
      <c r="D4241" t="s">
        <v>7</v>
      </c>
      <c r="E4241" s="2" t="s">
        <v>12</v>
      </c>
      <c r="F4241">
        <f t="shared" si="66"/>
        <v>4.4220899999999999</v>
      </c>
      <c r="G4241" t="s">
        <v>16</v>
      </c>
      <c r="J4241" t="str">
        <f>"05/10/2013 23:45"</f>
        <v>05/10/2013 23:45</v>
      </c>
    </row>
    <row r="4242" spans="1:10" x14ac:dyDescent="0.3">
      <c r="A4242" t="s">
        <v>6</v>
      </c>
      <c r="B4242" t="str">
        <f>"05/11/2013 00:00"</f>
        <v>05/11/2013 00:00</v>
      </c>
      <c r="C4242">
        <v>2.23</v>
      </c>
      <c r="D4242" t="s">
        <v>7</v>
      </c>
      <c r="E4242" s="2" t="s">
        <v>12</v>
      </c>
      <c r="F4242">
        <f t="shared" si="66"/>
        <v>4.4220899999999999</v>
      </c>
      <c r="G4242" t="s">
        <v>16</v>
      </c>
      <c r="J4242" t="str">
        <f>"05/11/2013 23:45"</f>
        <v>05/11/2013 23:45</v>
      </c>
    </row>
    <row r="4243" spans="1:10" x14ac:dyDescent="0.3">
      <c r="A4243" t="s">
        <v>6</v>
      </c>
      <c r="B4243" t="str">
        <f>"05/12/2013 00:00"</f>
        <v>05/12/2013 00:00</v>
      </c>
      <c r="C4243">
        <v>2.23</v>
      </c>
      <c r="D4243" t="s">
        <v>7</v>
      </c>
      <c r="E4243" s="2" t="s">
        <v>12</v>
      </c>
      <c r="F4243">
        <f t="shared" si="66"/>
        <v>4.4220899999999999</v>
      </c>
      <c r="G4243" t="s">
        <v>16</v>
      </c>
      <c r="J4243" t="str">
        <f>"05/12/2013 23:45"</f>
        <v>05/12/2013 23:45</v>
      </c>
    </row>
    <row r="4244" spans="1:10" x14ac:dyDescent="0.3">
      <c r="A4244" t="s">
        <v>6</v>
      </c>
      <c r="B4244" t="str">
        <f>"05/13/2013 00:00"</f>
        <v>05/13/2013 00:00</v>
      </c>
      <c r="C4244">
        <v>2.23</v>
      </c>
      <c r="D4244" t="s">
        <v>7</v>
      </c>
      <c r="E4244" s="2" t="s">
        <v>12</v>
      </c>
      <c r="F4244">
        <f t="shared" si="66"/>
        <v>4.4220899999999999</v>
      </c>
      <c r="G4244" t="s">
        <v>16</v>
      </c>
      <c r="J4244" t="str">
        <f>"05/13/2013 23:45"</f>
        <v>05/13/2013 23:45</v>
      </c>
    </row>
    <row r="4245" spans="1:10" x14ac:dyDescent="0.3">
      <c r="A4245" t="s">
        <v>6</v>
      </c>
      <c r="B4245" t="str">
        <f>"05/14/2013 00:00"</f>
        <v>05/14/2013 00:00</v>
      </c>
      <c r="C4245">
        <v>2.16</v>
      </c>
      <c r="D4245" t="s">
        <v>7</v>
      </c>
      <c r="E4245" s="2" t="s">
        <v>12</v>
      </c>
      <c r="F4245">
        <f t="shared" si="66"/>
        <v>4.2832800000000004</v>
      </c>
      <c r="G4245" t="s">
        <v>16</v>
      </c>
      <c r="J4245" t="str">
        <f>"05/14/2013 23:45"</f>
        <v>05/14/2013 23:45</v>
      </c>
    </row>
    <row r="4246" spans="1:10" x14ac:dyDescent="0.3">
      <c r="A4246" t="s">
        <v>6</v>
      </c>
      <c r="B4246" t="str">
        <f>"05/15/2013 00:00"</f>
        <v>05/15/2013 00:00</v>
      </c>
      <c r="C4246">
        <v>1.92</v>
      </c>
      <c r="D4246" t="s">
        <v>7</v>
      </c>
      <c r="E4246" s="2" t="s">
        <v>12</v>
      </c>
      <c r="F4246">
        <f t="shared" si="66"/>
        <v>3.8073600000000001</v>
      </c>
      <c r="G4246" t="s">
        <v>16</v>
      </c>
      <c r="J4246" t="str">
        <f>"05/15/2013 23:45"</f>
        <v>05/15/2013 23:45</v>
      </c>
    </row>
    <row r="4247" spans="1:10" x14ac:dyDescent="0.3">
      <c r="A4247" t="s">
        <v>6</v>
      </c>
      <c r="B4247" t="str">
        <f>"05/16/2013 00:00"</f>
        <v>05/16/2013 00:00</v>
      </c>
      <c r="C4247">
        <v>1.92</v>
      </c>
      <c r="D4247" t="s">
        <v>7</v>
      </c>
      <c r="E4247" s="2" t="s">
        <v>12</v>
      </c>
      <c r="F4247">
        <f t="shared" si="66"/>
        <v>3.8073600000000001</v>
      </c>
      <c r="G4247" t="s">
        <v>16</v>
      </c>
      <c r="J4247" t="str">
        <f>"05/16/2013 23:45"</f>
        <v>05/16/2013 23:45</v>
      </c>
    </row>
    <row r="4248" spans="1:10" x14ac:dyDescent="0.3">
      <c r="A4248" t="s">
        <v>6</v>
      </c>
      <c r="B4248" t="str">
        <f>"05/17/2013 00:00"</f>
        <v>05/17/2013 00:00</v>
      </c>
      <c r="C4248">
        <v>1.92</v>
      </c>
      <c r="D4248" t="s">
        <v>7</v>
      </c>
      <c r="E4248" s="2" t="s">
        <v>12</v>
      </c>
      <c r="F4248">
        <f t="shared" si="66"/>
        <v>3.8073600000000001</v>
      </c>
      <c r="G4248" t="s">
        <v>16</v>
      </c>
      <c r="J4248" t="str">
        <f>"05/17/2013 23:45"</f>
        <v>05/17/2013 23:45</v>
      </c>
    </row>
    <row r="4249" spans="1:10" x14ac:dyDescent="0.3">
      <c r="A4249" t="s">
        <v>6</v>
      </c>
      <c r="B4249" t="str">
        <f>"05/18/2013 00:00"</f>
        <v>05/18/2013 00:00</v>
      </c>
      <c r="C4249">
        <v>1.92</v>
      </c>
      <c r="D4249" t="s">
        <v>7</v>
      </c>
      <c r="E4249" s="2" t="s">
        <v>12</v>
      </c>
      <c r="F4249">
        <f t="shared" si="66"/>
        <v>3.8073600000000001</v>
      </c>
      <c r="G4249" t="s">
        <v>16</v>
      </c>
      <c r="J4249" t="str">
        <f>"05/18/2013 23:45"</f>
        <v>05/18/2013 23:45</v>
      </c>
    </row>
    <row r="4250" spans="1:10" x14ac:dyDescent="0.3">
      <c r="A4250" t="s">
        <v>6</v>
      </c>
      <c r="B4250" t="str">
        <f>"05/19/2013 00:00"</f>
        <v>05/19/2013 00:00</v>
      </c>
      <c r="C4250">
        <v>1.92</v>
      </c>
      <c r="D4250" t="s">
        <v>7</v>
      </c>
      <c r="E4250" s="2" t="s">
        <v>12</v>
      </c>
      <c r="F4250">
        <f t="shared" si="66"/>
        <v>3.8073600000000001</v>
      </c>
      <c r="G4250" t="s">
        <v>16</v>
      </c>
      <c r="J4250" t="str">
        <f>"05/19/2013 23:45"</f>
        <v>05/19/2013 23:45</v>
      </c>
    </row>
    <row r="4251" spans="1:10" x14ac:dyDescent="0.3">
      <c r="A4251" t="s">
        <v>6</v>
      </c>
      <c r="B4251" t="str">
        <f>"05/20/2013 00:00"</f>
        <v>05/20/2013 00:00</v>
      </c>
      <c r="C4251">
        <v>1.92</v>
      </c>
      <c r="D4251" t="s">
        <v>7</v>
      </c>
      <c r="E4251" s="2" t="s">
        <v>12</v>
      </c>
      <c r="F4251">
        <f t="shared" si="66"/>
        <v>3.8073600000000001</v>
      </c>
      <c r="G4251" t="s">
        <v>16</v>
      </c>
      <c r="J4251" t="str">
        <f>"05/20/2013 23:45"</f>
        <v>05/20/2013 23:45</v>
      </c>
    </row>
    <row r="4252" spans="1:10" x14ac:dyDescent="0.3">
      <c r="A4252" t="s">
        <v>6</v>
      </c>
      <c r="B4252" t="str">
        <f>"05/21/2013 00:00"</f>
        <v>05/21/2013 00:00</v>
      </c>
      <c r="C4252">
        <v>1.92</v>
      </c>
      <c r="D4252" t="s">
        <v>7</v>
      </c>
      <c r="E4252" s="2" t="s">
        <v>12</v>
      </c>
      <c r="F4252">
        <f t="shared" si="66"/>
        <v>3.8073600000000001</v>
      </c>
      <c r="G4252" t="s">
        <v>16</v>
      </c>
      <c r="J4252" t="str">
        <f>"05/21/2013 23:45"</f>
        <v>05/21/2013 23:45</v>
      </c>
    </row>
    <row r="4253" spans="1:10" x14ac:dyDescent="0.3">
      <c r="A4253" t="s">
        <v>6</v>
      </c>
      <c r="B4253" t="str">
        <f>"05/22/2013 00:00"</f>
        <v>05/22/2013 00:00</v>
      </c>
      <c r="C4253">
        <v>1.92</v>
      </c>
      <c r="D4253" t="s">
        <v>7</v>
      </c>
      <c r="E4253" s="2" t="s">
        <v>12</v>
      </c>
      <c r="F4253">
        <f t="shared" si="66"/>
        <v>3.8073600000000001</v>
      </c>
      <c r="G4253" t="s">
        <v>16</v>
      </c>
      <c r="J4253" t="str">
        <f>"05/22/2013 23:45"</f>
        <v>05/22/2013 23:45</v>
      </c>
    </row>
    <row r="4254" spans="1:10" x14ac:dyDescent="0.3">
      <c r="A4254" t="s">
        <v>6</v>
      </c>
      <c r="B4254" t="str">
        <f>"05/23/2013 00:00"</f>
        <v>05/23/2013 00:00</v>
      </c>
      <c r="C4254">
        <v>1.92</v>
      </c>
      <c r="D4254" t="s">
        <v>7</v>
      </c>
      <c r="E4254" s="2" t="s">
        <v>12</v>
      </c>
      <c r="F4254">
        <f t="shared" si="66"/>
        <v>3.8073600000000001</v>
      </c>
      <c r="G4254" t="s">
        <v>16</v>
      </c>
      <c r="J4254" t="str">
        <f>"05/23/2013 23:45"</f>
        <v>05/23/2013 23:45</v>
      </c>
    </row>
    <row r="4255" spans="1:10" x14ac:dyDescent="0.3">
      <c r="A4255" t="s">
        <v>6</v>
      </c>
      <c r="B4255" t="str">
        <f>"05/24/2013 00:00"</f>
        <v>05/24/2013 00:00</v>
      </c>
      <c r="C4255">
        <v>1.92</v>
      </c>
      <c r="D4255" t="s">
        <v>7</v>
      </c>
      <c r="E4255" s="2" t="s">
        <v>12</v>
      </c>
      <c r="F4255">
        <f t="shared" si="66"/>
        <v>3.8073600000000001</v>
      </c>
      <c r="G4255" t="s">
        <v>16</v>
      </c>
      <c r="J4255" t="str">
        <f>"05/24/2013 23:45"</f>
        <v>05/24/2013 23:45</v>
      </c>
    </row>
    <row r="4256" spans="1:10" x14ac:dyDescent="0.3">
      <c r="A4256" t="s">
        <v>6</v>
      </c>
      <c r="B4256" t="str">
        <f>"05/25/2013 00:00"</f>
        <v>05/25/2013 00:00</v>
      </c>
      <c r="C4256">
        <v>1.92</v>
      </c>
      <c r="D4256" t="s">
        <v>7</v>
      </c>
      <c r="E4256" s="2" t="s">
        <v>12</v>
      </c>
      <c r="F4256">
        <f t="shared" si="66"/>
        <v>3.8073600000000001</v>
      </c>
      <c r="G4256" t="s">
        <v>16</v>
      </c>
      <c r="J4256" t="str">
        <f>"05/25/2013 23:45"</f>
        <v>05/25/2013 23:45</v>
      </c>
    </row>
    <row r="4257" spans="1:10" x14ac:dyDescent="0.3">
      <c r="A4257" t="s">
        <v>6</v>
      </c>
      <c r="B4257" t="str">
        <f>"05/26/2013 00:00"</f>
        <v>05/26/2013 00:00</v>
      </c>
      <c r="C4257">
        <v>1.92</v>
      </c>
      <c r="D4257" t="s">
        <v>7</v>
      </c>
      <c r="E4257" s="2" t="s">
        <v>12</v>
      </c>
      <c r="F4257">
        <f t="shared" si="66"/>
        <v>3.8073600000000001</v>
      </c>
      <c r="G4257" t="s">
        <v>16</v>
      </c>
      <c r="J4257" t="str">
        <f>"05/26/2013 23:45"</f>
        <v>05/26/2013 23:45</v>
      </c>
    </row>
    <row r="4258" spans="1:10" x14ac:dyDescent="0.3">
      <c r="A4258" t="s">
        <v>6</v>
      </c>
      <c r="B4258" t="str">
        <f>"05/27/2013 00:00"</f>
        <v>05/27/2013 00:00</v>
      </c>
      <c r="C4258">
        <v>1.92</v>
      </c>
      <c r="D4258" t="s">
        <v>7</v>
      </c>
      <c r="E4258" s="2" t="s">
        <v>12</v>
      </c>
      <c r="F4258">
        <f t="shared" si="66"/>
        <v>3.8073600000000001</v>
      </c>
      <c r="G4258" t="s">
        <v>16</v>
      </c>
      <c r="J4258" t="str">
        <f>"05/27/2013 23:45"</f>
        <v>05/27/2013 23:45</v>
      </c>
    </row>
    <row r="4259" spans="1:10" x14ac:dyDescent="0.3">
      <c r="A4259" t="s">
        <v>6</v>
      </c>
      <c r="B4259" t="str">
        <f>"05/28/2013 00:00"</f>
        <v>05/28/2013 00:00</v>
      </c>
      <c r="C4259">
        <v>1.92</v>
      </c>
      <c r="D4259" t="s">
        <v>7</v>
      </c>
      <c r="E4259" s="2" t="s">
        <v>12</v>
      </c>
      <c r="F4259">
        <f t="shared" si="66"/>
        <v>3.8073600000000001</v>
      </c>
      <c r="G4259" t="s">
        <v>16</v>
      </c>
      <c r="J4259" t="str">
        <f>"05/28/2013 23:45"</f>
        <v>05/28/2013 23:45</v>
      </c>
    </row>
    <row r="4260" spans="1:10" x14ac:dyDescent="0.3">
      <c r="A4260" t="s">
        <v>6</v>
      </c>
      <c r="B4260" t="str">
        <f>"05/29/2013 00:00"</f>
        <v>05/29/2013 00:00</v>
      </c>
      <c r="C4260">
        <v>1.92</v>
      </c>
      <c r="D4260" t="s">
        <v>7</v>
      </c>
      <c r="E4260" s="2" t="s">
        <v>12</v>
      </c>
      <c r="F4260">
        <f t="shared" si="66"/>
        <v>3.8073600000000001</v>
      </c>
      <c r="G4260" t="s">
        <v>16</v>
      </c>
      <c r="J4260" t="str">
        <f>"05/29/2013 23:45"</f>
        <v>05/29/2013 23:45</v>
      </c>
    </row>
    <row r="4261" spans="1:10" x14ac:dyDescent="0.3">
      <c r="A4261" t="s">
        <v>6</v>
      </c>
      <c r="B4261" t="str">
        <f>"05/30/2013 00:00"</f>
        <v>05/30/2013 00:00</v>
      </c>
      <c r="C4261">
        <v>1.92</v>
      </c>
      <c r="D4261" t="s">
        <v>7</v>
      </c>
      <c r="E4261" s="2" t="s">
        <v>12</v>
      </c>
      <c r="F4261">
        <f t="shared" si="66"/>
        <v>3.8073600000000001</v>
      </c>
      <c r="G4261" t="s">
        <v>16</v>
      </c>
      <c r="J4261" t="str">
        <f>"05/30/2013 23:45"</f>
        <v>05/30/2013 23:45</v>
      </c>
    </row>
    <row r="4262" spans="1:10" x14ac:dyDescent="0.3">
      <c r="A4262" t="s">
        <v>6</v>
      </c>
      <c r="B4262" t="str">
        <f>"05/31/2013 00:00"</f>
        <v>05/31/2013 00:00</v>
      </c>
      <c r="C4262">
        <v>1.92</v>
      </c>
      <c r="D4262" t="s">
        <v>7</v>
      </c>
      <c r="E4262" s="2" t="s">
        <v>12</v>
      </c>
      <c r="F4262">
        <f t="shared" si="66"/>
        <v>3.8073600000000001</v>
      </c>
      <c r="G4262" t="s">
        <v>16</v>
      </c>
      <c r="J4262" t="str">
        <f>"05/31/2013 23:45"</f>
        <v>05/31/2013 23:45</v>
      </c>
    </row>
    <row r="4263" spans="1:10" x14ac:dyDescent="0.3">
      <c r="A4263" t="s">
        <v>6</v>
      </c>
      <c r="B4263" t="str">
        <f>"06/01/2013 00:00"</f>
        <v>06/01/2013 00:00</v>
      </c>
      <c r="C4263">
        <v>1.92</v>
      </c>
      <c r="D4263" t="s">
        <v>7</v>
      </c>
      <c r="E4263" s="2" t="s">
        <v>12</v>
      </c>
      <c r="F4263">
        <f t="shared" si="66"/>
        <v>3.8073600000000001</v>
      </c>
      <c r="G4263" t="s">
        <v>16</v>
      </c>
      <c r="J4263" t="str">
        <f>"06/01/2013 23:45"</f>
        <v>06/01/2013 23:45</v>
      </c>
    </row>
    <row r="4264" spans="1:10" x14ac:dyDescent="0.3">
      <c r="A4264" t="s">
        <v>6</v>
      </c>
      <c r="B4264" t="str">
        <f>"06/02/2013 00:00"</f>
        <v>06/02/2013 00:00</v>
      </c>
      <c r="C4264">
        <v>1.92</v>
      </c>
      <c r="D4264" t="s">
        <v>7</v>
      </c>
      <c r="E4264" s="2" t="s">
        <v>12</v>
      </c>
      <c r="F4264">
        <f t="shared" si="66"/>
        <v>3.8073600000000001</v>
      </c>
      <c r="G4264" t="s">
        <v>16</v>
      </c>
      <c r="J4264" t="str">
        <f>"06/02/2013 23:45"</f>
        <v>06/02/2013 23:45</v>
      </c>
    </row>
    <row r="4265" spans="1:10" x14ac:dyDescent="0.3">
      <c r="A4265" t="s">
        <v>6</v>
      </c>
      <c r="B4265" t="str">
        <f>"06/03/2013 00:00"</f>
        <v>06/03/2013 00:00</v>
      </c>
      <c r="C4265">
        <v>53.4</v>
      </c>
      <c r="D4265" t="s">
        <v>7</v>
      </c>
      <c r="E4265" s="2" t="s">
        <v>12</v>
      </c>
      <c r="F4265">
        <f t="shared" si="66"/>
        <v>105.8922</v>
      </c>
      <c r="G4265" t="s">
        <v>16</v>
      </c>
      <c r="J4265" t="str">
        <f>"06/03/2013 23:45"</f>
        <v>06/03/2013 23:45</v>
      </c>
    </row>
    <row r="4266" spans="1:10" x14ac:dyDescent="0.3">
      <c r="A4266" t="s">
        <v>6</v>
      </c>
      <c r="B4266" t="str">
        <f>"06/04/2013 00:00"</f>
        <v>06/04/2013 00:00</v>
      </c>
      <c r="C4266">
        <v>100</v>
      </c>
      <c r="D4266" t="s">
        <v>7</v>
      </c>
      <c r="E4266" s="2" t="s">
        <v>12</v>
      </c>
      <c r="F4266">
        <f t="shared" si="66"/>
        <v>198.3</v>
      </c>
      <c r="G4266" t="s">
        <v>16</v>
      </c>
      <c r="J4266" t="str">
        <f>"06/04/2013 23:45"</f>
        <v>06/04/2013 23:45</v>
      </c>
    </row>
    <row r="4267" spans="1:10" x14ac:dyDescent="0.3">
      <c r="A4267" t="s">
        <v>6</v>
      </c>
      <c r="B4267" t="str">
        <f>"06/05/2013 00:00"</f>
        <v>06/05/2013 00:00</v>
      </c>
      <c r="C4267">
        <v>98.9</v>
      </c>
      <c r="D4267" t="s">
        <v>7</v>
      </c>
      <c r="E4267" s="2" t="s">
        <v>12</v>
      </c>
      <c r="F4267">
        <f t="shared" si="66"/>
        <v>196.11870000000002</v>
      </c>
      <c r="G4267" t="s">
        <v>16</v>
      </c>
      <c r="J4267" t="str">
        <f>"06/05/2013 23:45"</f>
        <v>06/05/2013 23:45</v>
      </c>
    </row>
    <row r="4268" spans="1:10" x14ac:dyDescent="0.3">
      <c r="A4268" t="s">
        <v>6</v>
      </c>
      <c r="B4268" t="str">
        <f>"06/06/2013 00:00"</f>
        <v>06/06/2013 00:00</v>
      </c>
      <c r="C4268">
        <v>100</v>
      </c>
      <c r="D4268" t="s">
        <v>7</v>
      </c>
      <c r="E4268" s="2" t="s">
        <v>12</v>
      </c>
      <c r="F4268">
        <f t="shared" si="66"/>
        <v>198.3</v>
      </c>
      <c r="G4268" t="s">
        <v>16</v>
      </c>
      <c r="J4268" t="str">
        <f>"06/06/2013 23:45"</f>
        <v>06/06/2013 23:45</v>
      </c>
    </row>
    <row r="4269" spans="1:10" x14ac:dyDescent="0.3">
      <c r="A4269" t="s">
        <v>6</v>
      </c>
      <c r="B4269" t="str">
        <f>"06/07/2013 00:00"</f>
        <v>06/07/2013 00:00</v>
      </c>
      <c r="C4269">
        <v>90.9</v>
      </c>
      <c r="D4269" t="s">
        <v>7</v>
      </c>
      <c r="E4269" s="2" t="s">
        <v>12</v>
      </c>
      <c r="F4269">
        <f t="shared" si="66"/>
        <v>180.25470000000001</v>
      </c>
      <c r="G4269" t="s">
        <v>16</v>
      </c>
      <c r="J4269" t="str">
        <f>"06/07/2013 23:45"</f>
        <v>06/07/2013 23:45</v>
      </c>
    </row>
    <row r="4270" spans="1:10" x14ac:dyDescent="0.3">
      <c r="A4270" t="s">
        <v>6</v>
      </c>
      <c r="B4270" t="str">
        <f>"06/08/2013 00:00"</f>
        <v>06/08/2013 00:00</v>
      </c>
      <c r="C4270">
        <v>76.599999999999994</v>
      </c>
      <c r="D4270" t="s">
        <v>7</v>
      </c>
      <c r="E4270" s="2" t="s">
        <v>12</v>
      </c>
      <c r="F4270">
        <f t="shared" si="66"/>
        <v>151.89779999999999</v>
      </c>
      <c r="G4270" t="s">
        <v>16</v>
      </c>
      <c r="J4270" t="str">
        <f>"06/08/2013 23:45"</f>
        <v>06/08/2013 23:45</v>
      </c>
    </row>
    <row r="4271" spans="1:10" x14ac:dyDescent="0.3">
      <c r="A4271" t="s">
        <v>6</v>
      </c>
      <c r="B4271" t="str">
        <f>"06/09/2013 00:00"</f>
        <v>06/09/2013 00:00</v>
      </c>
      <c r="C4271">
        <v>75.900000000000006</v>
      </c>
      <c r="D4271" t="s">
        <v>7</v>
      </c>
      <c r="E4271" s="2" t="s">
        <v>12</v>
      </c>
      <c r="F4271">
        <f t="shared" si="66"/>
        <v>150.50970000000001</v>
      </c>
      <c r="G4271" t="s">
        <v>16</v>
      </c>
      <c r="J4271" t="str">
        <f>"06/09/2013 23:45"</f>
        <v>06/09/2013 23:45</v>
      </c>
    </row>
    <row r="4272" spans="1:10" x14ac:dyDescent="0.3">
      <c r="A4272" t="s">
        <v>6</v>
      </c>
      <c r="B4272" t="str">
        <f>"06/10/2013 00:00"</f>
        <v>06/10/2013 00:00</v>
      </c>
      <c r="C4272">
        <v>74.900000000000006</v>
      </c>
      <c r="D4272" t="s">
        <v>7</v>
      </c>
      <c r="E4272" s="2" t="s">
        <v>12</v>
      </c>
      <c r="F4272">
        <f t="shared" si="66"/>
        <v>148.52670000000001</v>
      </c>
      <c r="G4272" t="s">
        <v>16</v>
      </c>
      <c r="J4272" t="str">
        <f>"06/10/2013 23:45"</f>
        <v>06/10/2013 23:45</v>
      </c>
    </row>
    <row r="4273" spans="1:10" x14ac:dyDescent="0.3">
      <c r="A4273" t="s">
        <v>6</v>
      </c>
      <c r="B4273" t="str">
        <f>"06/11/2013 00:00"</f>
        <v>06/11/2013 00:00</v>
      </c>
      <c r="C4273">
        <v>37.200000000000003</v>
      </c>
      <c r="D4273" t="s">
        <v>7</v>
      </c>
      <c r="E4273" s="2" t="s">
        <v>12</v>
      </c>
      <c r="F4273">
        <f t="shared" si="66"/>
        <v>73.767600000000016</v>
      </c>
      <c r="G4273" t="s">
        <v>16</v>
      </c>
      <c r="J4273" t="str">
        <f>"06/11/2013 23:45"</f>
        <v>06/11/2013 23:45</v>
      </c>
    </row>
    <row r="4274" spans="1:10" x14ac:dyDescent="0.3">
      <c r="A4274" t="s">
        <v>6</v>
      </c>
      <c r="B4274" t="str">
        <f>"06/12/2013 00:00"</f>
        <v>06/12/2013 00:00</v>
      </c>
      <c r="C4274">
        <v>1.92</v>
      </c>
      <c r="D4274" t="s">
        <v>7</v>
      </c>
      <c r="E4274" s="2" t="s">
        <v>12</v>
      </c>
      <c r="F4274">
        <f t="shared" si="66"/>
        <v>3.8073600000000001</v>
      </c>
      <c r="G4274" t="s">
        <v>16</v>
      </c>
      <c r="J4274" t="str">
        <f>"06/12/2013 23:45"</f>
        <v>06/12/2013 23:45</v>
      </c>
    </row>
    <row r="4275" spans="1:10" x14ac:dyDescent="0.3">
      <c r="A4275" t="s">
        <v>6</v>
      </c>
      <c r="B4275" t="str">
        <f>"06/13/2013 00:00"</f>
        <v>06/13/2013 00:00</v>
      </c>
      <c r="C4275">
        <v>77.5</v>
      </c>
      <c r="D4275" t="s">
        <v>7</v>
      </c>
      <c r="E4275" s="2" t="s">
        <v>12</v>
      </c>
      <c r="F4275">
        <f t="shared" si="66"/>
        <v>153.6825</v>
      </c>
      <c r="G4275" t="s">
        <v>16</v>
      </c>
      <c r="J4275" t="str">
        <f>"06/13/2013 23:45"</f>
        <v>06/13/2013 23:45</v>
      </c>
    </row>
    <row r="4276" spans="1:10" x14ac:dyDescent="0.3">
      <c r="A4276" t="s">
        <v>6</v>
      </c>
      <c r="B4276" t="str">
        <f>"06/14/2013 00:00"</f>
        <v>06/14/2013 00:00</v>
      </c>
      <c r="C4276">
        <v>151</v>
      </c>
      <c r="D4276" t="s">
        <v>7</v>
      </c>
      <c r="E4276" s="2" t="s">
        <v>12</v>
      </c>
      <c r="F4276">
        <f t="shared" si="66"/>
        <v>299.43299999999999</v>
      </c>
      <c r="G4276" t="s">
        <v>16</v>
      </c>
      <c r="J4276" t="str">
        <f>"06/14/2013 23:45"</f>
        <v>06/14/2013 23:45</v>
      </c>
    </row>
    <row r="4277" spans="1:10" x14ac:dyDescent="0.3">
      <c r="A4277" t="s">
        <v>6</v>
      </c>
      <c r="B4277" t="str">
        <f>"06/15/2013 00:00"</f>
        <v>06/15/2013 00:00</v>
      </c>
      <c r="C4277">
        <v>174</v>
      </c>
      <c r="D4277" t="s">
        <v>7</v>
      </c>
      <c r="E4277" s="2" t="s">
        <v>12</v>
      </c>
      <c r="F4277">
        <f t="shared" si="66"/>
        <v>345.04200000000003</v>
      </c>
      <c r="G4277" t="s">
        <v>16</v>
      </c>
      <c r="J4277" t="str">
        <f>"06/15/2013 23:45"</f>
        <v>06/15/2013 23:45</v>
      </c>
    </row>
    <row r="4278" spans="1:10" x14ac:dyDescent="0.3">
      <c r="A4278" t="s">
        <v>6</v>
      </c>
      <c r="B4278" t="str">
        <f>"06/16/2013 00:00"</f>
        <v>06/16/2013 00:00</v>
      </c>
      <c r="C4278">
        <v>186</v>
      </c>
      <c r="D4278" t="s">
        <v>7</v>
      </c>
      <c r="E4278" s="2" t="s">
        <v>12</v>
      </c>
      <c r="F4278">
        <f t="shared" si="66"/>
        <v>368.83800000000002</v>
      </c>
      <c r="G4278" t="s">
        <v>16</v>
      </c>
      <c r="J4278" t="str">
        <f>"06/16/2013 23:45"</f>
        <v>06/16/2013 23:45</v>
      </c>
    </row>
    <row r="4279" spans="1:10" x14ac:dyDescent="0.3">
      <c r="A4279" t="s">
        <v>6</v>
      </c>
      <c r="B4279" t="str">
        <f>"06/17/2013 00:00"</f>
        <v>06/17/2013 00:00</v>
      </c>
      <c r="C4279">
        <v>204</v>
      </c>
      <c r="D4279" t="s">
        <v>7</v>
      </c>
      <c r="E4279" s="2" t="s">
        <v>12</v>
      </c>
      <c r="F4279">
        <f t="shared" si="66"/>
        <v>404.53200000000004</v>
      </c>
      <c r="G4279" t="s">
        <v>16</v>
      </c>
      <c r="J4279" t="str">
        <f>"06/17/2013 23:45"</f>
        <v>06/17/2013 23:45</v>
      </c>
    </row>
    <row r="4280" spans="1:10" x14ac:dyDescent="0.3">
      <c r="A4280" t="s">
        <v>6</v>
      </c>
      <c r="B4280" t="str">
        <f>"06/18/2013 00:00"</f>
        <v>06/18/2013 00:00</v>
      </c>
      <c r="C4280">
        <v>217</v>
      </c>
      <c r="D4280" t="s">
        <v>7</v>
      </c>
      <c r="E4280" s="2" t="s">
        <v>12</v>
      </c>
      <c r="F4280">
        <f t="shared" si="66"/>
        <v>430.31100000000004</v>
      </c>
      <c r="G4280" t="s">
        <v>16</v>
      </c>
      <c r="J4280" t="str">
        <f>"06/18/2013 23:45"</f>
        <v>06/18/2013 23:45</v>
      </c>
    </row>
    <row r="4281" spans="1:10" x14ac:dyDescent="0.3">
      <c r="A4281" t="s">
        <v>6</v>
      </c>
      <c r="B4281" t="str">
        <f>"06/19/2013 00:00"</f>
        <v>06/19/2013 00:00</v>
      </c>
      <c r="C4281">
        <v>217</v>
      </c>
      <c r="D4281" t="s">
        <v>7</v>
      </c>
      <c r="E4281" s="2" t="s">
        <v>12</v>
      </c>
      <c r="F4281">
        <f t="shared" si="66"/>
        <v>430.31100000000004</v>
      </c>
      <c r="G4281" t="s">
        <v>16</v>
      </c>
      <c r="J4281" t="str">
        <f>"06/19/2013 23:45"</f>
        <v>06/19/2013 23:45</v>
      </c>
    </row>
    <row r="4282" spans="1:10" x14ac:dyDescent="0.3">
      <c r="A4282" t="s">
        <v>6</v>
      </c>
      <c r="B4282" t="str">
        <f>"06/20/2013 00:00"</f>
        <v>06/20/2013 00:00</v>
      </c>
      <c r="C4282">
        <v>217</v>
      </c>
      <c r="D4282" t="s">
        <v>7</v>
      </c>
      <c r="E4282" s="2" t="s">
        <v>12</v>
      </c>
      <c r="F4282">
        <f t="shared" si="66"/>
        <v>430.31100000000004</v>
      </c>
      <c r="G4282" t="s">
        <v>16</v>
      </c>
      <c r="J4282" t="str">
        <f>"06/20/2013 23:45"</f>
        <v>06/20/2013 23:45</v>
      </c>
    </row>
    <row r="4283" spans="1:10" x14ac:dyDescent="0.3">
      <c r="A4283" t="s">
        <v>6</v>
      </c>
      <c r="B4283" t="str">
        <f>"06/21/2013 00:00"</f>
        <v>06/21/2013 00:00</v>
      </c>
      <c r="C4283">
        <v>250</v>
      </c>
      <c r="D4283" t="s">
        <v>7</v>
      </c>
      <c r="E4283" s="2" t="s">
        <v>12</v>
      </c>
      <c r="F4283">
        <f t="shared" si="66"/>
        <v>495.75</v>
      </c>
      <c r="G4283" t="s">
        <v>16</v>
      </c>
      <c r="J4283" t="str">
        <f>"06/21/2013 23:45"</f>
        <v>06/21/2013 23:45</v>
      </c>
    </row>
    <row r="4284" spans="1:10" x14ac:dyDescent="0.3">
      <c r="A4284" t="s">
        <v>6</v>
      </c>
      <c r="B4284" t="str">
        <f>"06/22/2013 00:00"</f>
        <v>06/22/2013 00:00</v>
      </c>
      <c r="C4284">
        <v>273</v>
      </c>
      <c r="D4284" t="s">
        <v>7</v>
      </c>
      <c r="E4284" s="2" t="s">
        <v>12</v>
      </c>
      <c r="F4284">
        <f t="shared" si="66"/>
        <v>541.35900000000004</v>
      </c>
      <c r="G4284" t="s">
        <v>16</v>
      </c>
      <c r="J4284" t="str">
        <f>"06/22/2013 23:45"</f>
        <v>06/22/2013 23:45</v>
      </c>
    </row>
    <row r="4285" spans="1:10" x14ac:dyDescent="0.3">
      <c r="A4285" t="s">
        <v>6</v>
      </c>
      <c r="B4285" t="str">
        <f>"06/23/2013 00:00"</f>
        <v>06/23/2013 00:00</v>
      </c>
      <c r="C4285">
        <v>273</v>
      </c>
      <c r="D4285" t="s">
        <v>7</v>
      </c>
      <c r="E4285" s="2" t="s">
        <v>12</v>
      </c>
      <c r="F4285">
        <f t="shared" si="66"/>
        <v>541.35900000000004</v>
      </c>
      <c r="G4285" t="s">
        <v>16</v>
      </c>
      <c r="J4285" t="str">
        <f>"06/23/2013 23:45"</f>
        <v>06/23/2013 23:45</v>
      </c>
    </row>
    <row r="4286" spans="1:10" x14ac:dyDescent="0.3">
      <c r="A4286" t="s">
        <v>6</v>
      </c>
      <c r="B4286" t="str">
        <f>"06/24/2013 00:00"</f>
        <v>06/24/2013 00:00</v>
      </c>
      <c r="C4286">
        <v>274</v>
      </c>
      <c r="D4286" t="s">
        <v>7</v>
      </c>
      <c r="E4286" s="2" t="s">
        <v>12</v>
      </c>
      <c r="F4286">
        <f t="shared" si="66"/>
        <v>543.34199999999998</v>
      </c>
      <c r="G4286" t="s">
        <v>16</v>
      </c>
      <c r="J4286" t="str">
        <f>"06/24/2013 23:45"</f>
        <v>06/24/2013 23:45</v>
      </c>
    </row>
    <row r="4287" spans="1:10" x14ac:dyDescent="0.3">
      <c r="A4287" t="s">
        <v>6</v>
      </c>
      <c r="B4287" t="str">
        <f>"06/25/2013 00:00"</f>
        <v>06/25/2013 00:00</v>
      </c>
      <c r="C4287">
        <v>275</v>
      </c>
      <c r="D4287" t="s">
        <v>7</v>
      </c>
      <c r="E4287" s="2" t="s">
        <v>12</v>
      </c>
      <c r="F4287">
        <f t="shared" si="66"/>
        <v>545.32500000000005</v>
      </c>
      <c r="G4287" t="s">
        <v>16</v>
      </c>
      <c r="J4287" t="str">
        <f>"06/25/2013 23:45"</f>
        <v>06/25/2013 23:45</v>
      </c>
    </row>
    <row r="4288" spans="1:10" x14ac:dyDescent="0.3">
      <c r="A4288" t="s">
        <v>6</v>
      </c>
      <c r="B4288" t="str">
        <f>"06/26/2013 00:00"</f>
        <v>06/26/2013 00:00</v>
      </c>
      <c r="C4288">
        <v>275</v>
      </c>
      <c r="D4288" t="s">
        <v>7</v>
      </c>
      <c r="E4288" s="2" t="s">
        <v>12</v>
      </c>
      <c r="F4288">
        <f t="shared" si="66"/>
        <v>545.32500000000005</v>
      </c>
      <c r="G4288" t="s">
        <v>16</v>
      </c>
      <c r="J4288" t="str">
        <f>"06/26/2013 23:45"</f>
        <v>06/26/2013 23:45</v>
      </c>
    </row>
    <row r="4289" spans="1:10" x14ac:dyDescent="0.3">
      <c r="A4289" t="s">
        <v>6</v>
      </c>
      <c r="B4289" t="str">
        <f>"06/27/2013 00:00"</f>
        <v>06/27/2013 00:00</v>
      </c>
      <c r="C4289">
        <v>288</v>
      </c>
      <c r="D4289" t="s">
        <v>7</v>
      </c>
      <c r="E4289" s="2" t="s">
        <v>12</v>
      </c>
      <c r="F4289">
        <f t="shared" si="66"/>
        <v>571.10400000000004</v>
      </c>
      <c r="G4289" t="s">
        <v>16</v>
      </c>
      <c r="J4289" t="str">
        <f>"06/27/2013 23:45"</f>
        <v>06/27/2013 23:45</v>
      </c>
    </row>
    <row r="4290" spans="1:10" x14ac:dyDescent="0.3">
      <c r="A4290" t="s">
        <v>6</v>
      </c>
      <c r="B4290" t="str">
        <f>"06/28/2013 00:00"</f>
        <v>06/28/2013 00:00</v>
      </c>
      <c r="C4290">
        <v>295</v>
      </c>
      <c r="D4290" t="s">
        <v>7</v>
      </c>
      <c r="E4290" s="2" t="s">
        <v>12</v>
      </c>
      <c r="F4290">
        <f t="shared" si="66"/>
        <v>584.98500000000001</v>
      </c>
      <c r="G4290" t="s">
        <v>16</v>
      </c>
      <c r="J4290" t="str">
        <f>"06/28/2013 23:45"</f>
        <v>06/28/2013 23:45</v>
      </c>
    </row>
    <row r="4291" spans="1:10" x14ac:dyDescent="0.3">
      <c r="A4291" t="s">
        <v>6</v>
      </c>
      <c r="B4291" t="str">
        <f>"06/29/2013 00:00"</f>
        <v>06/29/2013 00:00</v>
      </c>
      <c r="C4291">
        <v>299</v>
      </c>
      <c r="D4291" t="s">
        <v>7</v>
      </c>
      <c r="E4291" s="2" t="s">
        <v>12</v>
      </c>
      <c r="F4291">
        <f t="shared" si="66"/>
        <v>592.91700000000003</v>
      </c>
      <c r="G4291" t="s">
        <v>16</v>
      </c>
      <c r="J4291" t="str">
        <f>"06/29/2013 23:45"</f>
        <v>06/29/2013 23:45</v>
      </c>
    </row>
    <row r="4292" spans="1:10" x14ac:dyDescent="0.3">
      <c r="A4292" t="s">
        <v>6</v>
      </c>
      <c r="B4292" t="str">
        <f>"06/30/2013 00:00"</f>
        <v>06/30/2013 00:00</v>
      </c>
      <c r="C4292">
        <v>303</v>
      </c>
      <c r="D4292" t="s">
        <v>7</v>
      </c>
      <c r="E4292" s="2" t="s">
        <v>12</v>
      </c>
      <c r="F4292">
        <f t="shared" ref="F4292:F4355" si="67">C4292*1.983</f>
        <v>600.84900000000005</v>
      </c>
      <c r="G4292" t="s">
        <v>16</v>
      </c>
      <c r="J4292" t="str">
        <f>"06/30/2013 23:45"</f>
        <v>06/30/2013 23:45</v>
      </c>
    </row>
    <row r="4293" spans="1:10" x14ac:dyDescent="0.3">
      <c r="A4293" t="s">
        <v>6</v>
      </c>
      <c r="B4293" t="str">
        <f>"07/01/2013 00:00"</f>
        <v>07/01/2013 00:00</v>
      </c>
      <c r="C4293">
        <v>302</v>
      </c>
      <c r="D4293" t="s">
        <v>7</v>
      </c>
      <c r="E4293" s="2" t="s">
        <v>12</v>
      </c>
      <c r="F4293">
        <f t="shared" si="67"/>
        <v>598.86599999999999</v>
      </c>
      <c r="G4293" t="s">
        <v>16</v>
      </c>
      <c r="J4293" t="str">
        <f>"07/01/2013 23:45"</f>
        <v>07/01/2013 23:45</v>
      </c>
    </row>
    <row r="4294" spans="1:10" x14ac:dyDescent="0.3">
      <c r="A4294" t="s">
        <v>6</v>
      </c>
      <c r="B4294" t="str">
        <f>"07/02/2013 00:00"</f>
        <v>07/02/2013 00:00</v>
      </c>
      <c r="C4294">
        <v>303</v>
      </c>
      <c r="D4294" t="s">
        <v>7</v>
      </c>
      <c r="E4294" s="2" t="s">
        <v>12</v>
      </c>
      <c r="F4294">
        <f t="shared" si="67"/>
        <v>600.84900000000005</v>
      </c>
      <c r="G4294" t="s">
        <v>16</v>
      </c>
      <c r="J4294" t="str">
        <f>"07/02/2013 23:45"</f>
        <v>07/02/2013 23:45</v>
      </c>
    </row>
    <row r="4295" spans="1:10" x14ac:dyDescent="0.3">
      <c r="A4295" t="s">
        <v>6</v>
      </c>
      <c r="B4295" t="str">
        <f>"07/03/2013 00:00"</f>
        <v>07/03/2013 00:00</v>
      </c>
      <c r="C4295">
        <v>264</v>
      </c>
      <c r="D4295" t="s">
        <v>7</v>
      </c>
      <c r="E4295" s="2" t="s">
        <v>12</v>
      </c>
      <c r="F4295">
        <f t="shared" si="67"/>
        <v>523.51200000000006</v>
      </c>
      <c r="G4295" t="s">
        <v>16</v>
      </c>
      <c r="J4295" t="str">
        <f>"07/03/2013 23:45"</f>
        <v>07/03/2013 23:45</v>
      </c>
    </row>
    <row r="4296" spans="1:10" x14ac:dyDescent="0.3">
      <c r="A4296" t="s">
        <v>6</v>
      </c>
      <c r="B4296" t="str">
        <f>"07/04/2013 00:00"</f>
        <v>07/04/2013 00:00</v>
      </c>
      <c r="C4296">
        <v>240</v>
      </c>
      <c r="D4296" t="s">
        <v>7</v>
      </c>
      <c r="E4296" s="2" t="s">
        <v>12</v>
      </c>
      <c r="F4296">
        <f t="shared" si="67"/>
        <v>475.92</v>
      </c>
      <c r="G4296" t="s">
        <v>16</v>
      </c>
      <c r="J4296" t="str">
        <f>"07/04/2013 23:45"</f>
        <v>07/04/2013 23:45</v>
      </c>
    </row>
    <row r="4297" spans="1:10" x14ac:dyDescent="0.3">
      <c r="A4297" t="s">
        <v>6</v>
      </c>
      <c r="B4297" t="str">
        <f>"07/05/2013 00:00"</f>
        <v>07/05/2013 00:00</v>
      </c>
      <c r="C4297">
        <v>254</v>
      </c>
      <c r="D4297" t="s">
        <v>7</v>
      </c>
      <c r="E4297" s="2" t="s">
        <v>12</v>
      </c>
      <c r="F4297">
        <f t="shared" si="67"/>
        <v>503.68200000000002</v>
      </c>
      <c r="G4297" t="s">
        <v>16</v>
      </c>
      <c r="J4297" t="str">
        <f>"07/05/2013 23:45"</f>
        <v>07/05/2013 23:45</v>
      </c>
    </row>
    <row r="4298" spans="1:10" x14ac:dyDescent="0.3">
      <c r="A4298" t="s">
        <v>6</v>
      </c>
      <c r="B4298" t="str">
        <f>"07/06/2013 00:00"</f>
        <v>07/06/2013 00:00</v>
      </c>
      <c r="C4298">
        <v>263</v>
      </c>
      <c r="D4298" t="s">
        <v>7</v>
      </c>
      <c r="E4298" s="2" t="s">
        <v>12</v>
      </c>
      <c r="F4298">
        <f t="shared" si="67"/>
        <v>521.529</v>
      </c>
      <c r="G4298" t="s">
        <v>16</v>
      </c>
      <c r="J4298" t="str">
        <f>"07/06/2013 23:45"</f>
        <v>07/06/2013 23:45</v>
      </c>
    </row>
    <row r="4299" spans="1:10" x14ac:dyDescent="0.3">
      <c r="A4299" t="s">
        <v>6</v>
      </c>
      <c r="B4299" t="str">
        <f>"07/07/2013 00:00"</f>
        <v>07/07/2013 00:00</v>
      </c>
      <c r="C4299">
        <v>264</v>
      </c>
      <c r="D4299" t="s">
        <v>7</v>
      </c>
      <c r="E4299" s="2" t="s">
        <v>12</v>
      </c>
      <c r="F4299">
        <f t="shared" si="67"/>
        <v>523.51200000000006</v>
      </c>
      <c r="G4299" t="s">
        <v>16</v>
      </c>
      <c r="J4299" t="str">
        <f>"07/07/2013 23:45"</f>
        <v>07/07/2013 23:45</v>
      </c>
    </row>
    <row r="4300" spans="1:10" x14ac:dyDescent="0.3">
      <c r="A4300" t="s">
        <v>6</v>
      </c>
      <c r="B4300" t="str">
        <f>"07/08/2013 00:00"</f>
        <v>07/08/2013 00:00</v>
      </c>
      <c r="C4300">
        <v>264</v>
      </c>
      <c r="D4300" t="s">
        <v>7</v>
      </c>
      <c r="E4300" s="2" t="s">
        <v>12</v>
      </c>
      <c r="F4300">
        <f t="shared" si="67"/>
        <v>523.51200000000006</v>
      </c>
      <c r="G4300" t="s">
        <v>16</v>
      </c>
      <c r="J4300" t="str">
        <f>"07/08/2013 23:45"</f>
        <v>07/08/2013 23:45</v>
      </c>
    </row>
    <row r="4301" spans="1:10" x14ac:dyDescent="0.3">
      <c r="A4301" t="s">
        <v>6</v>
      </c>
      <c r="B4301" t="str">
        <f>"07/09/2013 00:00"</f>
        <v>07/09/2013 00:00</v>
      </c>
      <c r="C4301">
        <v>264</v>
      </c>
      <c r="D4301" t="s">
        <v>7</v>
      </c>
      <c r="E4301" s="2" t="s">
        <v>12</v>
      </c>
      <c r="F4301">
        <f t="shared" si="67"/>
        <v>523.51200000000006</v>
      </c>
      <c r="G4301" t="s">
        <v>16</v>
      </c>
      <c r="J4301" t="str">
        <f>"07/09/2013 23:45"</f>
        <v>07/09/2013 23:45</v>
      </c>
    </row>
    <row r="4302" spans="1:10" x14ac:dyDescent="0.3">
      <c r="A4302" t="s">
        <v>6</v>
      </c>
      <c r="B4302" t="str">
        <f>"07/10/2013 00:00"</f>
        <v>07/10/2013 00:00</v>
      </c>
      <c r="C4302">
        <v>265</v>
      </c>
      <c r="D4302" t="s">
        <v>7</v>
      </c>
      <c r="E4302" s="2" t="s">
        <v>12</v>
      </c>
      <c r="F4302">
        <f t="shared" si="67"/>
        <v>525.495</v>
      </c>
      <c r="G4302" t="s">
        <v>16</v>
      </c>
      <c r="J4302" t="str">
        <f>"07/10/2013 23:45"</f>
        <v>07/10/2013 23:45</v>
      </c>
    </row>
    <row r="4303" spans="1:10" x14ac:dyDescent="0.3">
      <c r="A4303" t="s">
        <v>6</v>
      </c>
      <c r="B4303" t="str">
        <f>"07/11/2013 00:00"</f>
        <v>07/11/2013 00:00</v>
      </c>
      <c r="C4303">
        <v>265</v>
      </c>
      <c r="D4303" t="s">
        <v>7</v>
      </c>
      <c r="E4303" s="2" t="s">
        <v>12</v>
      </c>
      <c r="F4303">
        <f t="shared" si="67"/>
        <v>525.495</v>
      </c>
      <c r="G4303" t="s">
        <v>16</v>
      </c>
      <c r="J4303" t="str">
        <f>"07/11/2013 23:45"</f>
        <v>07/11/2013 23:45</v>
      </c>
    </row>
    <row r="4304" spans="1:10" x14ac:dyDescent="0.3">
      <c r="A4304" t="s">
        <v>6</v>
      </c>
      <c r="B4304" t="str">
        <f>"07/12/2013 00:00"</f>
        <v>07/12/2013 00:00</v>
      </c>
      <c r="C4304">
        <v>265</v>
      </c>
      <c r="D4304" t="s">
        <v>7</v>
      </c>
      <c r="E4304" s="2" t="s">
        <v>12</v>
      </c>
      <c r="F4304">
        <f t="shared" si="67"/>
        <v>525.495</v>
      </c>
      <c r="G4304" t="s">
        <v>16</v>
      </c>
      <c r="J4304" t="str">
        <f>"07/12/2013 23:45"</f>
        <v>07/12/2013 23:45</v>
      </c>
    </row>
    <row r="4305" spans="1:10" x14ac:dyDescent="0.3">
      <c r="A4305" t="s">
        <v>6</v>
      </c>
      <c r="B4305" t="str">
        <f>"07/13/2013 00:00"</f>
        <v>07/13/2013 00:00</v>
      </c>
      <c r="C4305">
        <v>265</v>
      </c>
      <c r="D4305" t="s">
        <v>7</v>
      </c>
      <c r="E4305" s="2" t="s">
        <v>12</v>
      </c>
      <c r="F4305">
        <f t="shared" si="67"/>
        <v>525.495</v>
      </c>
      <c r="G4305" t="s">
        <v>16</v>
      </c>
      <c r="J4305" t="str">
        <f>"07/13/2013 23:45"</f>
        <v>07/13/2013 23:45</v>
      </c>
    </row>
    <row r="4306" spans="1:10" x14ac:dyDescent="0.3">
      <c r="A4306" t="s">
        <v>6</v>
      </c>
      <c r="B4306" t="str">
        <f>"07/14/2013 00:00"</f>
        <v>07/14/2013 00:00</v>
      </c>
      <c r="C4306">
        <v>192</v>
      </c>
      <c r="D4306" t="s">
        <v>7</v>
      </c>
      <c r="E4306" s="2" t="s">
        <v>12</v>
      </c>
      <c r="F4306">
        <f t="shared" si="67"/>
        <v>380.73599999999999</v>
      </c>
      <c r="G4306" t="s">
        <v>16</v>
      </c>
      <c r="J4306" t="str">
        <f>"07/14/2013 23:45"</f>
        <v>07/14/2013 23:45</v>
      </c>
    </row>
    <row r="4307" spans="1:10" x14ac:dyDescent="0.3">
      <c r="A4307" t="s">
        <v>6</v>
      </c>
      <c r="B4307" t="str">
        <f>"07/15/2013 00:00"</f>
        <v>07/15/2013 00:00</v>
      </c>
      <c r="C4307">
        <v>149</v>
      </c>
      <c r="D4307" t="s">
        <v>7</v>
      </c>
      <c r="E4307" s="2" t="s">
        <v>12</v>
      </c>
      <c r="F4307">
        <f t="shared" si="67"/>
        <v>295.46700000000004</v>
      </c>
      <c r="G4307" t="s">
        <v>16</v>
      </c>
      <c r="J4307" t="str">
        <f>"07/15/2013 23:45"</f>
        <v>07/15/2013 23:45</v>
      </c>
    </row>
    <row r="4308" spans="1:10" x14ac:dyDescent="0.3">
      <c r="A4308" t="s">
        <v>6</v>
      </c>
      <c r="B4308" t="str">
        <f>"07/16/2013 00:00"</f>
        <v>07/16/2013 00:00</v>
      </c>
      <c r="C4308">
        <v>129</v>
      </c>
      <c r="D4308" t="s">
        <v>7</v>
      </c>
      <c r="E4308" s="2" t="s">
        <v>12</v>
      </c>
      <c r="F4308">
        <f t="shared" si="67"/>
        <v>255.80700000000002</v>
      </c>
      <c r="G4308" t="s">
        <v>16</v>
      </c>
      <c r="J4308" t="str">
        <f>"07/16/2013 23:45"</f>
        <v>07/16/2013 23:45</v>
      </c>
    </row>
    <row r="4309" spans="1:10" x14ac:dyDescent="0.3">
      <c r="A4309" t="s">
        <v>6</v>
      </c>
      <c r="B4309" t="str">
        <f>"07/17/2013 00:00"</f>
        <v>07/17/2013 00:00</v>
      </c>
      <c r="C4309">
        <v>164</v>
      </c>
      <c r="D4309" t="s">
        <v>7</v>
      </c>
      <c r="E4309" s="2" t="s">
        <v>12</v>
      </c>
      <c r="F4309">
        <f t="shared" si="67"/>
        <v>325.21199999999999</v>
      </c>
      <c r="G4309" t="s">
        <v>16</v>
      </c>
      <c r="J4309" t="str">
        <f>"07/17/2013 23:45"</f>
        <v>07/17/2013 23:45</v>
      </c>
    </row>
    <row r="4310" spans="1:10" x14ac:dyDescent="0.3">
      <c r="A4310" t="s">
        <v>6</v>
      </c>
      <c r="B4310" t="str">
        <f>"07/18/2013 00:00"</f>
        <v>07/18/2013 00:00</v>
      </c>
      <c r="C4310">
        <v>229</v>
      </c>
      <c r="D4310" t="s">
        <v>7</v>
      </c>
      <c r="E4310" s="2" t="s">
        <v>12</v>
      </c>
      <c r="F4310">
        <f t="shared" si="67"/>
        <v>454.10700000000003</v>
      </c>
      <c r="G4310" t="s">
        <v>16</v>
      </c>
      <c r="J4310" t="str">
        <f>"07/18/2013 23:45"</f>
        <v>07/18/2013 23:45</v>
      </c>
    </row>
    <row r="4311" spans="1:10" x14ac:dyDescent="0.3">
      <c r="A4311" t="s">
        <v>6</v>
      </c>
      <c r="B4311" t="str">
        <f>"07/19/2013 00:00"</f>
        <v>07/19/2013 00:00</v>
      </c>
      <c r="C4311">
        <v>250</v>
      </c>
      <c r="D4311" t="s">
        <v>7</v>
      </c>
      <c r="E4311" s="2" t="s">
        <v>12</v>
      </c>
      <c r="F4311">
        <f t="shared" si="67"/>
        <v>495.75</v>
      </c>
      <c r="G4311" t="s">
        <v>16</v>
      </c>
      <c r="J4311" t="str">
        <f>"07/19/2013 23:45"</f>
        <v>07/19/2013 23:45</v>
      </c>
    </row>
    <row r="4312" spans="1:10" x14ac:dyDescent="0.3">
      <c r="A4312" t="s">
        <v>6</v>
      </c>
      <c r="B4312" t="str">
        <f>"07/20/2013 00:00"</f>
        <v>07/20/2013 00:00</v>
      </c>
      <c r="C4312">
        <v>249</v>
      </c>
      <c r="D4312" t="s">
        <v>7</v>
      </c>
      <c r="E4312" s="2" t="s">
        <v>12</v>
      </c>
      <c r="F4312">
        <f t="shared" si="67"/>
        <v>493.767</v>
      </c>
      <c r="G4312" t="s">
        <v>16</v>
      </c>
      <c r="J4312" t="str">
        <f>"07/20/2013 23:45"</f>
        <v>07/20/2013 23:45</v>
      </c>
    </row>
    <row r="4313" spans="1:10" x14ac:dyDescent="0.3">
      <c r="A4313" t="s">
        <v>6</v>
      </c>
      <c r="B4313" t="str">
        <f>"07/21/2013 00:00"</f>
        <v>07/21/2013 00:00</v>
      </c>
      <c r="C4313">
        <v>250</v>
      </c>
      <c r="D4313" t="s">
        <v>7</v>
      </c>
      <c r="E4313" s="2" t="s">
        <v>12</v>
      </c>
      <c r="F4313">
        <f t="shared" si="67"/>
        <v>495.75</v>
      </c>
      <c r="G4313" t="s">
        <v>16</v>
      </c>
      <c r="J4313" t="str">
        <f>"07/21/2013 23:45"</f>
        <v>07/21/2013 23:45</v>
      </c>
    </row>
    <row r="4314" spans="1:10" x14ac:dyDescent="0.3">
      <c r="A4314" t="s">
        <v>6</v>
      </c>
      <c r="B4314" t="str">
        <f>"07/22/2013 00:00"</f>
        <v>07/22/2013 00:00</v>
      </c>
      <c r="C4314">
        <v>223</v>
      </c>
      <c r="D4314" t="s">
        <v>7</v>
      </c>
      <c r="E4314" s="2" t="s">
        <v>12</v>
      </c>
      <c r="F4314">
        <f t="shared" si="67"/>
        <v>442.209</v>
      </c>
      <c r="G4314" t="s">
        <v>16</v>
      </c>
      <c r="J4314" t="str">
        <f>"07/22/2013 23:45"</f>
        <v>07/22/2013 23:45</v>
      </c>
    </row>
    <row r="4315" spans="1:10" x14ac:dyDescent="0.3">
      <c r="A4315" t="s">
        <v>6</v>
      </c>
      <c r="B4315" t="str">
        <f>"07/23/2013 00:00"</f>
        <v>07/23/2013 00:00</v>
      </c>
      <c r="C4315">
        <v>200</v>
      </c>
      <c r="D4315" t="s">
        <v>7</v>
      </c>
      <c r="E4315" s="2" t="s">
        <v>12</v>
      </c>
      <c r="F4315">
        <f t="shared" si="67"/>
        <v>396.6</v>
      </c>
      <c r="G4315" t="s">
        <v>16</v>
      </c>
      <c r="J4315" t="str">
        <f>"07/23/2013 23:45"</f>
        <v>07/23/2013 23:45</v>
      </c>
    </row>
    <row r="4316" spans="1:10" x14ac:dyDescent="0.3">
      <c r="A4316" t="s">
        <v>6</v>
      </c>
      <c r="B4316" t="str">
        <f>"07/24/2013 00:00"</f>
        <v>07/24/2013 00:00</v>
      </c>
      <c r="C4316">
        <v>230</v>
      </c>
      <c r="D4316" t="s">
        <v>7</v>
      </c>
      <c r="E4316" s="2" t="s">
        <v>12</v>
      </c>
      <c r="F4316">
        <f t="shared" si="67"/>
        <v>456.09000000000003</v>
      </c>
      <c r="G4316" t="s">
        <v>16</v>
      </c>
      <c r="J4316" t="str">
        <f>"07/24/2013 23:45"</f>
        <v>07/24/2013 23:45</v>
      </c>
    </row>
    <row r="4317" spans="1:10" x14ac:dyDescent="0.3">
      <c r="A4317" t="s">
        <v>6</v>
      </c>
      <c r="B4317" t="str">
        <f>"07/25/2013 00:00"</f>
        <v>07/25/2013 00:00</v>
      </c>
      <c r="C4317">
        <v>234</v>
      </c>
      <c r="D4317" t="s">
        <v>7</v>
      </c>
      <c r="E4317" s="2" t="s">
        <v>12</v>
      </c>
      <c r="F4317">
        <f t="shared" si="67"/>
        <v>464.02200000000005</v>
      </c>
      <c r="G4317" t="s">
        <v>16</v>
      </c>
      <c r="J4317" t="str">
        <f>"07/25/2013 23:45"</f>
        <v>07/25/2013 23:45</v>
      </c>
    </row>
    <row r="4318" spans="1:10" x14ac:dyDescent="0.3">
      <c r="A4318" t="s">
        <v>6</v>
      </c>
      <c r="B4318" t="str">
        <f>"07/26/2013 00:00"</f>
        <v>07/26/2013 00:00</v>
      </c>
      <c r="C4318">
        <v>188</v>
      </c>
      <c r="D4318" t="s">
        <v>7</v>
      </c>
      <c r="E4318" s="2" t="s">
        <v>12</v>
      </c>
      <c r="F4318">
        <f t="shared" si="67"/>
        <v>372.80400000000003</v>
      </c>
      <c r="G4318" t="s">
        <v>16</v>
      </c>
      <c r="J4318" t="str">
        <f>"07/26/2013 23:45"</f>
        <v>07/26/2013 23:45</v>
      </c>
    </row>
    <row r="4319" spans="1:10" x14ac:dyDescent="0.3">
      <c r="A4319" t="s">
        <v>6</v>
      </c>
      <c r="B4319" t="str">
        <f>"07/27/2013 00:00"</f>
        <v>07/27/2013 00:00</v>
      </c>
      <c r="C4319">
        <v>177</v>
      </c>
      <c r="D4319" t="s">
        <v>7</v>
      </c>
      <c r="E4319" s="2" t="s">
        <v>12</v>
      </c>
      <c r="F4319">
        <f t="shared" si="67"/>
        <v>350.99100000000004</v>
      </c>
      <c r="G4319" t="s">
        <v>16</v>
      </c>
      <c r="J4319" t="str">
        <f>"07/27/2013 23:45"</f>
        <v>07/27/2013 23:45</v>
      </c>
    </row>
    <row r="4320" spans="1:10" x14ac:dyDescent="0.3">
      <c r="A4320" t="s">
        <v>6</v>
      </c>
      <c r="B4320" t="str">
        <f>"07/28/2013 00:00"</f>
        <v>07/28/2013 00:00</v>
      </c>
      <c r="C4320">
        <v>176</v>
      </c>
      <c r="D4320" t="s">
        <v>7</v>
      </c>
      <c r="E4320" s="2" t="s">
        <v>12</v>
      </c>
      <c r="F4320">
        <f t="shared" si="67"/>
        <v>349.00800000000004</v>
      </c>
      <c r="G4320" t="s">
        <v>16</v>
      </c>
      <c r="J4320" t="str">
        <f>"07/28/2013 23:45"</f>
        <v>07/28/2013 23:45</v>
      </c>
    </row>
    <row r="4321" spans="1:10" x14ac:dyDescent="0.3">
      <c r="A4321" t="s">
        <v>6</v>
      </c>
      <c r="B4321" t="str">
        <f>"07/29/2013 00:00"</f>
        <v>07/29/2013 00:00</v>
      </c>
      <c r="C4321">
        <v>176</v>
      </c>
      <c r="D4321" t="s">
        <v>7</v>
      </c>
      <c r="E4321" s="2" t="s">
        <v>12</v>
      </c>
      <c r="F4321">
        <f t="shared" si="67"/>
        <v>349.00800000000004</v>
      </c>
      <c r="G4321" t="s">
        <v>16</v>
      </c>
      <c r="J4321" t="str">
        <f>"07/29/2013 23:45"</f>
        <v>07/29/2013 23:45</v>
      </c>
    </row>
    <row r="4322" spans="1:10" x14ac:dyDescent="0.3">
      <c r="A4322" t="s">
        <v>6</v>
      </c>
      <c r="B4322" t="str">
        <f>"07/30/2013 00:00"</f>
        <v>07/30/2013 00:00</v>
      </c>
      <c r="C4322">
        <v>143</v>
      </c>
      <c r="D4322" t="s">
        <v>7</v>
      </c>
      <c r="E4322" s="2" t="s">
        <v>12</v>
      </c>
      <c r="F4322">
        <f t="shared" si="67"/>
        <v>283.56900000000002</v>
      </c>
      <c r="G4322" t="s">
        <v>16</v>
      </c>
      <c r="J4322" t="str">
        <f>"07/30/2013 23:45"</f>
        <v>07/30/2013 23:45</v>
      </c>
    </row>
    <row r="4323" spans="1:10" x14ac:dyDescent="0.3">
      <c r="A4323" t="s">
        <v>6</v>
      </c>
      <c r="B4323" t="str">
        <f>"07/31/2013 00:00"</f>
        <v>07/31/2013 00:00</v>
      </c>
      <c r="C4323">
        <v>170</v>
      </c>
      <c r="D4323" t="s">
        <v>7</v>
      </c>
      <c r="E4323" s="2" t="s">
        <v>12</v>
      </c>
      <c r="F4323">
        <f t="shared" si="67"/>
        <v>337.11</v>
      </c>
      <c r="G4323" t="s">
        <v>16</v>
      </c>
      <c r="J4323" t="str">
        <f>"07/31/2013 23:45"</f>
        <v>07/31/2013 23:45</v>
      </c>
    </row>
    <row r="4324" spans="1:10" x14ac:dyDescent="0.3">
      <c r="A4324" t="s">
        <v>6</v>
      </c>
      <c r="B4324" t="str">
        <f>"08/01/2013 00:00"</f>
        <v>08/01/2013 00:00</v>
      </c>
      <c r="C4324">
        <v>229</v>
      </c>
      <c r="D4324" t="s">
        <v>7</v>
      </c>
      <c r="E4324" s="2" t="s">
        <v>12</v>
      </c>
      <c r="F4324">
        <f t="shared" si="67"/>
        <v>454.10700000000003</v>
      </c>
      <c r="G4324" t="s">
        <v>16</v>
      </c>
      <c r="J4324" t="str">
        <f>"08/01/2013 23:45"</f>
        <v>08/01/2013 23:45</v>
      </c>
    </row>
    <row r="4325" spans="1:10" x14ac:dyDescent="0.3">
      <c r="A4325" t="s">
        <v>6</v>
      </c>
      <c r="B4325" t="str">
        <f>"08/02/2013 00:00"</f>
        <v>08/02/2013 00:00</v>
      </c>
      <c r="C4325">
        <v>248</v>
      </c>
      <c r="D4325" t="s">
        <v>7</v>
      </c>
      <c r="E4325" s="2" t="s">
        <v>12</v>
      </c>
      <c r="F4325">
        <f t="shared" si="67"/>
        <v>491.78400000000005</v>
      </c>
      <c r="G4325" t="s">
        <v>16</v>
      </c>
      <c r="J4325" t="str">
        <f>"08/02/2013 23:45"</f>
        <v>08/02/2013 23:45</v>
      </c>
    </row>
    <row r="4326" spans="1:10" x14ac:dyDescent="0.3">
      <c r="A4326" t="s">
        <v>6</v>
      </c>
      <c r="B4326" t="str">
        <f>"08/03/2013 00:00"</f>
        <v>08/03/2013 00:00</v>
      </c>
      <c r="C4326">
        <v>248</v>
      </c>
      <c r="D4326" t="s">
        <v>7</v>
      </c>
      <c r="E4326" s="2" t="s">
        <v>12</v>
      </c>
      <c r="F4326">
        <f t="shared" si="67"/>
        <v>491.78400000000005</v>
      </c>
      <c r="G4326" t="s">
        <v>16</v>
      </c>
      <c r="J4326" t="str">
        <f>"08/03/2013 23:45"</f>
        <v>08/03/2013 23:45</v>
      </c>
    </row>
    <row r="4327" spans="1:10" x14ac:dyDescent="0.3">
      <c r="A4327" t="s">
        <v>6</v>
      </c>
      <c r="B4327" t="str">
        <f>"08/04/2013 00:00"</f>
        <v>08/04/2013 00:00</v>
      </c>
      <c r="C4327">
        <v>248</v>
      </c>
      <c r="D4327" t="s">
        <v>7</v>
      </c>
      <c r="E4327" s="2" t="s">
        <v>12</v>
      </c>
      <c r="F4327">
        <f t="shared" si="67"/>
        <v>491.78400000000005</v>
      </c>
      <c r="G4327" t="s">
        <v>16</v>
      </c>
      <c r="J4327" t="str">
        <f>"08/04/2013 23:45"</f>
        <v>08/04/2013 23:45</v>
      </c>
    </row>
    <row r="4328" spans="1:10" x14ac:dyDescent="0.3">
      <c r="A4328" t="s">
        <v>6</v>
      </c>
      <c r="B4328" t="str">
        <f>"08/05/2013 00:00"</f>
        <v>08/05/2013 00:00</v>
      </c>
      <c r="C4328">
        <v>221</v>
      </c>
      <c r="D4328" t="s">
        <v>7</v>
      </c>
      <c r="E4328" s="2" t="s">
        <v>12</v>
      </c>
      <c r="F4328">
        <f t="shared" si="67"/>
        <v>438.24299999999999</v>
      </c>
      <c r="G4328" t="s">
        <v>16</v>
      </c>
      <c r="J4328" t="str">
        <f>"08/05/2013 23:45"</f>
        <v>08/05/2013 23:45</v>
      </c>
    </row>
    <row r="4329" spans="1:10" x14ac:dyDescent="0.3">
      <c r="A4329" t="s">
        <v>6</v>
      </c>
      <c r="B4329" t="str">
        <f>"08/06/2013 00:00"</f>
        <v>08/06/2013 00:00</v>
      </c>
      <c r="C4329">
        <v>201</v>
      </c>
      <c r="D4329" t="s">
        <v>7</v>
      </c>
      <c r="E4329" s="2" t="s">
        <v>12</v>
      </c>
      <c r="F4329">
        <f t="shared" si="67"/>
        <v>398.58300000000003</v>
      </c>
      <c r="G4329" t="s">
        <v>16</v>
      </c>
      <c r="J4329" t="str">
        <f>"08/06/2013 23:45"</f>
        <v>08/06/2013 23:45</v>
      </c>
    </row>
    <row r="4330" spans="1:10" x14ac:dyDescent="0.3">
      <c r="A4330" t="s">
        <v>6</v>
      </c>
      <c r="B4330" t="str">
        <f>"08/07/2013 00:00"</f>
        <v>08/07/2013 00:00</v>
      </c>
      <c r="C4330">
        <v>175</v>
      </c>
      <c r="D4330" t="s">
        <v>7</v>
      </c>
      <c r="E4330" s="2" t="s">
        <v>12</v>
      </c>
      <c r="F4330">
        <f t="shared" si="67"/>
        <v>347.02500000000003</v>
      </c>
      <c r="G4330" t="s">
        <v>16</v>
      </c>
      <c r="J4330" t="str">
        <f>"08/07/2013 23:45"</f>
        <v>08/07/2013 23:45</v>
      </c>
    </row>
    <row r="4331" spans="1:10" x14ac:dyDescent="0.3">
      <c r="A4331" t="s">
        <v>6</v>
      </c>
      <c r="B4331" t="str">
        <f>"08/08/2013 00:00"</f>
        <v>08/08/2013 00:00</v>
      </c>
      <c r="C4331">
        <v>236</v>
      </c>
      <c r="D4331" t="s">
        <v>7</v>
      </c>
      <c r="E4331" s="2" t="s">
        <v>12</v>
      </c>
      <c r="F4331">
        <f t="shared" si="67"/>
        <v>467.988</v>
      </c>
      <c r="G4331" t="s">
        <v>16</v>
      </c>
      <c r="J4331" t="str">
        <f>"08/08/2013 23:45"</f>
        <v>08/08/2013 23:45</v>
      </c>
    </row>
    <row r="4332" spans="1:10" x14ac:dyDescent="0.3">
      <c r="A4332" t="s">
        <v>6</v>
      </c>
      <c r="B4332" t="str">
        <f>"08/09/2013 00:00"</f>
        <v>08/09/2013 00:00</v>
      </c>
      <c r="C4332">
        <v>361</v>
      </c>
      <c r="D4332" t="s">
        <v>7</v>
      </c>
      <c r="E4332" s="2" t="s">
        <v>12</v>
      </c>
      <c r="F4332">
        <f t="shared" si="67"/>
        <v>715.86300000000006</v>
      </c>
      <c r="G4332" t="s">
        <v>16</v>
      </c>
      <c r="J4332" t="str">
        <f>"08/09/2013 23:45"</f>
        <v>08/09/2013 23:45</v>
      </c>
    </row>
    <row r="4333" spans="1:10" x14ac:dyDescent="0.3">
      <c r="A4333" t="s">
        <v>6</v>
      </c>
      <c r="B4333" t="str">
        <f>"08/10/2013 00:00"</f>
        <v>08/10/2013 00:00</v>
      </c>
      <c r="C4333">
        <v>374</v>
      </c>
      <c r="D4333" t="s">
        <v>7</v>
      </c>
      <c r="E4333" s="2" t="s">
        <v>12</v>
      </c>
      <c r="F4333">
        <f t="shared" si="67"/>
        <v>741.64200000000005</v>
      </c>
      <c r="G4333" t="s">
        <v>16</v>
      </c>
      <c r="J4333" t="str">
        <f>"08/10/2013 23:45"</f>
        <v>08/10/2013 23:45</v>
      </c>
    </row>
    <row r="4334" spans="1:10" x14ac:dyDescent="0.3">
      <c r="A4334" t="s">
        <v>6</v>
      </c>
      <c r="B4334" t="str">
        <f>"08/11/2013 00:00"</f>
        <v>08/11/2013 00:00</v>
      </c>
      <c r="C4334">
        <v>355</v>
      </c>
      <c r="D4334" t="s">
        <v>7</v>
      </c>
      <c r="E4334" s="2" t="s">
        <v>12</v>
      </c>
      <c r="F4334">
        <f t="shared" si="67"/>
        <v>703.96500000000003</v>
      </c>
      <c r="G4334" t="s">
        <v>16</v>
      </c>
      <c r="J4334" t="str">
        <f>"08/11/2013 23:45"</f>
        <v>08/11/2013 23:45</v>
      </c>
    </row>
    <row r="4335" spans="1:10" x14ac:dyDescent="0.3">
      <c r="A4335" t="s">
        <v>6</v>
      </c>
      <c r="B4335" t="str">
        <f>"08/12/2013 00:00"</f>
        <v>08/12/2013 00:00</v>
      </c>
      <c r="C4335">
        <v>297</v>
      </c>
      <c r="D4335" t="s">
        <v>7</v>
      </c>
      <c r="E4335" s="2" t="s">
        <v>12</v>
      </c>
      <c r="F4335">
        <f t="shared" si="67"/>
        <v>588.95100000000002</v>
      </c>
      <c r="G4335" t="s">
        <v>16</v>
      </c>
      <c r="J4335" t="str">
        <f>"08/12/2013 23:45"</f>
        <v>08/12/2013 23:45</v>
      </c>
    </row>
    <row r="4336" spans="1:10" x14ac:dyDescent="0.3">
      <c r="A4336" t="s">
        <v>6</v>
      </c>
      <c r="B4336" t="str">
        <f>"08/13/2013 00:00"</f>
        <v>08/13/2013 00:00</v>
      </c>
      <c r="C4336">
        <v>228</v>
      </c>
      <c r="D4336" t="s">
        <v>7</v>
      </c>
      <c r="E4336" s="2" t="s">
        <v>12</v>
      </c>
      <c r="F4336">
        <f t="shared" si="67"/>
        <v>452.12400000000002</v>
      </c>
      <c r="G4336" t="s">
        <v>16</v>
      </c>
      <c r="J4336" t="str">
        <f>"08/13/2013 23:45"</f>
        <v>08/13/2013 23:45</v>
      </c>
    </row>
    <row r="4337" spans="1:10" x14ac:dyDescent="0.3">
      <c r="A4337" t="s">
        <v>6</v>
      </c>
      <c r="B4337" t="str">
        <f>"08/14/2013 00:00"</f>
        <v>08/14/2013 00:00</v>
      </c>
      <c r="C4337">
        <v>199</v>
      </c>
      <c r="D4337" t="s">
        <v>7</v>
      </c>
      <c r="E4337" s="2" t="s">
        <v>12</v>
      </c>
      <c r="F4337">
        <f t="shared" si="67"/>
        <v>394.61700000000002</v>
      </c>
      <c r="G4337" t="s">
        <v>16</v>
      </c>
      <c r="J4337" t="str">
        <f>"08/14/2013 23:45"</f>
        <v>08/14/2013 23:45</v>
      </c>
    </row>
    <row r="4338" spans="1:10" x14ac:dyDescent="0.3">
      <c r="A4338" t="s">
        <v>6</v>
      </c>
      <c r="B4338" t="str">
        <f>"08/15/2013 00:00"</f>
        <v>08/15/2013 00:00</v>
      </c>
      <c r="C4338">
        <v>199</v>
      </c>
      <c r="D4338" t="s">
        <v>7</v>
      </c>
      <c r="E4338" s="2" t="s">
        <v>12</v>
      </c>
      <c r="F4338">
        <f t="shared" si="67"/>
        <v>394.61700000000002</v>
      </c>
      <c r="G4338" t="s">
        <v>16</v>
      </c>
      <c r="J4338" t="str">
        <f>"08/15/2013 23:45"</f>
        <v>08/15/2013 23:45</v>
      </c>
    </row>
    <row r="4339" spans="1:10" x14ac:dyDescent="0.3">
      <c r="A4339" t="s">
        <v>6</v>
      </c>
      <c r="B4339" t="str">
        <f>"08/16/2013 00:00"</f>
        <v>08/16/2013 00:00</v>
      </c>
      <c r="C4339">
        <v>169</v>
      </c>
      <c r="D4339" t="s">
        <v>7</v>
      </c>
      <c r="E4339" s="2" t="s">
        <v>12</v>
      </c>
      <c r="F4339">
        <f t="shared" si="67"/>
        <v>335.12700000000001</v>
      </c>
      <c r="G4339" t="s">
        <v>16</v>
      </c>
      <c r="J4339" t="str">
        <f>"08/16/2013 23:45"</f>
        <v>08/16/2013 23:45</v>
      </c>
    </row>
    <row r="4340" spans="1:10" x14ac:dyDescent="0.3">
      <c r="A4340" t="s">
        <v>6</v>
      </c>
      <c r="B4340" t="str">
        <f>"08/17/2013 00:00"</f>
        <v>08/17/2013 00:00</v>
      </c>
      <c r="C4340">
        <v>154</v>
      </c>
      <c r="D4340" t="s">
        <v>7</v>
      </c>
      <c r="E4340" s="2" t="s">
        <v>12</v>
      </c>
      <c r="F4340">
        <f t="shared" si="67"/>
        <v>305.38200000000001</v>
      </c>
      <c r="G4340" t="s">
        <v>16</v>
      </c>
      <c r="J4340" t="str">
        <f>"08/17/2013 23:45"</f>
        <v>08/17/2013 23:45</v>
      </c>
    </row>
    <row r="4341" spans="1:10" x14ac:dyDescent="0.3">
      <c r="A4341" t="s">
        <v>6</v>
      </c>
      <c r="B4341" t="str">
        <f>"08/18/2013 00:00"</f>
        <v>08/18/2013 00:00</v>
      </c>
      <c r="C4341">
        <v>152</v>
      </c>
      <c r="D4341" t="s">
        <v>7</v>
      </c>
      <c r="E4341" s="2" t="s">
        <v>12</v>
      </c>
      <c r="F4341">
        <f t="shared" si="67"/>
        <v>301.416</v>
      </c>
      <c r="G4341" t="s">
        <v>16</v>
      </c>
      <c r="J4341" t="str">
        <f>"08/18/2013 23:45"</f>
        <v>08/18/2013 23:45</v>
      </c>
    </row>
    <row r="4342" spans="1:10" x14ac:dyDescent="0.3">
      <c r="A4342" t="s">
        <v>6</v>
      </c>
      <c r="B4342" t="str">
        <f>"08/19/2013 00:00"</f>
        <v>08/19/2013 00:00</v>
      </c>
      <c r="C4342">
        <v>180</v>
      </c>
      <c r="D4342" t="s">
        <v>7</v>
      </c>
      <c r="E4342" s="2" t="s">
        <v>12</v>
      </c>
      <c r="F4342">
        <f t="shared" si="67"/>
        <v>356.94</v>
      </c>
      <c r="G4342" t="s">
        <v>16</v>
      </c>
      <c r="J4342" t="str">
        <f>"08/19/2013 23:45"</f>
        <v>08/19/2013 23:45</v>
      </c>
    </row>
    <row r="4343" spans="1:10" x14ac:dyDescent="0.3">
      <c r="A4343" t="s">
        <v>6</v>
      </c>
      <c r="B4343" t="str">
        <f>"08/20/2013 00:00"</f>
        <v>08/20/2013 00:00</v>
      </c>
      <c r="C4343">
        <v>178</v>
      </c>
      <c r="D4343" t="s">
        <v>7</v>
      </c>
      <c r="E4343" s="2" t="s">
        <v>12</v>
      </c>
      <c r="F4343">
        <f t="shared" si="67"/>
        <v>352.97399999999999</v>
      </c>
      <c r="G4343" t="s">
        <v>16</v>
      </c>
      <c r="J4343" t="str">
        <f>"08/20/2013 23:45"</f>
        <v>08/20/2013 23:45</v>
      </c>
    </row>
    <row r="4344" spans="1:10" x14ac:dyDescent="0.3">
      <c r="A4344" t="s">
        <v>6</v>
      </c>
      <c r="B4344" t="str">
        <f>"08/21/2013 00:00"</f>
        <v>08/21/2013 00:00</v>
      </c>
      <c r="C4344">
        <v>152</v>
      </c>
      <c r="D4344" t="s">
        <v>7</v>
      </c>
      <c r="E4344" s="2" t="s">
        <v>12</v>
      </c>
      <c r="F4344">
        <f t="shared" si="67"/>
        <v>301.416</v>
      </c>
      <c r="G4344" t="s">
        <v>16</v>
      </c>
      <c r="J4344" t="str">
        <f>"08/21/2013 23:45"</f>
        <v>08/21/2013 23:45</v>
      </c>
    </row>
    <row r="4345" spans="1:10" x14ac:dyDescent="0.3">
      <c r="A4345" t="s">
        <v>6</v>
      </c>
      <c r="B4345" t="str">
        <f>"08/22/2013 00:00"</f>
        <v>08/22/2013 00:00</v>
      </c>
      <c r="C4345">
        <v>150</v>
      </c>
      <c r="D4345" t="s">
        <v>7</v>
      </c>
      <c r="E4345" s="2" t="s">
        <v>12</v>
      </c>
      <c r="F4345">
        <f t="shared" si="67"/>
        <v>297.45</v>
      </c>
      <c r="G4345" t="s">
        <v>16</v>
      </c>
      <c r="J4345" t="str">
        <f>"08/22/2013 23:45"</f>
        <v>08/22/2013 23:45</v>
      </c>
    </row>
    <row r="4346" spans="1:10" x14ac:dyDescent="0.3">
      <c r="A4346" t="s">
        <v>6</v>
      </c>
      <c r="B4346" t="str">
        <f>"08/23/2013 00:00"</f>
        <v>08/23/2013 00:00</v>
      </c>
      <c r="C4346">
        <v>119</v>
      </c>
      <c r="D4346" t="s">
        <v>7</v>
      </c>
      <c r="E4346" s="2" t="s">
        <v>12</v>
      </c>
      <c r="F4346">
        <f t="shared" si="67"/>
        <v>235.977</v>
      </c>
      <c r="G4346" t="s">
        <v>16</v>
      </c>
      <c r="J4346" t="str">
        <f>"08/23/2013 23:45"</f>
        <v>08/23/2013 23:45</v>
      </c>
    </row>
    <row r="4347" spans="1:10" x14ac:dyDescent="0.3">
      <c r="A4347" t="s">
        <v>6</v>
      </c>
      <c r="B4347" t="str">
        <f>"08/24/2013 00:00"</f>
        <v>08/24/2013 00:00</v>
      </c>
      <c r="C4347">
        <v>103</v>
      </c>
      <c r="D4347" t="s">
        <v>7</v>
      </c>
      <c r="E4347" s="2" t="s">
        <v>12</v>
      </c>
      <c r="F4347">
        <f t="shared" si="67"/>
        <v>204.24900000000002</v>
      </c>
      <c r="G4347" t="s">
        <v>16</v>
      </c>
      <c r="J4347" t="str">
        <f>"08/24/2013 23:45"</f>
        <v>08/24/2013 23:45</v>
      </c>
    </row>
    <row r="4348" spans="1:10" x14ac:dyDescent="0.3">
      <c r="A4348" t="s">
        <v>6</v>
      </c>
      <c r="B4348" t="str">
        <f>"08/25/2013 00:00"</f>
        <v>08/25/2013 00:00</v>
      </c>
      <c r="C4348">
        <v>103</v>
      </c>
      <c r="D4348" t="s">
        <v>7</v>
      </c>
      <c r="E4348" s="2" t="s">
        <v>12</v>
      </c>
      <c r="F4348">
        <f t="shared" si="67"/>
        <v>204.24900000000002</v>
      </c>
      <c r="G4348" t="s">
        <v>16</v>
      </c>
      <c r="J4348" t="str">
        <f>"08/25/2013 23:45"</f>
        <v>08/25/2013 23:45</v>
      </c>
    </row>
    <row r="4349" spans="1:10" x14ac:dyDescent="0.3">
      <c r="A4349" t="s">
        <v>6</v>
      </c>
      <c r="B4349" t="str">
        <f>"08/26/2013 00:00"</f>
        <v>08/26/2013 00:00</v>
      </c>
      <c r="C4349">
        <v>102</v>
      </c>
      <c r="D4349" t="s">
        <v>7</v>
      </c>
      <c r="E4349" s="2" t="s">
        <v>12</v>
      </c>
      <c r="F4349">
        <f t="shared" si="67"/>
        <v>202.26600000000002</v>
      </c>
      <c r="G4349" t="s">
        <v>16</v>
      </c>
      <c r="J4349" t="str">
        <f>"08/26/2013 23:45"</f>
        <v>08/26/2013 23:45</v>
      </c>
    </row>
    <row r="4350" spans="1:10" x14ac:dyDescent="0.3">
      <c r="A4350" t="s">
        <v>6</v>
      </c>
      <c r="B4350" t="str">
        <f>"08/27/2013 00:00"</f>
        <v>08/27/2013 00:00</v>
      </c>
      <c r="C4350">
        <v>102</v>
      </c>
      <c r="D4350" t="s">
        <v>7</v>
      </c>
      <c r="E4350" s="2" t="s">
        <v>12</v>
      </c>
      <c r="F4350">
        <f t="shared" si="67"/>
        <v>202.26600000000002</v>
      </c>
      <c r="G4350" t="s">
        <v>16</v>
      </c>
      <c r="J4350" t="str">
        <f>"08/27/2013 23:45"</f>
        <v>08/27/2013 23:45</v>
      </c>
    </row>
    <row r="4351" spans="1:10" x14ac:dyDescent="0.3">
      <c r="A4351" t="s">
        <v>6</v>
      </c>
      <c r="B4351" t="str">
        <f>"08/28/2013 00:00"</f>
        <v>08/28/2013 00:00</v>
      </c>
      <c r="C4351">
        <v>103</v>
      </c>
      <c r="D4351" t="s">
        <v>7</v>
      </c>
      <c r="E4351" s="2" t="s">
        <v>12</v>
      </c>
      <c r="F4351">
        <f t="shared" si="67"/>
        <v>204.24900000000002</v>
      </c>
      <c r="G4351" t="s">
        <v>16</v>
      </c>
      <c r="J4351" t="str">
        <f>"08/28/2013 23:45"</f>
        <v>08/28/2013 23:45</v>
      </c>
    </row>
    <row r="4352" spans="1:10" x14ac:dyDescent="0.3">
      <c r="A4352" t="s">
        <v>6</v>
      </c>
      <c r="B4352" t="str">
        <f>"08/29/2013 00:00"</f>
        <v>08/29/2013 00:00</v>
      </c>
      <c r="C4352">
        <v>102</v>
      </c>
      <c r="D4352" t="s">
        <v>7</v>
      </c>
      <c r="E4352" s="2" t="s">
        <v>12</v>
      </c>
      <c r="F4352">
        <f t="shared" si="67"/>
        <v>202.26600000000002</v>
      </c>
      <c r="G4352" t="s">
        <v>16</v>
      </c>
      <c r="J4352" t="str">
        <f>"08/29/2013 23:45"</f>
        <v>08/29/2013 23:45</v>
      </c>
    </row>
    <row r="4353" spans="1:10" x14ac:dyDescent="0.3">
      <c r="A4353" t="s">
        <v>6</v>
      </c>
      <c r="B4353" t="str">
        <f>"08/30/2013 00:00"</f>
        <v>08/30/2013 00:00</v>
      </c>
      <c r="C4353">
        <v>125</v>
      </c>
      <c r="D4353" t="s">
        <v>7</v>
      </c>
      <c r="E4353" s="2" t="s">
        <v>12</v>
      </c>
      <c r="F4353">
        <f t="shared" si="67"/>
        <v>247.875</v>
      </c>
      <c r="G4353" t="s">
        <v>16</v>
      </c>
      <c r="J4353" t="str">
        <f>"08/30/2013 23:45"</f>
        <v>08/30/2013 23:45</v>
      </c>
    </row>
    <row r="4354" spans="1:10" x14ac:dyDescent="0.3">
      <c r="A4354" t="s">
        <v>6</v>
      </c>
      <c r="B4354" t="str">
        <f>"08/31/2013 00:00"</f>
        <v>08/31/2013 00:00</v>
      </c>
      <c r="C4354">
        <v>149</v>
      </c>
      <c r="D4354" t="s">
        <v>7</v>
      </c>
      <c r="E4354" s="2" t="s">
        <v>12</v>
      </c>
      <c r="F4354">
        <f t="shared" si="67"/>
        <v>295.46700000000004</v>
      </c>
      <c r="G4354" t="s">
        <v>16</v>
      </c>
      <c r="J4354" t="str">
        <f>"08/31/2013 23:45"</f>
        <v>08/31/2013 23:45</v>
      </c>
    </row>
    <row r="4355" spans="1:10" x14ac:dyDescent="0.3">
      <c r="A4355" t="s">
        <v>6</v>
      </c>
      <c r="B4355" t="str">
        <f>"09/01/2013 00:00"</f>
        <v>09/01/2013 00:00</v>
      </c>
      <c r="C4355">
        <v>150</v>
      </c>
      <c r="D4355" t="s">
        <v>7</v>
      </c>
      <c r="E4355" s="2" t="s">
        <v>12</v>
      </c>
      <c r="F4355">
        <f t="shared" si="67"/>
        <v>297.45</v>
      </c>
      <c r="G4355" t="s">
        <v>16</v>
      </c>
      <c r="J4355" t="str">
        <f>"09/01/2013 23:45"</f>
        <v>09/01/2013 23:45</v>
      </c>
    </row>
    <row r="4356" spans="1:10" x14ac:dyDescent="0.3">
      <c r="A4356" t="s">
        <v>6</v>
      </c>
      <c r="B4356" t="str">
        <f>"09/02/2013 00:00"</f>
        <v>09/02/2013 00:00</v>
      </c>
      <c r="C4356">
        <v>150</v>
      </c>
      <c r="D4356" t="s">
        <v>7</v>
      </c>
      <c r="E4356" s="2" t="s">
        <v>12</v>
      </c>
      <c r="F4356">
        <f t="shared" ref="F4356:F4419" si="68">C4356*1.983</f>
        <v>297.45</v>
      </c>
      <c r="G4356" t="s">
        <v>16</v>
      </c>
      <c r="J4356" t="str">
        <f>"09/02/2013 23:45"</f>
        <v>09/02/2013 23:45</v>
      </c>
    </row>
    <row r="4357" spans="1:10" x14ac:dyDescent="0.3">
      <c r="A4357" t="s">
        <v>6</v>
      </c>
      <c r="B4357" t="str">
        <f>"09/03/2013 00:00"</f>
        <v>09/03/2013 00:00</v>
      </c>
      <c r="C4357">
        <v>149</v>
      </c>
      <c r="D4357" t="s">
        <v>7</v>
      </c>
      <c r="E4357" s="2" t="s">
        <v>12</v>
      </c>
      <c r="F4357">
        <f t="shared" si="68"/>
        <v>295.46700000000004</v>
      </c>
      <c r="G4357" t="s">
        <v>16</v>
      </c>
      <c r="J4357" t="str">
        <f>"09/03/2013 23:45"</f>
        <v>09/03/2013 23:45</v>
      </c>
    </row>
    <row r="4358" spans="1:10" x14ac:dyDescent="0.3">
      <c r="A4358" t="s">
        <v>6</v>
      </c>
      <c r="B4358" t="str">
        <f>"09/04/2013 00:00"</f>
        <v>09/04/2013 00:00</v>
      </c>
      <c r="C4358">
        <v>148</v>
      </c>
      <c r="D4358" t="s">
        <v>7</v>
      </c>
      <c r="E4358" s="2" t="s">
        <v>12</v>
      </c>
      <c r="F4358">
        <f t="shared" si="68"/>
        <v>293.48400000000004</v>
      </c>
      <c r="G4358" t="s">
        <v>16</v>
      </c>
      <c r="J4358" t="str">
        <f>"09/04/2013 23:45"</f>
        <v>09/04/2013 23:45</v>
      </c>
    </row>
    <row r="4359" spans="1:10" x14ac:dyDescent="0.3">
      <c r="A4359" t="s">
        <v>6</v>
      </c>
      <c r="B4359" t="str">
        <f>"09/05/2013 00:00"</f>
        <v>09/05/2013 00:00</v>
      </c>
      <c r="C4359">
        <v>176</v>
      </c>
      <c r="D4359" t="s">
        <v>7</v>
      </c>
      <c r="E4359" s="2" t="s">
        <v>12</v>
      </c>
      <c r="F4359">
        <f t="shared" si="68"/>
        <v>349.00800000000004</v>
      </c>
      <c r="G4359" t="s">
        <v>16</v>
      </c>
      <c r="J4359" t="str">
        <f>"09/05/2013 23:45"</f>
        <v>09/05/2013 23:45</v>
      </c>
    </row>
    <row r="4360" spans="1:10" x14ac:dyDescent="0.3">
      <c r="A4360" t="s">
        <v>6</v>
      </c>
      <c r="B4360" t="str">
        <f>"09/06/2013 00:00"</f>
        <v>09/06/2013 00:00</v>
      </c>
      <c r="C4360">
        <v>221</v>
      </c>
      <c r="D4360" t="s">
        <v>7</v>
      </c>
      <c r="E4360" s="2" t="s">
        <v>12</v>
      </c>
      <c r="F4360">
        <f t="shared" si="68"/>
        <v>438.24299999999999</v>
      </c>
      <c r="G4360" t="s">
        <v>16</v>
      </c>
      <c r="J4360" t="str">
        <f>"09/06/2013 23:45"</f>
        <v>09/06/2013 23:45</v>
      </c>
    </row>
    <row r="4361" spans="1:10" x14ac:dyDescent="0.3">
      <c r="A4361" t="s">
        <v>6</v>
      </c>
      <c r="B4361" t="str">
        <f>"09/07/2013 00:00"</f>
        <v>09/07/2013 00:00</v>
      </c>
      <c r="C4361">
        <v>249</v>
      </c>
      <c r="D4361" t="s">
        <v>7</v>
      </c>
      <c r="E4361" s="2" t="s">
        <v>12</v>
      </c>
      <c r="F4361">
        <f t="shared" si="68"/>
        <v>493.767</v>
      </c>
      <c r="G4361" t="s">
        <v>16</v>
      </c>
      <c r="J4361" t="str">
        <f>"09/07/2013 23:45"</f>
        <v>09/07/2013 23:45</v>
      </c>
    </row>
    <row r="4362" spans="1:10" x14ac:dyDescent="0.3">
      <c r="A4362" t="s">
        <v>6</v>
      </c>
      <c r="B4362" t="str">
        <f>"09/08/2013 00:00"</f>
        <v>09/08/2013 00:00</v>
      </c>
      <c r="C4362">
        <v>250</v>
      </c>
      <c r="D4362" t="s">
        <v>7</v>
      </c>
      <c r="E4362" s="2" t="s">
        <v>12</v>
      </c>
      <c r="F4362">
        <f t="shared" si="68"/>
        <v>495.75</v>
      </c>
      <c r="G4362" t="s">
        <v>16</v>
      </c>
      <c r="J4362" t="str">
        <f>"09/08/2013 23:45"</f>
        <v>09/08/2013 23:45</v>
      </c>
    </row>
    <row r="4363" spans="1:10" x14ac:dyDescent="0.3">
      <c r="A4363" t="s">
        <v>6</v>
      </c>
      <c r="B4363" t="str">
        <f>"09/09/2013 00:00"</f>
        <v>09/09/2013 00:00</v>
      </c>
      <c r="C4363">
        <v>250</v>
      </c>
      <c r="D4363" t="s">
        <v>7</v>
      </c>
      <c r="E4363" s="2" t="s">
        <v>12</v>
      </c>
      <c r="F4363">
        <f t="shared" si="68"/>
        <v>495.75</v>
      </c>
      <c r="G4363" t="s">
        <v>16</v>
      </c>
      <c r="J4363" t="str">
        <f>"09/09/2013 23:45"</f>
        <v>09/09/2013 23:45</v>
      </c>
    </row>
    <row r="4364" spans="1:10" x14ac:dyDescent="0.3">
      <c r="A4364" t="s">
        <v>6</v>
      </c>
      <c r="B4364" t="str">
        <f>"09/10/2013 00:00"</f>
        <v>09/10/2013 00:00</v>
      </c>
      <c r="C4364">
        <v>220</v>
      </c>
      <c r="D4364" t="s">
        <v>7</v>
      </c>
      <c r="E4364" s="2" t="s">
        <v>12</v>
      </c>
      <c r="F4364">
        <f t="shared" si="68"/>
        <v>436.26000000000005</v>
      </c>
      <c r="G4364" t="s">
        <v>16</v>
      </c>
      <c r="J4364" t="str">
        <f>"09/10/2013 23:45"</f>
        <v>09/10/2013 23:45</v>
      </c>
    </row>
    <row r="4365" spans="1:10" x14ac:dyDescent="0.3">
      <c r="A4365" t="s">
        <v>6</v>
      </c>
      <c r="B4365" t="str">
        <f>"09/11/2013 00:00"</f>
        <v>09/11/2013 00:00</v>
      </c>
      <c r="C4365">
        <v>156</v>
      </c>
      <c r="D4365" t="s">
        <v>7</v>
      </c>
      <c r="E4365" s="2" t="s">
        <v>12</v>
      </c>
      <c r="F4365">
        <f t="shared" si="68"/>
        <v>309.34800000000001</v>
      </c>
      <c r="G4365" t="s">
        <v>16</v>
      </c>
      <c r="J4365" t="str">
        <f>"09/11/2013 23:45"</f>
        <v>09/11/2013 23:45</v>
      </c>
    </row>
    <row r="4366" spans="1:10" x14ac:dyDescent="0.3">
      <c r="A4366" t="s">
        <v>6</v>
      </c>
      <c r="B4366" t="str">
        <f>"09/12/2013 00:00"</f>
        <v>09/12/2013 00:00</v>
      </c>
      <c r="C4366">
        <v>18.600000000000001</v>
      </c>
      <c r="D4366" t="s">
        <v>7</v>
      </c>
      <c r="E4366" s="2" t="s">
        <v>12</v>
      </c>
      <c r="F4366">
        <f t="shared" si="68"/>
        <v>36.883800000000008</v>
      </c>
      <c r="G4366" t="s">
        <v>16</v>
      </c>
      <c r="J4366" t="str">
        <f>"09/12/2013 23:45"</f>
        <v>09/12/2013 23:45</v>
      </c>
    </row>
    <row r="4367" spans="1:10" x14ac:dyDescent="0.3">
      <c r="A4367" t="s">
        <v>6</v>
      </c>
      <c r="B4367" t="str">
        <f>"09/13/2013 00:00"</f>
        <v>09/13/2013 00:00</v>
      </c>
      <c r="C4367">
        <v>3.57</v>
      </c>
      <c r="D4367" t="s">
        <v>7</v>
      </c>
      <c r="E4367" s="2" t="s">
        <v>12</v>
      </c>
      <c r="F4367">
        <f t="shared" si="68"/>
        <v>7.0793100000000004</v>
      </c>
      <c r="G4367" t="s">
        <v>16</v>
      </c>
      <c r="J4367" t="str">
        <f>"09/13/2013 23:45"</f>
        <v>09/13/2013 23:45</v>
      </c>
    </row>
    <row r="4368" spans="1:10" x14ac:dyDescent="0.3">
      <c r="A4368" t="s">
        <v>6</v>
      </c>
      <c r="B4368" t="str">
        <f>"09/14/2013 00:00"</f>
        <v>09/14/2013 00:00</v>
      </c>
      <c r="C4368">
        <v>3.28</v>
      </c>
      <c r="D4368" t="s">
        <v>7</v>
      </c>
      <c r="E4368" s="2" t="s">
        <v>12</v>
      </c>
      <c r="F4368">
        <f t="shared" si="68"/>
        <v>6.5042400000000002</v>
      </c>
      <c r="G4368" t="s">
        <v>16</v>
      </c>
      <c r="J4368" t="str">
        <f>"09/14/2013 23:45"</f>
        <v>09/14/2013 23:45</v>
      </c>
    </row>
    <row r="4369" spans="1:10" x14ac:dyDescent="0.3">
      <c r="A4369" t="s">
        <v>6</v>
      </c>
      <c r="B4369" t="str">
        <f>"09/15/2013 00:00"</f>
        <v>09/15/2013 00:00</v>
      </c>
      <c r="C4369">
        <v>3.28</v>
      </c>
      <c r="D4369" t="s">
        <v>7</v>
      </c>
      <c r="E4369" s="2" t="s">
        <v>12</v>
      </c>
      <c r="F4369">
        <f t="shared" si="68"/>
        <v>6.5042400000000002</v>
      </c>
      <c r="G4369" t="s">
        <v>16</v>
      </c>
      <c r="J4369" t="str">
        <f>"09/15/2013 23:45"</f>
        <v>09/15/2013 23:45</v>
      </c>
    </row>
    <row r="4370" spans="1:10" x14ac:dyDescent="0.3">
      <c r="A4370" t="s">
        <v>6</v>
      </c>
      <c r="B4370" t="str">
        <f>"09/16/2013 00:00"</f>
        <v>09/16/2013 00:00</v>
      </c>
      <c r="C4370">
        <v>3.28</v>
      </c>
      <c r="D4370" t="s">
        <v>7</v>
      </c>
      <c r="E4370" s="2" t="s">
        <v>12</v>
      </c>
      <c r="F4370">
        <f t="shared" si="68"/>
        <v>6.5042400000000002</v>
      </c>
      <c r="G4370" t="s">
        <v>16</v>
      </c>
      <c r="J4370" t="str">
        <f>"09/16/2013 23:45"</f>
        <v>09/16/2013 23:45</v>
      </c>
    </row>
    <row r="4371" spans="1:10" x14ac:dyDescent="0.3">
      <c r="A4371" t="s">
        <v>6</v>
      </c>
      <c r="B4371" t="str">
        <f>"09/17/2013 00:00"</f>
        <v>09/17/2013 00:00</v>
      </c>
      <c r="C4371">
        <v>3.01</v>
      </c>
      <c r="D4371" t="s">
        <v>7</v>
      </c>
      <c r="E4371" s="2" t="s">
        <v>12</v>
      </c>
      <c r="F4371">
        <f t="shared" si="68"/>
        <v>5.9688299999999996</v>
      </c>
      <c r="G4371" t="s">
        <v>16</v>
      </c>
      <c r="J4371" t="str">
        <f>"09/17/2013 23:45"</f>
        <v>09/17/2013 23:45</v>
      </c>
    </row>
    <row r="4372" spans="1:10" x14ac:dyDescent="0.3">
      <c r="A4372" t="s">
        <v>6</v>
      </c>
      <c r="B4372" t="str">
        <f>"09/18/2013 00:00"</f>
        <v>09/18/2013 00:00</v>
      </c>
      <c r="C4372">
        <v>2.91</v>
      </c>
      <c r="D4372" t="s">
        <v>7</v>
      </c>
      <c r="E4372" s="2" t="s">
        <v>12</v>
      </c>
      <c r="F4372">
        <f t="shared" si="68"/>
        <v>5.7705300000000008</v>
      </c>
      <c r="G4372" t="s">
        <v>16</v>
      </c>
      <c r="J4372" t="str">
        <f>"09/18/2013 23:45"</f>
        <v>09/18/2013 23:45</v>
      </c>
    </row>
    <row r="4373" spans="1:10" x14ac:dyDescent="0.3">
      <c r="A4373" t="s">
        <v>6</v>
      </c>
      <c r="B4373" t="str">
        <f>"09/19/2013 00:00"</f>
        <v>09/19/2013 00:00</v>
      </c>
      <c r="C4373">
        <v>3.09</v>
      </c>
      <c r="D4373" t="s">
        <v>7</v>
      </c>
      <c r="E4373" s="2" t="s">
        <v>12</v>
      </c>
      <c r="F4373">
        <f t="shared" si="68"/>
        <v>6.1274699999999998</v>
      </c>
      <c r="G4373" t="s">
        <v>16</v>
      </c>
      <c r="J4373" t="str">
        <f>"09/19/2013 23:45"</f>
        <v>09/19/2013 23:45</v>
      </c>
    </row>
    <row r="4374" spans="1:10" x14ac:dyDescent="0.3">
      <c r="A4374" t="s">
        <v>6</v>
      </c>
      <c r="B4374" t="str">
        <f>"09/20/2013 00:00"</f>
        <v>09/20/2013 00:00</v>
      </c>
      <c r="C4374">
        <v>3.09</v>
      </c>
      <c r="D4374" t="s">
        <v>7</v>
      </c>
      <c r="E4374" s="2" t="s">
        <v>12</v>
      </c>
      <c r="F4374">
        <f t="shared" si="68"/>
        <v>6.1274699999999998</v>
      </c>
      <c r="G4374" t="s">
        <v>16</v>
      </c>
      <c r="J4374" t="str">
        <f>"09/20/2013 23:45"</f>
        <v>09/20/2013 23:45</v>
      </c>
    </row>
    <row r="4375" spans="1:10" x14ac:dyDescent="0.3">
      <c r="A4375" t="s">
        <v>6</v>
      </c>
      <c r="B4375" t="str">
        <f>"09/21/2013 00:00"</f>
        <v>09/21/2013 00:00</v>
      </c>
      <c r="C4375">
        <v>2.91</v>
      </c>
      <c r="D4375" t="s">
        <v>7</v>
      </c>
      <c r="E4375" s="2" t="s">
        <v>12</v>
      </c>
      <c r="F4375">
        <f t="shared" si="68"/>
        <v>5.7705300000000008</v>
      </c>
      <c r="G4375" t="s">
        <v>16</v>
      </c>
      <c r="J4375" t="str">
        <f>"09/21/2013 23:45"</f>
        <v>09/21/2013 23:45</v>
      </c>
    </row>
    <row r="4376" spans="1:10" x14ac:dyDescent="0.3">
      <c r="A4376" t="s">
        <v>6</v>
      </c>
      <c r="B4376" t="str">
        <f>"09/22/2013 00:00"</f>
        <v>09/22/2013 00:00</v>
      </c>
      <c r="C4376">
        <v>3.15</v>
      </c>
      <c r="D4376" t="s">
        <v>7</v>
      </c>
      <c r="E4376" s="2" t="s">
        <v>12</v>
      </c>
      <c r="F4376">
        <f t="shared" si="68"/>
        <v>6.2464500000000003</v>
      </c>
      <c r="G4376" t="s">
        <v>16</v>
      </c>
      <c r="J4376" t="str">
        <f>"09/22/2013 23:45"</f>
        <v>09/22/2013 23:45</v>
      </c>
    </row>
    <row r="4377" spans="1:10" x14ac:dyDescent="0.3">
      <c r="A4377" t="s">
        <v>6</v>
      </c>
      <c r="B4377" t="str">
        <f>"09/23/2013 00:00"</f>
        <v>09/23/2013 00:00</v>
      </c>
      <c r="C4377">
        <v>3.06</v>
      </c>
      <c r="D4377" t="s">
        <v>7</v>
      </c>
      <c r="E4377" s="2" t="s">
        <v>12</v>
      </c>
      <c r="F4377">
        <f t="shared" si="68"/>
        <v>6.0679800000000004</v>
      </c>
      <c r="G4377" t="s">
        <v>16</v>
      </c>
      <c r="J4377" t="str">
        <f>"09/23/2013 23:45"</f>
        <v>09/23/2013 23:45</v>
      </c>
    </row>
    <row r="4378" spans="1:10" x14ac:dyDescent="0.3">
      <c r="A4378" t="s">
        <v>6</v>
      </c>
      <c r="B4378" t="str">
        <f>"09/24/2013 00:00"</f>
        <v>09/24/2013 00:00</v>
      </c>
      <c r="C4378">
        <v>2.91</v>
      </c>
      <c r="D4378" t="s">
        <v>7</v>
      </c>
      <c r="E4378" s="2" t="s">
        <v>12</v>
      </c>
      <c r="F4378">
        <f t="shared" si="68"/>
        <v>5.7705300000000008</v>
      </c>
      <c r="G4378" t="s">
        <v>16</v>
      </c>
      <c r="J4378" t="str">
        <f>"09/24/2013 23:45"</f>
        <v>09/24/2013 23:45</v>
      </c>
    </row>
    <row r="4379" spans="1:10" x14ac:dyDescent="0.3">
      <c r="A4379" t="s">
        <v>6</v>
      </c>
      <c r="B4379" t="str">
        <f>"09/25/2013 00:00"</f>
        <v>09/25/2013 00:00</v>
      </c>
      <c r="C4379">
        <v>2.91</v>
      </c>
      <c r="D4379" t="s">
        <v>7</v>
      </c>
      <c r="E4379" s="2" t="s">
        <v>12</v>
      </c>
      <c r="F4379">
        <f t="shared" si="68"/>
        <v>5.7705300000000008</v>
      </c>
      <c r="G4379" t="s">
        <v>16</v>
      </c>
      <c r="J4379" t="str">
        <f>"09/25/2013 23:45"</f>
        <v>09/25/2013 23:45</v>
      </c>
    </row>
    <row r="4380" spans="1:10" x14ac:dyDescent="0.3">
      <c r="A4380" t="s">
        <v>6</v>
      </c>
      <c r="B4380" t="str">
        <f>"09/26/2013 00:00"</f>
        <v>09/26/2013 00:00</v>
      </c>
      <c r="C4380">
        <v>2.91</v>
      </c>
      <c r="D4380" t="s">
        <v>7</v>
      </c>
      <c r="E4380" s="2" t="s">
        <v>12</v>
      </c>
      <c r="F4380">
        <f t="shared" si="68"/>
        <v>5.7705300000000008</v>
      </c>
      <c r="G4380" t="s">
        <v>16</v>
      </c>
      <c r="J4380" t="str">
        <f>"09/26/2013 23:45"</f>
        <v>09/26/2013 23:45</v>
      </c>
    </row>
    <row r="4381" spans="1:10" x14ac:dyDescent="0.3">
      <c r="A4381" t="s">
        <v>6</v>
      </c>
      <c r="B4381" t="str">
        <f>"09/27/2013 00:00"</f>
        <v>09/27/2013 00:00</v>
      </c>
      <c r="C4381">
        <v>2.94</v>
      </c>
      <c r="D4381" t="s">
        <v>7</v>
      </c>
      <c r="E4381" s="2" t="s">
        <v>12</v>
      </c>
      <c r="F4381">
        <f t="shared" si="68"/>
        <v>5.8300200000000002</v>
      </c>
      <c r="G4381" t="s">
        <v>16</v>
      </c>
      <c r="J4381" t="str">
        <f>"09/27/2013 23:45"</f>
        <v>09/27/2013 23:45</v>
      </c>
    </row>
    <row r="4382" spans="1:10" x14ac:dyDescent="0.3">
      <c r="A4382" t="s">
        <v>6</v>
      </c>
      <c r="B4382" t="str">
        <f>"09/28/2013 00:00"</f>
        <v>09/28/2013 00:00</v>
      </c>
      <c r="C4382">
        <v>2.91</v>
      </c>
      <c r="D4382" t="s">
        <v>7</v>
      </c>
      <c r="E4382" s="2" t="s">
        <v>12</v>
      </c>
      <c r="F4382">
        <f t="shared" si="68"/>
        <v>5.7705300000000008</v>
      </c>
      <c r="G4382" t="s">
        <v>16</v>
      </c>
      <c r="J4382" t="str">
        <f>"09/28/2013 23:45"</f>
        <v>09/28/2013 23:45</v>
      </c>
    </row>
    <row r="4383" spans="1:10" x14ac:dyDescent="0.3">
      <c r="A4383" t="s">
        <v>6</v>
      </c>
      <c r="B4383" t="str">
        <f>"09/29/2013 00:00"</f>
        <v>09/29/2013 00:00</v>
      </c>
      <c r="C4383">
        <v>2.91</v>
      </c>
      <c r="D4383" t="s">
        <v>7</v>
      </c>
      <c r="E4383" s="2" t="s">
        <v>12</v>
      </c>
      <c r="F4383">
        <f t="shared" si="68"/>
        <v>5.7705300000000008</v>
      </c>
      <c r="G4383" t="s">
        <v>16</v>
      </c>
      <c r="J4383" t="str">
        <f>"09/29/2013 23:45"</f>
        <v>09/29/2013 23:45</v>
      </c>
    </row>
    <row r="4384" spans="1:10" x14ac:dyDescent="0.3">
      <c r="A4384" t="s">
        <v>6</v>
      </c>
      <c r="B4384" t="str">
        <f>"09/30/2013 00:00"</f>
        <v>09/30/2013 00:00</v>
      </c>
      <c r="C4384">
        <v>2.91</v>
      </c>
      <c r="D4384" t="s">
        <v>7</v>
      </c>
      <c r="E4384" s="2" t="s">
        <v>12</v>
      </c>
      <c r="F4384">
        <f t="shared" si="68"/>
        <v>5.7705300000000008</v>
      </c>
      <c r="G4384" t="s">
        <v>16</v>
      </c>
      <c r="J4384" t="str">
        <f>"09/30/2013 23:45"</f>
        <v>09/30/2013 23:45</v>
      </c>
    </row>
    <row r="4385" spans="1:10" x14ac:dyDescent="0.3">
      <c r="A4385" t="s">
        <v>6</v>
      </c>
      <c r="B4385" t="str">
        <f>"10/01/2013 00:00"</f>
        <v>10/01/2013 00:00</v>
      </c>
      <c r="C4385">
        <v>2.91</v>
      </c>
      <c r="D4385" t="s">
        <v>7</v>
      </c>
      <c r="E4385" s="2" t="s">
        <v>12</v>
      </c>
      <c r="F4385">
        <f t="shared" si="68"/>
        <v>5.7705300000000008</v>
      </c>
      <c r="G4385" t="s">
        <v>16</v>
      </c>
      <c r="J4385" t="str">
        <f>"10/01/2013 23:45"</f>
        <v>10/01/2013 23:45</v>
      </c>
    </row>
    <row r="4386" spans="1:10" x14ac:dyDescent="0.3">
      <c r="A4386" t="s">
        <v>6</v>
      </c>
      <c r="B4386" t="str">
        <f>"10/02/2013 00:00"</f>
        <v>10/02/2013 00:00</v>
      </c>
      <c r="C4386">
        <v>2.91</v>
      </c>
      <c r="D4386" t="s">
        <v>7</v>
      </c>
      <c r="E4386" s="2" t="s">
        <v>12</v>
      </c>
      <c r="F4386">
        <f t="shared" si="68"/>
        <v>5.7705300000000008</v>
      </c>
      <c r="G4386" t="s">
        <v>16</v>
      </c>
      <c r="J4386" t="str">
        <f>"10/02/2013 23:45"</f>
        <v>10/02/2013 23:45</v>
      </c>
    </row>
    <row r="4387" spans="1:10" x14ac:dyDescent="0.3">
      <c r="A4387" t="s">
        <v>6</v>
      </c>
      <c r="B4387" t="str">
        <f>"10/03/2013 00:00"</f>
        <v>10/03/2013 00:00</v>
      </c>
      <c r="C4387">
        <v>2.91</v>
      </c>
      <c r="D4387" t="s">
        <v>7</v>
      </c>
      <c r="E4387" s="2" t="s">
        <v>12</v>
      </c>
      <c r="F4387">
        <f t="shared" si="68"/>
        <v>5.7705300000000008</v>
      </c>
      <c r="G4387" t="s">
        <v>16</v>
      </c>
      <c r="J4387" t="str">
        <f>"10/03/2013 23:45"</f>
        <v>10/03/2013 23:45</v>
      </c>
    </row>
    <row r="4388" spans="1:10" x14ac:dyDescent="0.3">
      <c r="A4388" t="s">
        <v>6</v>
      </c>
      <c r="B4388" t="str">
        <f>"10/04/2013 00:00"</f>
        <v>10/04/2013 00:00</v>
      </c>
      <c r="C4388">
        <v>3.02</v>
      </c>
      <c r="D4388" t="s">
        <v>7</v>
      </c>
      <c r="E4388" s="2" t="s">
        <v>12</v>
      </c>
      <c r="F4388">
        <f t="shared" si="68"/>
        <v>5.9886600000000003</v>
      </c>
      <c r="G4388" t="s">
        <v>16</v>
      </c>
      <c r="J4388" t="str">
        <f>"10/04/2013 23:45"</f>
        <v>10/04/2013 23:45</v>
      </c>
    </row>
    <row r="4389" spans="1:10" x14ac:dyDescent="0.3">
      <c r="A4389" t="s">
        <v>6</v>
      </c>
      <c r="B4389" t="str">
        <f>"10/05/2013 00:00"</f>
        <v>10/05/2013 00:00</v>
      </c>
      <c r="C4389">
        <v>2.91</v>
      </c>
      <c r="D4389" t="s">
        <v>7</v>
      </c>
      <c r="E4389" s="2" t="s">
        <v>12</v>
      </c>
      <c r="F4389">
        <f t="shared" si="68"/>
        <v>5.7705300000000008</v>
      </c>
      <c r="G4389" t="s">
        <v>16</v>
      </c>
      <c r="J4389" t="str">
        <f>"10/05/2013 23:45"</f>
        <v>10/05/2013 23:45</v>
      </c>
    </row>
    <row r="4390" spans="1:10" x14ac:dyDescent="0.3">
      <c r="A4390" t="s">
        <v>6</v>
      </c>
      <c r="B4390" t="str">
        <f>"10/06/2013 00:00"</f>
        <v>10/06/2013 00:00</v>
      </c>
      <c r="C4390">
        <v>2.91</v>
      </c>
      <c r="D4390" t="s">
        <v>7</v>
      </c>
      <c r="E4390" s="2" t="s">
        <v>12</v>
      </c>
      <c r="F4390">
        <f t="shared" si="68"/>
        <v>5.7705300000000008</v>
      </c>
      <c r="G4390" t="s">
        <v>16</v>
      </c>
      <c r="J4390" t="str">
        <f>"10/06/2013 23:45"</f>
        <v>10/06/2013 23:45</v>
      </c>
    </row>
    <row r="4391" spans="1:10" x14ac:dyDescent="0.3">
      <c r="A4391" t="s">
        <v>6</v>
      </c>
      <c r="B4391" t="str">
        <f>"10/07/2013 00:00"</f>
        <v>10/07/2013 00:00</v>
      </c>
      <c r="C4391">
        <v>2.91</v>
      </c>
      <c r="D4391" t="s">
        <v>7</v>
      </c>
      <c r="E4391" s="2" t="s">
        <v>12</v>
      </c>
      <c r="F4391">
        <f t="shared" si="68"/>
        <v>5.7705300000000008</v>
      </c>
      <c r="G4391" t="s">
        <v>16</v>
      </c>
      <c r="J4391" t="str">
        <f>"10/07/2013 23:45"</f>
        <v>10/07/2013 23:45</v>
      </c>
    </row>
    <row r="4392" spans="1:10" x14ac:dyDescent="0.3">
      <c r="A4392" t="s">
        <v>6</v>
      </c>
      <c r="B4392" t="str">
        <f>"10/08/2013 00:00"</f>
        <v>10/08/2013 00:00</v>
      </c>
      <c r="C4392">
        <v>2.92</v>
      </c>
      <c r="D4392" t="s">
        <v>7</v>
      </c>
      <c r="E4392" s="2" t="s">
        <v>12</v>
      </c>
      <c r="F4392">
        <f t="shared" si="68"/>
        <v>5.7903599999999997</v>
      </c>
      <c r="G4392" t="s">
        <v>16</v>
      </c>
      <c r="J4392" t="str">
        <f>"10/08/2013 23:45"</f>
        <v>10/08/2013 23:45</v>
      </c>
    </row>
    <row r="4393" spans="1:10" x14ac:dyDescent="0.3">
      <c r="A4393" t="s">
        <v>6</v>
      </c>
      <c r="B4393" t="str">
        <f>"10/09/2013 00:00"</f>
        <v>10/09/2013 00:00</v>
      </c>
      <c r="C4393">
        <v>3.27</v>
      </c>
      <c r="D4393" t="s">
        <v>7</v>
      </c>
      <c r="E4393" s="2" t="s">
        <v>12</v>
      </c>
      <c r="F4393">
        <f t="shared" si="68"/>
        <v>6.4844100000000005</v>
      </c>
      <c r="G4393" t="s">
        <v>16</v>
      </c>
      <c r="J4393" t="str">
        <f>"10/09/2013 23:45"</f>
        <v>10/09/2013 23:45</v>
      </c>
    </row>
    <row r="4394" spans="1:10" x14ac:dyDescent="0.3">
      <c r="A4394" t="s">
        <v>6</v>
      </c>
      <c r="B4394" t="str">
        <f>"10/10/2013 00:00"</f>
        <v>10/10/2013 00:00</v>
      </c>
      <c r="C4394">
        <v>3.28</v>
      </c>
      <c r="D4394" t="s">
        <v>7</v>
      </c>
      <c r="E4394" s="2" t="s">
        <v>12</v>
      </c>
      <c r="F4394">
        <f t="shared" si="68"/>
        <v>6.5042400000000002</v>
      </c>
      <c r="G4394" t="s">
        <v>16</v>
      </c>
      <c r="J4394" t="str">
        <f>"10/10/2013 23:45"</f>
        <v>10/10/2013 23:45</v>
      </c>
    </row>
    <row r="4395" spans="1:10" x14ac:dyDescent="0.3">
      <c r="A4395" t="s">
        <v>6</v>
      </c>
      <c r="B4395" t="str">
        <f>"10/11/2013 00:00"</f>
        <v>10/11/2013 00:00</v>
      </c>
      <c r="C4395">
        <v>2.98</v>
      </c>
      <c r="D4395" t="s">
        <v>7</v>
      </c>
      <c r="E4395" s="2" t="s">
        <v>12</v>
      </c>
      <c r="F4395">
        <f t="shared" si="68"/>
        <v>5.9093400000000003</v>
      </c>
      <c r="G4395" t="s">
        <v>16</v>
      </c>
      <c r="J4395" t="str">
        <f>"10/11/2013 23:45"</f>
        <v>10/11/2013 23:45</v>
      </c>
    </row>
    <row r="4396" spans="1:10" x14ac:dyDescent="0.3">
      <c r="A4396" t="s">
        <v>6</v>
      </c>
      <c r="B4396" t="str">
        <f>"10/12/2013 00:00"</f>
        <v>10/12/2013 00:00</v>
      </c>
      <c r="C4396">
        <v>3.02</v>
      </c>
      <c r="D4396" t="s">
        <v>7</v>
      </c>
      <c r="E4396" s="2" t="s">
        <v>12</v>
      </c>
      <c r="F4396">
        <f t="shared" si="68"/>
        <v>5.9886600000000003</v>
      </c>
      <c r="G4396" t="s">
        <v>16</v>
      </c>
      <c r="J4396" t="str">
        <f>"10/12/2013 23:45"</f>
        <v>10/12/2013 23:45</v>
      </c>
    </row>
    <row r="4397" spans="1:10" x14ac:dyDescent="0.3">
      <c r="A4397" t="s">
        <v>6</v>
      </c>
      <c r="B4397" t="str">
        <f>"10/13/2013 00:00"</f>
        <v>10/13/2013 00:00</v>
      </c>
      <c r="C4397">
        <v>3.26</v>
      </c>
      <c r="D4397" t="s">
        <v>7</v>
      </c>
      <c r="E4397" s="2" t="s">
        <v>12</v>
      </c>
      <c r="F4397">
        <f t="shared" si="68"/>
        <v>6.4645799999999998</v>
      </c>
      <c r="G4397" t="s">
        <v>16</v>
      </c>
      <c r="J4397" t="str">
        <f>"10/13/2013 23:45"</f>
        <v>10/13/2013 23:45</v>
      </c>
    </row>
    <row r="4398" spans="1:10" x14ac:dyDescent="0.3">
      <c r="A4398" t="s">
        <v>6</v>
      </c>
      <c r="B4398" t="str">
        <f>"10/14/2013 00:00"</f>
        <v>10/14/2013 00:00</v>
      </c>
      <c r="C4398">
        <v>3.28</v>
      </c>
      <c r="D4398" t="s">
        <v>7</v>
      </c>
      <c r="E4398" s="2" t="s">
        <v>12</v>
      </c>
      <c r="F4398">
        <f t="shared" si="68"/>
        <v>6.5042400000000002</v>
      </c>
      <c r="G4398" t="s">
        <v>16</v>
      </c>
      <c r="J4398" t="str">
        <f>"10/14/2013 23:45"</f>
        <v>10/14/2013 23:45</v>
      </c>
    </row>
    <row r="4399" spans="1:10" x14ac:dyDescent="0.3">
      <c r="A4399" t="s">
        <v>6</v>
      </c>
      <c r="B4399" t="str">
        <f>"10/15/2013 00:00"</f>
        <v>10/15/2013 00:00</v>
      </c>
      <c r="C4399">
        <v>3.28</v>
      </c>
      <c r="D4399" t="s">
        <v>7</v>
      </c>
      <c r="E4399" s="2" t="s">
        <v>12</v>
      </c>
      <c r="F4399">
        <f t="shared" si="68"/>
        <v>6.5042400000000002</v>
      </c>
      <c r="G4399" t="s">
        <v>16</v>
      </c>
      <c r="J4399" t="str">
        <f>"10/15/2013 23:45"</f>
        <v>10/15/2013 23:45</v>
      </c>
    </row>
    <row r="4400" spans="1:10" x14ac:dyDescent="0.3">
      <c r="A4400" t="s">
        <v>6</v>
      </c>
      <c r="B4400" t="str">
        <f>"10/16/2013 00:00"</f>
        <v>10/16/2013 00:00</v>
      </c>
      <c r="C4400">
        <v>3.2</v>
      </c>
      <c r="D4400" t="s">
        <v>7</v>
      </c>
      <c r="E4400" s="2" t="s">
        <v>12</v>
      </c>
      <c r="F4400">
        <f t="shared" si="68"/>
        <v>6.345600000000001</v>
      </c>
      <c r="G4400" t="s">
        <v>16</v>
      </c>
      <c r="J4400" t="str">
        <f>"10/16/2013 23:45"</f>
        <v>10/16/2013 23:45</v>
      </c>
    </row>
    <row r="4401" spans="1:10" x14ac:dyDescent="0.3">
      <c r="A4401" t="s">
        <v>6</v>
      </c>
      <c r="B4401" t="str">
        <f>"10/17/2013 00:00"</f>
        <v>10/17/2013 00:00</v>
      </c>
      <c r="C4401">
        <v>2.99</v>
      </c>
      <c r="D4401" t="s">
        <v>7</v>
      </c>
      <c r="E4401" s="2" t="s">
        <v>12</v>
      </c>
      <c r="F4401">
        <f t="shared" si="68"/>
        <v>5.9291700000000009</v>
      </c>
      <c r="G4401" t="s">
        <v>16</v>
      </c>
      <c r="J4401" t="str">
        <f>"10/17/2013 23:45"</f>
        <v>10/17/2013 23:45</v>
      </c>
    </row>
    <row r="4402" spans="1:10" x14ac:dyDescent="0.3">
      <c r="A4402" t="s">
        <v>6</v>
      </c>
      <c r="B4402" t="str">
        <f>"10/18/2013 00:00"</f>
        <v>10/18/2013 00:00</v>
      </c>
      <c r="C4402">
        <v>2.99</v>
      </c>
      <c r="D4402" t="s">
        <v>7</v>
      </c>
      <c r="E4402" s="2" t="s">
        <v>12</v>
      </c>
      <c r="F4402">
        <f t="shared" si="68"/>
        <v>5.9291700000000009</v>
      </c>
      <c r="G4402" t="s">
        <v>16</v>
      </c>
      <c r="J4402" t="str">
        <f>"10/18/2013 23:45"</f>
        <v>10/18/2013 23:45</v>
      </c>
    </row>
    <row r="4403" spans="1:10" x14ac:dyDescent="0.3">
      <c r="A4403" t="s">
        <v>6</v>
      </c>
      <c r="B4403" t="str">
        <f>"10/19/2013 00:00"</f>
        <v>10/19/2013 00:00</v>
      </c>
      <c r="C4403">
        <v>3.04</v>
      </c>
      <c r="D4403" t="s">
        <v>7</v>
      </c>
      <c r="E4403" s="2" t="s">
        <v>12</v>
      </c>
      <c r="F4403">
        <f t="shared" si="68"/>
        <v>6.0283200000000008</v>
      </c>
      <c r="G4403" t="s">
        <v>16</v>
      </c>
      <c r="J4403" t="str">
        <f>"10/19/2013 23:45"</f>
        <v>10/19/2013 23:45</v>
      </c>
    </row>
    <row r="4404" spans="1:10" x14ac:dyDescent="0.3">
      <c r="A4404" t="s">
        <v>6</v>
      </c>
      <c r="B4404" t="str">
        <f>"10/20/2013 00:00"</f>
        <v>10/20/2013 00:00</v>
      </c>
      <c r="C4404">
        <v>2.91</v>
      </c>
      <c r="D4404" t="s">
        <v>7</v>
      </c>
      <c r="E4404" s="2" t="s">
        <v>12</v>
      </c>
      <c r="F4404">
        <f t="shared" si="68"/>
        <v>5.7705300000000008</v>
      </c>
      <c r="G4404" t="s">
        <v>16</v>
      </c>
      <c r="J4404" t="str">
        <f>"10/20/2013 23:45"</f>
        <v>10/20/2013 23:45</v>
      </c>
    </row>
    <row r="4405" spans="1:10" x14ac:dyDescent="0.3">
      <c r="A4405" t="s">
        <v>6</v>
      </c>
      <c r="B4405" t="str">
        <f>"10/21/2013 00:00"</f>
        <v>10/21/2013 00:00</v>
      </c>
      <c r="C4405">
        <v>2.94</v>
      </c>
      <c r="D4405" t="s">
        <v>7</v>
      </c>
      <c r="E4405" s="2" t="s">
        <v>12</v>
      </c>
      <c r="F4405">
        <f t="shared" si="68"/>
        <v>5.8300200000000002</v>
      </c>
      <c r="G4405" t="s">
        <v>16</v>
      </c>
      <c r="J4405" t="str">
        <f>"10/21/2013 23:45"</f>
        <v>10/21/2013 23:45</v>
      </c>
    </row>
    <row r="4406" spans="1:10" x14ac:dyDescent="0.3">
      <c r="A4406" t="s">
        <v>6</v>
      </c>
      <c r="B4406" t="str">
        <f>"10/22/2013 00:00"</f>
        <v>10/22/2013 00:00</v>
      </c>
      <c r="C4406">
        <v>2.91</v>
      </c>
      <c r="D4406" t="s">
        <v>7</v>
      </c>
      <c r="E4406" s="2" t="s">
        <v>12</v>
      </c>
      <c r="F4406">
        <f t="shared" si="68"/>
        <v>5.7705300000000008</v>
      </c>
      <c r="G4406" t="s">
        <v>16</v>
      </c>
      <c r="J4406" t="str">
        <f>"10/22/2013 23:45"</f>
        <v>10/22/2013 23:45</v>
      </c>
    </row>
    <row r="4407" spans="1:10" x14ac:dyDescent="0.3">
      <c r="A4407" t="s">
        <v>6</v>
      </c>
      <c r="B4407" t="str">
        <f>"10/23/2013 00:00"</f>
        <v>10/23/2013 00:00</v>
      </c>
      <c r="C4407">
        <v>2.91</v>
      </c>
      <c r="D4407" t="s">
        <v>7</v>
      </c>
      <c r="E4407" s="2" t="s">
        <v>12</v>
      </c>
      <c r="F4407">
        <f t="shared" si="68"/>
        <v>5.7705300000000008</v>
      </c>
      <c r="G4407" t="s">
        <v>16</v>
      </c>
      <c r="J4407" t="str">
        <f>"10/23/2013 23:45"</f>
        <v>10/23/2013 23:45</v>
      </c>
    </row>
    <row r="4408" spans="1:10" x14ac:dyDescent="0.3">
      <c r="A4408" t="s">
        <v>6</v>
      </c>
      <c r="B4408" t="str">
        <f>"10/24/2013 00:00"</f>
        <v>10/24/2013 00:00</v>
      </c>
      <c r="C4408">
        <v>2.91</v>
      </c>
      <c r="D4408" t="s">
        <v>7</v>
      </c>
      <c r="E4408" s="2" t="s">
        <v>12</v>
      </c>
      <c r="F4408">
        <f t="shared" si="68"/>
        <v>5.7705300000000008</v>
      </c>
      <c r="G4408" t="s">
        <v>16</v>
      </c>
      <c r="J4408" t="str">
        <f>"10/24/2013 23:45"</f>
        <v>10/24/2013 23:45</v>
      </c>
    </row>
    <row r="4409" spans="1:10" x14ac:dyDescent="0.3">
      <c r="A4409" t="s">
        <v>6</v>
      </c>
      <c r="B4409" t="str">
        <f>"10/25/2013 00:00"</f>
        <v>10/25/2013 00:00</v>
      </c>
      <c r="C4409">
        <v>2.91</v>
      </c>
      <c r="D4409" t="s">
        <v>7</v>
      </c>
      <c r="E4409" s="2" t="s">
        <v>12</v>
      </c>
      <c r="F4409">
        <f t="shared" si="68"/>
        <v>5.7705300000000008</v>
      </c>
      <c r="G4409" t="s">
        <v>16</v>
      </c>
      <c r="J4409" t="str">
        <f>"10/25/2013 23:45"</f>
        <v>10/25/2013 23:45</v>
      </c>
    </row>
    <row r="4410" spans="1:10" x14ac:dyDescent="0.3">
      <c r="A4410" t="s">
        <v>6</v>
      </c>
      <c r="B4410" t="str">
        <f>"10/26/2013 00:00"</f>
        <v>10/26/2013 00:00</v>
      </c>
      <c r="C4410">
        <v>3.13</v>
      </c>
      <c r="D4410" t="s">
        <v>7</v>
      </c>
      <c r="E4410" s="2" t="s">
        <v>12</v>
      </c>
      <c r="F4410">
        <f t="shared" si="68"/>
        <v>6.2067899999999998</v>
      </c>
      <c r="G4410" t="s">
        <v>16</v>
      </c>
      <c r="J4410" t="str">
        <f>"10/26/2013 23:45"</f>
        <v>10/26/2013 23:45</v>
      </c>
    </row>
    <row r="4411" spans="1:10" x14ac:dyDescent="0.3">
      <c r="A4411" t="s">
        <v>6</v>
      </c>
      <c r="B4411" t="str">
        <f>"10/27/2013 00:00"</f>
        <v>10/27/2013 00:00</v>
      </c>
      <c r="C4411">
        <v>3.12</v>
      </c>
      <c r="D4411" t="s">
        <v>7</v>
      </c>
      <c r="E4411" s="2" t="s">
        <v>12</v>
      </c>
      <c r="F4411">
        <f t="shared" si="68"/>
        <v>6.1869600000000009</v>
      </c>
      <c r="G4411" t="s">
        <v>16</v>
      </c>
      <c r="J4411" t="str">
        <f>"10/27/2013 23:45"</f>
        <v>10/27/2013 23:45</v>
      </c>
    </row>
    <row r="4412" spans="1:10" x14ac:dyDescent="0.3">
      <c r="A4412" t="s">
        <v>6</v>
      </c>
      <c r="B4412" t="str">
        <f>"10/28/2013 00:00"</f>
        <v>10/28/2013 00:00</v>
      </c>
      <c r="C4412">
        <v>3.28</v>
      </c>
      <c r="D4412" t="s">
        <v>7</v>
      </c>
      <c r="E4412" s="2" t="s">
        <v>12</v>
      </c>
      <c r="F4412">
        <f t="shared" si="68"/>
        <v>6.5042400000000002</v>
      </c>
      <c r="G4412" t="s">
        <v>16</v>
      </c>
      <c r="J4412" t="str">
        <f>"10/28/2013 23:45"</f>
        <v>10/28/2013 23:45</v>
      </c>
    </row>
    <row r="4413" spans="1:10" x14ac:dyDescent="0.3">
      <c r="A4413" t="s">
        <v>6</v>
      </c>
      <c r="B4413" t="str">
        <f>"10/29/2013 00:00"</f>
        <v>10/29/2013 00:00</v>
      </c>
      <c r="C4413">
        <v>3.27</v>
      </c>
      <c r="D4413" t="s">
        <v>7</v>
      </c>
      <c r="E4413" s="2" t="s">
        <v>12</v>
      </c>
      <c r="F4413">
        <f t="shared" si="68"/>
        <v>6.4844100000000005</v>
      </c>
      <c r="G4413" t="s">
        <v>16</v>
      </c>
      <c r="J4413" t="str">
        <f>"10/29/2013 23:45"</f>
        <v>10/29/2013 23:45</v>
      </c>
    </row>
    <row r="4414" spans="1:10" x14ac:dyDescent="0.3">
      <c r="A4414" t="s">
        <v>6</v>
      </c>
      <c r="B4414" t="str">
        <f>"10/30/2013 00:00"</f>
        <v>10/30/2013 00:00</v>
      </c>
      <c r="C4414">
        <v>3.28</v>
      </c>
      <c r="D4414" t="s">
        <v>7</v>
      </c>
      <c r="E4414" s="2" t="s">
        <v>12</v>
      </c>
      <c r="F4414">
        <f t="shared" si="68"/>
        <v>6.5042400000000002</v>
      </c>
      <c r="G4414" t="s">
        <v>16</v>
      </c>
      <c r="J4414" t="str">
        <f>"10/30/2013 23:45"</f>
        <v>10/30/2013 23:45</v>
      </c>
    </row>
    <row r="4415" spans="1:10" x14ac:dyDescent="0.3">
      <c r="A4415" t="s">
        <v>6</v>
      </c>
      <c r="B4415" t="str">
        <f>"10/31/2013 00:00"</f>
        <v>10/31/2013 00:00</v>
      </c>
      <c r="C4415">
        <v>3.28</v>
      </c>
      <c r="D4415" t="s">
        <v>7</v>
      </c>
      <c r="E4415" s="2" t="s">
        <v>12</v>
      </c>
      <c r="F4415">
        <f t="shared" si="68"/>
        <v>6.5042400000000002</v>
      </c>
      <c r="G4415" t="s">
        <v>16</v>
      </c>
      <c r="J4415" t="str">
        <f>"10/31/2013 23:45"</f>
        <v>10/31/2013 23:45</v>
      </c>
    </row>
    <row r="4416" spans="1:10" x14ac:dyDescent="0.3">
      <c r="A4416" t="s">
        <v>6</v>
      </c>
      <c r="B4416" t="str">
        <f>"11/01/2013 00:00"</f>
        <v>11/01/2013 00:00</v>
      </c>
      <c r="C4416">
        <v>3.17</v>
      </c>
      <c r="D4416" t="s">
        <v>7</v>
      </c>
      <c r="E4416" s="2" t="s">
        <v>12</v>
      </c>
      <c r="F4416">
        <f t="shared" si="68"/>
        <v>6.2861099999999999</v>
      </c>
      <c r="G4416" t="s">
        <v>16</v>
      </c>
      <c r="J4416" t="str">
        <f>"11/01/2013 23:45"</f>
        <v>11/01/2013 23:45</v>
      </c>
    </row>
    <row r="4417" spans="1:10" x14ac:dyDescent="0.3">
      <c r="A4417" t="s">
        <v>6</v>
      </c>
      <c r="B4417" t="str">
        <f>"11/02/2013 00:00"</f>
        <v>11/02/2013 00:00</v>
      </c>
      <c r="C4417">
        <v>3.13</v>
      </c>
      <c r="D4417" t="s">
        <v>7</v>
      </c>
      <c r="E4417" s="2" t="s">
        <v>12</v>
      </c>
      <c r="F4417">
        <f t="shared" si="68"/>
        <v>6.2067899999999998</v>
      </c>
      <c r="G4417" t="s">
        <v>16</v>
      </c>
      <c r="J4417" t="str">
        <f>"11/02/2013 23:45"</f>
        <v>11/02/2013 23:45</v>
      </c>
    </row>
    <row r="4418" spans="1:10" x14ac:dyDescent="0.3">
      <c r="A4418" t="s">
        <v>6</v>
      </c>
      <c r="B4418" t="str">
        <f>"11/03/2013 00:00"</f>
        <v>11/03/2013 00:00</v>
      </c>
      <c r="C4418">
        <v>3.01</v>
      </c>
      <c r="D4418" t="s">
        <v>7</v>
      </c>
      <c r="E4418" s="2" t="s">
        <v>12</v>
      </c>
      <c r="F4418">
        <f t="shared" si="68"/>
        <v>5.9688299999999996</v>
      </c>
      <c r="G4418" t="s">
        <v>16</v>
      </c>
      <c r="J4418" t="str">
        <f>"11/03/2013 23:45"</f>
        <v>11/03/2013 23:45</v>
      </c>
    </row>
    <row r="4419" spans="1:10" x14ac:dyDescent="0.3">
      <c r="A4419" t="s">
        <v>6</v>
      </c>
      <c r="B4419" t="str">
        <f>"11/04/2013 00:00"</f>
        <v>11/04/2013 00:00</v>
      </c>
      <c r="C4419">
        <v>3.04</v>
      </c>
      <c r="D4419" t="s">
        <v>7</v>
      </c>
      <c r="E4419" s="2" t="s">
        <v>12</v>
      </c>
      <c r="F4419">
        <f t="shared" si="68"/>
        <v>6.0283200000000008</v>
      </c>
      <c r="G4419" t="s">
        <v>16</v>
      </c>
      <c r="J4419" t="str">
        <f>"11/04/2013 23:45"</f>
        <v>11/04/2013 23:45</v>
      </c>
    </row>
    <row r="4420" spans="1:10" x14ac:dyDescent="0.3">
      <c r="A4420" t="s">
        <v>6</v>
      </c>
      <c r="B4420" t="str">
        <f>"11/05/2013 00:00"</f>
        <v>11/05/2013 00:00</v>
      </c>
      <c r="C4420">
        <v>3.19</v>
      </c>
      <c r="D4420" t="s">
        <v>7</v>
      </c>
      <c r="E4420" s="2" t="s">
        <v>12</v>
      </c>
      <c r="F4420">
        <f t="shared" ref="F4420:F4483" si="69">C4420*1.983</f>
        <v>6.3257700000000003</v>
      </c>
      <c r="G4420" t="s">
        <v>16</v>
      </c>
      <c r="J4420" t="str">
        <f>"11/05/2013 23:45"</f>
        <v>11/05/2013 23:45</v>
      </c>
    </row>
    <row r="4421" spans="1:10" x14ac:dyDescent="0.3">
      <c r="A4421" t="s">
        <v>6</v>
      </c>
      <c r="B4421" t="str">
        <f>"11/06/2013 00:00"</f>
        <v>11/06/2013 00:00</v>
      </c>
      <c r="C4421">
        <v>3.28</v>
      </c>
      <c r="D4421" t="s">
        <v>7</v>
      </c>
      <c r="E4421" s="2" t="s">
        <v>12</v>
      </c>
      <c r="F4421">
        <f t="shared" si="69"/>
        <v>6.5042400000000002</v>
      </c>
      <c r="G4421" t="s">
        <v>16</v>
      </c>
      <c r="J4421" t="str">
        <f>"11/06/2013 23:45"</f>
        <v>11/06/2013 23:45</v>
      </c>
    </row>
    <row r="4422" spans="1:10" x14ac:dyDescent="0.3">
      <c r="A4422" t="s">
        <v>6</v>
      </c>
      <c r="B4422" t="str">
        <f>"11/07/2013 00:00"</f>
        <v>11/07/2013 00:00</v>
      </c>
      <c r="C4422">
        <v>3.18</v>
      </c>
      <c r="D4422" t="s">
        <v>7</v>
      </c>
      <c r="E4422" s="2" t="s">
        <v>12</v>
      </c>
      <c r="F4422">
        <f t="shared" si="69"/>
        <v>6.3059400000000005</v>
      </c>
      <c r="G4422" t="s">
        <v>16</v>
      </c>
      <c r="J4422" t="str">
        <f>"11/07/2013 23:45"</f>
        <v>11/07/2013 23:45</v>
      </c>
    </row>
    <row r="4423" spans="1:10" x14ac:dyDescent="0.3">
      <c r="A4423" t="s">
        <v>6</v>
      </c>
      <c r="B4423" t="str">
        <f>"11/08/2013 00:00"</f>
        <v>11/08/2013 00:00</v>
      </c>
      <c r="C4423">
        <v>2.79</v>
      </c>
      <c r="D4423" t="s">
        <v>7</v>
      </c>
      <c r="E4423" s="2" t="s">
        <v>12</v>
      </c>
      <c r="F4423">
        <f t="shared" si="69"/>
        <v>5.5325700000000007</v>
      </c>
      <c r="G4423" t="s">
        <v>16</v>
      </c>
      <c r="J4423" t="str">
        <f>"11/08/2013 23:45"</f>
        <v>11/08/2013 23:45</v>
      </c>
    </row>
    <row r="4424" spans="1:10" x14ac:dyDescent="0.3">
      <c r="A4424" t="s">
        <v>6</v>
      </c>
      <c r="B4424" t="str">
        <f>"11/09/2013 00:00"</f>
        <v>11/09/2013 00:00</v>
      </c>
      <c r="C4424">
        <v>2.73</v>
      </c>
      <c r="D4424" t="s">
        <v>7</v>
      </c>
      <c r="E4424" s="2" t="s">
        <v>12</v>
      </c>
      <c r="F4424">
        <f t="shared" si="69"/>
        <v>5.4135900000000001</v>
      </c>
      <c r="G4424" t="s">
        <v>16</v>
      </c>
      <c r="J4424" t="str">
        <f>"11/09/2013 23:45"</f>
        <v>11/09/2013 23:45</v>
      </c>
    </row>
    <row r="4425" spans="1:10" x14ac:dyDescent="0.3">
      <c r="A4425" t="s">
        <v>6</v>
      </c>
      <c r="B4425" t="str">
        <f>"11/10/2013 00:00"</f>
        <v>11/10/2013 00:00</v>
      </c>
      <c r="C4425">
        <v>2.67</v>
      </c>
      <c r="D4425" t="s">
        <v>7</v>
      </c>
      <c r="E4425" s="2" t="s">
        <v>12</v>
      </c>
      <c r="F4425">
        <f t="shared" si="69"/>
        <v>5.2946100000000005</v>
      </c>
      <c r="G4425" t="s">
        <v>16</v>
      </c>
      <c r="J4425" t="str">
        <f>"11/10/2013 23:45"</f>
        <v>11/10/2013 23:45</v>
      </c>
    </row>
    <row r="4426" spans="1:10" x14ac:dyDescent="0.3">
      <c r="A4426" t="s">
        <v>6</v>
      </c>
      <c r="B4426" t="str">
        <f>"11/11/2013 00:00"</f>
        <v>11/11/2013 00:00</v>
      </c>
      <c r="C4426">
        <v>2.7</v>
      </c>
      <c r="D4426" t="s">
        <v>7</v>
      </c>
      <c r="E4426" s="2" t="s">
        <v>12</v>
      </c>
      <c r="F4426">
        <f t="shared" si="69"/>
        <v>5.3541000000000007</v>
      </c>
      <c r="G4426" t="s">
        <v>16</v>
      </c>
      <c r="J4426" t="str">
        <f>"11/11/2013 23:45"</f>
        <v>11/11/2013 23:45</v>
      </c>
    </row>
    <row r="4427" spans="1:10" x14ac:dyDescent="0.3">
      <c r="A4427" t="s">
        <v>6</v>
      </c>
      <c r="B4427" t="str">
        <f>"11/12/2013 00:00"</f>
        <v>11/12/2013 00:00</v>
      </c>
      <c r="C4427">
        <v>2.79</v>
      </c>
      <c r="D4427" t="s">
        <v>7</v>
      </c>
      <c r="E4427" s="2" t="s">
        <v>12</v>
      </c>
      <c r="F4427">
        <f t="shared" si="69"/>
        <v>5.5325700000000007</v>
      </c>
      <c r="G4427" t="s">
        <v>16</v>
      </c>
      <c r="J4427" t="str">
        <f>"11/12/2013 23:45"</f>
        <v>11/12/2013 23:45</v>
      </c>
    </row>
    <row r="4428" spans="1:10" x14ac:dyDescent="0.3">
      <c r="A4428" t="s">
        <v>6</v>
      </c>
      <c r="B4428" t="str">
        <f>"11/13/2013 00:00"</f>
        <v>11/13/2013 00:00</v>
      </c>
      <c r="C4428">
        <v>2.91</v>
      </c>
      <c r="D4428" t="s">
        <v>7</v>
      </c>
      <c r="E4428" s="2" t="s">
        <v>12</v>
      </c>
      <c r="F4428">
        <f t="shared" si="69"/>
        <v>5.7705300000000008</v>
      </c>
      <c r="G4428" t="s">
        <v>16</v>
      </c>
      <c r="J4428" t="str">
        <f>"11/13/2013 23:45"</f>
        <v>11/13/2013 23:45</v>
      </c>
    </row>
    <row r="4429" spans="1:10" x14ac:dyDescent="0.3">
      <c r="A4429" t="s">
        <v>6</v>
      </c>
      <c r="B4429" t="str">
        <f>"11/14/2013 00:00"</f>
        <v>11/14/2013 00:00</v>
      </c>
      <c r="C4429">
        <v>2.76</v>
      </c>
      <c r="D4429" t="s">
        <v>7</v>
      </c>
      <c r="E4429" s="2" t="s">
        <v>12</v>
      </c>
      <c r="F4429">
        <f t="shared" si="69"/>
        <v>5.4730799999999995</v>
      </c>
      <c r="G4429" t="s">
        <v>16</v>
      </c>
      <c r="J4429" t="str">
        <f>"11/14/2013 23:45"</f>
        <v>11/14/2013 23:45</v>
      </c>
    </row>
    <row r="4430" spans="1:10" x14ac:dyDescent="0.3">
      <c r="A4430" t="s">
        <v>6</v>
      </c>
      <c r="B4430" t="str">
        <f>"11/15/2013 00:00"</f>
        <v>11/15/2013 00:00</v>
      </c>
      <c r="C4430">
        <v>2.91</v>
      </c>
      <c r="D4430" t="s">
        <v>7</v>
      </c>
      <c r="E4430" s="2" t="s">
        <v>12</v>
      </c>
      <c r="F4430">
        <f t="shared" si="69"/>
        <v>5.7705300000000008</v>
      </c>
      <c r="G4430" t="s">
        <v>16</v>
      </c>
      <c r="J4430" t="str">
        <f>"11/15/2013 23:45"</f>
        <v>11/15/2013 23:45</v>
      </c>
    </row>
    <row r="4431" spans="1:10" x14ac:dyDescent="0.3">
      <c r="A4431" t="s">
        <v>6</v>
      </c>
      <c r="B4431" t="str">
        <f>"11/16/2013 00:00"</f>
        <v>11/16/2013 00:00</v>
      </c>
      <c r="C4431">
        <v>2.83</v>
      </c>
      <c r="D4431" t="s">
        <v>7</v>
      </c>
      <c r="E4431" s="2" t="s">
        <v>12</v>
      </c>
      <c r="F4431">
        <f t="shared" si="69"/>
        <v>5.6118900000000007</v>
      </c>
      <c r="G4431" t="s">
        <v>16</v>
      </c>
      <c r="J4431" t="str">
        <f>"11/16/2013 23:45"</f>
        <v>11/16/2013 23:45</v>
      </c>
    </row>
    <row r="4432" spans="1:10" x14ac:dyDescent="0.3">
      <c r="A4432" t="s">
        <v>6</v>
      </c>
      <c r="B4432" t="str">
        <f>"11/17/2013 00:00"</f>
        <v>11/17/2013 00:00</v>
      </c>
      <c r="C4432">
        <v>2.57</v>
      </c>
      <c r="D4432" t="s">
        <v>7</v>
      </c>
      <c r="E4432" s="2" t="s">
        <v>12</v>
      </c>
      <c r="F4432">
        <f t="shared" si="69"/>
        <v>5.0963099999999999</v>
      </c>
      <c r="G4432" t="s">
        <v>16</v>
      </c>
      <c r="J4432" t="str">
        <f>"11/17/2013 23:45"</f>
        <v>11/17/2013 23:45</v>
      </c>
    </row>
    <row r="4433" spans="1:10" x14ac:dyDescent="0.3">
      <c r="A4433" t="s">
        <v>6</v>
      </c>
      <c r="B4433" t="str">
        <f>"11/18/2013 00:00"</f>
        <v>11/18/2013 00:00</v>
      </c>
      <c r="C4433">
        <v>2.99</v>
      </c>
      <c r="D4433" t="s">
        <v>7</v>
      </c>
      <c r="E4433" s="2" t="s">
        <v>12</v>
      </c>
      <c r="F4433">
        <f t="shared" si="69"/>
        <v>5.9291700000000009</v>
      </c>
      <c r="G4433" t="s">
        <v>16</v>
      </c>
      <c r="J4433" t="str">
        <f>"11/18/2013 23:45"</f>
        <v>11/18/2013 23:45</v>
      </c>
    </row>
    <row r="4434" spans="1:10" x14ac:dyDescent="0.3">
      <c r="A4434" t="s">
        <v>6</v>
      </c>
      <c r="B4434" t="str">
        <f>"11/19/2013 00:00"</f>
        <v>11/19/2013 00:00</v>
      </c>
      <c r="C4434">
        <v>2.81</v>
      </c>
      <c r="D4434" t="s">
        <v>7</v>
      </c>
      <c r="E4434" s="2" t="s">
        <v>12</v>
      </c>
      <c r="F4434">
        <f t="shared" si="69"/>
        <v>5.5722300000000002</v>
      </c>
      <c r="G4434" t="s">
        <v>16</v>
      </c>
      <c r="J4434" t="str">
        <f>"11/19/2013 23:45"</f>
        <v>11/19/2013 23:45</v>
      </c>
    </row>
    <row r="4435" spans="1:10" x14ac:dyDescent="0.3">
      <c r="A4435" t="s">
        <v>6</v>
      </c>
      <c r="B4435" t="str">
        <f>"11/20/2013 00:00"</f>
        <v>11/20/2013 00:00</v>
      </c>
      <c r="C4435">
        <v>2.63</v>
      </c>
      <c r="D4435" t="s">
        <v>7</v>
      </c>
      <c r="E4435" s="2" t="s">
        <v>12</v>
      </c>
      <c r="F4435">
        <f t="shared" si="69"/>
        <v>5.2152900000000004</v>
      </c>
      <c r="G4435" t="s">
        <v>16</v>
      </c>
      <c r="J4435" t="str">
        <f>"11/20/2013 23:45"</f>
        <v>11/20/2013 23:45</v>
      </c>
    </row>
    <row r="4436" spans="1:10" x14ac:dyDescent="0.3">
      <c r="A4436" t="s">
        <v>6</v>
      </c>
      <c r="B4436" t="str">
        <f>"11/21/2013 00:00"</f>
        <v>11/21/2013 00:00</v>
      </c>
      <c r="C4436">
        <v>2.78</v>
      </c>
      <c r="D4436" t="s">
        <v>7</v>
      </c>
      <c r="E4436" s="2" t="s">
        <v>12</v>
      </c>
      <c r="F4436">
        <f t="shared" si="69"/>
        <v>5.51274</v>
      </c>
      <c r="G4436" t="s">
        <v>16</v>
      </c>
      <c r="J4436" t="str">
        <f>"11/21/2013 23:45"</f>
        <v>11/21/2013 23:45</v>
      </c>
    </row>
    <row r="4437" spans="1:10" x14ac:dyDescent="0.3">
      <c r="A4437" t="s">
        <v>6</v>
      </c>
      <c r="B4437" t="str">
        <f>"11/22/2013 00:00"</f>
        <v>11/22/2013 00:00</v>
      </c>
      <c r="C4437">
        <v>2.91</v>
      </c>
      <c r="D4437" t="s">
        <v>7</v>
      </c>
      <c r="E4437" s="2" t="s">
        <v>12</v>
      </c>
      <c r="F4437">
        <f t="shared" si="69"/>
        <v>5.7705300000000008</v>
      </c>
      <c r="G4437" t="s">
        <v>16</v>
      </c>
      <c r="J4437" t="str">
        <f>"11/22/2013 23:45"</f>
        <v>11/22/2013 23:45</v>
      </c>
    </row>
    <row r="4438" spans="1:10" x14ac:dyDescent="0.3">
      <c r="A4438" t="s">
        <v>6</v>
      </c>
      <c r="B4438" t="str">
        <f>"11/23/2013 00:00"</f>
        <v>11/23/2013 00:00</v>
      </c>
      <c r="C4438">
        <v>2.91</v>
      </c>
      <c r="D4438" t="s">
        <v>7</v>
      </c>
      <c r="E4438" s="2" t="s">
        <v>12</v>
      </c>
      <c r="F4438">
        <f t="shared" si="69"/>
        <v>5.7705300000000008</v>
      </c>
      <c r="G4438" t="s">
        <v>16</v>
      </c>
      <c r="J4438" t="str">
        <f>"11/23/2013 23:45"</f>
        <v>11/23/2013 23:45</v>
      </c>
    </row>
    <row r="4439" spans="1:10" x14ac:dyDescent="0.3">
      <c r="A4439" t="s">
        <v>6</v>
      </c>
      <c r="B4439" t="str">
        <f>"11/24/2013 00:00"</f>
        <v>11/24/2013 00:00</v>
      </c>
      <c r="C4439">
        <v>2.66</v>
      </c>
      <c r="D4439" t="s">
        <v>7</v>
      </c>
      <c r="E4439" s="2" t="s">
        <v>12</v>
      </c>
      <c r="F4439">
        <f t="shared" si="69"/>
        <v>5.2747800000000007</v>
      </c>
      <c r="G4439" t="s">
        <v>16</v>
      </c>
      <c r="J4439" t="str">
        <f>"11/24/2013 23:45"</f>
        <v>11/24/2013 23:45</v>
      </c>
    </row>
    <row r="4440" spans="1:10" x14ac:dyDescent="0.3">
      <c r="A4440" t="s">
        <v>6</v>
      </c>
      <c r="B4440" t="str">
        <f>"11/25/2013 00:00"</f>
        <v>11/25/2013 00:00</v>
      </c>
      <c r="C4440">
        <v>2.9</v>
      </c>
      <c r="D4440" t="s">
        <v>7</v>
      </c>
      <c r="E4440" s="2" t="s">
        <v>12</v>
      </c>
      <c r="F4440">
        <f t="shared" si="69"/>
        <v>5.7507000000000001</v>
      </c>
      <c r="G4440" t="s">
        <v>16</v>
      </c>
      <c r="J4440" t="str">
        <f>"11/25/2013 23:45"</f>
        <v>11/25/2013 23:45</v>
      </c>
    </row>
    <row r="4441" spans="1:10" x14ac:dyDescent="0.3">
      <c r="A4441" t="s">
        <v>6</v>
      </c>
      <c r="B4441" t="str">
        <f>"11/26/2013 00:00"</f>
        <v>11/26/2013 00:00</v>
      </c>
      <c r="C4441">
        <v>2.91</v>
      </c>
      <c r="D4441" t="s">
        <v>7</v>
      </c>
      <c r="E4441" s="2" t="s">
        <v>12</v>
      </c>
      <c r="F4441">
        <f t="shared" si="69"/>
        <v>5.7705300000000008</v>
      </c>
      <c r="G4441" t="s">
        <v>16</v>
      </c>
      <c r="J4441" t="str">
        <f>"11/26/2013 23:45"</f>
        <v>11/26/2013 23:45</v>
      </c>
    </row>
    <row r="4442" spans="1:10" x14ac:dyDescent="0.3">
      <c r="A4442" t="s">
        <v>6</v>
      </c>
      <c r="B4442" t="str">
        <f>"11/27/2013 00:00"</f>
        <v>11/27/2013 00:00</v>
      </c>
      <c r="C4442">
        <v>2.91</v>
      </c>
      <c r="D4442" t="s">
        <v>7</v>
      </c>
      <c r="E4442" s="2" t="s">
        <v>12</v>
      </c>
      <c r="F4442">
        <f t="shared" si="69"/>
        <v>5.7705300000000008</v>
      </c>
      <c r="G4442" t="s">
        <v>16</v>
      </c>
      <c r="J4442" t="str">
        <f>"11/27/2013 23:45"</f>
        <v>11/27/2013 23:45</v>
      </c>
    </row>
    <row r="4443" spans="1:10" x14ac:dyDescent="0.3">
      <c r="A4443" t="s">
        <v>6</v>
      </c>
      <c r="B4443" t="str">
        <f>"11/28/2013 00:00"</f>
        <v>11/28/2013 00:00</v>
      </c>
      <c r="C4443">
        <v>2.91</v>
      </c>
      <c r="D4443" t="s">
        <v>7</v>
      </c>
      <c r="E4443" s="2" t="s">
        <v>12</v>
      </c>
      <c r="F4443">
        <f t="shared" si="69"/>
        <v>5.7705300000000008</v>
      </c>
      <c r="G4443" t="s">
        <v>16</v>
      </c>
      <c r="J4443" t="str">
        <f>"11/28/2013 23:45"</f>
        <v>11/28/2013 23:45</v>
      </c>
    </row>
    <row r="4444" spans="1:10" x14ac:dyDescent="0.3">
      <c r="A4444" t="s">
        <v>6</v>
      </c>
      <c r="B4444" t="str">
        <f>"11/29/2013 00:00"</f>
        <v>11/29/2013 00:00</v>
      </c>
      <c r="C4444">
        <v>2.91</v>
      </c>
      <c r="D4444" t="s">
        <v>7</v>
      </c>
      <c r="E4444" s="2" t="s">
        <v>12</v>
      </c>
      <c r="F4444">
        <f t="shared" si="69"/>
        <v>5.7705300000000008</v>
      </c>
      <c r="G4444" t="s">
        <v>16</v>
      </c>
      <c r="J4444" t="str">
        <f>"11/29/2013 23:45"</f>
        <v>11/29/2013 23:45</v>
      </c>
    </row>
    <row r="4445" spans="1:10" x14ac:dyDescent="0.3">
      <c r="A4445" t="s">
        <v>6</v>
      </c>
      <c r="B4445" t="str">
        <f>"11/30/2013 00:00"</f>
        <v>11/30/2013 00:00</v>
      </c>
      <c r="C4445">
        <v>2.91</v>
      </c>
      <c r="D4445" t="s">
        <v>7</v>
      </c>
      <c r="E4445" s="2" t="s">
        <v>12</v>
      </c>
      <c r="F4445">
        <f t="shared" si="69"/>
        <v>5.7705300000000008</v>
      </c>
      <c r="G4445" t="s">
        <v>16</v>
      </c>
      <c r="J4445" t="str">
        <f>"11/30/2013 23:45"</f>
        <v>11/30/2013 23:45</v>
      </c>
    </row>
    <row r="4446" spans="1:10" x14ac:dyDescent="0.3">
      <c r="A4446" t="s">
        <v>6</v>
      </c>
      <c r="B4446" t="str">
        <f>"12/01/2013 00:00"</f>
        <v>12/01/2013 00:00</v>
      </c>
      <c r="C4446">
        <v>2.91</v>
      </c>
      <c r="D4446" t="s">
        <v>7</v>
      </c>
      <c r="E4446" s="2" t="s">
        <v>12</v>
      </c>
      <c r="F4446">
        <f t="shared" si="69"/>
        <v>5.7705300000000008</v>
      </c>
      <c r="G4446" t="s">
        <v>16</v>
      </c>
      <c r="J4446" t="str">
        <f>"12/01/2013 23:45"</f>
        <v>12/01/2013 23:45</v>
      </c>
    </row>
    <row r="4447" spans="1:10" x14ac:dyDescent="0.3">
      <c r="A4447" t="s">
        <v>6</v>
      </c>
      <c r="B4447" t="str">
        <f>"12/02/2013 00:00"</f>
        <v>12/02/2013 00:00</v>
      </c>
      <c r="C4447">
        <v>2.91</v>
      </c>
      <c r="D4447" t="s">
        <v>7</v>
      </c>
      <c r="E4447" s="2" t="s">
        <v>12</v>
      </c>
      <c r="F4447">
        <f t="shared" si="69"/>
        <v>5.7705300000000008</v>
      </c>
      <c r="G4447" t="s">
        <v>16</v>
      </c>
      <c r="J4447" t="str">
        <f>"12/02/2013 23:45"</f>
        <v>12/02/2013 23:45</v>
      </c>
    </row>
    <row r="4448" spans="1:10" x14ac:dyDescent="0.3">
      <c r="A4448" t="s">
        <v>6</v>
      </c>
      <c r="B4448" t="str">
        <f>"12/03/2013 00:00"</f>
        <v>12/03/2013 00:00</v>
      </c>
      <c r="C4448">
        <v>2.7</v>
      </c>
      <c r="D4448" t="s">
        <v>7</v>
      </c>
      <c r="E4448" s="2" t="s">
        <v>12</v>
      </c>
      <c r="F4448">
        <f t="shared" si="69"/>
        <v>5.3541000000000007</v>
      </c>
      <c r="G4448" t="s">
        <v>16</v>
      </c>
      <c r="J4448" t="str">
        <f>"12/03/2013 23:45"</f>
        <v>12/03/2013 23:45</v>
      </c>
    </row>
    <row r="4449" spans="1:10" x14ac:dyDescent="0.3">
      <c r="A4449" t="s">
        <v>6</v>
      </c>
      <c r="B4449" t="str">
        <f>"12/04/2013 00:00"</f>
        <v>12/04/2013 00:00</v>
      </c>
      <c r="C4449">
        <v>3.24</v>
      </c>
      <c r="D4449" t="s">
        <v>7</v>
      </c>
      <c r="E4449" s="2" t="s">
        <v>12</v>
      </c>
      <c r="F4449">
        <f t="shared" si="69"/>
        <v>6.4249200000000011</v>
      </c>
      <c r="G4449" t="s">
        <v>16</v>
      </c>
      <c r="J4449" t="str">
        <f>"12/04/2013 23:45"</f>
        <v>12/04/2013 23:45</v>
      </c>
    </row>
    <row r="4450" spans="1:10" x14ac:dyDescent="0.3">
      <c r="A4450" t="s">
        <v>6</v>
      </c>
      <c r="B4450" t="str">
        <f>"12/05/2013 00:00"</f>
        <v>12/05/2013 00:00</v>
      </c>
      <c r="C4450">
        <v>2.91</v>
      </c>
      <c r="D4450" t="s">
        <v>7</v>
      </c>
      <c r="E4450" s="2" t="s">
        <v>12</v>
      </c>
      <c r="F4450">
        <f t="shared" si="69"/>
        <v>5.7705300000000008</v>
      </c>
      <c r="G4450" t="s">
        <v>16</v>
      </c>
      <c r="J4450" t="str">
        <f>"12/05/2013 23:45"</f>
        <v>12/05/2013 23:45</v>
      </c>
    </row>
    <row r="4451" spans="1:10" x14ac:dyDescent="0.3">
      <c r="A4451" t="s">
        <v>6</v>
      </c>
      <c r="B4451" t="str">
        <f>"12/06/2013 00:00"</f>
        <v>12/06/2013 00:00</v>
      </c>
      <c r="C4451">
        <v>2.71</v>
      </c>
      <c r="D4451" t="s">
        <v>7</v>
      </c>
      <c r="E4451" s="2" t="s">
        <v>12</v>
      </c>
      <c r="F4451">
        <f t="shared" si="69"/>
        <v>5.3739300000000005</v>
      </c>
      <c r="G4451" t="s">
        <v>16</v>
      </c>
      <c r="J4451" t="str">
        <f>"12/06/2013 23:45"</f>
        <v>12/06/2013 23:45</v>
      </c>
    </row>
    <row r="4452" spans="1:10" x14ac:dyDescent="0.3">
      <c r="A4452" t="s">
        <v>6</v>
      </c>
      <c r="B4452" t="str">
        <f>"12/07/2013 00:00"</f>
        <v>12/07/2013 00:00</v>
      </c>
      <c r="C4452">
        <v>2.56</v>
      </c>
      <c r="D4452" t="s">
        <v>7</v>
      </c>
      <c r="E4452" s="2" t="s">
        <v>12</v>
      </c>
      <c r="F4452">
        <f t="shared" si="69"/>
        <v>5.0764800000000001</v>
      </c>
      <c r="G4452" t="s">
        <v>16</v>
      </c>
      <c r="J4452" t="str">
        <f>"12/07/2013 23:45"</f>
        <v>12/07/2013 23:45</v>
      </c>
    </row>
    <row r="4453" spans="1:10" x14ac:dyDescent="0.3">
      <c r="A4453" t="s">
        <v>6</v>
      </c>
      <c r="B4453" t="str">
        <f>"12/08/2013 00:00"</f>
        <v>12/08/2013 00:00</v>
      </c>
      <c r="C4453">
        <v>2.56</v>
      </c>
      <c r="D4453" t="s">
        <v>7</v>
      </c>
      <c r="E4453" s="2" t="s">
        <v>12</v>
      </c>
      <c r="F4453">
        <f t="shared" si="69"/>
        <v>5.0764800000000001</v>
      </c>
      <c r="G4453" t="s">
        <v>16</v>
      </c>
      <c r="J4453" t="str">
        <f>"12/08/2013 23:45"</f>
        <v>12/08/2013 23:45</v>
      </c>
    </row>
    <row r="4454" spans="1:10" x14ac:dyDescent="0.3">
      <c r="A4454" t="s">
        <v>6</v>
      </c>
      <c r="B4454" t="str">
        <f>"12/09/2013 00:00"</f>
        <v>12/09/2013 00:00</v>
      </c>
      <c r="C4454">
        <v>2.56</v>
      </c>
      <c r="D4454" t="s">
        <v>7</v>
      </c>
      <c r="E4454" s="2" t="s">
        <v>12</v>
      </c>
      <c r="F4454">
        <f t="shared" si="69"/>
        <v>5.0764800000000001</v>
      </c>
      <c r="G4454" t="s">
        <v>16</v>
      </c>
      <c r="J4454" t="str">
        <f>"12/09/2013 23:45"</f>
        <v>12/09/2013 23:45</v>
      </c>
    </row>
    <row r="4455" spans="1:10" x14ac:dyDescent="0.3">
      <c r="A4455" t="s">
        <v>6</v>
      </c>
      <c r="B4455" t="str">
        <f>"12/10/2013 00:00"</f>
        <v>12/10/2013 00:00</v>
      </c>
      <c r="C4455">
        <v>2.61</v>
      </c>
      <c r="D4455" t="s">
        <v>7</v>
      </c>
      <c r="E4455" s="2" t="s">
        <v>12</v>
      </c>
      <c r="F4455">
        <f t="shared" si="69"/>
        <v>5.17563</v>
      </c>
      <c r="G4455" t="s">
        <v>16</v>
      </c>
      <c r="J4455" t="str">
        <f>"12/10/2013 23:45"</f>
        <v>12/10/2013 23:45</v>
      </c>
    </row>
    <row r="4456" spans="1:10" x14ac:dyDescent="0.3">
      <c r="A4456" t="s">
        <v>6</v>
      </c>
      <c r="B4456" t="str">
        <f>"12/11/2013 00:00"</f>
        <v>12/11/2013 00:00</v>
      </c>
      <c r="C4456">
        <v>2.91</v>
      </c>
      <c r="D4456" t="s">
        <v>7</v>
      </c>
      <c r="E4456" s="2" t="s">
        <v>12</v>
      </c>
      <c r="F4456">
        <f t="shared" si="69"/>
        <v>5.7705300000000008</v>
      </c>
      <c r="G4456" t="s">
        <v>16</v>
      </c>
      <c r="J4456" t="str">
        <f>"12/11/2013 23:45"</f>
        <v>12/11/2013 23:45</v>
      </c>
    </row>
    <row r="4457" spans="1:10" x14ac:dyDescent="0.3">
      <c r="A4457" t="s">
        <v>6</v>
      </c>
      <c r="B4457" t="str">
        <f>"12/12/2013 00:00"</f>
        <v>12/12/2013 00:00</v>
      </c>
      <c r="C4457">
        <v>2.6</v>
      </c>
      <c r="D4457" t="s">
        <v>7</v>
      </c>
      <c r="E4457" s="2" t="s">
        <v>12</v>
      </c>
      <c r="F4457">
        <f t="shared" si="69"/>
        <v>5.1558000000000002</v>
      </c>
      <c r="G4457" t="s">
        <v>16</v>
      </c>
      <c r="J4457" t="str">
        <f>"12/12/2013 23:45"</f>
        <v>12/12/2013 23:45</v>
      </c>
    </row>
    <row r="4458" spans="1:10" x14ac:dyDescent="0.3">
      <c r="A4458" t="s">
        <v>6</v>
      </c>
      <c r="B4458" t="str">
        <f>"12/13/2013 00:00"</f>
        <v>12/13/2013 00:00</v>
      </c>
      <c r="C4458">
        <v>2.56</v>
      </c>
      <c r="D4458" t="s">
        <v>7</v>
      </c>
      <c r="E4458" s="2" t="s">
        <v>12</v>
      </c>
      <c r="F4458">
        <f t="shared" si="69"/>
        <v>5.0764800000000001</v>
      </c>
      <c r="G4458" t="s">
        <v>16</v>
      </c>
      <c r="J4458" t="str">
        <f>"12/13/2013 23:45"</f>
        <v>12/13/2013 23:45</v>
      </c>
    </row>
    <row r="4459" spans="1:10" x14ac:dyDescent="0.3">
      <c r="A4459" t="s">
        <v>6</v>
      </c>
      <c r="B4459" t="str">
        <f>"12/14/2013 00:00"</f>
        <v>12/14/2013 00:00</v>
      </c>
      <c r="C4459">
        <v>2.56</v>
      </c>
      <c r="D4459" t="s">
        <v>7</v>
      </c>
      <c r="E4459" s="2" t="s">
        <v>12</v>
      </c>
      <c r="F4459">
        <f t="shared" si="69"/>
        <v>5.0764800000000001</v>
      </c>
      <c r="G4459" t="s">
        <v>16</v>
      </c>
      <c r="J4459" t="str">
        <f>"12/14/2013 23:45"</f>
        <v>12/14/2013 23:45</v>
      </c>
    </row>
    <row r="4460" spans="1:10" x14ac:dyDescent="0.3">
      <c r="A4460" t="s">
        <v>6</v>
      </c>
      <c r="B4460" t="str">
        <f>"12/15/2013 00:00"</f>
        <v>12/15/2013 00:00</v>
      </c>
      <c r="C4460">
        <v>2.56</v>
      </c>
      <c r="D4460" t="s">
        <v>7</v>
      </c>
      <c r="E4460" s="2" t="s">
        <v>12</v>
      </c>
      <c r="F4460">
        <f t="shared" si="69"/>
        <v>5.0764800000000001</v>
      </c>
      <c r="G4460" t="s">
        <v>16</v>
      </c>
      <c r="J4460" t="str">
        <f>"12/15/2013 23:45"</f>
        <v>12/15/2013 23:45</v>
      </c>
    </row>
    <row r="4461" spans="1:10" x14ac:dyDescent="0.3">
      <c r="A4461" t="s">
        <v>6</v>
      </c>
      <c r="B4461" t="str">
        <f>"12/16/2013 00:00"</f>
        <v>12/16/2013 00:00</v>
      </c>
      <c r="C4461">
        <v>2.64</v>
      </c>
      <c r="D4461" t="s">
        <v>7</v>
      </c>
      <c r="E4461" s="2" t="s">
        <v>12</v>
      </c>
      <c r="F4461">
        <f t="shared" si="69"/>
        <v>5.2351200000000002</v>
      </c>
      <c r="G4461" t="s">
        <v>16</v>
      </c>
      <c r="J4461" t="str">
        <f>"12/16/2013 23:45"</f>
        <v>12/16/2013 23:45</v>
      </c>
    </row>
    <row r="4462" spans="1:10" x14ac:dyDescent="0.3">
      <c r="A4462" t="s">
        <v>6</v>
      </c>
      <c r="B4462" t="str">
        <f>"12/17/2013 00:00"</f>
        <v>12/17/2013 00:00</v>
      </c>
      <c r="C4462">
        <v>2.31</v>
      </c>
      <c r="D4462" t="s">
        <v>7</v>
      </c>
      <c r="E4462" s="2" t="s">
        <v>12</v>
      </c>
      <c r="F4462">
        <f t="shared" si="69"/>
        <v>4.58073</v>
      </c>
      <c r="G4462" t="s">
        <v>16</v>
      </c>
      <c r="J4462" t="str">
        <f>"12/17/2013 23:45"</f>
        <v>12/17/2013 23:45</v>
      </c>
    </row>
    <row r="4463" spans="1:10" x14ac:dyDescent="0.3">
      <c r="A4463" t="s">
        <v>6</v>
      </c>
      <c r="B4463" t="str">
        <f>"12/18/2013 00:00"</f>
        <v>12/18/2013 00:00</v>
      </c>
      <c r="C4463">
        <v>3.22</v>
      </c>
      <c r="D4463" t="s">
        <v>7</v>
      </c>
      <c r="E4463" s="2" t="s">
        <v>12</v>
      </c>
      <c r="F4463">
        <f t="shared" si="69"/>
        <v>6.3852600000000006</v>
      </c>
      <c r="G4463" t="s">
        <v>16</v>
      </c>
      <c r="J4463" t="str">
        <f>"12/18/2013 23:45"</f>
        <v>12/18/2013 23:45</v>
      </c>
    </row>
    <row r="4464" spans="1:10" x14ac:dyDescent="0.3">
      <c r="A4464" t="s">
        <v>6</v>
      </c>
      <c r="B4464" t="str">
        <f>"12/19/2013 00:00"</f>
        <v>12/19/2013 00:00</v>
      </c>
      <c r="C4464">
        <v>2.23</v>
      </c>
      <c r="D4464" t="s">
        <v>7</v>
      </c>
      <c r="E4464" s="2" t="s">
        <v>12</v>
      </c>
      <c r="F4464">
        <f t="shared" si="69"/>
        <v>4.4220899999999999</v>
      </c>
      <c r="G4464" t="s">
        <v>16</v>
      </c>
      <c r="J4464" t="str">
        <f>"12/19/2013 23:45"</f>
        <v>12/19/2013 23:45</v>
      </c>
    </row>
    <row r="4465" spans="1:10" x14ac:dyDescent="0.3">
      <c r="A4465" t="s">
        <v>6</v>
      </c>
      <c r="B4465" t="str">
        <f>"12/20/2013 00:00"</f>
        <v>12/20/2013 00:00</v>
      </c>
      <c r="C4465">
        <v>2.23</v>
      </c>
      <c r="D4465" t="s">
        <v>7</v>
      </c>
      <c r="E4465" s="2" t="s">
        <v>12</v>
      </c>
      <c r="F4465">
        <f t="shared" si="69"/>
        <v>4.4220899999999999</v>
      </c>
      <c r="G4465" t="s">
        <v>16</v>
      </c>
      <c r="J4465" t="str">
        <f>"12/20/2013 23:45"</f>
        <v>12/20/2013 23:45</v>
      </c>
    </row>
    <row r="4466" spans="1:10" x14ac:dyDescent="0.3">
      <c r="A4466" t="s">
        <v>6</v>
      </c>
      <c r="B4466" t="str">
        <f>"12/21/2013 00:00"</f>
        <v>12/21/2013 00:00</v>
      </c>
      <c r="C4466">
        <v>2.23</v>
      </c>
      <c r="D4466" t="s">
        <v>7</v>
      </c>
      <c r="E4466" s="2" t="s">
        <v>12</v>
      </c>
      <c r="F4466">
        <f t="shared" si="69"/>
        <v>4.4220899999999999</v>
      </c>
      <c r="G4466" t="s">
        <v>16</v>
      </c>
      <c r="J4466" t="str">
        <f>"12/21/2013 23:45"</f>
        <v>12/21/2013 23:45</v>
      </c>
    </row>
    <row r="4467" spans="1:10" x14ac:dyDescent="0.3">
      <c r="A4467" t="s">
        <v>6</v>
      </c>
      <c r="B4467" t="str">
        <f>"12/22/2013 00:00"</f>
        <v>12/22/2013 00:00</v>
      </c>
      <c r="C4467">
        <v>2.0499999999999998</v>
      </c>
      <c r="D4467" t="s">
        <v>7</v>
      </c>
      <c r="E4467" s="2" t="s">
        <v>12</v>
      </c>
      <c r="F4467">
        <f t="shared" si="69"/>
        <v>4.06515</v>
      </c>
      <c r="G4467" t="s">
        <v>16</v>
      </c>
      <c r="J4467" t="str">
        <f>"12/22/2013 23:45"</f>
        <v>12/22/2013 23:45</v>
      </c>
    </row>
    <row r="4468" spans="1:10" x14ac:dyDescent="0.3">
      <c r="A4468" t="s">
        <v>6</v>
      </c>
      <c r="B4468" t="str">
        <f>"12/23/2013 00:00"</f>
        <v>12/23/2013 00:00</v>
      </c>
      <c r="C4468">
        <v>1.92</v>
      </c>
      <c r="D4468" t="s">
        <v>7</v>
      </c>
      <c r="E4468" s="2" t="s">
        <v>12</v>
      </c>
      <c r="F4468">
        <f t="shared" si="69"/>
        <v>3.8073600000000001</v>
      </c>
      <c r="G4468" t="s">
        <v>16</v>
      </c>
      <c r="J4468" t="str">
        <f>"12/23/2013 23:45"</f>
        <v>12/23/2013 23:45</v>
      </c>
    </row>
    <row r="4469" spans="1:10" x14ac:dyDescent="0.3">
      <c r="A4469" t="s">
        <v>6</v>
      </c>
      <c r="B4469" t="str">
        <f>"12/24/2013 00:00"</f>
        <v>12/24/2013 00:00</v>
      </c>
      <c r="C4469">
        <v>1.92</v>
      </c>
      <c r="D4469" t="s">
        <v>7</v>
      </c>
      <c r="E4469" s="2" t="s">
        <v>12</v>
      </c>
      <c r="F4469">
        <f t="shared" si="69"/>
        <v>3.8073600000000001</v>
      </c>
      <c r="G4469" t="s">
        <v>16</v>
      </c>
      <c r="J4469" t="str">
        <f>"12/24/2013 23:45"</f>
        <v>12/24/2013 23:45</v>
      </c>
    </row>
    <row r="4470" spans="1:10" x14ac:dyDescent="0.3">
      <c r="A4470" t="s">
        <v>6</v>
      </c>
      <c r="B4470" t="str">
        <f>"12/25/2013 00:00"</f>
        <v>12/25/2013 00:00</v>
      </c>
      <c r="C4470">
        <v>1.92</v>
      </c>
      <c r="D4470" t="s">
        <v>7</v>
      </c>
      <c r="E4470" s="2" t="s">
        <v>12</v>
      </c>
      <c r="F4470">
        <f t="shared" si="69"/>
        <v>3.8073600000000001</v>
      </c>
      <c r="G4470" t="s">
        <v>16</v>
      </c>
      <c r="J4470" t="str">
        <f>"12/25/2013 23:45"</f>
        <v>12/25/2013 23:45</v>
      </c>
    </row>
    <row r="4471" spans="1:10" x14ac:dyDescent="0.3">
      <c r="A4471" t="s">
        <v>6</v>
      </c>
      <c r="B4471" t="str">
        <f>"12/26/2013 00:00"</f>
        <v>12/26/2013 00:00</v>
      </c>
      <c r="C4471">
        <v>1.92</v>
      </c>
      <c r="D4471" t="s">
        <v>7</v>
      </c>
      <c r="E4471" s="2" t="s">
        <v>12</v>
      </c>
      <c r="F4471">
        <f t="shared" si="69"/>
        <v>3.8073600000000001</v>
      </c>
      <c r="G4471" t="s">
        <v>16</v>
      </c>
      <c r="J4471" t="str">
        <f>"12/26/2013 23:45"</f>
        <v>12/26/2013 23:45</v>
      </c>
    </row>
    <row r="4472" spans="1:10" x14ac:dyDescent="0.3">
      <c r="A4472" t="s">
        <v>6</v>
      </c>
      <c r="B4472" t="str">
        <f>"12/27/2013 00:00"</f>
        <v>12/27/2013 00:00</v>
      </c>
      <c r="C4472">
        <v>1.92</v>
      </c>
      <c r="D4472" t="s">
        <v>7</v>
      </c>
      <c r="E4472" s="2" t="s">
        <v>12</v>
      </c>
      <c r="F4472">
        <f t="shared" si="69"/>
        <v>3.8073600000000001</v>
      </c>
      <c r="G4472" t="s">
        <v>16</v>
      </c>
      <c r="J4472" t="str">
        <f>"12/27/2013 23:45"</f>
        <v>12/27/2013 23:45</v>
      </c>
    </row>
    <row r="4473" spans="1:10" x14ac:dyDescent="0.3">
      <c r="A4473" t="s">
        <v>6</v>
      </c>
      <c r="B4473" t="str">
        <f>"12/28/2013 00:00"</f>
        <v>12/28/2013 00:00</v>
      </c>
      <c r="C4473">
        <v>1.92</v>
      </c>
      <c r="D4473" t="s">
        <v>7</v>
      </c>
      <c r="E4473" s="2" t="s">
        <v>12</v>
      </c>
      <c r="F4473">
        <f t="shared" si="69"/>
        <v>3.8073600000000001</v>
      </c>
      <c r="G4473" t="s">
        <v>16</v>
      </c>
      <c r="J4473" t="str">
        <f>"12/28/2013 23:45"</f>
        <v>12/28/2013 23:45</v>
      </c>
    </row>
    <row r="4474" spans="1:10" x14ac:dyDescent="0.3">
      <c r="A4474" t="s">
        <v>6</v>
      </c>
      <c r="B4474" t="str">
        <f>"12/29/2013 00:00"</f>
        <v>12/29/2013 00:00</v>
      </c>
      <c r="C4474">
        <v>1.92</v>
      </c>
      <c r="D4474" t="s">
        <v>7</v>
      </c>
      <c r="E4474" s="2" t="s">
        <v>12</v>
      </c>
      <c r="F4474">
        <f t="shared" si="69"/>
        <v>3.8073600000000001</v>
      </c>
      <c r="G4474" t="s">
        <v>16</v>
      </c>
      <c r="J4474" t="str">
        <f>"12/29/2013 23:45"</f>
        <v>12/29/2013 23:45</v>
      </c>
    </row>
    <row r="4475" spans="1:10" x14ac:dyDescent="0.3">
      <c r="A4475" t="s">
        <v>6</v>
      </c>
      <c r="B4475" t="str">
        <f>"12/30/2013 00:00"</f>
        <v>12/30/2013 00:00</v>
      </c>
      <c r="C4475">
        <v>1.77</v>
      </c>
      <c r="D4475" t="s">
        <v>7</v>
      </c>
      <c r="E4475" s="2" t="s">
        <v>12</v>
      </c>
      <c r="F4475">
        <f t="shared" si="69"/>
        <v>3.5099100000000001</v>
      </c>
      <c r="G4475" t="s">
        <v>16</v>
      </c>
      <c r="J4475" t="str">
        <f>"12/30/2013 23:45"</f>
        <v>12/30/2013 23:45</v>
      </c>
    </row>
    <row r="4476" spans="1:10" x14ac:dyDescent="0.3">
      <c r="A4476" t="s">
        <v>6</v>
      </c>
      <c r="B4476" t="str">
        <f>"12/31/2013 00:00"</f>
        <v>12/31/2013 00:00</v>
      </c>
      <c r="C4476">
        <v>1.62</v>
      </c>
      <c r="D4476" t="s">
        <v>7</v>
      </c>
      <c r="E4476" s="2" t="s">
        <v>12</v>
      </c>
      <c r="F4476">
        <f t="shared" si="69"/>
        <v>3.2124600000000005</v>
      </c>
      <c r="G4476" t="s">
        <v>16</v>
      </c>
      <c r="J4476" t="str">
        <f>"12/31/2013 23:45"</f>
        <v>12/31/2013 23:45</v>
      </c>
    </row>
    <row r="4477" spans="1:10" x14ac:dyDescent="0.3">
      <c r="A4477" t="s">
        <v>6</v>
      </c>
      <c r="B4477" t="str">
        <f>"01/01/2014 00:00"</f>
        <v>01/01/2014 00:00</v>
      </c>
      <c r="C4477">
        <v>1.62</v>
      </c>
      <c r="D4477" t="s">
        <v>7</v>
      </c>
      <c r="E4477" s="2" t="s">
        <v>12</v>
      </c>
      <c r="F4477">
        <f t="shared" si="69"/>
        <v>3.2124600000000005</v>
      </c>
      <c r="G4477" t="s">
        <v>16</v>
      </c>
      <c r="J4477" t="str">
        <f>"01/01/2014 23:45"</f>
        <v>01/01/2014 23:45</v>
      </c>
    </row>
    <row r="4478" spans="1:10" x14ac:dyDescent="0.3">
      <c r="A4478" t="s">
        <v>6</v>
      </c>
      <c r="B4478" t="str">
        <f>"01/02/2014 00:00"</f>
        <v>01/02/2014 00:00</v>
      </c>
      <c r="C4478">
        <v>1.62</v>
      </c>
      <c r="D4478" t="s">
        <v>7</v>
      </c>
      <c r="E4478" s="2" t="s">
        <v>12</v>
      </c>
      <c r="F4478">
        <f t="shared" si="69"/>
        <v>3.2124600000000005</v>
      </c>
      <c r="G4478" t="s">
        <v>16</v>
      </c>
      <c r="J4478" t="str">
        <f>"01/02/2014 23:45"</f>
        <v>01/02/2014 23:45</v>
      </c>
    </row>
    <row r="4479" spans="1:10" x14ac:dyDescent="0.3">
      <c r="A4479" t="s">
        <v>6</v>
      </c>
      <c r="B4479" t="str">
        <f>"01/03/2014 00:00"</f>
        <v>01/03/2014 00:00</v>
      </c>
      <c r="C4479">
        <v>1.62</v>
      </c>
      <c r="D4479" t="s">
        <v>7</v>
      </c>
      <c r="E4479" s="2" t="s">
        <v>12</v>
      </c>
      <c r="F4479">
        <f t="shared" si="69"/>
        <v>3.2124600000000005</v>
      </c>
      <c r="G4479" t="s">
        <v>16</v>
      </c>
      <c r="J4479" t="str">
        <f>"01/03/2014 23:45"</f>
        <v>01/03/2014 23:45</v>
      </c>
    </row>
    <row r="4480" spans="1:10" x14ac:dyDescent="0.3">
      <c r="A4480" t="s">
        <v>6</v>
      </c>
      <c r="B4480" t="str">
        <f>"01/04/2014 00:00"</f>
        <v>01/04/2014 00:00</v>
      </c>
      <c r="C4480">
        <v>1.62</v>
      </c>
      <c r="D4480" t="s">
        <v>7</v>
      </c>
      <c r="E4480" s="2" t="s">
        <v>12</v>
      </c>
      <c r="F4480">
        <f t="shared" si="69"/>
        <v>3.2124600000000005</v>
      </c>
      <c r="G4480" t="s">
        <v>16</v>
      </c>
      <c r="J4480" t="str">
        <f>"01/04/2014 23:45"</f>
        <v>01/04/2014 23:45</v>
      </c>
    </row>
    <row r="4481" spans="1:10" x14ac:dyDescent="0.3">
      <c r="A4481" t="s">
        <v>6</v>
      </c>
      <c r="B4481" t="str">
        <f>"01/05/2014 00:00"</f>
        <v>01/05/2014 00:00</v>
      </c>
      <c r="C4481">
        <v>1.62</v>
      </c>
      <c r="D4481" t="s">
        <v>7</v>
      </c>
      <c r="E4481" s="2" t="s">
        <v>12</v>
      </c>
      <c r="F4481">
        <f t="shared" si="69"/>
        <v>3.2124600000000005</v>
      </c>
      <c r="G4481" t="s">
        <v>16</v>
      </c>
      <c r="J4481" t="str">
        <f>"01/05/2014 23:45"</f>
        <v>01/05/2014 23:45</v>
      </c>
    </row>
    <row r="4482" spans="1:10" x14ac:dyDescent="0.3">
      <c r="A4482" t="s">
        <v>6</v>
      </c>
      <c r="B4482" t="str">
        <f>"01/06/2014 00:00"</f>
        <v>01/06/2014 00:00</v>
      </c>
      <c r="C4482">
        <v>1.62</v>
      </c>
      <c r="D4482" t="s">
        <v>7</v>
      </c>
      <c r="E4482" s="2" t="s">
        <v>12</v>
      </c>
      <c r="F4482">
        <f t="shared" si="69"/>
        <v>3.2124600000000005</v>
      </c>
      <c r="G4482" t="s">
        <v>16</v>
      </c>
      <c r="J4482" t="str">
        <f>"01/06/2014 23:45"</f>
        <v>01/06/2014 23:45</v>
      </c>
    </row>
    <row r="4483" spans="1:10" x14ac:dyDescent="0.3">
      <c r="A4483" t="s">
        <v>6</v>
      </c>
      <c r="B4483" t="str">
        <f>"01/07/2014 00:00"</f>
        <v>01/07/2014 00:00</v>
      </c>
      <c r="C4483">
        <v>1.62</v>
      </c>
      <c r="D4483" t="s">
        <v>7</v>
      </c>
      <c r="E4483" s="2" t="s">
        <v>12</v>
      </c>
      <c r="F4483">
        <f t="shared" si="69"/>
        <v>3.2124600000000005</v>
      </c>
      <c r="G4483" t="s">
        <v>16</v>
      </c>
      <c r="J4483" t="str">
        <f>"01/07/2014 23:45"</f>
        <v>01/07/2014 23:45</v>
      </c>
    </row>
    <row r="4484" spans="1:10" x14ac:dyDescent="0.3">
      <c r="A4484" t="s">
        <v>6</v>
      </c>
      <c r="B4484" t="str">
        <f>"01/08/2014 00:00"</f>
        <v>01/08/2014 00:00</v>
      </c>
      <c r="C4484">
        <v>1.62</v>
      </c>
      <c r="D4484" t="s">
        <v>7</v>
      </c>
      <c r="E4484" s="2" t="s">
        <v>12</v>
      </c>
      <c r="F4484">
        <f t="shared" ref="F4484:F4547" si="70">C4484*1.983</f>
        <v>3.2124600000000005</v>
      </c>
      <c r="G4484" t="s">
        <v>16</v>
      </c>
      <c r="J4484" t="str">
        <f>"01/08/2014 23:45"</f>
        <v>01/08/2014 23:45</v>
      </c>
    </row>
    <row r="4485" spans="1:10" x14ac:dyDescent="0.3">
      <c r="A4485" t="s">
        <v>6</v>
      </c>
      <c r="B4485" t="str">
        <f>"01/09/2014 00:00"</f>
        <v>01/09/2014 00:00</v>
      </c>
      <c r="C4485">
        <v>1.62</v>
      </c>
      <c r="D4485" t="s">
        <v>7</v>
      </c>
      <c r="E4485" s="2" t="s">
        <v>12</v>
      </c>
      <c r="F4485">
        <f t="shared" si="70"/>
        <v>3.2124600000000005</v>
      </c>
      <c r="G4485" t="s">
        <v>16</v>
      </c>
      <c r="J4485" t="str">
        <f>"01/09/2014 23:45"</f>
        <v>01/09/2014 23:45</v>
      </c>
    </row>
    <row r="4486" spans="1:10" x14ac:dyDescent="0.3">
      <c r="A4486" t="s">
        <v>6</v>
      </c>
      <c r="B4486" t="str">
        <f>"01/10/2014 00:00"</f>
        <v>01/10/2014 00:00</v>
      </c>
      <c r="C4486">
        <v>1.62</v>
      </c>
      <c r="D4486" t="s">
        <v>7</v>
      </c>
      <c r="E4486" s="2" t="s">
        <v>12</v>
      </c>
      <c r="F4486">
        <f t="shared" si="70"/>
        <v>3.2124600000000005</v>
      </c>
      <c r="G4486" t="s">
        <v>16</v>
      </c>
      <c r="J4486" t="str">
        <f>"01/10/2014 23:45"</f>
        <v>01/10/2014 23:45</v>
      </c>
    </row>
    <row r="4487" spans="1:10" x14ac:dyDescent="0.3">
      <c r="A4487" t="s">
        <v>6</v>
      </c>
      <c r="B4487" t="str">
        <f>"01/11/2014 00:00"</f>
        <v>01/11/2014 00:00</v>
      </c>
      <c r="C4487">
        <v>1.62</v>
      </c>
      <c r="D4487" t="s">
        <v>7</v>
      </c>
      <c r="E4487" s="2" t="s">
        <v>12</v>
      </c>
      <c r="F4487">
        <f t="shared" si="70"/>
        <v>3.2124600000000005</v>
      </c>
      <c r="G4487" t="s">
        <v>16</v>
      </c>
      <c r="J4487" t="str">
        <f>"01/11/2014 23:45"</f>
        <v>01/11/2014 23:45</v>
      </c>
    </row>
    <row r="4488" spans="1:10" x14ac:dyDescent="0.3">
      <c r="A4488" t="s">
        <v>6</v>
      </c>
      <c r="B4488" t="str">
        <f>"01/12/2014 00:00"</f>
        <v>01/12/2014 00:00</v>
      </c>
      <c r="C4488">
        <v>1.62</v>
      </c>
      <c r="D4488" t="s">
        <v>7</v>
      </c>
      <c r="E4488" s="2" t="s">
        <v>12</v>
      </c>
      <c r="F4488">
        <f t="shared" si="70"/>
        <v>3.2124600000000005</v>
      </c>
      <c r="G4488" t="s">
        <v>16</v>
      </c>
      <c r="J4488" t="str">
        <f>"01/12/2014 23:45"</f>
        <v>01/12/2014 23:45</v>
      </c>
    </row>
    <row r="4489" spans="1:10" x14ac:dyDescent="0.3">
      <c r="A4489" t="s">
        <v>6</v>
      </c>
      <c r="B4489" t="str">
        <f>"01/13/2014 00:00"</f>
        <v>01/13/2014 00:00</v>
      </c>
      <c r="C4489">
        <v>1.62</v>
      </c>
      <c r="D4489" t="s">
        <v>7</v>
      </c>
      <c r="E4489" s="2" t="s">
        <v>12</v>
      </c>
      <c r="F4489">
        <f t="shared" si="70"/>
        <v>3.2124600000000005</v>
      </c>
      <c r="G4489" t="s">
        <v>16</v>
      </c>
      <c r="J4489" t="str">
        <f>"01/13/2014 23:45"</f>
        <v>01/13/2014 23:45</v>
      </c>
    </row>
    <row r="4490" spans="1:10" x14ac:dyDescent="0.3">
      <c r="A4490" t="s">
        <v>6</v>
      </c>
      <c r="B4490" t="str">
        <f>"01/14/2014 00:00"</f>
        <v>01/14/2014 00:00</v>
      </c>
      <c r="C4490">
        <v>1.62</v>
      </c>
      <c r="D4490" t="s">
        <v>7</v>
      </c>
      <c r="E4490" s="2" t="s">
        <v>12</v>
      </c>
      <c r="F4490">
        <f t="shared" si="70"/>
        <v>3.2124600000000005</v>
      </c>
      <c r="G4490" t="s">
        <v>16</v>
      </c>
      <c r="J4490" t="str">
        <f>"01/14/2014 23:45"</f>
        <v>01/14/2014 23:45</v>
      </c>
    </row>
    <row r="4491" spans="1:10" x14ac:dyDescent="0.3">
      <c r="A4491" t="s">
        <v>6</v>
      </c>
      <c r="B4491" t="str">
        <f>"01/15/2014 00:00"</f>
        <v>01/15/2014 00:00</v>
      </c>
      <c r="C4491">
        <v>1.62</v>
      </c>
      <c r="D4491" t="s">
        <v>7</v>
      </c>
      <c r="E4491" s="2" t="s">
        <v>12</v>
      </c>
      <c r="F4491">
        <f t="shared" si="70"/>
        <v>3.2124600000000005</v>
      </c>
      <c r="G4491" t="s">
        <v>16</v>
      </c>
      <c r="J4491" t="str">
        <f>"01/15/2014 23:45"</f>
        <v>01/15/2014 23:45</v>
      </c>
    </row>
    <row r="4492" spans="1:10" x14ac:dyDescent="0.3">
      <c r="A4492" t="s">
        <v>6</v>
      </c>
      <c r="B4492" t="str">
        <f>"01/16/2014 00:00"</f>
        <v>01/16/2014 00:00</v>
      </c>
      <c r="C4492">
        <v>1.62</v>
      </c>
      <c r="D4492" t="s">
        <v>7</v>
      </c>
      <c r="E4492" s="2" t="s">
        <v>12</v>
      </c>
      <c r="F4492">
        <f t="shared" si="70"/>
        <v>3.2124600000000005</v>
      </c>
      <c r="G4492" t="s">
        <v>16</v>
      </c>
      <c r="J4492" t="str">
        <f>"01/16/2014 23:45"</f>
        <v>01/16/2014 23:45</v>
      </c>
    </row>
    <row r="4493" spans="1:10" x14ac:dyDescent="0.3">
      <c r="A4493" t="s">
        <v>6</v>
      </c>
      <c r="B4493" t="str">
        <f>"01/17/2014 00:00"</f>
        <v>01/17/2014 00:00</v>
      </c>
      <c r="C4493">
        <v>1.62</v>
      </c>
      <c r="D4493" t="s">
        <v>7</v>
      </c>
      <c r="E4493" s="2" t="s">
        <v>12</v>
      </c>
      <c r="F4493">
        <f t="shared" si="70"/>
        <v>3.2124600000000005</v>
      </c>
      <c r="G4493" t="s">
        <v>16</v>
      </c>
      <c r="J4493" t="str">
        <f>"01/17/2014 23:45"</f>
        <v>01/17/2014 23:45</v>
      </c>
    </row>
    <row r="4494" spans="1:10" x14ac:dyDescent="0.3">
      <c r="A4494" t="s">
        <v>6</v>
      </c>
      <c r="B4494" t="str">
        <f>"01/18/2014 00:00"</f>
        <v>01/18/2014 00:00</v>
      </c>
      <c r="C4494">
        <v>1.62</v>
      </c>
      <c r="D4494" t="s">
        <v>7</v>
      </c>
      <c r="E4494" s="2" t="s">
        <v>12</v>
      </c>
      <c r="F4494">
        <f t="shared" si="70"/>
        <v>3.2124600000000005</v>
      </c>
      <c r="G4494" t="s">
        <v>16</v>
      </c>
      <c r="J4494" t="str">
        <f>"01/18/2014 23:45"</f>
        <v>01/18/2014 23:45</v>
      </c>
    </row>
    <row r="4495" spans="1:10" x14ac:dyDescent="0.3">
      <c r="A4495" t="s">
        <v>6</v>
      </c>
      <c r="B4495" t="str">
        <f>"01/19/2014 00:00"</f>
        <v>01/19/2014 00:00</v>
      </c>
      <c r="C4495">
        <v>1.62</v>
      </c>
      <c r="D4495" t="s">
        <v>7</v>
      </c>
      <c r="E4495" s="2" t="s">
        <v>12</v>
      </c>
      <c r="F4495">
        <f t="shared" si="70"/>
        <v>3.2124600000000005</v>
      </c>
      <c r="G4495" t="s">
        <v>16</v>
      </c>
      <c r="J4495" t="str">
        <f>"01/19/2014 23:45"</f>
        <v>01/19/2014 23:45</v>
      </c>
    </row>
    <row r="4496" spans="1:10" x14ac:dyDescent="0.3">
      <c r="A4496" t="s">
        <v>6</v>
      </c>
      <c r="B4496" t="str">
        <f>"01/20/2014 00:00"</f>
        <v>01/20/2014 00:00</v>
      </c>
      <c r="C4496">
        <v>1.62</v>
      </c>
      <c r="D4496" t="s">
        <v>7</v>
      </c>
      <c r="E4496" s="2" t="s">
        <v>12</v>
      </c>
      <c r="F4496">
        <f t="shared" si="70"/>
        <v>3.2124600000000005</v>
      </c>
      <c r="G4496" t="s">
        <v>16</v>
      </c>
      <c r="J4496" t="str">
        <f>"01/20/2014 23:45"</f>
        <v>01/20/2014 23:45</v>
      </c>
    </row>
    <row r="4497" spans="1:10" x14ac:dyDescent="0.3">
      <c r="A4497" t="s">
        <v>6</v>
      </c>
      <c r="B4497" t="str">
        <f>"01/21/2014 00:00"</f>
        <v>01/21/2014 00:00</v>
      </c>
      <c r="C4497">
        <v>1.62</v>
      </c>
      <c r="D4497" t="s">
        <v>7</v>
      </c>
      <c r="E4497" s="2" t="s">
        <v>12</v>
      </c>
      <c r="F4497">
        <f t="shared" si="70"/>
        <v>3.2124600000000005</v>
      </c>
      <c r="G4497" t="s">
        <v>16</v>
      </c>
      <c r="J4497" t="str">
        <f>"01/21/2014 23:45"</f>
        <v>01/21/2014 23:45</v>
      </c>
    </row>
    <row r="4498" spans="1:10" x14ac:dyDescent="0.3">
      <c r="A4498" t="s">
        <v>6</v>
      </c>
      <c r="B4498" t="str">
        <f>"01/22/2014 00:00"</f>
        <v>01/22/2014 00:00</v>
      </c>
      <c r="C4498">
        <v>1.62</v>
      </c>
      <c r="D4498" t="s">
        <v>7</v>
      </c>
      <c r="E4498" s="2" t="s">
        <v>12</v>
      </c>
      <c r="F4498">
        <f t="shared" si="70"/>
        <v>3.2124600000000005</v>
      </c>
      <c r="G4498" t="s">
        <v>16</v>
      </c>
      <c r="J4498" t="str">
        <f>"01/22/2014 23:45"</f>
        <v>01/22/2014 23:45</v>
      </c>
    </row>
    <row r="4499" spans="1:10" x14ac:dyDescent="0.3">
      <c r="A4499" t="s">
        <v>6</v>
      </c>
      <c r="B4499" t="str">
        <f>"01/23/2014 00:00"</f>
        <v>01/23/2014 00:00</v>
      </c>
      <c r="C4499">
        <v>1.62</v>
      </c>
      <c r="D4499" t="s">
        <v>7</v>
      </c>
      <c r="E4499" s="2" t="s">
        <v>12</v>
      </c>
      <c r="F4499">
        <f t="shared" si="70"/>
        <v>3.2124600000000005</v>
      </c>
      <c r="G4499" t="s">
        <v>16</v>
      </c>
      <c r="J4499" t="str">
        <f>"01/23/2014 23:45"</f>
        <v>01/23/2014 23:45</v>
      </c>
    </row>
    <row r="4500" spans="1:10" x14ac:dyDescent="0.3">
      <c r="A4500" t="s">
        <v>6</v>
      </c>
      <c r="B4500" t="str">
        <f>"01/24/2014 00:00"</f>
        <v>01/24/2014 00:00</v>
      </c>
      <c r="C4500">
        <v>1.62</v>
      </c>
      <c r="D4500" t="s">
        <v>7</v>
      </c>
      <c r="E4500" s="2" t="s">
        <v>12</v>
      </c>
      <c r="F4500">
        <f t="shared" si="70"/>
        <v>3.2124600000000005</v>
      </c>
      <c r="G4500" t="s">
        <v>16</v>
      </c>
      <c r="J4500" t="str">
        <f>"01/24/2014 23:45"</f>
        <v>01/24/2014 23:45</v>
      </c>
    </row>
    <row r="4501" spans="1:10" x14ac:dyDescent="0.3">
      <c r="A4501" t="s">
        <v>6</v>
      </c>
      <c r="B4501" t="str">
        <f>"01/25/2014 00:00"</f>
        <v>01/25/2014 00:00</v>
      </c>
      <c r="C4501">
        <v>1.62</v>
      </c>
      <c r="D4501" t="s">
        <v>7</v>
      </c>
      <c r="E4501" s="2" t="s">
        <v>12</v>
      </c>
      <c r="F4501">
        <f t="shared" si="70"/>
        <v>3.2124600000000005</v>
      </c>
      <c r="G4501" t="s">
        <v>16</v>
      </c>
      <c r="J4501" t="str">
        <f>"01/25/2014 23:45"</f>
        <v>01/25/2014 23:45</v>
      </c>
    </row>
    <row r="4502" spans="1:10" x14ac:dyDescent="0.3">
      <c r="A4502" t="s">
        <v>6</v>
      </c>
      <c r="B4502" t="str">
        <f>"01/26/2014 00:00"</f>
        <v>01/26/2014 00:00</v>
      </c>
      <c r="C4502">
        <v>1.62</v>
      </c>
      <c r="D4502" t="s">
        <v>7</v>
      </c>
      <c r="E4502" s="2" t="s">
        <v>12</v>
      </c>
      <c r="F4502">
        <f t="shared" si="70"/>
        <v>3.2124600000000005</v>
      </c>
      <c r="G4502" t="s">
        <v>16</v>
      </c>
      <c r="J4502" t="str">
        <f>"01/26/2014 23:45"</f>
        <v>01/26/2014 23:45</v>
      </c>
    </row>
    <row r="4503" spans="1:10" x14ac:dyDescent="0.3">
      <c r="A4503" t="s">
        <v>6</v>
      </c>
      <c r="B4503" t="str">
        <f>"01/27/2014 00:00"</f>
        <v>01/27/2014 00:00</v>
      </c>
      <c r="C4503">
        <v>1.62</v>
      </c>
      <c r="D4503" t="s">
        <v>7</v>
      </c>
      <c r="E4503" s="2" t="s">
        <v>12</v>
      </c>
      <c r="F4503">
        <f t="shared" si="70"/>
        <v>3.2124600000000005</v>
      </c>
      <c r="G4503" t="s">
        <v>16</v>
      </c>
      <c r="J4503" t="str">
        <f>"01/27/2014 23:45"</f>
        <v>01/27/2014 23:45</v>
      </c>
    </row>
    <row r="4504" spans="1:10" x14ac:dyDescent="0.3">
      <c r="A4504" t="s">
        <v>6</v>
      </c>
      <c r="B4504" t="str">
        <f>"01/28/2014 00:00"</f>
        <v>01/28/2014 00:00</v>
      </c>
      <c r="C4504">
        <v>1.62</v>
      </c>
      <c r="D4504" t="s">
        <v>7</v>
      </c>
      <c r="E4504" s="2" t="s">
        <v>12</v>
      </c>
      <c r="F4504">
        <f t="shared" si="70"/>
        <v>3.2124600000000005</v>
      </c>
      <c r="G4504" t="s">
        <v>16</v>
      </c>
      <c r="J4504" t="str">
        <f>"01/28/2014 23:45"</f>
        <v>01/28/2014 23:45</v>
      </c>
    </row>
    <row r="4505" spans="1:10" x14ac:dyDescent="0.3">
      <c r="A4505" t="s">
        <v>6</v>
      </c>
      <c r="B4505" t="str">
        <f>"01/29/2014 00:00"</f>
        <v>01/29/2014 00:00</v>
      </c>
      <c r="C4505">
        <v>1.62</v>
      </c>
      <c r="D4505" t="s">
        <v>7</v>
      </c>
      <c r="E4505" s="2" t="s">
        <v>12</v>
      </c>
      <c r="F4505">
        <f t="shared" si="70"/>
        <v>3.2124600000000005</v>
      </c>
      <c r="G4505" t="s">
        <v>16</v>
      </c>
      <c r="J4505" t="str">
        <f>"01/29/2014 23:45"</f>
        <v>01/29/2014 23:45</v>
      </c>
    </row>
    <row r="4506" spans="1:10" x14ac:dyDescent="0.3">
      <c r="A4506" t="s">
        <v>6</v>
      </c>
      <c r="B4506" t="str">
        <f>"01/30/2014 00:00"</f>
        <v>01/30/2014 00:00</v>
      </c>
      <c r="C4506">
        <v>1.62</v>
      </c>
      <c r="D4506" t="s">
        <v>7</v>
      </c>
      <c r="E4506" s="2" t="s">
        <v>12</v>
      </c>
      <c r="F4506">
        <f t="shared" si="70"/>
        <v>3.2124600000000005</v>
      </c>
      <c r="G4506" t="s">
        <v>16</v>
      </c>
      <c r="J4506" t="str">
        <f>"01/30/2014 23:45"</f>
        <v>01/30/2014 23:45</v>
      </c>
    </row>
    <row r="4507" spans="1:10" x14ac:dyDescent="0.3">
      <c r="A4507" t="s">
        <v>6</v>
      </c>
      <c r="B4507" t="str">
        <f>"01/31/2014 00:00"</f>
        <v>01/31/2014 00:00</v>
      </c>
      <c r="C4507">
        <v>1.62</v>
      </c>
      <c r="D4507" t="s">
        <v>7</v>
      </c>
      <c r="E4507" s="2" t="s">
        <v>12</v>
      </c>
      <c r="F4507">
        <f t="shared" si="70"/>
        <v>3.2124600000000005</v>
      </c>
      <c r="G4507" t="s">
        <v>16</v>
      </c>
      <c r="J4507" t="str">
        <f>"01/31/2014 23:45"</f>
        <v>01/31/2014 23:45</v>
      </c>
    </row>
    <row r="4508" spans="1:10" x14ac:dyDescent="0.3">
      <c r="A4508" t="s">
        <v>6</v>
      </c>
      <c r="B4508" t="str">
        <f>"02/01/2014 00:00"</f>
        <v>02/01/2014 00:00</v>
      </c>
      <c r="C4508">
        <v>1.62</v>
      </c>
      <c r="D4508" t="s">
        <v>7</v>
      </c>
      <c r="E4508" s="2" t="s">
        <v>12</v>
      </c>
      <c r="F4508">
        <f t="shared" si="70"/>
        <v>3.2124600000000005</v>
      </c>
      <c r="G4508" t="s">
        <v>16</v>
      </c>
      <c r="J4508" t="str">
        <f>"02/01/2014 23:45"</f>
        <v>02/01/2014 23:45</v>
      </c>
    </row>
    <row r="4509" spans="1:10" x14ac:dyDescent="0.3">
      <c r="A4509" t="s">
        <v>6</v>
      </c>
      <c r="B4509" t="str">
        <f>"02/02/2014 00:00"</f>
        <v>02/02/2014 00:00</v>
      </c>
      <c r="C4509">
        <v>1.62</v>
      </c>
      <c r="D4509" t="s">
        <v>7</v>
      </c>
      <c r="E4509" s="2" t="s">
        <v>12</v>
      </c>
      <c r="F4509">
        <f t="shared" si="70"/>
        <v>3.2124600000000005</v>
      </c>
      <c r="G4509" t="s">
        <v>16</v>
      </c>
      <c r="J4509" t="str">
        <f>"02/02/2014 23:45"</f>
        <v>02/02/2014 23:45</v>
      </c>
    </row>
    <row r="4510" spans="1:10" x14ac:dyDescent="0.3">
      <c r="A4510" t="s">
        <v>6</v>
      </c>
      <c r="B4510" t="str">
        <f>"02/03/2014 00:00"</f>
        <v>02/03/2014 00:00</v>
      </c>
      <c r="C4510">
        <v>1.56</v>
      </c>
      <c r="D4510" t="s">
        <v>7</v>
      </c>
      <c r="E4510" s="2" t="s">
        <v>12</v>
      </c>
      <c r="F4510">
        <f t="shared" si="70"/>
        <v>3.0934800000000005</v>
      </c>
      <c r="G4510" t="s">
        <v>16</v>
      </c>
      <c r="J4510" t="str">
        <f>"02/03/2014 23:45"</f>
        <v>02/03/2014 23:45</v>
      </c>
    </row>
    <row r="4511" spans="1:10" x14ac:dyDescent="0.3">
      <c r="A4511" t="s">
        <v>6</v>
      </c>
      <c r="B4511" t="str">
        <f>"02/04/2014 00:00"</f>
        <v>02/04/2014 00:00</v>
      </c>
      <c r="C4511">
        <v>1.34</v>
      </c>
      <c r="D4511" t="s">
        <v>7</v>
      </c>
      <c r="E4511" s="2" t="s">
        <v>12</v>
      </c>
      <c r="F4511">
        <f t="shared" si="70"/>
        <v>2.6572200000000001</v>
      </c>
      <c r="G4511" t="s">
        <v>16</v>
      </c>
      <c r="J4511" t="str">
        <f>"02/04/2014 23:45"</f>
        <v>02/04/2014 23:45</v>
      </c>
    </row>
    <row r="4512" spans="1:10" x14ac:dyDescent="0.3">
      <c r="A4512" t="s">
        <v>6</v>
      </c>
      <c r="B4512" t="str">
        <f>"02/05/2014 00:00"</f>
        <v>02/05/2014 00:00</v>
      </c>
      <c r="C4512">
        <v>1.34</v>
      </c>
      <c r="D4512" t="s">
        <v>7</v>
      </c>
      <c r="E4512" s="2" t="s">
        <v>12</v>
      </c>
      <c r="F4512">
        <f t="shared" si="70"/>
        <v>2.6572200000000001</v>
      </c>
      <c r="G4512" t="s">
        <v>16</v>
      </c>
      <c r="J4512" t="str">
        <f>"02/05/2014 23:45"</f>
        <v>02/05/2014 23:45</v>
      </c>
    </row>
    <row r="4513" spans="1:10" x14ac:dyDescent="0.3">
      <c r="A4513" t="s">
        <v>6</v>
      </c>
      <c r="B4513" t="str">
        <f>"02/06/2014 00:00"</f>
        <v>02/06/2014 00:00</v>
      </c>
      <c r="C4513">
        <v>1.34</v>
      </c>
      <c r="D4513" t="s">
        <v>7</v>
      </c>
      <c r="E4513" s="2" t="s">
        <v>12</v>
      </c>
      <c r="F4513">
        <f t="shared" si="70"/>
        <v>2.6572200000000001</v>
      </c>
      <c r="G4513" t="s">
        <v>16</v>
      </c>
      <c r="J4513" t="str">
        <f>"02/06/2014 23:45"</f>
        <v>02/06/2014 23:45</v>
      </c>
    </row>
    <row r="4514" spans="1:10" x14ac:dyDescent="0.3">
      <c r="A4514" t="s">
        <v>6</v>
      </c>
      <c r="B4514" t="str">
        <f>"02/07/2014 00:00"</f>
        <v>02/07/2014 00:00</v>
      </c>
      <c r="C4514">
        <v>1.34</v>
      </c>
      <c r="D4514" t="s">
        <v>7</v>
      </c>
      <c r="E4514" s="2" t="s">
        <v>12</v>
      </c>
      <c r="F4514">
        <f t="shared" si="70"/>
        <v>2.6572200000000001</v>
      </c>
      <c r="G4514" t="s">
        <v>16</v>
      </c>
      <c r="J4514" t="str">
        <f>"02/07/2014 23:45"</f>
        <v>02/07/2014 23:45</v>
      </c>
    </row>
    <row r="4515" spans="1:10" x14ac:dyDescent="0.3">
      <c r="A4515" t="s">
        <v>6</v>
      </c>
      <c r="B4515" t="str">
        <f>"02/08/2014 00:00"</f>
        <v>02/08/2014 00:00</v>
      </c>
      <c r="C4515">
        <v>1.34</v>
      </c>
      <c r="D4515" t="s">
        <v>7</v>
      </c>
      <c r="E4515" s="2" t="s">
        <v>12</v>
      </c>
      <c r="F4515">
        <f t="shared" si="70"/>
        <v>2.6572200000000001</v>
      </c>
      <c r="G4515" t="s">
        <v>16</v>
      </c>
      <c r="J4515" t="str">
        <f>"02/08/2014 23:45"</f>
        <v>02/08/2014 23:45</v>
      </c>
    </row>
    <row r="4516" spans="1:10" x14ac:dyDescent="0.3">
      <c r="A4516" t="s">
        <v>6</v>
      </c>
      <c r="B4516" t="str">
        <f>"02/09/2014 00:00"</f>
        <v>02/09/2014 00:00</v>
      </c>
      <c r="C4516">
        <v>1.39</v>
      </c>
      <c r="D4516" t="s">
        <v>7</v>
      </c>
      <c r="E4516" s="2" t="s">
        <v>12</v>
      </c>
      <c r="F4516">
        <f t="shared" si="70"/>
        <v>2.75637</v>
      </c>
      <c r="G4516" t="s">
        <v>16</v>
      </c>
      <c r="J4516" t="str">
        <f>"02/09/2014 23:45"</f>
        <v>02/09/2014 23:45</v>
      </c>
    </row>
    <row r="4517" spans="1:10" x14ac:dyDescent="0.3">
      <c r="A4517" t="s">
        <v>6</v>
      </c>
      <c r="B4517" t="str">
        <f>"02/10/2014 00:00"</f>
        <v>02/10/2014 00:00</v>
      </c>
      <c r="C4517">
        <v>1.4</v>
      </c>
      <c r="D4517" t="s">
        <v>7</v>
      </c>
      <c r="E4517" s="2" t="s">
        <v>12</v>
      </c>
      <c r="F4517">
        <f t="shared" si="70"/>
        <v>2.7761999999999998</v>
      </c>
      <c r="G4517" t="s">
        <v>16</v>
      </c>
      <c r="J4517" t="str">
        <f>"02/10/2014 23:45"</f>
        <v>02/10/2014 23:45</v>
      </c>
    </row>
    <row r="4518" spans="1:10" x14ac:dyDescent="0.3">
      <c r="A4518" t="s">
        <v>6</v>
      </c>
      <c r="B4518" t="str">
        <f>"02/11/2014 00:00"</f>
        <v>02/11/2014 00:00</v>
      </c>
      <c r="C4518">
        <v>1.34</v>
      </c>
      <c r="D4518" t="s">
        <v>7</v>
      </c>
      <c r="E4518" s="2" t="s">
        <v>12</v>
      </c>
      <c r="F4518">
        <f t="shared" si="70"/>
        <v>2.6572200000000001</v>
      </c>
      <c r="G4518" t="s">
        <v>16</v>
      </c>
      <c r="J4518" t="str">
        <f>"02/11/2014 23:45"</f>
        <v>02/11/2014 23:45</v>
      </c>
    </row>
    <row r="4519" spans="1:10" x14ac:dyDescent="0.3">
      <c r="A4519" t="s">
        <v>6</v>
      </c>
      <c r="B4519" t="str">
        <f>"02/12/2014 00:00"</f>
        <v>02/12/2014 00:00</v>
      </c>
      <c r="C4519">
        <v>1.34</v>
      </c>
      <c r="D4519" t="s">
        <v>7</v>
      </c>
      <c r="E4519" s="2" t="s">
        <v>12</v>
      </c>
      <c r="F4519">
        <f t="shared" si="70"/>
        <v>2.6572200000000001</v>
      </c>
      <c r="G4519" t="s">
        <v>16</v>
      </c>
      <c r="J4519" t="str">
        <f>"02/12/2014 23:45"</f>
        <v>02/12/2014 23:45</v>
      </c>
    </row>
    <row r="4520" spans="1:10" x14ac:dyDescent="0.3">
      <c r="A4520" t="s">
        <v>6</v>
      </c>
      <c r="B4520" t="str">
        <f>"02/13/2014 00:00"</f>
        <v>02/13/2014 00:00</v>
      </c>
      <c r="C4520">
        <v>1.34</v>
      </c>
      <c r="D4520" t="s">
        <v>7</v>
      </c>
      <c r="E4520" s="2" t="s">
        <v>12</v>
      </c>
      <c r="F4520">
        <f t="shared" si="70"/>
        <v>2.6572200000000001</v>
      </c>
      <c r="G4520" t="s">
        <v>16</v>
      </c>
      <c r="J4520" t="str">
        <f>"02/13/2014 23:45"</f>
        <v>02/13/2014 23:45</v>
      </c>
    </row>
    <row r="4521" spans="1:10" x14ac:dyDescent="0.3">
      <c r="A4521" t="s">
        <v>6</v>
      </c>
      <c r="B4521" t="str">
        <f>"02/14/2014 00:00"</f>
        <v>02/14/2014 00:00</v>
      </c>
      <c r="C4521">
        <v>1.34</v>
      </c>
      <c r="D4521" t="s">
        <v>7</v>
      </c>
      <c r="E4521" s="2" t="s">
        <v>12</v>
      </c>
      <c r="F4521">
        <f t="shared" si="70"/>
        <v>2.6572200000000001</v>
      </c>
      <c r="G4521" t="s">
        <v>16</v>
      </c>
      <c r="J4521" t="str">
        <f>"02/14/2014 23:45"</f>
        <v>02/14/2014 23:45</v>
      </c>
    </row>
    <row r="4522" spans="1:10" x14ac:dyDescent="0.3">
      <c r="A4522" t="s">
        <v>6</v>
      </c>
      <c r="B4522" t="str">
        <f>"02/15/2014 00:00"</f>
        <v>02/15/2014 00:00</v>
      </c>
      <c r="C4522">
        <v>1.34</v>
      </c>
      <c r="D4522" t="s">
        <v>7</v>
      </c>
      <c r="E4522" s="2" t="s">
        <v>12</v>
      </c>
      <c r="F4522">
        <f t="shared" si="70"/>
        <v>2.6572200000000001</v>
      </c>
      <c r="G4522" t="s">
        <v>16</v>
      </c>
      <c r="J4522" t="str">
        <f>"02/15/2014 23:45"</f>
        <v>02/15/2014 23:45</v>
      </c>
    </row>
    <row r="4523" spans="1:10" x14ac:dyDescent="0.3">
      <c r="A4523" t="s">
        <v>6</v>
      </c>
      <c r="B4523" t="str">
        <f>"02/16/2014 00:00"</f>
        <v>02/16/2014 00:00</v>
      </c>
      <c r="C4523">
        <v>1.34</v>
      </c>
      <c r="D4523" t="s">
        <v>7</v>
      </c>
      <c r="E4523" s="2" t="s">
        <v>12</v>
      </c>
      <c r="F4523">
        <f t="shared" si="70"/>
        <v>2.6572200000000001</v>
      </c>
      <c r="G4523" t="s">
        <v>16</v>
      </c>
      <c r="J4523" t="str">
        <f>"02/16/2014 23:45"</f>
        <v>02/16/2014 23:45</v>
      </c>
    </row>
    <row r="4524" spans="1:10" x14ac:dyDescent="0.3">
      <c r="A4524" t="s">
        <v>6</v>
      </c>
      <c r="B4524" t="str">
        <f>"02/17/2014 00:00"</f>
        <v>02/17/2014 00:00</v>
      </c>
      <c r="C4524">
        <v>1.34</v>
      </c>
      <c r="D4524" t="s">
        <v>7</v>
      </c>
      <c r="E4524" s="2" t="s">
        <v>12</v>
      </c>
      <c r="F4524">
        <f t="shared" si="70"/>
        <v>2.6572200000000001</v>
      </c>
      <c r="G4524" t="s">
        <v>16</v>
      </c>
      <c r="J4524" t="str">
        <f>"02/17/2014 23:45"</f>
        <v>02/17/2014 23:45</v>
      </c>
    </row>
    <row r="4525" spans="1:10" x14ac:dyDescent="0.3">
      <c r="A4525" t="s">
        <v>6</v>
      </c>
      <c r="B4525" t="str">
        <f>"02/18/2014 00:00"</f>
        <v>02/18/2014 00:00</v>
      </c>
      <c r="C4525">
        <v>1.34</v>
      </c>
      <c r="D4525" t="s">
        <v>7</v>
      </c>
      <c r="E4525" s="2" t="s">
        <v>12</v>
      </c>
      <c r="F4525">
        <f t="shared" si="70"/>
        <v>2.6572200000000001</v>
      </c>
      <c r="G4525" t="s">
        <v>16</v>
      </c>
      <c r="J4525" t="str">
        <f>"02/18/2014 23:45"</f>
        <v>02/18/2014 23:45</v>
      </c>
    </row>
    <row r="4526" spans="1:10" x14ac:dyDescent="0.3">
      <c r="A4526" t="s">
        <v>6</v>
      </c>
      <c r="B4526" t="str">
        <f>"02/19/2014 00:00"</f>
        <v>02/19/2014 00:00</v>
      </c>
      <c r="C4526">
        <v>1.34</v>
      </c>
      <c r="D4526" t="s">
        <v>7</v>
      </c>
      <c r="E4526" s="2" t="s">
        <v>12</v>
      </c>
      <c r="F4526">
        <f t="shared" si="70"/>
        <v>2.6572200000000001</v>
      </c>
      <c r="G4526" t="s">
        <v>16</v>
      </c>
      <c r="J4526" t="str">
        <f>"02/19/2014 23:45"</f>
        <v>02/19/2014 23:45</v>
      </c>
    </row>
    <row r="4527" spans="1:10" x14ac:dyDescent="0.3">
      <c r="A4527" t="s">
        <v>6</v>
      </c>
      <c r="B4527" t="str">
        <f>"02/20/2014 00:00"</f>
        <v>02/20/2014 00:00</v>
      </c>
      <c r="C4527">
        <v>1.34</v>
      </c>
      <c r="D4527" t="s">
        <v>7</v>
      </c>
      <c r="E4527" s="2" t="s">
        <v>12</v>
      </c>
      <c r="F4527">
        <f t="shared" si="70"/>
        <v>2.6572200000000001</v>
      </c>
      <c r="G4527" t="s">
        <v>16</v>
      </c>
      <c r="J4527" t="str">
        <f>"02/20/2014 23:45"</f>
        <v>02/20/2014 23:45</v>
      </c>
    </row>
    <row r="4528" spans="1:10" x14ac:dyDescent="0.3">
      <c r="A4528" t="s">
        <v>6</v>
      </c>
      <c r="B4528" t="str">
        <f>"02/21/2014 00:00"</f>
        <v>02/21/2014 00:00</v>
      </c>
      <c r="C4528">
        <v>1.34</v>
      </c>
      <c r="D4528" t="s">
        <v>7</v>
      </c>
      <c r="E4528" s="2" t="s">
        <v>12</v>
      </c>
      <c r="F4528">
        <f t="shared" si="70"/>
        <v>2.6572200000000001</v>
      </c>
      <c r="G4528" t="s">
        <v>16</v>
      </c>
      <c r="J4528" t="str">
        <f>"02/21/2014 23:45"</f>
        <v>02/21/2014 23:45</v>
      </c>
    </row>
    <row r="4529" spans="1:10" x14ac:dyDescent="0.3">
      <c r="A4529" t="s">
        <v>6</v>
      </c>
      <c r="B4529" t="str">
        <f>"02/22/2014 00:00"</f>
        <v>02/22/2014 00:00</v>
      </c>
      <c r="C4529">
        <v>1.34</v>
      </c>
      <c r="D4529" t="s">
        <v>7</v>
      </c>
      <c r="E4529" s="2" t="s">
        <v>12</v>
      </c>
      <c r="F4529">
        <f t="shared" si="70"/>
        <v>2.6572200000000001</v>
      </c>
      <c r="G4529" t="s">
        <v>16</v>
      </c>
      <c r="J4529" t="str">
        <f>"02/22/2014 23:45"</f>
        <v>02/22/2014 23:45</v>
      </c>
    </row>
    <row r="4530" spans="1:10" x14ac:dyDescent="0.3">
      <c r="A4530" t="s">
        <v>6</v>
      </c>
      <c r="B4530" t="str">
        <f>"02/23/2014 00:00"</f>
        <v>02/23/2014 00:00</v>
      </c>
      <c r="C4530">
        <v>1.34</v>
      </c>
      <c r="D4530" t="s">
        <v>7</v>
      </c>
      <c r="E4530" s="2" t="s">
        <v>12</v>
      </c>
      <c r="F4530">
        <f t="shared" si="70"/>
        <v>2.6572200000000001</v>
      </c>
      <c r="G4530" t="s">
        <v>16</v>
      </c>
      <c r="J4530" t="str">
        <f>"02/23/2014 23:45"</f>
        <v>02/23/2014 23:45</v>
      </c>
    </row>
    <row r="4531" spans="1:10" x14ac:dyDescent="0.3">
      <c r="A4531" t="s">
        <v>6</v>
      </c>
      <c r="B4531" t="str">
        <f>"02/24/2014 00:00"</f>
        <v>02/24/2014 00:00</v>
      </c>
      <c r="C4531">
        <v>1.34</v>
      </c>
      <c r="D4531" t="s">
        <v>7</v>
      </c>
      <c r="E4531" s="2" t="s">
        <v>12</v>
      </c>
      <c r="F4531">
        <f t="shared" si="70"/>
        <v>2.6572200000000001</v>
      </c>
      <c r="G4531" t="s">
        <v>16</v>
      </c>
      <c r="J4531" t="str">
        <f>"02/24/2014 23:45"</f>
        <v>02/24/2014 23:45</v>
      </c>
    </row>
    <row r="4532" spans="1:10" x14ac:dyDescent="0.3">
      <c r="A4532" t="s">
        <v>6</v>
      </c>
      <c r="B4532" t="str">
        <f>"02/25/2014 00:00"</f>
        <v>02/25/2014 00:00</v>
      </c>
      <c r="C4532">
        <v>1.34</v>
      </c>
      <c r="D4532" t="s">
        <v>7</v>
      </c>
      <c r="E4532" s="2" t="s">
        <v>12</v>
      </c>
      <c r="F4532">
        <f t="shared" si="70"/>
        <v>2.6572200000000001</v>
      </c>
      <c r="G4532" t="s">
        <v>16</v>
      </c>
      <c r="J4532" t="str">
        <f>"02/25/2014 23:45"</f>
        <v>02/25/2014 23:45</v>
      </c>
    </row>
    <row r="4533" spans="1:10" x14ac:dyDescent="0.3">
      <c r="A4533" t="s">
        <v>6</v>
      </c>
      <c r="B4533" t="str">
        <f>"02/26/2014 00:00"</f>
        <v>02/26/2014 00:00</v>
      </c>
      <c r="C4533">
        <v>1.34</v>
      </c>
      <c r="D4533" t="s">
        <v>7</v>
      </c>
      <c r="E4533" s="2" t="s">
        <v>12</v>
      </c>
      <c r="F4533">
        <f t="shared" si="70"/>
        <v>2.6572200000000001</v>
      </c>
      <c r="G4533" t="s">
        <v>16</v>
      </c>
      <c r="J4533" t="str">
        <f>"02/26/2014 23:45"</f>
        <v>02/26/2014 23:45</v>
      </c>
    </row>
    <row r="4534" spans="1:10" x14ac:dyDescent="0.3">
      <c r="A4534" t="s">
        <v>6</v>
      </c>
      <c r="B4534" t="str">
        <f>"02/27/2014 00:00"</f>
        <v>02/27/2014 00:00</v>
      </c>
      <c r="C4534">
        <v>1.34</v>
      </c>
      <c r="D4534" t="s">
        <v>7</v>
      </c>
      <c r="E4534" s="2" t="s">
        <v>12</v>
      </c>
      <c r="F4534">
        <f t="shared" si="70"/>
        <v>2.6572200000000001</v>
      </c>
      <c r="G4534" t="s">
        <v>16</v>
      </c>
      <c r="J4534" t="str">
        <f>"02/27/2014 23:45"</f>
        <v>02/27/2014 23:45</v>
      </c>
    </row>
    <row r="4535" spans="1:10" x14ac:dyDescent="0.3">
      <c r="A4535" t="s">
        <v>6</v>
      </c>
      <c r="B4535" t="str">
        <f>"02/28/2014 00:00"</f>
        <v>02/28/2014 00:00</v>
      </c>
      <c r="C4535">
        <v>1.34</v>
      </c>
      <c r="D4535" t="s">
        <v>7</v>
      </c>
      <c r="E4535" s="2" t="s">
        <v>12</v>
      </c>
      <c r="F4535">
        <f t="shared" si="70"/>
        <v>2.6572200000000001</v>
      </c>
      <c r="G4535" t="s">
        <v>16</v>
      </c>
      <c r="J4535" t="str">
        <f>"02/28/2014 23:45"</f>
        <v>02/28/2014 23:45</v>
      </c>
    </row>
    <row r="4536" spans="1:10" x14ac:dyDescent="0.3">
      <c r="A4536" t="s">
        <v>6</v>
      </c>
      <c r="B4536" t="str">
        <f>"03/01/2014 00:00"</f>
        <v>03/01/2014 00:00</v>
      </c>
      <c r="C4536">
        <v>1.34</v>
      </c>
      <c r="D4536" t="s">
        <v>7</v>
      </c>
      <c r="E4536" s="2" t="s">
        <v>12</v>
      </c>
      <c r="F4536">
        <f t="shared" si="70"/>
        <v>2.6572200000000001</v>
      </c>
      <c r="G4536" t="s">
        <v>16</v>
      </c>
      <c r="J4536" t="str">
        <f>"03/01/2014 23:45"</f>
        <v>03/01/2014 23:45</v>
      </c>
    </row>
    <row r="4537" spans="1:10" x14ac:dyDescent="0.3">
      <c r="A4537" t="s">
        <v>6</v>
      </c>
      <c r="B4537" t="str">
        <f>"03/02/2014 00:00"</f>
        <v>03/02/2014 00:00</v>
      </c>
      <c r="C4537">
        <v>1.34</v>
      </c>
      <c r="D4537" t="s">
        <v>7</v>
      </c>
      <c r="E4537" s="2" t="s">
        <v>12</v>
      </c>
      <c r="F4537">
        <f t="shared" si="70"/>
        <v>2.6572200000000001</v>
      </c>
      <c r="G4537" t="s">
        <v>16</v>
      </c>
      <c r="J4537" t="str">
        <f>"03/02/2014 23:45"</f>
        <v>03/02/2014 23:45</v>
      </c>
    </row>
    <row r="4538" spans="1:10" x14ac:dyDescent="0.3">
      <c r="A4538" t="s">
        <v>6</v>
      </c>
      <c r="B4538" t="str">
        <f>"03/03/2014 00:00"</f>
        <v>03/03/2014 00:00</v>
      </c>
      <c r="C4538">
        <v>1.34</v>
      </c>
      <c r="D4538" t="s">
        <v>7</v>
      </c>
      <c r="E4538" s="2" t="s">
        <v>12</v>
      </c>
      <c r="F4538">
        <f t="shared" si="70"/>
        <v>2.6572200000000001</v>
      </c>
      <c r="G4538" t="s">
        <v>16</v>
      </c>
      <c r="J4538" t="str">
        <f>"03/03/2014 23:45"</f>
        <v>03/03/2014 23:45</v>
      </c>
    </row>
    <row r="4539" spans="1:10" x14ac:dyDescent="0.3">
      <c r="A4539" t="s">
        <v>6</v>
      </c>
      <c r="B4539" t="str">
        <f>"03/04/2014 00:00"</f>
        <v>03/04/2014 00:00</v>
      </c>
      <c r="C4539">
        <v>1.34</v>
      </c>
      <c r="D4539" t="s">
        <v>7</v>
      </c>
      <c r="E4539" s="2" t="s">
        <v>12</v>
      </c>
      <c r="F4539">
        <f t="shared" si="70"/>
        <v>2.6572200000000001</v>
      </c>
      <c r="G4539" t="s">
        <v>16</v>
      </c>
      <c r="J4539" t="str">
        <f>"03/04/2014 23:45"</f>
        <v>03/04/2014 23:45</v>
      </c>
    </row>
    <row r="4540" spans="1:10" x14ac:dyDescent="0.3">
      <c r="A4540" t="s">
        <v>6</v>
      </c>
      <c r="B4540" t="str">
        <f>"03/05/2014 00:00"</f>
        <v>03/05/2014 00:00</v>
      </c>
      <c r="C4540">
        <v>1.34</v>
      </c>
      <c r="D4540" t="s">
        <v>7</v>
      </c>
      <c r="E4540" s="2" t="s">
        <v>12</v>
      </c>
      <c r="F4540">
        <f t="shared" si="70"/>
        <v>2.6572200000000001</v>
      </c>
      <c r="G4540" t="s">
        <v>16</v>
      </c>
      <c r="J4540" t="str">
        <f>"03/05/2014 23:45"</f>
        <v>03/05/2014 23:45</v>
      </c>
    </row>
    <row r="4541" spans="1:10" x14ac:dyDescent="0.3">
      <c r="A4541" t="s">
        <v>6</v>
      </c>
      <c r="B4541" t="str">
        <f>"03/06/2014 00:00"</f>
        <v>03/06/2014 00:00</v>
      </c>
      <c r="C4541">
        <v>1.34</v>
      </c>
      <c r="D4541" t="s">
        <v>7</v>
      </c>
      <c r="E4541" s="2" t="s">
        <v>12</v>
      </c>
      <c r="F4541">
        <f t="shared" si="70"/>
        <v>2.6572200000000001</v>
      </c>
      <c r="G4541" t="s">
        <v>16</v>
      </c>
      <c r="J4541" t="str">
        <f>"03/06/2014 23:45"</f>
        <v>03/06/2014 23:45</v>
      </c>
    </row>
    <row r="4542" spans="1:10" x14ac:dyDescent="0.3">
      <c r="A4542" t="s">
        <v>6</v>
      </c>
      <c r="B4542" t="str">
        <f>"03/07/2014 00:00"</f>
        <v>03/07/2014 00:00</v>
      </c>
      <c r="C4542">
        <v>1.34</v>
      </c>
      <c r="D4542" t="s">
        <v>7</v>
      </c>
      <c r="E4542" s="2" t="s">
        <v>12</v>
      </c>
      <c r="F4542">
        <f t="shared" si="70"/>
        <v>2.6572200000000001</v>
      </c>
      <c r="G4542" t="s">
        <v>16</v>
      </c>
      <c r="J4542" t="str">
        <f>"03/07/2014 23:45"</f>
        <v>03/07/2014 23:45</v>
      </c>
    </row>
    <row r="4543" spans="1:10" x14ac:dyDescent="0.3">
      <c r="A4543" t="s">
        <v>6</v>
      </c>
      <c r="B4543" t="str">
        <f>"03/08/2014 00:00"</f>
        <v>03/08/2014 00:00</v>
      </c>
      <c r="C4543">
        <v>1.43</v>
      </c>
      <c r="D4543" t="s">
        <v>7</v>
      </c>
      <c r="E4543" s="2" t="s">
        <v>12</v>
      </c>
      <c r="F4543">
        <f t="shared" si="70"/>
        <v>2.83569</v>
      </c>
      <c r="G4543" t="s">
        <v>16</v>
      </c>
      <c r="J4543" t="str">
        <f>"03/08/2014 23:45"</f>
        <v>03/08/2014 23:45</v>
      </c>
    </row>
    <row r="4544" spans="1:10" x14ac:dyDescent="0.3">
      <c r="A4544" t="s">
        <v>6</v>
      </c>
      <c r="B4544" t="str">
        <f>"03/09/2014 00:00"</f>
        <v>03/09/2014 00:00</v>
      </c>
      <c r="C4544">
        <v>1.62</v>
      </c>
      <c r="D4544" t="s">
        <v>7</v>
      </c>
      <c r="E4544" s="2" t="s">
        <v>12</v>
      </c>
      <c r="F4544">
        <f t="shared" si="70"/>
        <v>3.2124600000000005</v>
      </c>
      <c r="G4544" t="s">
        <v>16</v>
      </c>
      <c r="J4544" t="str">
        <f>"03/09/2014 23:45"</f>
        <v>03/09/2014 23:45</v>
      </c>
    </row>
    <row r="4545" spans="1:10" x14ac:dyDescent="0.3">
      <c r="A4545" t="s">
        <v>6</v>
      </c>
      <c r="B4545" t="str">
        <f>"03/10/2014 00:00"</f>
        <v>03/10/2014 00:00</v>
      </c>
      <c r="C4545">
        <v>1.62</v>
      </c>
      <c r="D4545" t="s">
        <v>7</v>
      </c>
      <c r="E4545" s="2" t="s">
        <v>12</v>
      </c>
      <c r="F4545">
        <f t="shared" si="70"/>
        <v>3.2124600000000005</v>
      </c>
      <c r="G4545" t="s">
        <v>16</v>
      </c>
      <c r="J4545" t="str">
        <f>"03/10/2014 23:45"</f>
        <v>03/10/2014 23:45</v>
      </c>
    </row>
    <row r="4546" spans="1:10" x14ac:dyDescent="0.3">
      <c r="A4546" t="s">
        <v>6</v>
      </c>
      <c r="B4546" t="str">
        <f>"03/11/2014 00:00"</f>
        <v>03/11/2014 00:00</v>
      </c>
      <c r="C4546">
        <v>1.62</v>
      </c>
      <c r="D4546" t="s">
        <v>7</v>
      </c>
      <c r="E4546" s="2" t="s">
        <v>12</v>
      </c>
      <c r="F4546">
        <f t="shared" si="70"/>
        <v>3.2124600000000005</v>
      </c>
      <c r="G4546" t="s">
        <v>16</v>
      </c>
      <c r="J4546" t="str">
        <f>"03/11/2014 23:45"</f>
        <v>03/11/2014 23:45</v>
      </c>
    </row>
    <row r="4547" spans="1:10" x14ac:dyDescent="0.3">
      <c r="A4547" t="s">
        <v>6</v>
      </c>
      <c r="B4547" t="str">
        <f>"03/12/2014 00:00"</f>
        <v>03/12/2014 00:00</v>
      </c>
      <c r="C4547">
        <v>1.62</v>
      </c>
      <c r="D4547" t="s">
        <v>7</v>
      </c>
      <c r="E4547" s="2" t="s">
        <v>12</v>
      </c>
      <c r="F4547">
        <f t="shared" si="70"/>
        <v>3.2124600000000005</v>
      </c>
      <c r="G4547" t="s">
        <v>16</v>
      </c>
      <c r="J4547" t="str">
        <f>"03/12/2014 23:45"</f>
        <v>03/12/2014 23:45</v>
      </c>
    </row>
    <row r="4548" spans="1:10" x14ac:dyDescent="0.3">
      <c r="A4548" t="s">
        <v>6</v>
      </c>
      <c r="B4548" t="str">
        <f>"03/13/2014 00:00"</f>
        <v>03/13/2014 00:00</v>
      </c>
      <c r="C4548">
        <v>1.62</v>
      </c>
      <c r="D4548" t="s">
        <v>7</v>
      </c>
      <c r="E4548" s="2" t="s">
        <v>12</v>
      </c>
      <c r="F4548">
        <f t="shared" ref="F4548:F4611" si="71">C4548*1.983</f>
        <v>3.2124600000000005</v>
      </c>
      <c r="G4548" t="s">
        <v>16</v>
      </c>
      <c r="J4548" t="str">
        <f>"03/13/2014 23:45"</f>
        <v>03/13/2014 23:45</v>
      </c>
    </row>
    <row r="4549" spans="1:10" x14ac:dyDescent="0.3">
      <c r="A4549" t="s">
        <v>6</v>
      </c>
      <c r="B4549" t="str">
        <f>"03/14/2014 00:00"</f>
        <v>03/14/2014 00:00</v>
      </c>
      <c r="C4549">
        <v>1.62</v>
      </c>
      <c r="D4549" t="s">
        <v>7</v>
      </c>
      <c r="E4549" s="2" t="s">
        <v>12</v>
      </c>
      <c r="F4549">
        <f t="shared" si="71"/>
        <v>3.2124600000000005</v>
      </c>
      <c r="G4549" t="s">
        <v>16</v>
      </c>
      <c r="J4549" t="str">
        <f>"03/14/2014 23:45"</f>
        <v>03/14/2014 23:45</v>
      </c>
    </row>
    <row r="4550" spans="1:10" x14ac:dyDescent="0.3">
      <c r="A4550" t="s">
        <v>6</v>
      </c>
      <c r="B4550" t="str">
        <f>"03/15/2014 00:00"</f>
        <v>03/15/2014 00:00</v>
      </c>
      <c r="C4550">
        <v>1.62</v>
      </c>
      <c r="D4550" t="s">
        <v>7</v>
      </c>
      <c r="E4550" s="2" t="s">
        <v>12</v>
      </c>
      <c r="F4550">
        <f t="shared" si="71"/>
        <v>3.2124600000000005</v>
      </c>
      <c r="G4550" t="s">
        <v>16</v>
      </c>
      <c r="J4550" t="str">
        <f>"03/15/2014 23:45"</f>
        <v>03/15/2014 23:45</v>
      </c>
    </row>
    <row r="4551" spans="1:10" x14ac:dyDescent="0.3">
      <c r="A4551" t="s">
        <v>6</v>
      </c>
      <c r="B4551" t="str">
        <f>"03/16/2014 00:00"</f>
        <v>03/16/2014 00:00</v>
      </c>
      <c r="C4551">
        <v>1.62</v>
      </c>
      <c r="D4551" t="s">
        <v>7</v>
      </c>
      <c r="E4551" s="2" t="s">
        <v>12</v>
      </c>
      <c r="F4551">
        <f t="shared" si="71"/>
        <v>3.2124600000000005</v>
      </c>
      <c r="G4551" t="s">
        <v>16</v>
      </c>
      <c r="J4551" t="str">
        <f>"03/16/2014 23:45"</f>
        <v>03/16/2014 23:45</v>
      </c>
    </row>
    <row r="4552" spans="1:10" x14ac:dyDescent="0.3">
      <c r="A4552" t="s">
        <v>6</v>
      </c>
      <c r="B4552" t="str">
        <f>"03/17/2014 00:00"</f>
        <v>03/17/2014 00:00</v>
      </c>
      <c r="C4552">
        <v>1.62</v>
      </c>
      <c r="D4552" t="s">
        <v>7</v>
      </c>
      <c r="E4552" s="2" t="s">
        <v>12</v>
      </c>
      <c r="F4552">
        <f t="shared" si="71"/>
        <v>3.2124600000000005</v>
      </c>
      <c r="G4552" t="s">
        <v>16</v>
      </c>
      <c r="J4552" t="str">
        <f>"03/17/2014 23:45"</f>
        <v>03/17/2014 23:45</v>
      </c>
    </row>
    <row r="4553" spans="1:10" x14ac:dyDescent="0.3">
      <c r="A4553" t="s">
        <v>6</v>
      </c>
      <c r="B4553" t="str">
        <f>"03/18/2014 00:00"</f>
        <v>03/18/2014 00:00</v>
      </c>
      <c r="C4553">
        <v>1.62</v>
      </c>
      <c r="D4553" t="s">
        <v>7</v>
      </c>
      <c r="E4553" s="2" t="s">
        <v>12</v>
      </c>
      <c r="F4553">
        <f t="shared" si="71"/>
        <v>3.2124600000000005</v>
      </c>
      <c r="G4553" t="s">
        <v>16</v>
      </c>
      <c r="J4553" t="str">
        <f>"03/18/2014 23:45"</f>
        <v>03/18/2014 23:45</v>
      </c>
    </row>
    <row r="4554" spans="1:10" x14ac:dyDescent="0.3">
      <c r="A4554" t="s">
        <v>6</v>
      </c>
      <c r="B4554" t="str">
        <f>"03/19/2014 00:00"</f>
        <v>03/19/2014 00:00</v>
      </c>
      <c r="C4554">
        <v>1.4</v>
      </c>
      <c r="D4554" t="s">
        <v>7</v>
      </c>
      <c r="E4554" s="2" t="s">
        <v>12</v>
      </c>
      <c r="F4554">
        <f t="shared" si="71"/>
        <v>2.7761999999999998</v>
      </c>
      <c r="G4554" t="s">
        <v>16</v>
      </c>
      <c r="J4554" t="str">
        <f>"03/19/2014 23:45"</f>
        <v>03/19/2014 23:45</v>
      </c>
    </row>
    <row r="4555" spans="1:10" x14ac:dyDescent="0.3">
      <c r="A4555" t="s">
        <v>6</v>
      </c>
      <c r="B4555" t="str">
        <f>"03/20/2014 00:00"</f>
        <v>03/20/2014 00:00</v>
      </c>
      <c r="C4555">
        <v>1.34</v>
      </c>
      <c r="D4555" t="s">
        <v>7</v>
      </c>
      <c r="E4555" s="2" t="s">
        <v>12</v>
      </c>
      <c r="F4555">
        <f t="shared" si="71"/>
        <v>2.6572200000000001</v>
      </c>
      <c r="G4555" t="s">
        <v>16</v>
      </c>
      <c r="J4555" t="str">
        <f>"03/20/2014 23:45"</f>
        <v>03/20/2014 23:45</v>
      </c>
    </row>
    <row r="4556" spans="1:10" x14ac:dyDescent="0.3">
      <c r="A4556" t="s">
        <v>6</v>
      </c>
      <c r="B4556" t="str">
        <f>"03/21/2014 00:00"</f>
        <v>03/21/2014 00:00</v>
      </c>
      <c r="C4556">
        <v>1.34</v>
      </c>
      <c r="D4556" t="s">
        <v>7</v>
      </c>
      <c r="E4556" s="2" t="s">
        <v>12</v>
      </c>
      <c r="F4556">
        <f t="shared" si="71"/>
        <v>2.6572200000000001</v>
      </c>
      <c r="G4556" t="s">
        <v>16</v>
      </c>
      <c r="J4556" t="str">
        <f>"03/21/2014 23:45"</f>
        <v>03/21/2014 23:45</v>
      </c>
    </row>
    <row r="4557" spans="1:10" x14ac:dyDescent="0.3">
      <c r="A4557" t="s">
        <v>6</v>
      </c>
      <c r="B4557" t="str">
        <f>"03/22/2014 00:00"</f>
        <v>03/22/2014 00:00</v>
      </c>
      <c r="C4557">
        <v>1.34</v>
      </c>
      <c r="D4557" t="s">
        <v>7</v>
      </c>
      <c r="E4557" s="2" t="s">
        <v>12</v>
      </c>
      <c r="F4557">
        <f t="shared" si="71"/>
        <v>2.6572200000000001</v>
      </c>
      <c r="G4557" t="s">
        <v>16</v>
      </c>
      <c r="J4557" t="str">
        <f>"03/22/2014 23:45"</f>
        <v>03/22/2014 23:45</v>
      </c>
    </row>
    <row r="4558" spans="1:10" x14ac:dyDescent="0.3">
      <c r="A4558" t="s">
        <v>6</v>
      </c>
      <c r="B4558" t="str">
        <f>"03/23/2014 00:00"</f>
        <v>03/23/2014 00:00</v>
      </c>
      <c r="C4558">
        <v>1.34</v>
      </c>
      <c r="D4558" t="s">
        <v>7</v>
      </c>
      <c r="E4558" s="2" t="s">
        <v>12</v>
      </c>
      <c r="F4558">
        <f t="shared" si="71"/>
        <v>2.6572200000000001</v>
      </c>
      <c r="G4558" t="s">
        <v>16</v>
      </c>
      <c r="J4558" t="str">
        <f>"03/23/2014 23:45"</f>
        <v>03/23/2014 23:45</v>
      </c>
    </row>
    <row r="4559" spans="1:10" x14ac:dyDescent="0.3">
      <c r="A4559" t="s">
        <v>6</v>
      </c>
      <c r="B4559" t="str">
        <f>"03/24/2014 00:00"</f>
        <v>03/24/2014 00:00</v>
      </c>
      <c r="C4559">
        <v>1.34</v>
      </c>
      <c r="D4559" t="s">
        <v>7</v>
      </c>
      <c r="E4559" s="2" t="s">
        <v>12</v>
      </c>
      <c r="F4559">
        <f t="shared" si="71"/>
        <v>2.6572200000000001</v>
      </c>
      <c r="G4559" t="s">
        <v>16</v>
      </c>
      <c r="J4559" t="str">
        <f>"03/24/2014 23:45"</f>
        <v>03/24/2014 23:45</v>
      </c>
    </row>
    <row r="4560" spans="1:10" x14ac:dyDescent="0.3">
      <c r="A4560" t="s">
        <v>6</v>
      </c>
      <c r="B4560" t="str">
        <f>"03/25/2014 00:00"</f>
        <v>03/25/2014 00:00</v>
      </c>
      <c r="C4560">
        <v>1.34</v>
      </c>
      <c r="D4560" t="s">
        <v>7</v>
      </c>
      <c r="E4560" s="2" t="s">
        <v>12</v>
      </c>
      <c r="F4560">
        <f t="shared" si="71"/>
        <v>2.6572200000000001</v>
      </c>
      <c r="G4560" t="s">
        <v>16</v>
      </c>
      <c r="J4560" t="str">
        <f>"03/25/2014 23:45"</f>
        <v>03/25/2014 23:45</v>
      </c>
    </row>
    <row r="4561" spans="1:10" x14ac:dyDescent="0.3">
      <c r="A4561" t="s">
        <v>6</v>
      </c>
      <c r="B4561" t="str">
        <f>"03/26/2014 00:00"</f>
        <v>03/26/2014 00:00</v>
      </c>
      <c r="C4561">
        <v>1.34</v>
      </c>
      <c r="D4561" t="s">
        <v>7</v>
      </c>
      <c r="E4561" s="2" t="s">
        <v>12</v>
      </c>
      <c r="F4561">
        <f t="shared" si="71"/>
        <v>2.6572200000000001</v>
      </c>
      <c r="G4561" t="s">
        <v>16</v>
      </c>
      <c r="J4561" t="str">
        <f>"03/26/2014 23:45"</f>
        <v>03/26/2014 23:45</v>
      </c>
    </row>
    <row r="4562" spans="1:10" x14ac:dyDescent="0.3">
      <c r="A4562" t="s">
        <v>6</v>
      </c>
      <c r="B4562" t="str">
        <f>"03/27/2014 00:00"</f>
        <v>03/27/2014 00:00</v>
      </c>
      <c r="C4562">
        <v>1.34</v>
      </c>
      <c r="D4562" t="s">
        <v>7</v>
      </c>
      <c r="E4562" s="2" t="s">
        <v>12</v>
      </c>
      <c r="F4562">
        <f t="shared" si="71"/>
        <v>2.6572200000000001</v>
      </c>
      <c r="G4562" t="s">
        <v>16</v>
      </c>
      <c r="J4562" t="str">
        <f>"03/27/2014 23:45"</f>
        <v>03/27/2014 23:45</v>
      </c>
    </row>
    <row r="4563" spans="1:10" x14ac:dyDescent="0.3">
      <c r="A4563" t="s">
        <v>6</v>
      </c>
      <c r="B4563" t="str">
        <f>"03/28/2014 00:00"</f>
        <v>03/28/2014 00:00</v>
      </c>
      <c r="C4563">
        <v>1.34</v>
      </c>
      <c r="D4563" t="s">
        <v>7</v>
      </c>
      <c r="E4563" s="2" t="s">
        <v>12</v>
      </c>
      <c r="F4563">
        <f t="shared" si="71"/>
        <v>2.6572200000000001</v>
      </c>
      <c r="G4563" t="s">
        <v>16</v>
      </c>
      <c r="J4563" t="str">
        <f>"03/28/2014 23:45"</f>
        <v>03/28/2014 23:45</v>
      </c>
    </row>
    <row r="4564" spans="1:10" x14ac:dyDescent="0.3">
      <c r="A4564" t="s">
        <v>6</v>
      </c>
      <c r="B4564" t="str">
        <f>"03/29/2014 00:00"</f>
        <v>03/29/2014 00:00</v>
      </c>
      <c r="C4564">
        <v>1.34</v>
      </c>
      <c r="D4564" t="s">
        <v>7</v>
      </c>
      <c r="E4564" s="2" t="s">
        <v>12</v>
      </c>
      <c r="F4564">
        <f t="shared" si="71"/>
        <v>2.6572200000000001</v>
      </c>
      <c r="G4564" t="s">
        <v>16</v>
      </c>
      <c r="J4564" t="str">
        <f>"03/29/2014 23:45"</f>
        <v>03/29/2014 23:45</v>
      </c>
    </row>
    <row r="4565" spans="1:10" x14ac:dyDescent="0.3">
      <c r="A4565" t="s">
        <v>6</v>
      </c>
      <c r="B4565" t="str">
        <f>"03/30/2014 00:00"</f>
        <v>03/30/2014 00:00</v>
      </c>
      <c r="C4565">
        <v>1.34</v>
      </c>
      <c r="D4565" t="s">
        <v>7</v>
      </c>
      <c r="E4565" s="2" t="s">
        <v>12</v>
      </c>
      <c r="F4565">
        <f t="shared" si="71"/>
        <v>2.6572200000000001</v>
      </c>
      <c r="G4565" t="s">
        <v>16</v>
      </c>
      <c r="J4565" t="str">
        <f>"03/30/2014 23:45"</f>
        <v>03/30/2014 23:45</v>
      </c>
    </row>
    <row r="4566" spans="1:10" x14ac:dyDescent="0.3">
      <c r="A4566" t="s">
        <v>6</v>
      </c>
      <c r="B4566" t="str">
        <f>"03/31/2014 00:00"</f>
        <v>03/31/2014 00:00</v>
      </c>
      <c r="C4566">
        <v>1.34</v>
      </c>
      <c r="D4566" t="s">
        <v>7</v>
      </c>
      <c r="E4566" s="2" t="s">
        <v>12</v>
      </c>
      <c r="F4566">
        <f t="shared" si="71"/>
        <v>2.6572200000000001</v>
      </c>
      <c r="G4566" t="s">
        <v>16</v>
      </c>
      <c r="J4566" t="str">
        <f>"03/31/2014 23:45"</f>
        <v>03/31/2014 23:45</v>
      </c>
    </row>
    <row r="4567" spans="1:10" x14ac:dyDescent="0.3">
      <c r="A4567" t="s">
        <v>6</v>
      </c>
      <c r="B4567" t="str">
        <f>"04/01/2014 00:00"</f>
        <v>04/01/2014 00:00</v>
      </c>
      <c r="C4567">
        <v>1.34</v>
      </c>
      <c r="D4567" t="s">
        <v>7</v>
      </c>
      <c r="E4567" s="2" t="s">
        <v>12</v>
      </c>
      <c r="F4567">
        <f t="shared" si="71"/>
        <v>2.6572200000000001</v>
      </c>
      <c r="G4567" t="s">
        <v>16</v>
      </c>
      <c r="J4567" t="str">
        <f>"04/01/2014 23:45"</f>
        <v>04/01/2014 23:45</v>
      </c>
    </row>
    <row r="4568" spans="1:10" x14ac:dyDescent="0.3">
      <c r="A4568" t="s">
        <v>6</v>
      </c>
      <c r="B4568" t="str">
        <f>"04/02/2014 00:00"</f>
        <v>04/02/2014 00:00</v>
      </c>
      <c r="C4568">
        <v>1.34</v>
      </c>
      <c r="D4568" t="s">
        <v>7</v>
      </c>
      <c r="E4568" s="2" t="s">
        <v>12</v>
      </c>
      <c r="F4568">
        <f t="shared" si="71"/>
        <v>2.6572200000000001</v>
      </c>
      <c r="G4568" t="s">
        <v>16</v>
      </c>
      <c r="J4568" t="str">
        <f>"04/02/2014 23:45"</f>
        <v>04/02/2014 23:45</v>
      </c>
    </row>
    <row r="4569" spans="1:10" x14ac:dyDescent="0.3">
      <c r="A4569" t="s">
        <v>6</v>
      </c>
      <c r="B4569" t="str">
        <f>"04/03/2014 00:00"</f>
        <v>04/03/2014 00:00</v>
      </c>
      <c r="C4569">
        <v>1.34</v>
      </c>
      <c r="D4569" t="s">
        <v>7</v>
      </c>
      <c r="E4569" s="2" t="s">
        <v>12</v>
      </c>
      <c r="F4569">
        <f t="shared" si="71"/>
        <v>2.6572200000000001</v>
      </c>
      <c r="G4569" t="s">
        <v>16</v>
      </c>
      <c r="J4569" t="str">
        <f>"04/03/2014 23:45"</f>
        <v>04/03/2014 23:45</v>
      </c>
    </row>
    <row r="4570" spans="1:10" x14ac:dyDescent="0.3">
      <c r="A4570" t="s">
        <v>6</v>
      </c>
      <c r="B4570" t="str">
        <f>"04/04/2014 00:00"</f>
        <v>04/04/2014 00:00</v>
      </c>
      <c r="C4570">
        <v>1.34</v>
      </c>
      <c r="D4570" t="s">
        <v>7</v>
      </c>
      <c r="E4570" s="2" t="s">
        <v>12</v>
      </c>
      <c r="F4570">
        <f t="shared" si="71"/>
        <v>2.6572200000000001</v>
      </c>
      <c r="G4570" t="s">
        <v>16</v>
      </c>
      <c r="J4570" t="str">
        <f>"04/04/2014 23:45"</f>
        <v>04/04/2014 23:45</v>
      </c>
    </row>
    <row r="4571" spans="1:10" x14ac:dyDescent="0.3">
      <c r="A4571" t="s">
        <v>6</v>
      </c>
      <c r="B4571" t="str">
        <f>"04/05/2014 00:00"</f>
        <v>04/05/2014 00:00</v>
      </c>
      <c r="C4571">
        <v>1.34</v>
      </c>
      <c r="D4571" t="s">
        <v>7</v>
      </c>
      <c r="E4571" s="2" t="s">
        <v>12</v>
      </c>
      <c r="F4571">
        <f t="shared" si="71"/>
        <v>2.6572200000000001</v>
      </c>
      <c r="G4571" t="s">
        <v>16</v>
      </c>
      <c r="J4571" t="str">
        <f>"04/05/2014 23:45"</f>
        <v>04/05/2014 23:45</v>
      </c>
    </row>
    <row r="4572" spans="1:10" x14ac:dyDescent="0.3">
      <c r="A4572" t="s">
        <v>6</v>
      </c>
      <c r="B4572" t="str">
        <f>"04/06/2014 00:00"</f>
        <v>04/06/2014 00:00</v>
      </c>
      <c r="C4572">
        <v>1.34</v>
      </c>
      <c r="D4572" t="s">
        <v>7</v>
      </c>
      <c r="E4572" s="2" t="s">
        <v>12</v>
      </c>
      <c r="F4572">
        <f t="shared" si="71"/>
        <v>2.6572200000000001</v>
      </c>
      <c r="G4572" t="s">
        <v>16</v>
      </c>
      <c r="J4572" t="str">
        <f>"04/06/2014 23:45"</f>
        <v>04/06/2014 23:45</v>
      </c>
    </row>
    <row r="4573" spans="1:10" x14ac:dyDescent="0.3">
      <c r="A4573" t="s">
        <v>6</v>
      </c>
      <c r="B4573" t="str">
        <f>"04/07/2014 00:00"</f>
        <v>04/07/2014 00:00</v>
      </c>
      <c r="C4573">
        <v>1.34</v>
      </c>
      <c r="D4573" t="s">
        <v>7</v>
      </c>
      <c r="E4573" s="2" t="s">
        <v>12</v>
      </c>
      <c r="F4573">
        <f t="shared" si="71"/>
        <v>2.6572200000000001</v>
      </c>
      <c r="G4573" t="s">
        <v>16</v>
      </c>
      <c r="J4573" t="str">
        <f>"04/07/2014 23:45"</f>
        <v>04/07/2014 23:45</v>
      </c>
    </row>
    <row r="4574" spans="1:10" x14ac:dyDescent="0.3">
      <c r="A4574" t="s">
        <v>6</v>
      </c>
      <c r="B4574" t="str">
        <f>"04/08/2014 00:00"</f>
        <v>04/08/2014 00:00</v>
      </c>
      <c r="C4574">
        <v>1.34</v>
      </c>
      <c r="D4574" t="s">
        <v>7</v>
      </c>
      <c r="E4574" s="2" t="s">
        <v>12</v>
      </c>
      <c r="F4574">
        <f t="shared" si="71"/>
        <v>2.6572200000000001</v>
      </c>
      <c r="G4574" t="s">
        <v>16</v>
      </c>
      <c r="J4574" t="str">
        <f>"04/08/2014 23:45"</f>
        <v>04/08/2014 23:45</v>
      </c>
    </row>
    <row r="4575" spans="1:10" x14ac:dyDescent="0.3">
      <c r="A4575" t="s">
        <v>6</v>
      </c>
      <c r="B4575" t="str">
        <f>"04/09/2014 00:00"</f>
        <v>04/09/2014 00:00</v>
      </c>
      <c r="C4575">
        <v>1.34</v>
      </c>
      <c r="D4575" t="s">
        <v>7</v>
      </c>
      <c r="E4575" s="2" t="s">
        <v>12</v>
      </c>
      <c r="F4575">
        <f t="shared" si="71"/>
        <v>2.6572200000000001</v>
      </c>
      <c r="G4575" t="s">
        <v>16</v>
      </c>
      <c r="J4575" t="str">
        <f>"04/09/2014 23:45"</f>
        <v>04/09/2014 23:45</v>
      </c>
    </row>
    <row r="4576" spans="1:10" x14ac:dyDescent="0.3">
      <c r="A4576" t="s">
        <v>6</v>
      </c>
      <c r="B4576" t="str">
        <f>"04/10/2014 00:00"</f>
        <v>04/10/2014 00:00</v>
      </c>
      <c r="C4576">
        <v>1.34</v>
      </c>
      <c r="D4576" t="s">
        <v>7</v>
      </c>
      <c r="E4576" s="2" t="s">
        <v>12</v>
      </c>
      <c r="F4576">
        <f t="shared" si="71"/>
        <v>2.6572200000000001</v>
      </c>
      <c r="G4576" t="s">
        <v>16</v>
      </c>
      <c r="J4576" t="str">
        <f>"04/10/2014 23:45"</f>
        <v>04/10/2014 23:45</v>
      </c>
    </row>
    <row r="4577" spans="1:10" x14ac:dyDescent="0.3">
      <c r="A4577" t="s">
        <v>6</v>
      </c>
      <c r="B4577" t="str">
        <f>"04/11/2014 00:00"</f>
        <v>04/11/2014 00:00</v>
      </c>
      <c r="C4577">
        <v>1.34</v>
      </c>
      <c r="D4577" t="s">
        <v>7</v>
      </c>
      <c r="E4577" s="2" t="s">
        <v>12</v>
      </c>
      <c r="F4577">
        <f t="shared" si="71"/>
        <v>2.6572200000000001</v>
      </c>
      <c r="G4577" t="s">
        <v>16</v>
      </c>
      <c r="J4577" t="str">
        <f>"04/11/2014 23:45"</f>
        <v>04/11/2014 23:45</v>
      </c>
    </row>
    <row r="4578" spans="1:10" x14ac:dyDescent="0.3">
      <c r="A4578" t="s">
        <v>6</v>
      </c>
      <c r="B4578" t="str">
        <f>"04/12/2014 00:00"</f>
        <v>04/12/2014 00:00</v>
      </c>
      <c r="C4578">
        <v>1.34</v>
      </c>
      <c r="D4578" t="s">
        <v>7</v>
      </c>
      <c r="E4578" s="2" t="s">
        <v>12</v>
      </c>
      <c r="F4578">
        <f t="shared" si="71"/>
        <v>2.6572200000000001</v>
      </c>
      <c r="G4578" t="s">
        <v>16</v>
      </c>
      <c r="J4578" t="str">
        <f>"04/12/2014 23:45"</f>
        <v>04/12/2014 23:45</v>
      </c>
    </row>
    <row r="4579" spans="1:10" x14ac:dyDescent="0.3">
      <c r="A4579" t="s">
        <v>6</v>
      </c>
      <c r="B4579" t="str">
        <f>"04/13/2014 00:00"</f>
        <v>04/13/2014 00:00</v>
      </c>
      <c r="C4579">
        <v>1.34</v>
      </c>
      <c r="D4579" t="s">
        <v>7</v>
      </c>
      <c r="E4579" s="2" t="s">
        <v>12</v>
      </c>
      <c r="F4579">
        <f t="shared" si="71"/>
        <v>2.6572200000000001</v>
      </c>
      <c r="G4579" t="s">
        <v>16</v>
      </c>
      <c r="J4579" t="str">
        <f>"04/13/2014 23:45"</f>
        <v>04/13/2014 23:45</v>
      </c>
    </row>
    <row r="4580" spans="1:10" x14ac:dyDescent="0.3">
      <c r="A4580" t="s">
        <v>6</v>
      </c>
      <c r="B4580" t="str">
        <f>"04/14/2014 00:00"</f>
        <v>04/14/2014 00:00</v>
      </c>
      <c r="C4580">
        <v>1.34</v>
      </c>
      <c r="D4580" t="s">
        <v>7</v>
      </c>
      <c r="E4580" s="2" t="s">
        <v>12</v>
      </c>
      <c r="F4580">
        <f t="shared" si="71"/>
        <v>2.6572200000000001</v>
      </c>
      <c r="G4580" t="s">
        <v>16</v>
      </c>
      <c r="J4580" t="str">
        <f>"04/14/2014 23:45"</f>
        <v>04/14/2014 23:45</v>
      </c>
    </row>
    <row r="4581" spans="1:10" x14ac:dyDescent="0.3">
      <c r="A4581" t="s">
        <v>6</v>
      </c>
      <c r="B4581" t="str">
        <f>"04/15/2014 00:00"</f>
        <v>04/15/2014 00:00</v>
      </c>
      <c r="C4581">
        <v>1.34</v>
      </c>
      <c r="D4581" t="s">
        <v>7</v>
      </c>
      <c r="E4581" s="2" t="s">
        <v>12</v>
      </c>
      <c r="F4581">
        <f t="shared" si="71"/>
        <v>2.6572200000000001</v>
      </c>
      <c r="G4581" t="s">
        <v>16</v>
      </c>
      <c r="J4581" t="str">
        <f>"04/15/2014 23:45"</f>
        <v>04/15/2014 23:45</v>
      </c>
    </row>
    <row r="4582" spans="1:10" x14ac:dyDescent="0.3">
      <c r="A4582" t="s">
        <v>6</v>
      </c>
      <c r="B4582" t="str">
        <f>"04/16/2014 00:00"</f>
        <v>04/16/2014 00:00</v>
      </c>
      <c r="C4582">
        <v>1.34</v>
      </c>
      <c r="D4582" t="s">
        <v>7</v>
      </c>
      <c r="E4582" s="2" t="s">
        <v>12</v>
      </c>
      <c r="F4582">
        <f t="shared" si="71"/>
        <v>2.6572200000000001</v>
      </c>
      <c r="G4582" t="s">
        <v>16</v>
      </c>
      <c r="J4582" t="str">
        <f>"04/16/2014 23:45"</f>
        <v>04/16/2014 23:45</v>
      </c>
    </row>
    <row r="4583" spans="1:10" x14ac:dyDescent="0.3">
      <c r="A4583" t="s">
        <v>6</v>
      </c>
      <c r="B4583" t="str">
        <f>"04/17/2014 00:00"</f>
        <v>04/17/2014 00:00</v>
      </c>
      <c r="C4583">
        <v>1.34</v>
      </c>
      <c r="D4583" t="s">
        <v>7</v>
      </c>
      <c r="E4583" s="2" t="s">
        <v>12</v>
      </c>
      <c r="F4583">
        <f t="shared" si="71"/>
        <v>2.6572200000000001</v>
      </c>
      <c r="G4583" t="s">
        <v>16</v>
      </c>
      <c r="J4583" t="str">
        <f>"04/17/2014 23:45"</f>
        <v>04/17/2014 23:45</v>
      </c>
    </row>
    <row r="4584" spans="1:10" x14ac:dyDescent="0.3">
      <c r="A4584" t="s">
        <v>6</v>
      </c>
      <c r="B4584" t="str">
        <f>"04/18/2014 00:00"</f>
        <v>04/18/2014 00:00</v>
      </c>
      <c r="C4584">
        <v>1.34</v>
      </c>
      <c r="D4584" t="s">
        <v>7</v>
      </c>
      <c r="E4584" s="2" t="s">
        <v>12</v>
      </c>
      <c r="F4584">
        <f t="shared" si="71"/>
        <v>2.6572200000000001</v>
      </c>
      <c r="G4584" t="s">
        <v>16</v>
      </c>
      <c r="J4584" t="str">
        <f>"04/18/2014 23:45"</f>
        <v>04/18/2014 23:45</v>
      </c>
    </row>
    <row r="4585" spans="1:10" x14ac:dyDescent="0.3">
      <c r="A4585" t="s">
        <v>6</v>
      </c>
      <c r="B4585" t="str">
        <f>"04/19/2014 00:00"</f>
        <v>04/19/2014 00:00</v>
      </c>
      <c r="C4585">
        <v>1.34</v>
      </c>
      <c r="D4585" t="s">
        <v>7</v>
      </c>
      <c r="E4585" s="2" t="s">
        <v>12</v>
      </c>
      <c r="F4585">
        <f t="shared" si="71"/>
        <v>2.6572200000000001</v>
      </c>
      <c r="G4585" t="s">
        <v>16</v>
      </c>
      <c r="J4585" t="str">
        <f>"04/19/2014 23:45"</f>
        <v>04/19/2014 23:45</v>
      </c>
    </row>
    <row r="4586" spans="1:10" x14ac:dyDescent="0.3">
      <c r="A4586" t="s">
        <v>6</v>
      </c>
      <c r="B4586" t="str">
        <f>"04/20/2014 00:00"</f>
        <v>04/20/2014 00:00</v>
      </c>
      <c r="C4586">
        <v>1.3</v>
      </c>
      <c r="D4586" t="s">
        <v>7</v>
      </c>
      <c r="E4586" s="2" t="s">
        <v>12</v>
      </c>
      <c r="F4586">
        <f t="shared" si="71"/>
        <v>2.5779000000000001</v>
      </c>
      <c r="G4586" t="s">
        <v>16</v>
      </c>
      <c r="J4586" t="str">
        <f>"04/20/2014 23:45"</f>
        <v>04/20/2014 23:45</v>
      </c>
    </row>
    <row r="4587" spans="1:10" x14ac:dyDescent="0.3">
      <c r="A4587" t="s">
        <v>6</v>
      </c>
      <c r="B4587" t="str">
        <f>"04/21/2014 00:00"</f>
        <v>04/21/2014 00:00</v>
      </c>
      <c r="C4587">
        <v>1.1299999999999999</v>
      </c>
      <c r="D4587" t="s">
        <v>7</v>
      </c>
      <c r="E4587" s="2" t="s">
        <v>12</v>
      </c>
      <c r="F4587">
        <f t="shared" si="71"/>
        <v>2.2407900000000001</v>
      </c>
      <c r="G4587" t="s">
        <v>16</v>
      </c>
      <c r="J4587" t="str">
        <f>"04/21/2014 23:45"</f>
        <v>04/21/2014 23:45</v>
      </c>
    </row>
    <row r="4588" spans="1:10" x14ac:dyDescent="0.3">
      <c r="A4588" t="s">
        <v>6</v>
      </c>
      <c r="B4588" t="str">
        <f>"04/22/2014 00:00"</f>
        <v>04/22/2014 00:00</v>
      </c>
      <c r="C4588">
        <v>1.08</v>
      </c>
      <c r="D4588" t="s">
        <v>7</v>
      </c>
      <c r="E4588" s="2" t="s">
        <v>12</v>
      </c>
      <c r="F4588">
        <f t="shared" si="71"/>
        <v>2.1416400000000002</v>
      </c>
      <c r="G4588" t="s">
        <v>16</v>
      </c>
      <c r="J4588" t="str">
        <f>"04/22/2014 23:45"</f>
        <v>04/22/2014 23:45</v>
      </c>
    </row>
    <row r="4589" spans="1:10" x14ac:dyDescent="0.3">
      <c r="A4589" t="s">
        <v>6</v>
      </c>
      <c r="B4589" t="str">
        <f>"04/23/2014 00:00"</f>
        <v>04/23/2014 00:00</v>
      </c>
      <c r="C4589">
        <v>1.08</v>
      </c>
      <c r="D4589" t="s">
        <v>7</v>
      </c>
      <c r="E4589" s="2" t="s">
        <v>12</v>
      </c>
      <c r="F4589">
        <f t="shared" si="71"/>
        <v>2.1416400000000002</v>
      </c>
      <c r="G4589" t="s">
        <v>16</v>
      </c>
      <c r="J4589" t="str">
        <f>"04/23/2014 23:45"</f>
        <v>04/23/2014 23:45</v>
      </c>
    </row>
    <row r="4590" spans="1:10" x14ac:dyDescent="0.3">
      <c r="A4590" t="s">
        <v>6</v>
      </c>
      <c r="B4590" t="str">
        <f>"04/24/2014 00:00"</f>
        <v>04/24/2014 00:00</v>
      </c>
      <c r="C4590">
        <v>1.08</v>
      </c>
      <c r="D4590" t="s">
        <v>7</v>
      </c>
      <c r="E4590" s="2" t="s">
        <v>12</v>
      </c>
      <c r="F4590">
        <f t="shared" si="71"/>
        <v>2.1416400000000002</v>
      </c>
      <c r="G4590" t="s">
        <v>16</v>
      </c>
      <c r="J4590" t="str">
        <f>"04/24/2014 23:45"</f>
        <v>04/24/2014 23:45</v>
      </c>
    </row>
    <row r="4591" spans="1:10" x14ac:dyDescent="0.3">
      <c r="A4591" t="s">
        <v>6</v>
      </c>
      <c r="B4591" t="str">
        <f>"04/25/2014 00:00"</f>
        <v>04/25/2014 00:00</v>
      </c>
      <c r="C4591">
        <v>1.08</v>
      </c>
      <c r="D4591" t="s">
        <v>7</v>
      </c>
      <c r="E4591" s="2" t="s">
        <v>12</v>
      </c>
      <c r="F4591">
        <f t="shared" si="71"/>
        <v>2.1416400000000002</v>
      </c>
      <c r="G4591" t="s">
        <v>16</v>
      </c>
      <c r="J4591" t="str">
        <f>"04/25/2014 23:45"</f>
        <v>04/25/2014 23:45</v>
      </c>
    </row>
    <row r="4592" spans="1:10" x14ac:dyDescent="0.3">
      <c r="A4592" t="s">
        <v>6</v>
      </c>
      <c r="B4592" t="str">
        <f>"04/26/2014 00:00"</f>
        <v>04/26/2014 00:00</v>
      </c>
      <c r="C4592">
        <v>1.08</v>
      </c>
      <c r="D4592" t="s">
        <v>7</v>
      </c>
      <c r="E4592" s="2" t="s">
        <v>12</v>
      </c>
      <c r="F4592">
        <f t="shared" si="71"/>
        <v>2.1416400000000002</v>
      </c>
      <c r="G4592" t="s">
        <v>16</v>
      </c>
      <c r="J4592" t="str">
        <f>"04/26/2014 23:45"</f>
        <v>04/26/2014 23:45</v>
      </c>
    </row>
    <row r="4593" spans="1:10" x14ac:dyDescent="0.3">
      <c r="A4593" t="s">
        <v>6</v>
      </c>
      <c r="B4593" t="str">
        <f>"04/27/2014 00:00"</f>
        <v>04/27/2014 00:00</v>
      </c>
      <c r="C4593">
        <v>1.08</v>
      </c>
      <c r="D4593" t="s">
        <v>7</v>
      </c>
      <c r="E4593" s="2" t="s">
        <v>12</v>
      </c>
      <c r="F4593">
        <f t="shared" si="71"/>
        <v>2.1416400000000002</v>
      </c>
      <c r="G4593" t="s">
        <v>16</v>
      </c>
      <c r="J4593" t="str">
        <f>"04/27/2014 23:45"</f>
        <v>04/27/2014 23:45</v>
      </c>
    </row>
    <row r="4594" spans="1:10" x14ac:dyDescent="0.3">
      <c r="A4594" t="s">
        <v>6</v>
      </c>
      <c r="B4594" t="str">
        <f>"04/28/2014 00:00"</f>
        <v>04/28/2014 00:00</v>
      </c>
      <c r="C4594">
        <v>1.08</v>
      </c>
      <c r="D4594" t="s">
        <v>7</v>
      </c>
      <c r="E4594" s="2" t="s">
        <v>12</v>
      </c>
      <c r="F4594">
        <f t="shared" si="71"/>
        <v>2.1416400000000002</v>
      </c>
      <c r="G4594" t="s">
        <v>16</v>
      </c>
      <c r="J4594" t="str">
        <f>"04/28/2014 23:45"</f>
        <v>04/28/2014 23:45</v>
      </c>
    </row>
    <row r="4595" spans="1:10" x14ac:dyDescent="0.3">
      <c r="A4595" t="s">
        <v>6</v>
      </c>
      <c r="B4595" t="str">
        <f>"04/29/2014 00:00"</f>
        <v>04/29/2014 00:00</v>
      </c>
      <c r="C4595">
        <v>1.08</v>
      </c>
      <c r="D4595" t="s">
        <v>7</v>
      </c>
      <c r="E4595" s="2" t="s">
        <v>12</v>
      </c>
      <c r="F4595">
        <f t="shared" si="71"/>
        <v>2.1416400000000002</v>
      </c>
      <c r="G4595" t="s">
        <v>16</v>
      </c>
      <c r="J4595" t="str">
        <f>"04/29/2014 23:45"</f>
        <v>04/29/2014 23:45</v>
      </c>
    </row>
    <row r="4596" spans="1:10" x14ac:dyDescent="0.3">
      <c r="A4596" t="s">
        <v>6</v>
      </c>
      <c r="B4596" t="str">
        <f>"04/30/2014 00:00"</f>
        <v>04/30/2014 00:00</v>
      </c>
      <c r="C4596">
        <v>1.08</v>
      </c>
      <c r="D4596" t="s">
        <v>7</v>
      </c>
      <c r="E4596" s="2" t="s">
        <v>12</v>
      </c>
      <c r="F4596">
        <f t="shared" si="71"/>
        <v>2.1416400000000002</v>
      </c>
      <c r="G4596" t="s">
        <v>16</v>
      </c>
      <c r="J4596" t="str">
        <f>"04/30/2014 23:45"</f>
        <v>04/30/2014 23:45</v>
      </c>
    </row>
    <row r="4597" spans="1:10" x14ac:dyDescent="0.3">
      <c r="A4597" t="s">
        <v>6</v>
      </c>
      <c r="B4597" t="str">
        <f>"05/01/2014 00:00"</f>
        <v>05/01/2014 00:00</v>
      </c>
      <c r="C4597">
        <v>1.08</v>
      </c>
      <c r="D4597" t="s">
        <v>7</v>
      </c>
      <c r="E4597" s="2" t="s">
        <v>12</v>
      </c>
      <c r="F4597">
        <f t="shared" si="71"/>
        <v>2.1416400000000002</v>
      </c>
      <c r="G4597" t="s">
        <v>16</v>
      </c>
      <c r="J4597" t="str">
        <f>"05/01/2014 23:45"</f>
        <v>05/01/2014 23:45</v>
      </c>
    </row>
    <row r="4598" spans="1:10" x14ac:dyDescent="0.3">
      <c r="A4598" t="s">
        <v>6</v>
      </c>
      <c r="B4598" t="str">
        <f>"05/02/2014 00:00"</f>
        <v>05/02/2014 00:00</v>
      </c>
      <c r="C4598">
        <v>1.08</v>
      </c>
      <c r="D4598" t="s">
        <v>7</v>
      </c>
      <c r="E4598" s="2" t="s">
        <v>12</v>
      </c>
      <c r="F4598">
        <f t="shared" si="71"/>
        <v>2.1416400000000002</v>
      </c>
      <c r="G4598" t="s">
        <v>16</v>
      </c>
      <c r="J4598" t="str">
        <f>"05/02/2014 23:45"</f>
        <v>05/02/2014 23:45</v>
      </c>
    </row>
    <row r="4599" spans="1:10" x14ac:dyDescent="0.3">
      <c r="A4599" t="s">
        <v>6</v>
      </c>
      <c r="B4599" t="str">
        <f>"05/03/2014 00:00"</f>
        <v>05/03/2014 00:00</v>
      </c>
      <c r="C4599">
        <v>1.08</v>
      </c>
      <c r="D4599" t="s">
        <v>7</v>
      </c>
      <c r="E4599" s="2" t="s">
        <v>12</v>
      </c>
      <c r="F4599">
        <f t="shared" si="71"/>
        <v>2.1416400000000002</v>
      </c>
      <c r="G4599" t="s">
        <v>16</v>
      </c>
      <c r="J4599" t="str">
        <f>"05/03/2014 23:45"</f>
        <v>05/03/2014 23:45</v>
      </c>
    </row>
    <row r="4600" spans="1:10" x14ac:dyDescent="0.3">
      <c r="A4600" t="s">
        <v>6</v>
      </c>
      <c r="B4600" t="str">
        <f>"05/04/2014 00:00"</f>
        <v>05/04/2014 00:00</v>
      </c>
      <c r="C4600">
        <v>1.08</v>
      </c>
      <c r="D4600" t="s">
        <v>7</v>
      </c>
      <c r="E4600" s="2" t="s">
        <v>12</v>
      </c>
      <c r="F4600">
        <f t="shared" si="71"/>
        <v>2.1416400000000002</v>
      </c>
      <c r="G4600" t="s">
        <v>16</v>
      </c>
      <c r="J4600" t="str">
        <f>"05/04/2014 23:45"</f>
        <v>05/04/2014 23:45</v>
      </c>
    </row>
    <row r="4601" spans="1:10" x14ac:dyDescent="0.3">
      <c r="A4601" t="s">
        <v>6</v>
      </c>
      <c r="B4601" t="str">
        <f>"05/05/2014 00:00"</f>
        <v>05/05/2014 00:00</v>
      </c>
      <c r="C4601">
        <v>1.08</v>
      </c>
      <c r="D4601" t="s">
        <v>7</v>
      </c>
      <c r="E4601" s="2" t="s">
        <v>12</v>
      </c>
      <c r="F4601">
        <f t="shared" si="71"/>
        <v>2.1416400000000002</v>
      </c>
      <c r="G4601" t="s">
        <v>16</v>
      </c>
      <c r="J4601" t="str">
        <f>"05/05/2014 23:45"</f>
        <v>05/05/2014 23:45</v>
      </c>
    </row>
    <row r="4602" spans="1:10" x14ac:dyDescent="0.3">
      <c r="A4602" t="s">
        <v>6</v>
      </c>
      <c r="B4602" t="str">
        <f>"05/06/2014 00:00"</f>
        <v>05/06/2014 00:00</v>
      </c>
      <c r="C4602">
        <v>1.08</v>
      </c>
      <c r="D4602" t="s">
        <v>7</v>
      </c>
      <c r="E4602" s="2" t="s">
        <v>12</v>
      </c>
      <c r="F4602">
        <f t="shared" si="71"/>
        <v>2.1416400000000002</v>
      </c>
      <c r="G4602" t="s">
        <v>16</v>
      </c>
      <c r="J4602" t="str">
        <f>"05/06/2014 23:45"</f>
        <v>05/06/2014 23:45</v>
      </c>
    </row>
    <row r="4603" spans="1:10" x14ac:dyDescent="0.3">
      <c r="A4603" t="s">
        <v>6</v>
      </c>
      <c r="B4603" t="str">
        <f>"05/07/2014 00:00"</f>
        <v>05/07/2014 00:00</v>
      </c>
      <c r="C4603">
        <v>1.08</v>
      </c>
      <c r="D4603" t="s">
        <v>7</v>
      </c>
      <c r="E4603" s="2" t="s">
        <v>12</v>
      </c>
      <c r="F4603">
        <f t="shared" si="71"/>
        <v>2.1416400000000002</v>
      </c>
      <c r="G4603" t="s">
        <v>16</v>
      </c>
      <c r="J4603" t="str">
        <f>"05/07/2014 23:45"</f>
        <v>05/07/2014 23:45</v>
      </c>
    </row>
    <row r="4604" spans="1:10" x14ac:dyDescent="0.3">
      <c r="A4604" t="s">
        <v>6</v>
      </c>
      <c r="B4604" t="str">
        <f>"05/08/2014 00:00"</f>
        <v>05/08/2014 00:00</v>
      </c>
      <c r="C4604">
        <v>1.08</v>
      </c>
      <c r="D4604" t="s">
        <v>7</v>
      </c>
      <c r="E4604" s="2" t="s">
        <v>12</v>
      </c>
      <c r="F4604">
        <f t="shared" si="71"/>
        <v>2.1416400000000002</v>
      </c>
      <c r="G4604" t="s">
        <v>16</v>
      </c>
      <c r="J4604" t="str">
        <f>"05/08/2014 23:45"</f>
        <v>05/08/2014 23:45</v>
      </c>
    </row>
    <row r="4605" spans="1:10" x14ac:dyDescent="0.3">
      <c r="A4605" t="s">
        <v>6</v>
      </c>
      <c r="B4605" t="str">
        <f>"05/09/2014 00:00"</f>
        <v>05/09/2014 00:00</v>
      </c>
      <c r="C4605">
        <v>1.08</v>
      </c>
      <c r="D4605" t="s">
        <v>7</v>
      </c>
      <c r="E4605" s="2" t="s">
        <v>12</v>
      </c>
      <c r="F4605">
        <f t="shared" si="71"/>
        <v>2.1416400000000002</v>
      </c>
      <c r="G4605" t="s">
        <v>16</v>
      </c>
      <c r="J4605" t="str">
        <f>"05/09/2014 23:45"</f>
        <v>05/09/2014 23:45</v>
      </c>
    </row>
    <row r="4606" spans="1:10" x14ac:dyDescent="0.3">
      <c r="A4606" t="s">
        <v>6</v>
      </c>
      <c r="B4606" t="str">
        <f>"05/10/2014 00:00"</f>
        <v>05/10/2014 00:00</v>
      </c>
      <c r="C4606">
        <v>1.08</v>
      </c>
      <c r="D4606" t="s">
        <v>7</v>
      </c>
      <c r="E4606" s="2" t="s">
        <v>12</v>
      </c>
      <c r="F4606">
        <f t="shared" si="71"/>
        <v>2.1416400000000002</v>
      </c>
      <c r="G4606" t="s">
        <v>16</v>
      </c>
      <c r="J4606" t="str">
        <f>"05/10/2014 23:45"</f>
        <v>05/10/2014 23:45</v>
      </c>
    </row>
    <row r="4607" spans="1:10" x14ac:dyDescent="0.3">
      <c r="A4607" t="s">
        <v>6</v>
      </c>
      <c r="B4607" t="str">
        <f>"05/11/2014 00:00"</f>
        <v>05/11/2014 00:00</v>
      </c>
      <c r="C4607">
        <v>1.08</v>
      </c>
      <c r="D4607" t="s">
        <v>7</v>
      </c>
      <c r="E4607" s="2" t="s">
        <v>12</v>
      </c>
      <c r="F4607">
        <f t="shared" si="71"/>
        <v>2.1416400000000002</v>
      </c>
      <c r="G4607" t="s">
        <v>16</v>
      </c>
      <c r="J4607" t="str">
        <f>"05/11/2014 23:45"</f>
        <v>05/11/2014 23:45</v>
      </c>
    </row>
    <row r="4608" spans="1:10" x14ac:dyDescent="0.3">
      <c r="A4608" t="s">
        <v>6</v>
      </c>
      <c r="B4608" t="str">
        <f>"05/12/2014 00:00"</f>
        <v>05/12/2014 00:00</v>
      </c>
      <c r="C4608">
        <v>1.08</v>
      </c>
      <c r="D4608" t="s">
        <v>7</v>
      </c>
      <c r="E4608" s="2" t="s">
        <v>12</v>
      </c>
      <c r="F4608">
        <f t="shared" si="71"/>
        <v>2.1416400000000002</v>
      </c>
      <c r="G4608" t="s">
        <v>16</v>
      </c>
      <c r="J4608" t="str">
        <f>"05/12/2014 23:45"</f>
        <v>05/12/2014 23:45</v>
      </c>
    </row>
    <row r="4609" spans="1:10" x14ac:dyDescent="0.3">
      <c r="A4609" t="s">
        <v>6</v>
      </c>
      <c r="B4609" t="str">
        <f>"05/13/2014 00:00"</f>
        <v>05/13/2014 00:00</v>
      </c>
      <c r="C4609">
        <v>1.08</v>
      </c>
      <c r="D4609" t="s">
        <v>7</v>
      </c>
      <c r="E4609" s="2" t="s">
        <v>12</v>
      </c>
      <c r="F4609">
        <f t="shared" si="71"/>
        <v>2.1416400000000002</v>
      </c>
      <c r="G4609" t="s">
        <v>16</v>
      </c>
      <c r="J4609" t="str">
        <f>"05/13/2014 23:45"</f>
        <v>05/13/2014 23:45</v>
      </c>
    </row>
    <row r="4610" spans="1:10" x14ac:dyDescent="0.3">
      <c r="A4610" t="s">
        <v>6</v>
      </c>
      <c r="B4610" t="str">
        <f>"05/14/2014 00:00"</f>
        <v>05/14/2014 00:00</v>
      </c>
      <c r="C4610">
        <v>1.08</v>
      </c>
      <c r="D4610" t="s">
        <v>7</v>
      </c>
      <c r="E4610" s="2" t="s">
        <v>12</v>
      </c>
      <c r="F4610">
        <f t="shared" si="71"/>
        <v>2.1416400000000002</v>
      </c>
      <c r="G4610" t="s">
        <v>16</v>
      </c>
      <c r="J4610" t="str">
        <f>"05/14/2014 23:45"</f>
        <v>05/14/2014 23:45</v>
      </c>
    </row>
    <row r="4611" spans="1:10" x14ac:dyDescent="0.3">
      <c r="A4611" t="s">
        <v>6</v>
      </c>
      <c r="B4611" t="str">
        <f>"05/15/2014 00:00"</f>
        <v>05/15/2014 00:00</v>
      </c>
      <c r="C4611">
        <v>0.97299999999999998</v>
      </c>
      <c r="D4611" t="s">
        <v>7</v>
      </c>
      <c r="E4611" s="2" t="s">
        <v>12</v>
      </c>
      <c r="F4611">
        <f t="shared" si="71"/>
        <v>1.929459</v>
      </c>
      <c r="G4611" t="s">
        <v>16</v>
      </c>
      <c r="J4611" t="str">
        <f>"05/15/2014 23:45"</f>
        <v>05/15/2014 23:45</v>
      </c>
    </row>
    <row r="4612" spans="1:10" x14ac:dyDescent="0.3">
      <c r="A4612" t="s">
        <v>6</v>
      </c>
      <c r="B4612" t="str">
        <f>"05/16/2014 00:00"</f>
        <v>05/16/2014 00:00</v>
      </c>
      <c r="C4612">
        <v>0.84599999999999997</v>
      </c>
      <c r="D4612" t="s">
        <v>7</v>
      </c>
      <c r="E4612" s="2" t="s">
        <v>12</v>
      </c>
      <c r="F4612">
        <f t="shared" ref="F4612:F4675" si="72">C4612*1.983</f>
        <v>1.6776180000000001</v>
      </c>
      <c r="G4612" t="s">
        <v>16</v>
      </c>
      <c r="J4612" t="str">
        <f>"05/16/2014 23:45"</f>
        <v>05/16/2014 23:45</v>
      </c>
    </row>
    <row r="4613" spans="1:10" x14ac:dyDescent="0.3">
      <c r="A4613" t="s">
        <v>6</v>
      </c>
      <c r="B4613" t="str">
        <f>"05/17/2014 00:00"</f>
        <v>05/17/2014 00:00</v>
      </c>
      <c r="C4613">
        <v>0.84599999999999997</v>
      </c>
      <c r="D4613" t="s">
        <v>7</v>
      </c>
      <c r="E4613" s="2" t="s">
        <v>12</v>
      </c>
      <c r="F4613">
        <f t="shared" si="72"/>
        <v>1.6776180000000001</v>
      </c>
      <c r="G4613" t="s">
        <v>16</v>
      </c>
      <c r="J4613" t="str">
        <f>"05/17/2014 23:45"</f>
        <v>05/17/2014 23:45</v>
      </c>
    </row>
    <row r="4614" spans="1:10" x14ac:dyDescent="0.3">
      <c r="A4614" t="s">
        <v>6</v>
      </c>
      <c r="B4614" t="str">
        <f>"05/18/2014 00:00"</f>
        <v>05/18/2014 00:00</v>
      </c>
      <c r="C4614">
        <v>0.84599999999999997</v>
      </c>
      <c r="D4614" t="s">
        <v>7</v>
      </c>
      <c r="E4614" s="2" t="s">
        <v>12</v>
      </c>
      <c r="F4614">
        <f t="shared" si="72"/>
        <v>1.6776180000000001</v>
      </c>
      <c r="G4614" t="s">
        <v>16</v>
      </c>
      <c r="J4614" t="str">
        <f>"05/18/2014 23:45"</f>
        <v>05/18/2014 23:45</v>
      </c>
    </row>
    <row r="4615" spans="1:10" x14ac:dyDescent="0.3">
      <c r="A4615" t="s">
        <v>6</v>
      </c>
      <c r="B4615" t="str">
        <f>"05/19/2014 00:00"</f>
        <v>05/19/2014 00:00</v>
      </c>
      <c r="C4615">
        <v>0.84599999999999997</v>
      </c>
      <c r="D4615" t="s">
        <v>7</v>
      </c>
      <c r="E4615" s="2" t="s">
        <v>12</v>
      </c>
      <c r="F4615">
        <f t="shared" si="72"/>
        <v>1.6776180000000001</v>
      </c>
      <c r="G4615" t="s">
        <v>16</v>
      </c>
      <c r="J4615" t="str">
        <f>"05/19/2014 23:45"</f>
        <v>05/19/2014 23:45</v>
      </c>
    </row>
    <row r="4616" spans="1:10" x14ac:dyDescent="0.3">
      <c r="A4616" t="s">
        <v>6</v>
      </c>
      <c r="B4616" t="str">
        <f>"05/20/2014 00:00"</f>
        <v>05/20/2014 00:00</v>
      </c>
      <c r="C4616">
        <v>0.84599999999999997</v>
      </c>
      <c r="D4616" t="s">
        <v>7</v>
      </c>
      <c r="E4616" s="2" t="s">
        <v>12</v>
      </c>
      <c r="F4616">
        <f t="shared" si="72"/>
        <v>1.6776180000000001</v>
      </c>
      <c r="G4616" t="s">
        <v>16</v>
      </c>
      <c r="J4616" t="str">
        <f>"05/20/2014 23:45"</f>
        <v>05/20/2014 23:45</v>
      </c>
    </row>
    <row r="4617" spans="1:10" x14ac:dyDescent="0.3">
      <c r="A4617" t="s">
        <v>6</v>
      </c>
      <c r="B4617" t="str">
        <f>"05/21/2014 00:00"</f>
        <v>05/21/2014 00:00</v>
      </c>
      <c r="C4617">
        <v>0.84599999999999997</v>
      </c>
      <c r="D4617" t="s">
        <v>7</v>
      </c>
      <c r="E4617" s="2" t="s">
        <v>12</v>
      </c>
      <c r="F4617">
        <f t="shared" si="72"/>
        <v>1.6776180000000001</v>
      </c>
      <c r="G4617" t="s">
        <v>16</v>
      </c>
      <c r="J4617" t="str">
        <f>"05/21/2014 23:45"</f>
        <v>05/21/2014 23:45</v>
      </c>
    </row>
    <row r="4618" spans="1:10" x14ac:dyDescent="0.3">
      <c r="A4618" t="s">
        <v>6</v>
      </c>
      <c r="B4618" t="str">
        <f>"05/22/2014 00:00"</f>
        <v>05/22/2014 00:00</v>
      </c>
      <c r="C4618">
        <v>0.84599999999999997</v>
      </c>
      <c r="D4618" t="s">
        <v>7</v>
      </c>
      <c r="E4618" s="2" t="s">
        <v>12</v>
      </c>
      <c r="F4618">
        <f t="shared" si="72"/>
        <v>1.6776180000000001</v>
      </c>
      <c r="G4618" t="s">
        <v>16</v>
      </c>
      <c r="J4618" t="str">
        <f>"05/22/2014 23:45"</f>
        <v>05/22/2014 23:45</v>
      </c>
    </row>
    <row r="4619" spans="1:10" x14ac:dyDescent="0.3">
      <c r="A4619" t="s">
        <v>6</v>
      </c>
      <c r="B4619" t="str">
        <f>"05/23/2014 00:00"</f>
        <v>05/23/2014 00:00</v>
      </c>
      <c r="C4619">
        <v>0.84599999999999997</v>
      </c>
      <c r="D4619" t="s">
        <v>7</v>
      </c>
      <c r="E4619" s="2" t="s">
        <v>12</v>
      </c>
      <c r="F4619">
        <f t="shared" si="72"/>
        <v>1.6776180000000001</v>
      </c>
      <c r="G4619" t="s">
        <v>16</v>
      </c>
      <c r="J4619" t="str">
        <f>"05/23/2014 23:45"</f>
        <v>05/23/2014 23:45</v>
      </c>
    </row>
    <row r="4620" spans="1:10" x14ac:dyDescent="0.3">
      <c r="A4620" t="s">
        <v>6</v>
      </c>
      <c r="B4620" t="str">
        <f>"05/24/2014 00:00"</f>
        <v>05/24/2014 00:00</v>
      </c>
      <c r="C4620">
        <v>0.86599999999999999</v>
      </c>
      <c r="D4620" t="s">
        <v>7</v>
      </c>
      <c r="E4620" s="2" t="s">
        <v>12</v>
      </c>
      <c r="F4620">
        <f t="shared" si="72"/>
        <v>1.7172780000000001</v>
      </c>
      <c r="G4620" t="s">
        <v>16</v>
      </c>
      <c r="J4620" t="str">
        <f>"05/24/2014 23:45"</f>
        <v>05/24/2014 23:45</v>
      </c>
    </row>
    <row r="4621" spans="1:10" x14ac:dyDescent="0.3">
      <c r="A4621" t="s">
        <v>6</v>
      </c>
      <c r="B4621" t="str">
        <f>"05/25/2014 00:00"</f>
        <v>05/25/2014 00:00</v>
      </c>
      <c r="C4621">
        <v>1.05</v>
      </c>
      <c r="D4621" t="s">
        <v>7</v>
      </c>
      <c r="E4621" s="2" t="s">
        <v>12</v>
      </c>
      <c r="F4621">
        <f t="shared" si="72"/>
        <v>2.0821500000000004</v>
      </c>
      <c r="G4621" t="s">
        <v>16</v>
      </c>
      <c r="J4621" t="str">
        <f>"05/25/2014 23:45"</f>
        <v>05/25/2014 23:45</v>
      </c>
    </row>
    <row r="4622" spans="1:10" x14ac:dyDescent="0.3">
      <c r="A4622" t="s">
        <v>6</v>
      </c>
      <c r="B4622" t="str">
        <f>"05/26/2014 00:00"</f>
        <v>05/26/2014 00:00</v>
      </c>
      <c r="C4622">
        <v>0.92200000000000004</v>
      </c>
      <c r="D4622" t="s">
        <v>7</v>
      </c>
      <c r="E4622" s="2" t="s">
        <v>12</v>
      </c>
      <c r="F4622">
        <f t="shared" si="72"/>
        <v>1.8283260000000001</v>
      </c>
      <c r="G4622" t="s">
        <v>16</v>
      </c>
      <c r="J4622" t="str">
        <f>"05/26/2014 23:45"</f>
        <v>05/26/2014 23:45</v>
      </c>
    </row>
    <row r="4623" spans="1:10" x14ac:dyDescent="0.3">
      <c r="A4623" t="s">
        <v>6</v>
      </c>
      <c r="B4623" t="str">
        <f>"05/27/2014 00:00"</f>
        <v>05/27/2014 00:00</v>
      </c>
      <c r="C4623">
        <v>0.84599999999999997</v>
      </c>
      <c r="D4623" t="s">
        <v>7</v>
      </c>
      <c r="E4623" s="2" t="s">
        <v>12</v>
      </c>
      <c r="F4623">
        <f t="shared" si="72"/>
        <v>1.6776180000000001</v>
      </c>
      <c r="G4623" t="s">
        <v>16</v>
      </c>
      <c r="J4623" t="str">
        <f>"05/27/2014 23:45"</f>
        <v>05/27/2014 23:45</v>
      </c>
    </row>
    <row r="4624" spans="1:10" x14ac:dyDescent="0.3">
      <c r="A4624" t="s">
        <v>6</v>
      </c>
      <c r="B4624" t="str">
        <f>"05/28/2014 00:00"</f>
        <v>05/28/2014 00:00</v>
      </c>
      <c r="C4624">
        <v>0.84599999999999997</v>
      </c>
      <c r="D4624" t="s">
        <v>7</v>
      </c>
      <c r="E4624" s="2" t="s">
        <v>12</v>
      </c>
      <c r="F4624">
        <f t="shared" si="72"/>
        <v>1.6776180000000001</v>
      </c>
      <c r="G4624" t="s">
        <v>16</v>
      </c>
      <c r="J4624" t="str">
        <f>"05/28/2014 23:45"</f>
        <v>05/28/2014 23:45</v>
      </c>
    </row>
    <row r="4625" spans="1:10" x14ac:dyDescent="0.3">
      <c r="A4625" t="s">
        <v>6</v>
      </c>
      <c r="B4625" t="str">
        <f>"05/29/2014 00:00"</f>
        <v>05/29/2014 00:00</v>
      </c>
      <c r="C4625">
        <v>0.94599999999999995</v>
      </c>
      <c r="D4625" t="s">
        <v>7</v>
      </c>
      <c r="E4625" s="2" t="s">
        <v>12</v>
      </c>
      <c r="F4625">
        <f t="shared" si="72"/>
        <v>1.875918</v>
      </c>
      <c r="G4625" t="s">
        <v>16</v>
      </c>
      <c r="J4625" t="str">
        <f>"05/29/2014 23:45"</f>
        <v>05/29/2014 23:45</v>
      </c>
    </row>
    <row r="4626" spans="1:10" x14ac:dyDescent="0.3">
      <c r="A4626" t="s">
        <v>6</v>
      </c>
      <c r="B4626" t="str">
        <f>"05/30/2014 00:00"</f>
        <v>05/30/2014 00:00</v>
      </c>
      <c r="C4626">
        <v>1.08</v>
      </c>
      <c r="D4626" t="s">
        <v>7</v>
      </c>
      <c r="E4626" s="2" t="s">
        <v>12</v>
      </c>
      <c r="F4626">
        <f t="shared" si="72"/>
        <v>2.1416400000000002</v>
      </c>
      <c r="G4626" t="s">
        <v>16</v>
      </c>
      <c r="J4626" t="str">
        <f>"05/30/2014 23:45"</f>
        <v>05/30/2014 23:45</v>
      </c>
    </row>
    <row r="4627" spans="1:10" x14ac:dyDescent="0.3">
      <c r="A4627" t="s">
        <v>6</v>
      </c>
      <c r="B4627" t="str">
        <f>"05/31/2014 00:00"</f>
        <v>05/31/2014 00:00</v>
      </c>
      <c r="C4627">
        <v>1.08</v>
      </c>
      <c r="D4627" t="s">
        <v>7</v>
      </c>
      <c r="E4627" s="2" t="s">
        <v>12</v>
      </c>
      <c r="F4627">
        <f t="shared" si="72"/>
        <v>2.1416400000000002</v>
      </c>
      <c r="G4627" t="s">
        <v>16</v>
      </c>
      <c r="J4627" t="str">
        <f>"05/31/2014 23:45"</f>
        <v>05/31/2014 23:45</v>
      </c>
    </row>
    <row r="4628" spans="1:10" x14ac:dyDescent="0.3">
      <c r="A4628" t="s">
        <v>6</v>
      </c>
      <c r="B4628" t="str">
        <f>"06/01/2014 00:00"</f>
        <v>06/01/2014 00:00</v>
      </c>
      <c r="C4628">
        <v>1.04</v>
      </c>
      <c r="D4628" t="s">
        <v>7</v>
      </c>
      <c r="E4628" s="2" t="s">
        <v>12</v>
      </c>
      <c r="F4628">
        <f t="shared" si="72"/>
        <v>2.0623200000000002</v>
      </c>
      <c r="G4628" t="s">
        <v>16</v>
      </c>
      <c r="J4628" t="str">
        <f>"06/01/2014 23:45"</f>
        <v>06/01/2014 23:45</v>
      </c>
    </row>
    <row r="4629" spans="1:10" x14ac:dyDescent="0.3">
      <c r="A4629" t="s">
        <v>6</v>
      </c>
      <c r="B4629" t="str">
        <f>"06/02/2014 00:00"</f>
        <v>06/02/2014 00:00</v>
      </c>
      <c r="C4629">
        <v>0.94099999999999995</v>
      </c>
      <c r="D4629" t="s">
        <v>7</v>
      </c>
      <c r="E4629" s="2" t="s">
        <v>12</v>
      </c>
      <c r="F4629">
        <f t="shared" si="72"/>
        <v>1.8660030000000001</v>
      </c>
      <c r="G4629" t="s">
        <v>16</v>
      </c>
      <c r="J4629" t="str">
        <f>"06/02/2014 23:45"</f>
        <v>06/02/2014 23:45</v>
      </c>
    </row>
    <row r="4630" spans="1:10" x14ac:dyDescent="0.3">
      <c r="A4630" t="s">
        <v>6</v>
      </c>
      <c r="B4630" t="str">
        <f>"06/03/2014 00:00"</f>
        <v>06/03/2014 00:00</v>
      </c>
      <c r="C4630">
        <v>0.89500000000000002</v>
      </c>
      <c r="D4630" t="s">
        <v>7</v>
      </c>
      <c r="E4630" s="2" t="s">
        <v>12</v>
      </c>
      <c r="F4630">
        <f t="shared" si="72"/>
        <v>1.7747850000000001</v>
      </c>
      <c r="G4630" t="s">
        <v>16</v>
      </c>
      <c r="J4630" t="str">
        <f>"06/03/2014 23:45"</f>
        <v>06/03/2014 23:45</v>
      </c>
    </row>
    <row r="4631" spans="1:10" x14ac:dyDescent="0.3">
      <c r="A4631" t="s">
        <v>6</v>
      </c>
      <c r="B4631" t="str">
        <f>"06/04/2014 00:00"</f>
        <v>06/04/2014 00:00</v>
      </c>
      <c r="C4631">
        <v>0.84599999999999997</v>
      </c>
      <c r="D4631" t="s">
        <v>7</v>
      </c>
      <c r="E4631" s="2" t="s">
        <v>12</v>
      </c>
      <c r="F4631">
        <f t="shared" si="72"/>
        <v>1.6776180000000001</v>
      </c>
      <c r="G4631" t="s">
        <v>16</v>
      </c>
      <c r="J4631" t="str">
        <f>"06/04/2014 23:45"</f>
        <v>06/04/2014 23:45</v>
      </c>
    </row>
    <row r="4632" spans="1:10" x14ac:dyDescent="0.3">
      <c r="A4632" t="s">
        <v>6</v>
      </c>
      <c r="B4632" t="str">
        <f>"06/05/2014 00:00"</f>
        <v>06/05/2014 00:00</v>
      </c>
      <c r="C4632">
        <v>0.84599999999999997</v>
      </c>
      <c r="D4632" t="s">
        <v>7</v>
      </c>
      <c r="E4632" s="2" t="s">
        <v>12</v>
      </c>
      <c r="F4632">
        <f t="shared" si="72"/>
        <v>1.6776180000000001</v>
      </c>
      <c r="G4632" t="s">
        <v>16</v>
      </c>
      <c r="J4632" t="str">
        <f>"06/05/2014 23:45"</f>
        <v>06/05/2014 23:45</v>
      </c>
    </row>
    <row r="4633" spans="1:10" x14ac:dyDescent="0.3">
      <c r="A4633" t="s">
        <v>6</v>
      </c>
      <c r="B4633" t="str">
        <f>"06/06/2014 00:00"</f>
        <v>06/06/2014 00:00</v>
      </c>
      <c r="C4633">
        <v>0.84599999999999997</v>
      </c>
      <c r="D4633" t="s">
        <v>7</v>
      </c>
      <c r="E4633" s="2" t="s">
        <v>12</v>
      </c>
      <c r="F4633">
        <f t="shared" si="72"/>
        <v>1.6776180000000001</v>
      </c>
      <c r="G4633" t="s">
        <v>16</v>
      </c>
      <c r="J4633" t="str">
        <f>"06/06/2014 23:45"</f>
        <v>06/06/2014 23:45</v>
      </c>
    </row>
    <row r="4634" spans="1:10" x14ac:dyDescent="0.3">
      <c r="A4634" t="s">
        <v>6</v>
      </c>
      <c r="B4634" t="str">
        <f>"06/07/2014 00:00"</f>
        <v>06/07/2014 00:00</v>
      </c>
      <c r="C4634">
        <v>0.84599999999999997</v>
      </c>
      <c r="D4634" t="s">
        <v>7</v>
      </c>
      <c r="E4634" s="2" t="s">
        <v>12</v>
      </c>
      <c r="F4634">
        <f t="shared" si="72"/>
        <v>1.6776180000000001</v>
      </c>
      <c r="G4634" t="s">
        <v>16</v>
      </c>
      <c r="J4634" t="str">
        <f>"06/07/2014 23:45"</f>
        <v>06/07/2014 23:45</v>
      </c>
    </row>
    <row r="4635" spans="1:10" x14ac:dyDescent="0.3">
      <c r="A4635" t="s">
        <v>6</v>
      </c>
      <c r="B4635" t="str">
        <f>"06/08/2014 00:00"</f>
        <v>06/08/2014 00:00</v>
      </c>
      <c r="C4635">
        <v>0.84599999999999997</v>
      </c>
      <c r="D4635" t="s">
        <v>7</v>
      </c>
      <c r="E4635" s="2" t="s">
        <v>12</v>
      </c>
      <c r="F4635">
        <f t="shared" si="72"/>
        <v>1.6776180000000001</v>
      </c>
      <c r="G4635" t="s">
        <v>16</v>
      </c>
      <c r="J4635" t="str">
        <f>"06/08/2014 23:45"</f>
        <v>06/08/2014 23:45</v>
      </c>
    </row>
    <row r="4636" spans="1:10" x14ac:dyDescent="0.3">
      <c r="A4636" t="s">
        <v>6</v>
      </c>
      <c r="B4636" t="str">
        <f>"06/09/2014 00:00"</f>
        <v>06/09/2014 00:00</v>
      </c>
      <c r="C4636">
        <v>0.84599999999999997</v>
      </c>
      <c r="D4636" t="s">
        <v>7</v>
      </c>
      <c r="E4636" s="2" t="s">
        <v>12</v>
      </c>
      <c r="F4636">
        <f t="shared" si="72"/>
        <v>1.6776180000000001</v>
      </c>
      <c r="G4636" t="s">
        <v>16</v>
      </c>
      <c r="J4636" t="str">
        <f>"06/09/2014 23:45"</f>
        <v>06/09/2014 23:45</v>
      </c>
    </row>
    <row r="4637" spans="1:10" x14ac:dyDescent="0.3">
      <c r="A4637" t="s">
        <v>6</v>
      </c>
      <c r="B4637" t="str">
        <f>"06/10/2014 00:00"</f>
        <v>06/10/2014 00:00</v>
      </c>
      <c r="C4637">
        <v>0.84599999999999997</v>
      </c>
      <c r="D4637" t="s">
        <v>7</v>
      </c>
      <c r="E4637" s="2" t="s">
        <v>12</v>
      </c>
      <c r="F4637">
        <f t="shared" si="72"/>
        <v>1.6776180000000001</v>
      </c>
      <c r="G4637" t="s">
        <v>16</v>
      </c>
      <c r="J4637" t="str">
        <f>"06/10/2014 23:45"</f>
        <v>06/10/2014 23:45</v>
      </c>
    </row>
    <row r="4638" spans="1:10" x14ac:dyDescent="0.3">
      <c r="A4638" t="s">
        <v>6</v>
      </c>
      <c r="B4638" t="str">
        <f>"06/11/2014 00:00"</f>
        <v>06/11/2014 00:00</v>
      </c>
      <c r="C4638">
        <v>0.84599999999999997</v>
      </c>
      <c r="D4638" t="s">
        <v>7</v>
      </c>
      <c r="E4638" s="2" t="s">
        <v>12</v>
      </c>
      <c r="F4638">
        <f t="shared" si="72"/>
        <v>1.6776180000000001</v>
      </c>
      <c r="G4638" t="s">
        <v>16</v>
      </c>
      <c r="J4638" t="str">
        <f>"06/11/2014 23:45"</f>
        <v>06/11/2014 23:45</v>
      </c>
    </row>
    <row r="4639" spans="1:10" x14ac:dyDescent="0.3">
      <c r="A4639" t="s">
        <v>6</v>
      </c>
      <c r="B4639" t="str">
        <f>"06/12/2014 00:00"</f>
        <v>06/12/2014 00:00</v>
      </c>
      <c r="C4639">
        <v>0.84599999999999997</v>
      </c>
      <c r="D4639" t="s">
        <v>7</v>
      </c>
      <c r="E4639" s="2" t="s">
        <v>12</v>
      </c>
      <c r="F4639">
        <f t="shared" si="72"/>
        <v>1.6776180000000001</v>
      </c>
      <c r="G4639" t="s">
        <v>16</v>
      </c>
      <c r="J4639" t="str">
        <f>"06/12/2014 23:45"</f>
        <v>06/12/2014 23:45</v>
      </c>
    </row>
    <row r="4640" spans="1:10" x14ac:dyDescent="0.3">
      <c r="A4640" t="s">
        <v>6</v>
      </c>
      <c r="B4640" t="str">
        <f>"06/13/2014 00:00"</f>
        <v>06/13/2014 00:00</v>
      </c>
      <c r="C4640">
        <v>0.84599999999999997</v>
      </c>
      <c r="D4640" t="s">
        <v>7</v>
      </c>
      <c r="E4640" s="2" t="s">
        <v>12</v>
      </c>
      <c r="F4640">
        <f t="shared" si="72"/>
        <v>1.6776180000000001</v>
      </c>
      <c r="G4640" t="s">
        <v>16</v>
      </c>
      <c r="J4640" t="str">
        <f>"06/13/2014 23:45"</f>
        <v>06/13/2014 23:45</v>
      </c>
    </row>
    <row r="4641" spans="1:10" x14ac:dyDescent="0.3">
      <c r="A4641" t="s">
        <v>6</v>
      </c>
      <c r="B4641" t="str">
        <f>"06/14/2014 00:00"</f>
        <v>06/14/2014 00:00</v>
      </c>
      <c r="C4641">
        <v>0.84599999999999997</v>
      </c>
      <c r="D4641" t="s">
        <v>7</v>
      </c>
      <c r="E4641" s="2" t="s">
        <v>12</v>
      </c>
      <c r="F4641">
        <f t="shared" si="72"/>
        <v>1.6776180000000001</v>
      </c>
      <c r="G4641" t="s">
        <v>16</v>
      </c>
      <c r="J4641" t="str">
        <f>"06/14/2014 23:45"</f>
        <v>06/14/2014 23:45</v>
      </c>
    </row>
    <row r="4642" spans="1:10" x14ac:dyDescent="0.3">
      <c r="A4642" t="s">
        <v>6</v>
      </c>
      <c r="B4642" t="str">
        <f>"06/15/2014 00:00"</f>
        <v>06/15/2014 00:00</v>
      </c>
      <c r="C4642">
        <v>0.84599999999999997</v>
      </c>
      <c r="D4642" t="s">
        <v>7</v>
      </c>
      <c r="E4642" s="2" t="s">
        <v>12</v>
      </c>
      <c r="F4642">
        <f t="shared" si="72"/>
        <v>1.6776180000000001</v>
      </c>
      <c r="G4642" t="s">
        <v>16</v>
      </c>
      <c r="J4642" t="str">
        <f>"06/15/2014 23:45"</f>
        <v>06/15/2014 23:45</v>
      </c>
    </row>
    <row r="4643" spans="1:10" x14ac:dyDescent="0.3">
      <c r="A4643" t="s">
        <v>6</v>
      </c>
      <c r="B4643" t="str">
        <f>"06/16/2014 00:00"</f>
        <v>06/16/2014 00:00</v>
      </c>
      <c r="C4643">
        <v>0.84599999999999997</v>
      </c>
      <c r="D4643" t="s">
        <v>7</v>
      </c>
      <c r="E4643" s="2" t="s">
        <v>12</v>
      </c>
      <c r="F4643">
        <f t="shared" si="72"/>
        <v>1.6776180000000001</v>
      </c>
      <c r="G4643" t="s">
        <v>16</v>
      </c>
      <c r="J4643" t="str">
        <f>"06/16/2014 23:45"</f>
        <v>06/16/2014 23:45</v>
      </c>
    </row>
    <row r="4644" spans="1:10" x14ac:dyDescent="0.3">
      <c r="A4644" t="s">
        <v>6</v>
      </c>
      <c r="B4644" t="str">
        <f>"06/17/2014 00:00"</f>
        <v>06/17/2014 00:00</v>
      </c>
      <c r="C4644">
        <v>0.84599999999999997</v>
      </c>
      <c r="D4644" t="s">
        <v>7</v>
      </c>
      <c r="E4644" s="2" t="s">
        <v>12</v>
      </c>
      <c r="F4644">
        <f t="shared" si="72"/>
        <v>1.6776180000000001</v>
      </c>
      <c r="G4644" t="s">
        <v>16</v>
      </c>
      <c r="J4644" t="str">
        <f>"06/17/2014 23:45"</f>
        <v>06/17/2014 23:45</v>
      </c>
    </row>
    <row r="4645" spans="1:10" x14ac:dyDescent="0.3">
      <c r="A4645" t="s">
        <v>6</v>
      </c>
      <c r="B4645" t="str">
        <f>"06/18/2014 00:00"</f>
        <v>06/18/2014 00:00</v>
      </c>
      <c r="C4645">
        <v>0.84599999999999997</v>
      </c>
      <c r="D4645" t="s">
        <v>7</v>
      </c>
      <c r="E4645" s="2" t="s">
        <v>12</v>
      </c>
      <c r="F4645">
        <f t="shared" si="72"/>
        <v>1.6776180000000001</v>
      </c>
      <c r="G4645" t="s">
        <v>16</v>
      </c>
      <c r="J4645" t="str">
        <f>"06/18/2014 23:45"</f>
        <v>06/18/2014 23:45</v>
      </c>
    </row>
    <row r="4646" spans="1:10" x14ac:dyDescent="0.3">
      <c r="A4646" t="s">
        <v>6</v>
      </c>
      <c r="B4646" t="str">
        <f>"06/19/2014 00:00"</f>
        <v>06/19/2014 00:00</v>
      </c>
      <c r="C4646">
        <v>0.71199999999999997</v>
      </c>
      <c r="D4646" t="s">
        <v>7</v>
      </c>
      <c r="E4646" s="2" t="s">
        <v>12</v>
      </c>
      <c r="F4646">
        <f t="shared" si="72"/>
        <v>1.411896</v>
      </c>
      <c r="G4646" t="s">
        <v>16</v>
      </c>
      <c r="J4646" t="str">
        <f>"06/19/2014 23:45"</f>
        <v>06/19/2014 23:45</v>
      </c>
    </row>
    <row r="4647" spans="1:10" x14ac:dyDescent="0.3">
      <c r="A4647" t="s">
        <v>6</v>
      </c>
      <c r="B4647" t="str">
        <f>"06/20/2014 00:00"</f>
        <v>06/20/2014 00:00</v>
      </c>
      <c r="C4647">
        <v>0.63200000000000001</v>
      </c>
      <c r="D4647" t="s">
        <v>7</v>
      </c>
      <c r="E4647" s="2" t="s">
        <v>12</v>
      </c>
      <c r="F4647">
        <f t="shared" si="72"/>
        <v>1.2532560000000001</v>
      </c>
      <c r="G4647" t="s">
        <v>16</v>
      </c>
      <c r="J4647" t="str">
        <f>"06/20/2014 23:45"</f>
        <v>06/20/2014 23:45</v>
      </c>
    </row>
    <row r="4648" spans="1:10" x14ac:dyDescent="0.3">
      <c r="A4648" t="s">
        <v>6</v>
      </c>
      <c r="B4648" t="str">
        <f>"06/21/2014 00:00"</f>
        <v>06/21/2014 00:00</v>
      </c>
      <c r="C4648">
        <v>0.63200000000000001</v>
      </c>
      <c r="D4648" t="s">
        <v>7</v>
      </c>
      <c r="E4648" s="2" t="s">
        <v>12</v>
      </c>
      <c r="F4648">
        <f t="shared" si="72"/>
        <v>1.2532560000000001</v>
      </c>
      <c r="G4648" t="s">
        <v>16</v>
      </c>
      <c r="J4648" t="str">
        <f>"06/21/2014 23:45"</f>
        <v>06/21/2014 23:45</v>
      </c>
    </row>
    <row r="4649" spans="1:10" x14ac:dyDescent="0.3">
      <c r="A4649" t="s">
        <v>6</v>
      </c>
      <c r="B4649" t="str">
        <f>"06/22/2014 00:00"</f>
        <v>06/22/2014 00:00</v>
      </c>
      <c r="C4649">
        <v>0.63200000000000001</v>
      </c>
      <c r="D4649" t="s">
        <v>7</v>
      </c>
      <c r="E4649" s="2" t="s">
        <v>12</v>
      </c>
      <c r="F4649">
        <f t="shared" si="72"/>
        <v>1.2532560000000001</v>
      </c>
      <c r="G4649" t="s">
        <v>16</v>
      </c>
      <c r="J4649" t="str">
        <f>"06/22/2014 23:45"</f>
        <v>06/22/2014 23:45</v>
      </c>
    </row>
    <row r="4650" spans="1:10" x14ac:dyDescent="0.3">
      <c r="A4650" t="s">
        <v>6</v>
      </c>
      <c r="B4650" t="str">
        <f>"06/23/2014 00:00"</f>
        <v>06/23/2014 00:00</v>
      </c>
      <c r="C4650">
        <v>0.63200000000000001</v>
      </c>
      <c r="D4650" t="s">
        <v>7</v>
      </c>
      <c r="E4650" s="2" t="s">
        <v>12</v>
      </c>
      <c r="F4650">
        <f t="shared" si="72"/>
        <v>1.2532560000000001</v>
      </c>
      <c r="G4650" t="s">
        <v>16</v>
      </c>
      <c r="J4650" t="str">
        <f>"06/23/2014 23:45"</f>
        <v>06/23/2014 23:45</v>
      </c>
    </row>
    <row r="4651" spans="1:10" x14ac:dyDescent="0.3">
      <c r="A4651" t="s">
        <v>6</v>
      </c>
      <c r="B4651" t="str">
        <f>"06/24/2014 00:00"</f>
        <v>06/24/2014 00:00</v>
      </c>
      <c r="C4651">
        <v>0.63200000000000001</v>
      </c>
      <c r="D4651" t="s">
        <v>7</v>
      </c>
      <c r="E4651" s="2" t="s">
        <v>12</v>
      </c>
      <c r="F4651">
        <f t="shared" si="72"/>
        <v>1.2532560000000001</v>
      </c>
      <c r="G4651" t="s">
        <v>16</v>
      </c>
      <c r="J4651" t="str">
        <f>"06/24/2014 23:45"</f>
        <v>06/24/2014 23:45</v>
      </c>
    </row>
    <row r="4652" spans="1:10" x14ac:dyDescent="0.3">
      <c r="A4652" t="s">
        <v>6</v>
      </c>
      <c r="B4652" t="str">
        <f>"06/25/2014 00:00"</f>
        <v>06/25/2014 00:00</v>
      </c>
      <c r="C4652">
        <v>0.63200000000000001</v>
      </c>
      <c r="D4652" t="s">
        <v>7</v>
      </c>
      <c r="E4652" s="2" t="s">
        <v>12</v>
      </c>
      <c r="F4652">
        <f t="shared" si="72"/>
        <v>1.2532560000000001</v>
      </c>
      <c r="G4652" t="s">
        <v>16</v>
      </c>
      <c r="J4652" t="str">
        <f>"06/25/2014 23:45"</f>
        <v>06/25/2014 23:45</v>
      </c>
    </row>
    <row r="4653" spans="1:10" x14ac:dyDescent="0.3">
      <c r="A4653" t="s">
        <v>6</v>
      </c>
      <c r="B4653" t="str">
        <f>"06/26/2014 00:00"</f>
        <v>06/26/2014 00:00</v>
      </c>
      <c r="C4653">
        <v>0.63200000000000001</v>
      </c>
      <c r="D4653" t="s">
        <v>7</v>
      </c>
      <c r="E4653" s="2" t="s">
        <v>12</v>
      </c>
      <c r="F4653">
        <f t="shared" si="72"/>
        <v>1.2532560000000001</v>
      </c>
      <c r="G4653" t="s">
        <v>16</v>
      </c>
      <c r="J4653" t="str">
        <f>"06/26/2014 23:45"</f>
        <v>06/26/2014 23:45</v>
      </c>
    </row>
    <row r="4654" spans="1:10" x14ac:dyDescent="0.3">
      <c r="A4654" t="s">
        <v>6</v>
      </c>
      <c r="B4654" t="str">
        <f>"06/27/2014 00:00"</f>
        <v>06/27/2014 00:00</v>
      </c>
      <c r="C4654">
        <v>0.63200000000000001</v>
      </c>
      <c r="D4654" t="s">
        <v>7</v>
      </c>
      <c r="E4654" s="2" t="s">
        <v>12</v>
      </c>
      <c r="F4654">
        <f t="shared" si="72"/>
        <v>1.2532560000000001</v>
      </c>
      <c r="G4654" t="s">
        <v>16</v>
      </c>
      <c r="J4654" t="str">
        <f>"06/27/2014 23:45"</f>
        <v>06/27/2014 23:45</v>
      </c>
    </row>
    <row r="4655" spans="1:10" x14ac:dyDescent="0.3">
      <c r="A4655" t="s">
        <v>6</v>
      </c>
      <c r="B4655" t="str">
        <f>"06/28/2014 00:00"</f>
        <v>06/28/2014 00:00</v>
      </c>
      <c r="C4655">
        <v>0.63200000000000001</v>
      </c>
      <c r="D4655" t="s">
        <v>7</v>
      </c>
      <c r="E4655" s="2" t="s">
        <v>12</v>
      </c>
      <c r="F4655">
        <f t="shared" si="72"/>
        <v>1.2532560000000001</v>
      </c>
      <c r="G4655" t="s">
        <v>16</v>
      </c>
      <c r="J4655" t="str">
        <f>"06/28/2014 23:45"</f>
        <v>06/28/2014 23:45</v>
      </c>
    </row>
    <row r="4656" spans="1:10" x14ac:dyDescent="0.3">
      <c r="A4656" t="s">
        <v>6</v>
      </c>
      <c r="B4656" t="str">
        <f>"06/29/2014 00:00"</f>
        <v>06/29/2014 00:00</v>
      </c>
      <c r="C4656">
        <v>0.63200000000000001</v>
      </c>
      <c r="D4656" t="s">
        <v>7</v>
      </c>
      <c r="E4656" s="2" t="s">
        <v>12</v>
      </c>
      <c r="F4656">
        <f t="shared" si="72"/>
        <v>1.2532560000000001</v>
      </c>
      <c r="G4656" t="s">
        <v>16</v>
      </c>
      <c r="J4656" t="str">
        <f>"06/29/2014 23:45"</f>
        <v>06/29/2014 23:45</v>
      </c>
    </row>
    <row r="4657" spans="1:10" x14ac:dyDescent="0.3">
      <c r="A4657" t="s">
        <v>6</v>
      </c>
      <c r="B4657" t="str">
        <f>"06/30/2014 00:00"</f>
        <v>06/30/2014 00:00</v>
      </c>
      <c r="C4657">
        <v>0.63200000000000001</v>
      </c>
      <c r="D4657" t="s">
        <v>7</v>
      </c>
      <c r="E4657" s="2" t="s">
        <v>12</v>
      </c>
      <c r="F4657">
        <f t="shared" si="72"/>
        <v>1.2532560000000001</v>
      </c>
      <c r="G4657" t="s">
        <v>16</v>
      </c>
      <c r="J4657" t="str">
        <f>"06/30/2014 23:45"</f>
        <v>06/30/2014 23:45</v>
      </c>
    </row>
    <row r="4658" spans="1:10" x14ac:dyDescent="0.3">
      <c r="A4658" t="s">
        <v>6</v>
      </c>
      <c r="B4658" t="str">
        <f>"07/01/2014 00:00"</f>
        <v>07/01/2014 00:00</v>
      </c>
      <c r="C4658">
        <v>0.63200000000000001</v>
      </c>
      <c r="D4658" t="s">
        <v>7</v>
      </c>
      <c r="E4658" s="2" t="s">
        <v>12</v>
      </c>
      <c r="F4658">
        <f t="shared" si="72"/>
        <v>1.2532560000000001</v>
      </c>
      <c r="G4658" t="s">
        <v>16</v>
      </c>
      <c r="J4658" t="str">
        <f>"07/01/2014 23:45"</f>
        <v>07/01/2014 23:45</v>
      </c>
    </row>
    <row r="4659" spans="1:10" x14ac:dyDescent="0.3">
      <c r="A4659" t="s">
        <v>6</v>
      </c>
      <c r="B4659" t="str">
        <f>"07/02/2014 00:00"</f>
        <v>07/02/2014 00:00</v>
      </c>
      <c r="C4659">
        <v>0.63200000000000001</v>
      </c>
      <c r="D4659" t="s">
        <v>7</v>
      </c>
      <c r="E4659" s="2" t="s">
        <v>12</v>
      </c>
      <c r="F4659">
        <f t="shared" si="72"/>
        <v>1.2532560000000001</v>
      </c>
      <c r="G4659" t="s">
        <v>16</v>
      </c>
      <c r="J4659" t="str">
        <f>"07/02/2014 23:45"</f>
        <v>07/02/2014 23:45</v>
      </c>
    </row>
    <row r="4660" spans="1:10" x14ac:dyDescent="0.3">
      <c r="A4660" t="s">
        <v>6</v>
      </c>
      <c r="B4660" t="str">
        <f>"07/03/2014 00:00"</f>
        <v>07/03/2014 00:00</v>
      </c>
      <c r="C4660">
        <v>0.63200000000000001</v>
      </c>
      <c r="D4660" t="s">
        <v>7</v>
      </c>
      <c r="E4660" s="2" t="s">
        <v>12</v>
      </c>
      <c r="F4660">
        <f t="shared" si="72"/>
        <v>1.2532560000000001</v>
      </c>
      <c r="G4660" t="s">
        <v>16</v>
      </c>
      <c r="J4660" t="str">
        <f>"07/03/2014 23:45"</f>
        <v>07/03/2014 23:45</v>
      </c>
    </row>
    <row r="4661" spans="1:10" x14ac:dyDescent="0.3">
      <c r="A4661" t="s">
        <v>6</v>
      </c>
      <c r="B4661" t="str">
        <f>"07/04/2014 00:00"</f>
        <v>07/04/2014 00:00</v>
      </c>
      <c r="C4661">
        <v>0.63200000000000001</v>
      </c>
      <c r="D4661" t="s">
        <v>7</v>
      </c>
      <c r="E4661" s="2" t="s">
        <v>12</v>
      </c>
      <c r="F4661">
        <f t="shared" si="72"/>
        <v>1.2532560000000001</v>
      </c>
      <c r="G4661" t="s">
        <v>16</v>
      </c>
      <c r="J4661" t="str">
        <f>"07/04/2014 23:45"</f>
        <v>07/04/2014 23:45</v>
      </c>
    </row>
    <row r="4662" spans="1:10" x14ac:dyDescent="0.3">
      <c r="A4662" t="s">
        <v>6</v>
      </c>
      <c r="B4662" t="str">
        <f>"07/05/2014 00:00"</f>
        <v>07/05/2014 00:00</v>
      </c>
      <c r="C4662">
        <v>0.63200000000000001</v>
      </c>
      <c r="D4662" t="s">
        <v>7</v>
      </c>
      <c r="E4662" s="2" t="s">
        <v>12</v>
      </c>
      <c r="F4662">
        <f t="shared" si="72"/>
        <v>1.2532560000000001</v>
      </c>
      <c r="G4662" t="s">
        <v>16</v>
      </c>
      <c r="J4662" t="str">
        <f>"07/05/2014 23:45"</f>
        <v>07/05/2014 23:45</v>
      </c>
    </row>
    <row r="4663" spans="1:10" x14ac:dyDescent="0.3">
      <c r="A4663" t="s">
        <v>6</v>
      </c>
      <c r="B4663" t="str">
        <f>"07/06/2014 00:00"</f>
        <v>07/06/2014 00:00</v>
      </c>
      <c r="C4663">
        <v>0.57699999999999996</v>
      </c>
      <c r="D4663" t="s">
        <v>7</v>
      </c>
      <c r="E4663" s="2" t="s">
        <v>12</v>
      </c>
      <c r="F4663">
        <f t="shared" si="72"/>
        <v>1.144191</v>
      </c>
      <c r="G4663" t="s">
        <v>16</v>
      </c>
      <c r="J4663" t="str">
        <f>"07/06/2014 23:45"</f>
        <v>07/06/2014 23:45</v>
      </c>
    </row>
    <row r="4664" spans="1:10" x14ac:dyDescent="0.3">
      <c r="A4664" t="s">
        <v>6</v>
      </c>
      <c r="B4664" t="str">
        <f>"07/07/2014 00:00"</f>
        <v>07/07/2014 00:00</v>
      </c>
      <c r="C4664">
        <v>0.442</v>
      </c>
      <c r="D4664" t="s">
        <v>7</v>
      </c>
      <c r="E4664" s="2" t="s">
        <v>12</v>
      </c>
      <c r="F4664">
        <f t="shared" si="72"/>
        <v>0.8764860000000001</v>
      </c>
      <c r="G4664" t="s">
        <v>16</v>
      </c>
      <c r="J4664" t="str">
        <f>"07/07/2014 23:45"</f>
        <v>07/07/2014 23:45</v>
      </c>
    </row>
    <row r="4665" spans="1:10" x14ac:dyDescent="0.3">
      <c r="A4665" t="s">
        <v>6</v>
      </c>
      <c r="B4665" t="str">
        <f>"07/08/2014 00:00"</f>
        <v>07/08/2014 00:00</v>
      </c>
      <c r="C4665">
        <v>0.442</v>
      </c>
      <c r="D4665" t="s">
        <v>7</v>
      </c>
      <c r="E4665" s="2" t="s">
        <v>12</v>
      </c>
      <c r="F4665">
        <f t="shared" si="72"/>
        <v>0.8764860000000001</v>
      </c>
      <c r="G4665" t="s">
        <v>16</v>
      </c>
      <c r="J4665" t="str">
        <f>"07/08/2014 23:45"</f>
        <v>07/08/2014 23:45</v>
      </c>
    </row>
    <row r="4666" spans="1:10" x14ac:dyDescent="0.3">
      <c r="A4666" t="s">
        <v>6</v>
      </c>
      <c r="B4666" t="str">
        <f>"07/09/2014 00:00"</f>
        <v>07/09/2014 00:00</v>
      </c>
      <c r="C4666">
        <v>0.442</v>
      </c>
      <c r="D4666" t="s">
        <v>7</v>
      </c>
      <c r="E4666" s="2" t="s">
        <v>12</v>
      </c>
      <c r="F4666">
        <f t="shared" si="72"/>
        <v>0.8764860000000001</v>
      </c>
      <c r="G4666" t="s">
        <v>16</v>
      </c>
      <c r="J4666" t="str">
        <f>"07/09/2014 23:45"</f>
        <v>07/09/2014 23:45</v>
      </c>
    </row>
    <row r="4667" spans="1:10" x14ac:dyDescent="0.3">
      <c r="A4667" t="s">
        <v>6</v>
      </c>
      <c r="B4667" t="str">
        <f>"07/10/2014 00:00"</f>
        <v>07/10/2014 00:00</v>
      </c>
      <c r="C4667">
        <v>49.3</v>
      </c>
      <c r="D4667" t="s">
        <v>7</v>
      </c>
      <c r="E4667" s="2" t="s">
        <v>12</v>
      </c>
      <c r="F4667">
        <f t="shared" si="72"/>
        <v>97.761899999999997</v>
      </c>
      <c r="G4667" t="s">
        <v>16</v>
      </c>
      <c r="J4667" t="str">
        <f>"07/10/2014 23:45"</f>
        <v>07/10/2014 23:45</v>
      </c>
    </row>
    <row r="4668" spans="1:10" x14ac:dyDescent="0.3">
      <c r="A4668" t="s">
        <v>6</v>
      </c>
      <c r="B4668" t="str">
        <f>"07/11/2014 00:00"</f>
        <v>07/11/2014 00:00</v>
      </c>
      <c r="C4668">
        <v>101</v>
      </c>
      <c r="D4668" t="s">
        <v>7</v>
      </c>
      <c r="E4668" s="2" t="s">
        <v>12</v>
      </c>
      <c r="F4668">
        <f t="shared" si="72"/>
        <v>200.28300000000002</v>
      </c>
      <c r="G4668" t="s">
        <v>16</v>
      </c>
      <c r="J4668" t="str">
        <f>"07/11/2014 23:45"</f>
        <v>07/11/2014 23:45</v>
      </c>
    </row>
    <row r="4669" spans="1:10" x14ac:dyDescent="0.3">
      <c r="A4669" t="s">
        <v>6</v>
      </c>
      <c r="B4669" t="str">
        <f>"07/12/2014 00:00"</f>
        <v>07/12/2014 00:00</v>
      </c>
      <c r="C4669">
        <v>99.5</v>
      </c>
      <c r="D4669" t="s">
        <v>7</v>
      </c>
      <c r="E4669" s="2" t="s">
        <v>12</v>
      </c>
      <c r="F4669">
        <f t="shared" si="72"/>
        <v>197.30850000000001</v>
      </c>
      <c r="G4669" t="s">
        <v>16</v>
      </c>
      <c r="J4669" t="str">
        <f>"07/12/2014 23:45"</f>
        <v>07/12/2014 23:45</v>
      </c>
    </row>
    <row r="4670" spans="1:10" x14ac:dyDescent="0.3">
      <c r="A4670" t="s">
        <v>6</v>
      </c>
      <c r="B4670" t="str">
        <f>"07/13/2014 00:00"</f>
        <v>07/13/2014 00:00</v>
      </c>
      <c r="C4670">
        <v>99.5</v>
      </c>
      <c r="D4670" t="s">
        <v>7</v>
      </c>
      <c r="E4670" s="2" t="s">
        <v>12</v>
      </c>
      <c r="F4670">
        <f t="shared" si="72"/>
        <v>197.30850000000001</v>
      </c>
      <c r="G4670" t="s">
        <v>16</v>
      </c>
      <c r="J4670" t="str">
        <f>"07/13/2014 23:45"</f>
        <v>07/13/2014 23:45</v>
      </c>
    </row>
    <row r="4671" spans="1:10" x14ac:dyDescent="0.3">
      <c r="A4671" t="s">
        <v>6</v>
      </c>
      <c r="B4671" t="str">
        <f>"07/14/2014 00:00"</f>
        <v>07/14/2014 00:00</v>
      </c>
      <c r="C4671">
        <v>95.4</v>
      </c>
      <c r="D4671" t="s">
        <v>7</v>
      </c>
      <c r="E4671" s="2" t="s">
        <v>12</v>
      </c>
      <c r="F4671">
        <f t="shared" si="72"/>
        <v>189.17820000000003</v>
      </c>
      <c r="G4671" t="s">
        <v>16</v>
      </c>
      <c r="J4671" t="str">
        <f>"07/14/2014 23:45"</f>
        <v>07/14/2014 23:45</v>
      </c>
    </row>
    <row r="4672" spans="1:10" x14ac:dyDescent="0.3">
      <c r="A4672" t="s">
        <v>6</v>
      </c>
      <c r="B4672" t="str">
        <f>"07/15/2014 00:00"</f>
        <v>07/15/2014 00:00</v>
      </c>
      <c r="C4672">
        <v>99.2</v>
      </c>
      <c r="D4672" t="s">
        <v>7</v>
      </c>
      <c r="E4672" s="2" t="s">
        <v>12</v>
      </c>
      <c r="F4672">
        <f t="shared" si="72"/>
        <v>196.71360000000001</v>
      </c>
      <c r="G4672" t="s">
        <v>16</v>
      </c>
      <c r="J4672" t="str">
        <f>"07/15/2014 23:45"</f>
        <v>07/15/2014 23:45</v>
      </c>
    </row>
    <row r="4673" spans="1:10" x14ac:dyDescent="0.3">
      <c r="A4673" t="s">
        <v>6</v>
      </c>
      <c r="B4673" t="str">
        <f>"07/16/2014 00:00"</f>
        <v>07/16/2014 00:00</v>
      </c>
      <c r="C4673">
        <v>96.4</v>
      </c>
      <c r="D4673" t="s">
        <v>7</v>
      </c>
      <c r="E4673" s="2" t="s">
        <v>12</v>
      </c>
      <c r="F4673">
        <f t="shared" si="72"/>
        <v>191.16120000000001</v>
      </c>
      <c r="G4673" t="s">
        <v>16</v>
      </c>
      <c r="J4673" t="str">
        <f>"07/16/2014 23:45"</f>
        <v>07/16/2014 23:45</v>
      </c>
    </row>
    <row r="4674" spans="1:10" x14ac:dyDescent="0.3">
      <c r="A4674" t="s">
        <v>6</v>
      </c>
      <c r="B4674" t="str">
        <f>"07/17/2014 00:00"</f>
        <v>07/17/2014 00:00</v>
      </c>
      <c r="C4674">
        <v>99.6</v>
      </c>
      <c r="D4674" t="s">
        <v>7</v>
      </c>
      <c r="E4674" s="2" t="s">
        <v>12</v>
      </c>
      <c r="F4674">
        <f t="shared" si="72"/>
        <v>197.5068</v>
      </c>
      <c r="G4674" t="s">
        <v>16</v>
      </c>
      <c r="J4674" t="str">
        <f>"07/17/2014 23:45"</f>
        <v>07/17/2014 23:45</v>
      </c>
    </row>
    <row r="4675" spans="1:10" x14ac:dyDescent="0.3">
      <c r="A4675" t="s">
        <v>6</v>
      </c>
      <c r="B4675" t="str">
        <f>"07/18/2014 00:00"</f>
        <v>07/18/2014 00:00</v>
      </c>
      <c r="C4675">
        <v>99.5</v>
      </c>
      <c r="D4675" t="s">
        <v>7</v>
      </c>
      <c r="E4675" s="2" t="s">
        <v>12</v>
      </c>
      <c r="F4675">
        <f t="shared" si="72"/>
        <v>197.30850000000001</v>
      </c>
      <c r="G4675" t="s">
        <v>16</v>
      </c>
      <c r="J4675" t="str">
        <f>"07/18/2014 23:45"</f>
        <v>07/18/2014 23:45</v>
      </c>
    </row>
    <row r="4676" spans="1:10" x14ac:dyDescent="0.3">
      <c r="A4676" t="s">
        <v>6</v>
      </c>
      <c r="B4676" t="str">
        <f>"07/19/2014 00:00"</f>
        <v>07/19/2014 00:00</v>
      </c>
      <c r="C4676">
        <v>99.6</v>
      </c>
      <c r="D4676" t="s">
        <v>7</v>
      </c>
      <c r="E4676" s="2" t="s">
        <v>12</v>
      </c>
      <c r="F4676">
        <f t="shared" ref="F4676:F4739" si="73">C4676*1.983</f>
        <v>197.5068</v>
      </c>
      <c r="G4676" t="s">
        <v>16</v>
      </c>
      <c r="J4676" t="str">
        <f>"07/19/2014 23:45"</f>
        <v>07/19/2014 23:45</v>
      </c>
    </row>
    <row r="4677" spans="1:10" x14ac:dyDescent="0.3">
      <c r="A4677" t="s">
        <v>6</v>
      </c>
      <c r="B4677" t="str">
        <f>"07/20/2014 00:00"</f>
        <v>07/20/2014 00:00</v>
      </c>
      <c r="C4677">
        <v>99.5</v>
      </c>
      <c r="D4677" t="s">
        <v>7</v>
      </c>
      <c r="E4677" s="2" t="s">
        <v>12</v>
      </c>
      <c r="F4677">
        <f t="shared" si="73"/>
        <v>197.30850000000001</v>
      </c>
      <c r="G4677" t="s">
        <v>16</v>
      </c>
      <c r="J4677" t="str">
        <f>"07/20/2014 23:45"</f>
        <v>07/20/2014 23:45</v>
      </c>
    </row>
    <row r="4678" spans="1:10" x14ac:dyDescent="0.3">
      <c r="A4678" t="s">
        <v>6</v>
      </c>
      <c r="B4678" t="str">
        <f>"07/21/2014 00:00"</f>
        <v>07/21/2014 00:00</v>
      </c>
      <c r="C4678">
        <v>99.6</v>
      </c>
      <c r="D4678" t="s">
        <v>7</v>
      </c>
      <c r="E4678" s="2" t="s">
        <v>12</v>
      </c>
      <c r="F4678">
        <f t="shared" si="73"/>
        <v>197.5068</v>
      </c>
      <c r="G4678" t="s">
        <v>16</v>
      </c>
      <c r="J4678" t="str">
        <f>"07/21/2014 23:45"</f>
        <v>07/21/2014 23:45</v>
      </c>
    </row>
    <row r="4679" spans="1:10" x14ac:dyDescent="0.3">
      <c r="A4679" t="s">
        <v>6</v>
      </c>
      <c r="B4679" t="str">
        <f>"07/22/2014 00:00"</f>
        <v>07/22/2014 00:00</v>
      </c>
      <c r="C4679">
        <v>116</v>
      </c>
      <c r="D4679" t="s">
        <v>7</v>
      </c>
      <c r="E4679" s="2" t="s">
        <v>12</v>
      </c>
      <c r="F4679">
        <f t="shared" si="73"/>
        <v>230.02800000000002</v>
      </c>
      <c r="G4679" t="s">
        <v>16</v>
      </c>
      <c r="J4679" t="str">
        <f>"07/22/2014 23:45"</f>
        <v>07/22/2014 23:45</v>
      </c>
    </row>
    <row r="4680" spans="1:10" x14ac:dyDescent="0.3">
      <c r="A4680" t="s">
        <v>6</v>
      </c>
      <c r="B4680" t="str">
        <f>"07/23/2014 00:00"</f>
        <v>07/23/2014 00:00</v>
      </c>
      <c r="C4680">
        <v>129</v>
      </c>
      <c r="D4680" t="s">
        <v>7</v>
      </c>
      <c r="E4680" s="2" t="s">
        <v>12</v>
      </c>
      <c r="F4680">
        <f t="shared" si="73"/>
        <v>255.80700000000002</v>
      </c>
      <c r="G4680" t="s">
        <v>16</v>
      </c>
      <c r="J4680" t="str">
        <f>"07/23/2014 23:45"</f>
        <v>07/23/2014 23:45</v>
      </c>
    </row>
    <row r="4681" spans="1:10" x14ac:dyDescent="0.3">
      <c r="A4681" t="s">
        <v>6</v>
      </c>
      <c r="B4681" t="str">
        <f>"07/24/2014 00:00"</f>
        <v>07/24/2014 00:00</v>
      </c>
      <c r="C4681">
        <v>130</v>
      </c>
      <c r="D4681" t="s">
        <v>7</v>
      </c>
      <c r="E4681" s="2" t="s">
        <v>12</v>
      </c>
      <c r="F4681">
        <f t="shared" si="73"/>
        <v>257.79000000000002</v>
      </c>
      <c r="G4681" t="s">
        <v>16</v>
      </c>
      <c r="J4681" t="str">
        <f>"07/24/2014 23:45"</f>
        <v>07/24/2014 23:45</v>
      </c>
    </row>
    <row r="4682" spans="1:10" x14ac:dyDescent="0.3">
      <c r="A4682" t="s">
        <v>6</v>
      </c>
      <c r="B4682" t="str">
        <f>"07/25/2014 00:00"</f>
        <v>07/25/2014 00:00</v>
      </c>
      <c r="C4682">
        <v>109</v>
      </c>
      <c r="D4682" t="s">
        <v>7</v>
      </c>
      <c r="E4682" s="2" t="s">
        <v>12</v>
      </c>
      <c r="F4682">
        <f t="shared" si="73"/>
        <v>216.14700000000002</v>
      </c>
      <c r="G4682" t="s">
        <v>16</v>
      </c>
      <c r="J4682" t="str">
        <f>"07/25/2014 23:45"</f>
        <v>07/25/2014 23:45</v>
      </c>
    </row>
    <row r="4683" spans="1:10" x14ac:dyDescent="0.3">
      <c r="A4683" t="s">
        <v>6</v>
      </c>
      <c r="B4683" t="str">
        <f>"07/26/2014 00:00"</f>
        <v>07/26/2014 00:00</v>
      </c>
      <c r="C4683">
        <v>73.900000000000006</v>
      </c>
      <c r="D4683" t="s">
        <v>7</v>
      </c>
      <c r="E4683" s="2" t="s">
        <v>12</v>
      </c>
      <c r="F4683">
        <f t="shared" si="73"/>
        <v>146.54370000000003</v>
      </c>
      <c r="G4683" t="s">
        <v>16</v>
      </c>
      <c r="J4683" t="str">
        <f>"07/26/2014 23:45"</f>
        <v>07/26/2014 23:45</v>
      </c>
    </row>
    <row r="4684" spans="1:10" x14ac:dyDescent="0.3">
      <c r="A4684" t="s">
        <v>6</v>
      </c>
      <c r="B4684" t="str">
        <f>"07/27/2014 00:00"</f>
        <v>07/27/2014 00:00</v>
      </c>
      <c r="C4684">
        <v>61</v>
      </c>
      <c r="D4684" t="s">
        <v>7</v>
      </c>
      <c r="E4684" s="2" t="s">
        <v>12</v>
      </c>
      <c r="F4684">
        <f t="shared" si="73"/>
        <v>120.96300000000001</v>
      </c>
      <c r="G4684" t="s">
        <v>16</v>
      </c>
      <c r="J4684" t="str">
        <f>"07/27/2014 23:45"</f>
        <v>07/27/2014 23:45</v>
      </c>
    </row>
    <row r="4685" spans="1:10" x14ac:dyDescent="0.3">
      <c r="A4685" t="s">
        <v>6</v>
      </c>
      <c r="B4685" t="str">
        <f>"07/28/2014 00:00"</f>
        <v>07/28/2014 00:00</v>
      </c>
      <c r="C4685">
        <v>60.2</v>
      </c>
      <c r="D4685" t="s">
        <v>7</v>
      </c>
      <c r="E4685" s="2" t="s">
        <v>12</v>
      </c>
      <c r="F4685">
        <f t="shared" si="73"/>
        <v>119.37660000000001</v>
      </c>
      <c r="G4685" t="s">
        <v>16</v>
      </c>
      <c r="J4685" t="str">
        <f>"07/28/2014 23:45"</f>
        <v>07/28/2014 23:45</v>
      </c>
    </row>
    <row r="4686" spans="1:10" x14ac:dyDescent="0.3">
      <c r="A4686" t="s">
        <v>6</v>
      </c>
      <c r="B4686" t="str">
        <f>"07/29/2014 00:00"</f>
        <v>07/29/2014 00:00</v>
      </c>
      <c r="C4686">
        <v>31.9</v>
      </c>
      <c r="D4686" t="s">
        <v>7</v>
      </c>
      <c r="E4686" s="2" t="s">
        <v>12</v>
      </c>
      <c r="F4686">
        <f t="shared" si="73"/>
        <v>63.2577</v>
      </c>
      <c r="G4686" t="s">
        <v>16</v>
      </c>
      <c r="J4686" t="str">
        <f>"07/29/2014 23:45"</f>
        <v>07/29/2014 23:45</v>
      </c>
    </row>
    <row r="4687" spans="1:10" x14ac:dyDescent="0.3">
      <c r="A4687" t="s">
        <v>6</v>
      </c>
      <c r="B4687" t="str">
        <f>"07/30/2014 00:00"</f>
        <v>07/30/2014 00:00</v>
      </c>
      <c r="C4687">
        <v>2.5099999999999998</v>
      </c>
      <c r="D4687" t="s">
        <v>7</v>
      </c>
      <c r="E4687" s="2" t="s">
        <v>12</v>
      </c>
      <c r="F4687">
        <f t="shared" si="73"/>
        <v>4.9773300000000003</v>
      </c>
      <c r="G4687" t="s">
        <v>16</v>
      </c>
      <c r="J4687" t="str">
        <f>"07/30/2014 23:45"</f>
        <v>07/30/2014 23:45</v>
      </c>
    </row>
    <row r="4688" spans="1:10" x14ac:dyDescent="0.3">
      <c r="A4688" t="s">
        <v>6</v>
      </c>
      <c r="B4688" t="str">
        <f>"07/31/2014 00:00"</f>
        <v>07/31/2014 00:00</v>
      </c>
      <c r="C4688">
        <v>2.23</v>
      </c>
      <c r="D4688" t="s">
        <v>7</v>
      </c>
      <c r="E4688" s="2" t="s">
        <v>12</v>
      </c>
      <c r="F4688">
        <f t="shared" si="73"/>
        <v>4.4220899999999999</v>
      </c>
      <c r="G4688" t="s">
        <v>16</v>
      </c>
      <c r="J4688" t="str">
        <f>"07/31/2014 23:45"</f>
        <v>07/31/2014 23:45</v>
      </c>
    </row>
    <row r="4689" spans="1:10" x14ac:dyDescent="0.3">
      <c r="A4689" t="s">
        <v>6</v>
      </c>
      <c r="B4689" t="str">
        <f>"08/01/2014 00:00"</f>
        <v>08/01/2014 00:00</v>
      </c>
      <c r="C4689">
        <v>2.23</v>
      </c>
      <c r="D4689" t="s">
        <v>7</v>
      </c>
      <c r="E4689" s="2" t="s">
        <v>12</v>
      </c>
      <c r="F4689">
        <f t="shared" si="73"/>
        <v>4.4220899999999999</v>
      </c>
      <c r="G4689" t="s">
        <v>16</v>
      </c>
      <c r="J4689" t="str">
        <f>"08/01/2014 23:45"</f>
        <v>08/01/2014 23:45</v>
      </c>
    </row>
    <row r="4690" spans="1:10" x14ac:dyDescent="0.3">
      <c r="A4690" t="s">
        <v>6</v>
      </c>
      <c r="B4690" t="str">
        <f>"08/02/2014 00:00"</f>
        <v>08/02/2014 00:00</v>
      </c>
      <c r="C4690">
        <v>2.23</v>
      </c>
      <c r="D4690" t="s">
        <v>7</v>
      </c>
      <c r="E4690" s="2" t="s">
        <v>12</v>
      </c>
      <c r="F4690">
        <f t="shared" si="73"/>
        <v>4.4220899999999999</v>
      </c>
      <c r="G4690" t="s">
        <v>16</v>
      </c>
      <c r="J4690" t="str">
        <f>"08/02/2014 23:45"</f>
        <v>08/02/2014 23:45</v>
      </c>
    </row>
    <row r="4691" spans="1:10" x14ac:dyDescent="0.3">
      <c r="A4691" t="s">
        <v>6</v>
      </c>
      <c r="B4691" t="str">
        <f>"08/03/2014 00:00"</f>
        <v>08/03/2014 00:00</v>
      </c>
      <c r="C4691">
        <v>2.23</v>
      </c>
      <c r="D4691" t="s">
        <v>7</v>
      </c>
      <c r="E4691" s="2" t="s">
        <v>12</v>
      </c>
      <c r="F4691">
        <f t="shared" si="73"/>
        <v>4.4220899999999999</v>
      </c>
      <c r="G4691" t="s">
        <v>16</v>
      </c>
      <c r="J4691" t="str">
        <f>"08/03/2014 23:45"</f>
        <v>08/03/2014 23:45</v>
      </c>
    </row>
    <row r="4692" spans="1:10" x14ac:dyDescent="0.3">
      <c r="A4692" t="s">
        <v>6</v>
      </c>
      <c r="B4692" t="str">
        <f>"08/04/2014 00:00"</f>
        <v>08/04/2014 00:00</v>
      </c>
      <c r="C4692">
        <v>2.23</v>
      </c>
      <c r="D4692" t="s">
        <v>7</v>
      </c>
      <c r="E4692" s="2" t="s">
        <v>12</v>
      </c>
      <c r="F4692">
        <f t="shared" si="73"/>
        <v>4.4220899999999999</v>
      </c>
      <c r="G4692" t="s">
        <v>16</v>
      </c>
      <c r="J4692" t="str">
        <f>"08/04/2014 23:45"</f>
        <v>08/04/2014 23:45</v>
      </c>
    </row>
    <row r="4693" spans="1:10" x14ac:dyDescent="0.3">
      <c r="A4693" t="s">
        <v>6</v>
      </c>
      <c r="B4693" t="str">
        <f>"08/05/2014 00:00"</f>
        <v>08/05/2014 00:00</v>
      </c>
      <c r="C4693">
        <v>2.23</v>
      </c>
      <c r="D4693" t="s">
        <v>7</v>
      </c>
      <c r="E4693" s="2" t="s">
        <v>12</v>
      </c>
      <c r="F4693">
        <f t="shared" si="73"/>
        <v>4.4220899999999999</v>
      </c>
      <c r="G4693" t="s">
        <v>16</v>
      </c>
      <c r="J4693" t="str">
        <f>"08/05/2014 23:45"</f>
        <v>08/05/2014 23:45</v>
      </c>
    </row>
    <row r="4694" spans="1:10" x14ac:dyDescent="0.3">
      <c r="A4694" t="s">
        <v>6</v>
      </c>
      <c r="B4694" t="str">
        <f>"08/06/2014 00:00"</f>
        <v>08/06/2014 00:00</v>
      </c>
      <c r="C4694">
        <v>2.23</v>
      </c>
      <c r="D4694" t="s">
        <v>7</v>
      </c>
      <c r="E4694" s="2" t="s">
        <v>12</v>
      </c>
      <c r="F4694">
        <f t="shared" si="73"/>
        <v>4.4220899999999999</v>
      </c>
      <c r="G4694" t="s">
        <v>16</v>
      </c>
      <c r="J4694" t="str">
        <f>"08/06/2014 23:45"</f>
        <v>08/06/2014 23:45</v>
      </c>
    </row>
    <row r="4695" spans="1:10" x14ac:dyDescent="0.3">
      <c r="A4695" t="s">
        <v>6</v>
      </c>
      <c r="B4695" t="str">
        <f>"08/07/2014 00:00"</f>
        <v>08/07/2014 00:00</v>
      </c>
      <c r="C4695">
        <v>2.23</v>
      </c>
      <c r="D4695" t="s">
        <v>7</v>
      </c>
      <c r="E4695" s="2" t="s">
        <v>12</v>
      </c>
      <c r="F4695">
        <f t="shared" si="73"/>
        <v>4.4220899999999999</v>
      </c>
      <c r="G4695" t="s">
        <v>16</v>
      </c>
      <c r="J4695" t="str">
        <f>"08/07/2014 23:45"</f>
        <v>08/07/2014 23:45</v>
      </c>
    </row>
    <row r="4696" spans="1:10" x14ac:dyDescent="0.3">
      <c r="A4696" t="s">
        <v>6</v>
      </c>
      <c r="B4696" t="str">
        <f>"08/08/2014 00:00"</f>
        <v>08/08/2014 00:00</v>
      </c>
      <c r="C4696">
        <v>2.23</v>
      </c>
      <c r="D4696" t="s">
        <v>7</v>
      </c>
      <c r="E4696" s="2" t="s">
        <v>12</v>
      </c>
      <c r="F4696">
        <f t="shared" si="73"/>
        <v>4.4220899999999999</v>
      </c>
      <c r="G4696" t="s">
        <v>16</v>
      </c>
      <c r="J4696" t="str">
        <f>"08/08/2014 23:45"</f>
        <v>08/08/2014 23:45</v>
      </c>
    </row>
    <row r="4697" spans="1:10" x14ac:dyDescent="0.3">
      <c r="A4697" t="s">
        <v>6</v>
      </c>
      <c r="B4697" t="str">
        <f>"08/09/2014 00:00"</f>
        <v>08/09/2014 00:00</v>
      </c>
      <c r="C4697">
        <v>2.1</v>
      </c>
      <c r="D4697" t="s">
        <v>7</v>
      </c>
      <c r="E4697" s="2" t="s">
        <v>12</v>
      </c>
      <c r="F4697">
        <f t="shared" si="73"/>
        <v>4.1643000000000008</v>
      </c>
      <c r="G4697" t="s">
        <v>16</v>
      </c>
      <c r="J4697" t="str">
        <f>"08/09/2014 23:45"</f>
        <v>08/09/2014 23:45</v>
      </c>
    </row>
    <row r="4698" spans="1:10" x14ac:dyDescent="0.3">
      <c r="A4698" t="s">
        <v>6</v>
      </c>
      <c r="B4698" t="str">
        <f>"08/10/2014 00:00"</f>
        <v>08/10/2014 00:00</v>
      </c>
      <c r="C4698">
        <v>2.06</v>
      </c>
      <c r="D4698" t="s">
        <v>7</v>
      </c>
      <c r="E4698" s="2" t="s">
        <v>12</v>
      </c>
      <c r="F4698">
        <f t="shared" si="73"/>
        <v>4.0849800000000007</v>
      </c>
      <c r="G4698" t="s">
        <v>16</v>
      </c>
      <c r="J4698" t="str">
        <f>"08/10/2014 23:45"</f>
        <v>08/10/2014 23:45</v>
      </c>
    </row>
    <row r="4699" spans="1:10" x14ac:dyDescent="0.3">
      <c r="A4699" t="s">
        <v>6</v>
      </c>
      <c r="B4699" t="str">
        <f>"08/11/2014 00:00"</f>
        <v>08/11/2014 00:00</v>
      </c>
      <c r="C4699">
        <v>2.23</v>
      </c>
      <c r="D4699" t="s">
        <v>7</v>
      </c>
      <c r="E4699" s="2" t="s">
        <v>12</v>
      </c>
      <c r="F4699">
        <f t="shared" si="73"/>
        <v>4.4220899999999999</v>
      </c>
      <c r="G4699" t="s">
        <v>16</v>
      </c>
      <c r="J4699" t="str">
        <f>"08/11/2014 23:45"</f>
        <v>08/11/2014 23:45</v>
      </c>
    </row>
    <row r="4700" spans="1:10" x14ac:dyDescent="0.3">
      <c r="A4700" t="s">
        <v>6</v>
      </c>
      <c r="B4700" t="str">
        <f>"08/12/2014 00:00"</f>
        <v>08/12/2014 00:00</v>
      </c>
      <c r="C4700">
        <v>2.23</v>
      </c>
      <c r="D4700" t="s">
        <v>7</v>
      </c>
      <c r="E4700" s="2" t="s">
        <v>12</v>
      </c>
      <c r="F4700">
        <f t="shared" si="73"/>
        <v>4.4220899999999999</v>
      </c>
      <c r="G4700" t="s">
        <v>16</v>
      </c>
      <c r="J4700" t="str">
        <f>"08/12/2014 23:45"</f>
        <v>08/12/2014 23:45</v>
      </c>
    </row>
    <row r="4701" spans="1:10" x14ac:dyDescent="0.3">
      <c r="A4701" t="s">
        <v>6</v>
      </c>
      <c r="B4701" t="str">
        <f>"08/13/2014 00:00"</f>
        <v>08/13/2014 00:00</v>
      </c>
      <c r="C4701">
        <v>2.23</v>
      </c>
      <c r="D4701" t="s">
        <v>7</v>
      </c>
      <c r="E4701" s="2" t="s">
        <v>12</v>
      </c>
      <c r="F4701">
        <f t="shared" si="73"/>
        <v>4.4220899999999999</v>
      </c>
      <c r="G4701" t="s">
        <v>16</v>
      </c>
      <c r="J4701" t="str">
        <f>"08/13/2014 23:45"</f>
        <v>08/13/2014 23:45</v>
      </c>
    </row>
    <row r="4702" spans="1:10" x14ac:dyDescent="0.3">
      <c r="A4702" t="s">
        <v>6</v>
      </c>
      <c r="B4702" t="str">
        <f>"08/14/2014 00:00"</f>
        <v>08/14/2014 00:00</v>
      </c>
      <c r="C4702">
        <v>2.23</v>
      </c>
      <c r="D4702" t="s">
        <v>7</v>
      </c>
      <c r="E4702" s="2" t="s">
        <v>12</v>
      </c>
      <c r="F4702">
        <f t="shared" si="73"/>
        <v>4.4220899999999999</v>
      </c>
      <c r="G4702" t="s">
        <v>16</v>
      </c>
      <c r="J4702" t="str">
        <f>"08/14/2014 23:45"</f>
        <v>08/14/2014 23:45</v>
      </c>
    </row>
    <row r="4703" spans="1:10" x14ac:dyDescent="0.3">
      <c r="A4703" t="s">
        <v>6</v>
      </c>
      <c r="B4703" t="str">
        <f>"08/15/2014 00:00"</f>
        <v>08/15/2014 00:00</v>
      </c>
      <c r="C4703">
        <v>2.23</v>
      </c>
      <c r="D4703" t="s">
        <v>7</v>
      </c>
      <c r="E4703" s="2" t="s">
        <v>12</v>
      </c>
      <c r="F4703">
        <f t="shared" si="73"/>
        <v>4.4220899999999999</v>
      </c>
      <c r="G4703" t="s">
        <v>16</v>
      </c>
      <c r="J4703" t="str">
        <f>"08/15/2014 23:45"</f>
        <v>08/15/2014 23:45</v>
      </c>
    </row>
    <row r="4704" spans="1:10" x14ac:dyDescent="0.3">
      <c r="A4704" t="s">
        <v>6</v>
      </c>
      <c r="B4704" t="str">
        <f>"08/16/2014 00:00"</f>
        <v>08/16/2014 00:00</v>
      </c>
      <c r="C4704">
        <v>1.97</v>
      </c>
      <c r="D4704" t="s">
        <v>7</v>
      </c>
      <c r="E4704" s="2" t="s">
        <v>12</v>
      </c>
      <c r="F4704">
        <f t="shared" si="73"/>
        <v>3.9065099999999999</v>
      </c>
      <c r="G4704" t="s">
        <v>16</v>
      </c>
      <c r="J4704" t="str">
        <f>"08/16/2014 23:45"</f>
        <v>08/16/2014 23:45</v>
      </c>
    </row>
    <row r="4705" spans="1:10" x14ac:dyDescent="0.3">
      <c r="A4705" t="s">
        <v>6</v>
      </c>
      <c r="B4705" t="str">
        <f>"08/17/2014 00:00"</f>
        <v>08/17/2014 00:00</v>
      </c>
      <c r="C4705">
        <v>1.92</v>
      </c>
      <c r="D4705" t="s">
        <v>7</v>
      </c>
      <c r="E4705" s="2" t="s">
        <v>12</v>
      </c>
      <c r="F4705">
        <f t="shared" si="73"/>
        <v>3.8073600000000001</v>
      </c>
      <c r="G4705" t="s">
        <v>16</v>
      </c>
      <c r="J4705" t="str">
        <f>"08/17/2014 23:45"</f>
        <v>08/17/2014 23:45</v>
      </c>
    </row>
    <row r="4706" spans="1:10" x14ac:dyDescent="0.3">
      <c r="A4706" t="s">
        <v>6</v>
      </c>
      <c r="B4706" t="str">
        <f>"08/18/2014 00:00"</f>
        <v>08/18/2014 00:00</v>
      </c>
      <c r="C4706">
        <v>1.92</v>
      </c>
      <c r="D4706" t="s">
        <v>7</v>
      </c>
      <c r="E4706" s="2" t="s">
        <v>12</v>
      </c>
      <c r="F4706">
        <f t="shared" si="73"/>
        <v>3.8073600000000001</v>
      </c>
      <c r="G4706" t="s">
        <v>16</v>
      </c>
      <c r="J4706" t="str">
        <f>"08/18/2014 23:45"</f>
        <v>08/18/2014 23:45</v>
      </c>
    </row>
    <row r="4707" spans="1:10" x14ac:dyDescent="0.3">
      <c r="A4707" t="s">
        <v>6</v>
      </c>
      <c r="B4707" t="str">
        <f>"08/19/2014 00:00"</f>
        <v>08/19/2014 00:00</v>
      </c>
      <c r="C4707">
        <v>1.92</v>
      </c>
      <c r="D4707" t="s">
        <v>7</v>
      </c>
      <c r="E4707" s="2" t="s">
        <v>12</v>
      </c>
      <c r="F4707">
        <f t="shared" si="73"/>
        <v>3.8073600000000001</v>
      </c>
      <c r="G4707" t="s">
        <v>16</v>
      </c>
      <c r="J4707" t="str">
        <f>"08/19/2014 23:45"</f>
        <v>08/19/2014 23:45</v>
      </c>
    </row>
    <row r="4708" spans="1:10" x14ac:dyDescent="0.3">
      <c r="A4708" t="s">
        <v>6</v>
      </c>
      <c r="B4708" t="str">
        <f>"08/20/2014 00:00"</f>
        <v>08/20/2014 00:00</v>
      </c>
      <c r="C4708">
        <v>1.92</v>
      </c>
      <c r="D4708" t="s">
        <v>7</v>
      </c>
      <c r="E4708" s="2" t="s">
        <v>12</v>
      </c>
      <c r="F4708">
        <f t="shared" si="73"/>
        <v>3.8073600000000001</v>
      </c>
      <c r="G4708" t="s">
        <v>16</v>
      </c>
      <c r="J4708" t="str">
        <f>"08/20/2014 23:45"</f>
        <v>08/20/2014 23:45</v>
      </c>
    </row>
    <row r="4709" spans="1:10" x14ac:dyDescent="0.3">
      <c r="A4709" t="s">
        <v>6</v>
      </c>
      <c r="B4709" t="str">
        <f>"08/21/2014 00:00"</f>
        <v>08/21/2014 00:00</v>
      </c>
      <c r="C4709">
        <v>1.92</v>
      </c>
      <c r="D4709" t="s">
        <v>7</v>
      </c>
      <c r="E4709" s="2" t="s">
        <v>12</v>
      </c>
      <c r="F4709">
        <f t="shared" si="73"/>
        <v>3.8073600000000001</v>
      </c>
      <c r="G4709" t="s">
        <v>16</v>
      </c>
      <c r="J4709" t="str">
        <f>"08/21/2014 23:45"</f>
        <v>08/21/2014 23:45</v>
      </c>
    </row>
    <row r="4710" spans="1:10" x14ac:dyDescent="0.3">
      <c r="A4710" t="s">
        <v>6</v>
      </c>
      <c r="B4710" t="str">
        <f>"08/22/2014 00:00"</f>
        <v>08/22/2014 00:00</v>
      </c>
      <c r="C4710">
        <v>1.92</v>
      </c>
      <c r="D4710" t="s">
        <v>7</v>
      </c>
      <c r="E4710" s="2" t="s">
        <v>12</v>
      </c>
      <c r="F4710">
        <f t="shared" si="73"/>
        <v>3.8073600000000001</v>
      </c>
      <c r="G4710" t="s">
        <v>16</v>
      </c>
      <c r="J4710" t="str">
        <f>"08/22/2014 23:45"</f>
        <v>08/22/2014 23:45</v>
      </c>
    </row>
    <row r="4711" spans="1:10" x14ac:dyDescent="0.3">
      <c r="A4711" t="s">
        <v>6</v>
      </c>
      <c r="B4711" t="str">
        <f>"08/23/2014 00:00"</f>
        <v>08/23/2014 00:00</v>
      </c>
      <c r="C4711">
        <v>1.92</v>
      </c>
      <c r="D4711" t="s">
        <v>7</v>
      </c>
      <c r="E4711" s="2" t="s">
        <v>12</v>
      </c>
      <c r="F4711">
        <f t="shared" si="73"/>
        <v>3.8073600000000001</v>
      </c>
      <c r="G4711" t="s">
        <v>16</v>
      </c>
      <c r="J4711" t="str">
        <f>"08/23/2014 23:45"</f>
        <v>08/23/2014 23:45</v>
      </c>
    </row>
    <row r="4712" spans="1:10" x14ac:dyDescent="0.3">
      <c r="A4712" t="s">
        <v>6</v>
      </c>
      <c r="B4712" t="str">
        <f>"08/24/2014 00:00"</f>
        <v>08/24/2014 00:00</v>
      </c>
      <c r="C4712">
        <v>1.92</v>
      </c>
      <c r="D4712" t="s">
        <v>7</v>
      </c>
      <c r="E4712" s="2" t="s">
        <v>12</v>
      </c>
      <c r="F4712">
        <f t="shared" si="73"/>
        <v>3.8073600000000001</v>
      </c>
      <c r="G4712" t="s">
        <v>16</v>
      </c>
      <c r="J4712" t="str">
        <f>"08/24/2014 23:45"</f>
        <v>08/24/2014 23:45</v>
      </c>
    </row>
    <row r="4713" spans="1:10" x14ac:dyDescent="0.3">
      <c r="A4713" t="s">
        <v>6</v>
      </c>
      <c r="B4713" t="str">
        <f>"08/25/2014 00:00"</f>
        <v>08/25/2014 00:00</v>
      </c>
      <c r="C4713">
        <v>1.92</v>
      </c>
      <c r="D4713" t="s">
        <v>7</v>
      </c>
      <c r="E4713" s="2" t="s">
        <v>12</v>
      </c>
      <c r="F4713">
        <f t="shared" si="73"/>
        <v>3.8073600000000001</v>
      </c>
      <c r="G4713" t="s">
        <v>16</v>
      </c>
      <c r="J4713" t="str">
        <f>"08/25/2014 23:45"</f>
        <v>08/25/2014 23:45</v>
      </c>
    </row>
    <row r="4714" spans="1:10" x14ac:dyDescent="0.3">
      <c r="A4714" t="s">
        <v>6</v>
      </c>
      <c r="B4714" t="str">
        <f>"08/26/2014 00:00"</f>
        <v>08/26/2014 00:00</v>
      </c>
      <c r="C4714">
        <v>1.92</v>
      </c>
      <c r="D4714" t="s">
        <v>7</v>
      </c>
      <c r="E4714" s="2" t="s">
        <v>12</v>
      </c>
      <c r="F4714">
        <f t="shared" si="73"/>
        <v>3.8073600000000001</v>
      </c>
      <c r="G4714" t="s">
        <v>16</v>
      </c>
      <c r="J4714" t="str">
        <f>"08/26/2014 23:45"</f>
        <v>08/26/2014 23:45</v>
      </c>
    </row>
    <row r="4715" spans="1:10" x14ac:dyDescent="0.3">
      <c r="A4715" t="s">
        <v>6</v>
      </c>
      <c r="B4715" t="str">
        <f>"08/27/2014 00:00"</f>
        <v>08/27/2014 00:00</v>
      </c>
      <c r="C4715">
        <v>1.92</v>
      </c>
      <c r="D4715" t="s">
        <v>7</v>
      </c>
      <c r="E4715" s="2" t="s">
        <v>12</v>
      </c>
      <c r="F4715">
        <f t="shared" si="73"/>
        <v>3.8073600000000001</v>
      </c>
      <c r="G4715" t="s">
        <v>16</v>
      </c>
      <c r="J4715" t="str">
        <f>"08/27/2014 23:45"</f>
        <v>08/27/2014 23:45</v>
      </c>
    </row>
    <row r="4716" spans="1:10" x14ac:dyDescent="0.3">
      <c r="A4716" t="s">
        <v>6</v>
      </c>
      <c r="B4716" t="str">
        <f>"08/28/2014 00:00"</f>
        <v>08/28/2014 00:00</v>
      </c>
      <c r="C4716">
        <v>1.92</v>
      </c>
      <c r="D4716" t="s">
        <v>7</v>
      </c>
      <c r="E4716" s="2" t="s">
        <v>12</v>
      </c>
      <c r="F4716">
        <f t="shared" si="73"/>
        <v>3.8073600000000001</v>
      </c>
      <c r="G4716" t="s">
        <v>16</v>
      </c>
      <c r="J4716" t="str">
        <f>"08/28/2014 23:45"</f>
        <v>08/28/2014 23:45</v>
      </c>
    </row>
    <row r="4717" spans="1:10" x14ac:dyDescent="0.3">
      <c r="A4717" t="s">
        <v>6</v>
      </c>
      <c r="B4717" t="str">
        <f>"08/29/2014 00:00"</f>
        <v>08/29/2014 00:00</v>
      </c>
      <c r="C4717">
        <v>1.92</v>
      </c>
      <c r="D4717" t="s">
        <v>7</v>
      </c>
      <c r="E4717" s="2" t="s">
        <v>12</v>
      </c>
      <c r="F4717">
        <f t="shared" si="73"/>
        <v>3.8073600000000001</v>
      </c>
      <c r="G4717" t="s">
        <v>16</v>
      </c>
      <c r="J4717" t="str">
        <f>"08/29/2014 23:45"</f>
        <v>08/29/2014 23:45</v>
      </c>
    </row>
    <row r="4718" spans="1:10" x14ac:dyDescent="0.3">
      <c r="A4718" t="s">
        <v>6</v>
      </c>
      <c r="B4718" t="str">
        <f>"08/30/2014 00:00"</f>
        <v>08/30/2014 00:00</v>
      </c>
      <c r="C4718">
        <v>1.92</v>
      </c>
      <c r="D4718" t="s">
        <v>7</v>
      </c>
      <c r="E4718" s="2" t="s">
        <v>12</v>
      </c>
      <c r="F4718">
        <f t="shared" si="73"/>
        <v>3.8073600000000001</v>
      </c>
      <c r="G4718" t="s">
        <v>16</v>
      </c>
      <c r="J4718" t="str">
        <f>"08/30/2014 23:45"</f>
        <v>08/30/2014 23:45</v>
      </c>
    </row>
    <row r="4719" spans="1:10" x14ac:dyDescent="0.3">
      <c r="A4719" t="s">
        <v>6</v>
      </c>
      <c r="B4719" t="str">
        <f>"08/31/2014 00:00"</f>
        <v>08/31/2014 00:00</v>
      </c>
      <c r="C4719">
        <v>1.7</v>
      </c>
      <c r="D4719" t="s">
        <v>7</v>
      </c>
      <c r="E4719" s="2" t="s">
        <v>12</v>
      </c>
      <c r="F4719">
        <f t="shared" si="73"/>
        <v>3.3711000000000002</v>
      </c>
      <c r="G4719" t="s">
        <v>16</v>
      </c>
      <c r="J4719" t="str">
        <f>"08/31/2014 23:45"</f>
        <v>08/31/2014 23:45</v>
      </c>
    </row>
    <row r="4720" spans="1:10" x14ac:dyDescent="0.3">
      <c r="A4720" t="s">
        <v>6</v>
      </c>
      <c r="B4720" t="str">
        <f>"09/01/2014 00:00"</f>
        <v>09/01/2014 00:00</v>
      </c>
      <c r="C4720">
        <v>1.62</v>
      </c>
      <c r="D4720" t="s">
        <v>7</v>
      </c>
      <c r="E4720" s="2" t="s">
        <v>12</v>
      </c>
      <c r="F4720">
        <f t="shared" si="73"/>
        <v>3.2124600000000005</v>
      </c>
      <c r="G4720" t="s">
        <v>16</v>
      </c>
      <c r="J4720" t="str">
        <f>"09/01/2014 23:45"</f>
        <v>09/01/2014 23:45</v>
      </c>
    </row>
    <row r="4721" spans="1:10" x14ac:dyDescent="0.3">
      <c r="A4721" t="s">
        <v>6</v>
      </c>
      <c r="B4721" t="str">
        <f>"09/02/2014 00:00"</f>
        <v>09/02/2014 00:00</v>
      </c>
      <c r="C4721">
        <v>1.62</v>
      </c>
      <c r="D4721" t="s">
        <v>7</v>
      </c>
      <c r="E4721" s="2" t="s">
        <v>12</v>
      </c>
      <c r="F4721">
        <f t="shared" si="73"/>
        <v>3.2124600000000005</v>
      </c>
      <c r="G4721" t="s">
        <v>16</v>
      </c>
      <c r="J4721" t="str">
        <f>"09/02/2014 23:45"</f>
        <v>09/02/2014 23:45</v>
      </c>
    </row>
    <row r="4722" spans="1:10" x14ac:dyDescent="0.3">
      <c r="A4722" t="s">
        <v>6</v>
      </c>
      <c r="B4722" t="str">
        <f>"09/03/2014 00:00"</f>
        <v>09/03/2014 00:00</v>
      </c>
      <c r="C4722">
        <v>51.4</v>
      </c>
      <c r="D4722" t="s">
        <v>7</v>
      </c>
      <c r="E4722" s="2" t="s">
        <v>12</v>
      </c>
      <c r="F4722">
        <f t="shared" si="73"/>
        <v>101.92620000000001</v>
      </c>
      <c r="G4722" t="s">
        <v>16</v>
      </c>
      <c r="J4722" t="str">
        <f>"09/03/2014 23:45"</f>
        <v>09/03/2014 23:45</v>
      </c>
    </row>
    <row r="4723" spans="1:10" x14ac:dyDescent="0.3">
      <c r="A4723" t="s">
        <v>6</v>
      </c>
      <c r="B4723" t="str">
        <f>"09/04/2014 00:00"</f>
        <v>09/04/2014 00:00</v>
      </c>
      <c r="C4723">
        <v>99.1</v>
      </c>
      <c r="D4723" t="s">
        <v>7</v>
      </c>
      <c r="E4723" s="2" t="s">
        <v>12</v>
      </c>
      <c r="F4723">
        <f t="shared" si="73"/>
        <v>196.5153</v>
      </c>
      <c r="G4723" t="s">
        <v>16</v>
      </c>
      <c r="J4723" t="str">
        <f>"09/04/2014 23:45"</f>
        <v>09/04/2014 23:45</v>
      </c>
    </row>
    <row r="4724" spans="1:10" x14ac:dyDescent="0.3">
      <c r="A4724" t="s">
        <v>6</v>
      </c>
      <c r="B4724" t="str">
        <f>"09/05/2014 00:00"</f>
        <v>09/05/2014 00:00</v>
      </c>
      <c r="C4724">
        <v>79.400000000000006</v>
      </c>
      <c r="D4724" t="s">
        <v>7</v>
      </c>
      <c r="E4724" s="2" t="s">
        <v>12</v>
      </c>
      <c r="F4724">
        <f t="shared" si="73"/>
        <v>157.45020000000002</v>
      </c>
      <c r="G4724" t="s">
        <v>16</v>
      </c>
      <c r="J4724" t="str">
        <f>"09/05/2014 23:45"</f>
        <v>09/05/2014 23:45</v>
      </c>
    </row>
    <row r="4725" spans="1:10" x14ac:dyDescent="0.3">
      <c r="A4725" t="s">
        <v>6</v>
      </c>
      <c r="B4725" t="str">
        <f>"09/06/2014 00:00"</f>
        <v>09/06/2014 00:00</v>
      </c>
      <c r="C4725">
        <v>50</v>
      </c>
      <c r="D4725" t="s">
        <v>7</v>
      </c>
      <c r="E4725" s="2" t="s">
        <v>12</v>
      </c>
      <c r="F4725">
        <f t="shared" si="73"/>
        <v>99.15</v>
      </c>
      <c r="G4725" t="s">
        <v>16</v>
      </c>
      <c r="J4725" t="str">
        <f>"09/06/2014 23:45"</f>
        <v>09/06/2014 23:45</v>
      </c>
    </row>
    <row r="4726" spans="1:10" x14ac:dyDescent="0.3">
      <c r="A4726" t="s">
        <v>6</v>
      </c>
      <c r="B4726" t="str">
        <f>"09/07/2014 00:00"</f>
        <v>09/07/2014 00:00</v>
      </c>
      <c r="C4726">
        <v>36.4</v>
      </c>
      <c r="D4726" t="s">
        <v>7</v>
      </c>
      <c r="E4726" s="2" t="s">
        <v>12</v>
      </c>
      <c r="F4726">
        <f t="shared" si="73"/>
        <v>72.181200000000004</v>
      </c>
      <c r="G4726" t="s">
        <v>16</v>
      </c>
      <c r="J4726" t="str">
        <f>"09/07/2014 23:45"</f>
        <v>09/07/2014 23:45</v>
      </c>
    </row>
    <row r="4727" spans="1:10" x14ac:dyDescent="0.3">
      <c r="A4727" t="s">
        <v>6</v>
      </c>
      <c r="B4727" t="str">
        <f>"09/08/2014 00:00"</f>
        <v>09/08/2014 00:00</v>
      </c>
      <c r="C4727">
        <v>25.5</v>
      </c>
      <c r="D4727" t="s">
        <v>7</v>
      </c>
      <c r="E4727" s="2" t="s">
        <v>12</v>
      </c>
      <c r="F4727">
        <f t="shared" si="73"/>
        <v>50.566500000000005</v>
      </c>
      <c r="G4727" t="s">
        <v>16</v>
      </c>
      <c r="J4727" t="str">
        <f>"09/08/2014 23:45"</f>
        <v>09/08/2014 23:45</v>
      </c>
    </row>
    <row r="4728" spans="1:10" x14ac:dyDescent="0.3">
      <c r="A4728" t="s">
        <v>6</v>
      </c>
      <c r="B4728" t="str">
        <f>"09/09/2014 00:00"</f>
        <v>09/09/2014 00:00</v>
      </c>
      <c r="C4728">
        <v>77.3</v>
      </c>
      <c r="D4728" t="s">
        <v>7</v>
      </c>
      <c r="E4728" s="2" t="s">
        <v>12</v>
      </c>
      <c r="F4728">
        <f t="shared" si="73"/>
        <v>153.2859</v>
      </c>
      <c r="G4728" t="s">
        <v>16</v>
      </c>
      <c r="J4728" t="str">
        <f>"09/09/2014 23:45"</f>
        <v>09/09/2014 23:45</v>
      </c>
    </row>
    <row r="4729" spans="1:10" x14ac:dyDescent="0.3">
      <c r="A4729" t="s">
        <v>6</v>
      </c>
      <c r="B4729" t="str">
        <f>"09/10/2014 00:00"</f>
        <v>09/10/2014 00:00</v>
      </c>
      <c r="C4729">
        <v>123</v>
      </c>
      <c r="D4729" t="s">
        <v>7</v>
      </c>
      <c r="E4729" s="2" t="s">
        <v>12</v>
      </c>
      <c r="F4729">
        <f t="shared" si="73"/>
        <v>243.90900000000002</v>
      </c>
      <c r="G4729" t="s">
        <v>16</v>
      </c>
      <c r="J4729" t="str">
        <f>"09/10/2014 23:45"</f>
        <v>09/10/2014 23:45</v>
      </c>
    </row>
    <row r="4730" spans="1:10" x14ac:dyDescent="0.3">
      <c r="A4730" t="s">
        <v>6</v>
      </c>
      <c r="B4730" t="str">
        <f>"09/11/2014 00:00"</f>
        <v>09/11/2014 00:00</v>
      </c>
      <c r="C4730">
        <v>110</v>
      </c>
      <c r="D4730" t="s">
        <v>7</v>
      </c>
      <c r="E4730" s="2" t="s">
        <v>12</v>
      </c>
      <c r="F4730">
        <f t="shared" si="73"/>
        <v>218.13000000000002</v>
      </c>
      <c r="G4730" t="s">
        <v>16</v>
      </c>
      <c r="J4730" t="str">
        <f>"09/11/2014 23:45"</f>
        <v>09/11/2014 23:45</v>
      </c>
    </row>
    <row r="4731" spans="1:10" x14ac:dyDescent="0.3">
      <c r="A4731" t="s">
        <v>6</v>
      </c>
      <c r="B4731" t="str">
        <f>"09/12/2014 00:00"</f>
        <v>09/12/2014 00:00</v>
      </c>
      <c r="C4731">
        <v>94.4</v>
      </c>
      <c r="D4731" t="s">
        <v>7</v>
      </c>
      <c r="E4731" s="2" t="s">
        <v>12</v>
      </c>
      <c r="F4731">
        <f t="shared" si="73"/>
        <v>187.19520000000003</v>
      </c>
      <c r="G4731" t="s">
        <v>16</v>
      </c>
      <c r="J4731" t="str">
        <f>"09/12/2014 23:45"</f>
        <v>09/12/2014 23:45</v>
      </c>
    </row>
    <row r="4732" spans="1:10" x14ac:dyDescent="0.3">
      <c r="A4732" t="s">
        <v>6</v>
      </c>
      <c r="B4732" t="str">
        <f>"09/13/2014 00:00"</f>
        <v>09/13/2014 00:00</v>
      </c>
      <c r="C4732">
        <v>117</v>
      </c>
      <c r="D4732" t="s">
        <v>7</v>
      </c>
      <c r="E4732" s="2" t="s">
        <v>12</v>
      </c>
      <c r="F4732">
        <f t="shared" si="73"/>
        <v>232.01100000000002</v>
      </c>
      <c r="G4732" t="s">
        <v>16</v>
      </c>
      <c r="J4732" t="str">
        <f>"09/13/2014 23:45"</f>
        <v>09/13/2014 23:45</v>
      </c>
    </row>
    <row r="4733" spans="1:10" x14ac:dyDescent="0.3">
      <c r="A4733" t="s">
        <v>6</v>
      </c>
      <c r="B4733" t="str">
        <f>"09/14/2014 00:00"</f>
        <v>09/14/2014 00:00</v>
      </c>
      <c r="C4733">
        <v>125</v>
      </c>
      <c r="D4733" t="s">
        <v>7</v>
      </c>
      <c r="E4733" s="2" t="s">
        <v>12</v>
      </c>
      <c r="F4733">
        <f t="shared" si="73"/>
        <v>247.875</v>
      </c>
      <c r="G4733" t="s">
        <v>16</v>
      </c>
      <c r="J4733" t="str">
        <f>"09/14/2014 23:45"</f>
        <v>09/14/2014 23:45</v>
      </c>
    </row>
    <row r="4734" spans="1:10" x14ac:dyDescent="0.3">
      <c r="A4734" t="s">
        <v>6</v>
      </c>
      <c r="B4734" t="str">
        <f>"09/15/2014 00:00"</f>
        <v>09/15/2014 00:00</v>
      </c>
      <c r="C4734">
        <v>157</v>
      </c>
      <c r="D4734" t="s">
        <v>7</v>
      </c>
      <c r="E4734" s="2" t="s">
        <v>12</v>
      </c>
      <c r="F4734">
        <f t="shared" si="73"/>
        <v>311.33100000000002</v>
      </c>
      <c r="G4734" t="s">
        <v>16</v>
      </c>
      <c r="J4734" t="str">
        <f>"09/15/2014 23:45"</f>
        <v>09/15/2014 23:45</v>
      </c>
    </row>
    <row r="4735" spans="1:10" x14ac:dyDescent="0.3">
      <c r="A4735" t="s">
        <v>6</v>
      </c>
      <c r="B4735" t="str">
        <f>"09/16/2014 00:00"</f>
        <v>09/16/2014 00:00</v>
      </c>
      <c r="C4735">
        <v>241</v>
      </c>
      <c r="D4735" t="s">
        <v>7</v>
      </c>
      <c r="E4735" s="2" t="s">
        <v>12</v>
      </c>
      <c r="F4735">
        <f t="shared" si="73"/>
        <v>477.90300000000002</v>
      </c>
      <c r="G4735" t="s">
        <v>16</v>
      </c>
      <c r="J4735" t="str">
        <f>"09/16/2014 23:45"</f>
        <v>09/16/2014 23:45</v>
      </c>
    </row>
    <row r="4736" spans="1:10" x14ac:dyDescent="0.3">
      <c r="A4736" t="s">
        <v>6</v>
      </c>
      <c r="B4736" t="str">
        <f>"09/17/2014 00:00"</f>
        <v>09/17/2014 00:00</v>
      </c>
      <c r="C4736">
        <v>284</v>
      </c>
      <c r="D4736" t="s">
        <v>7</v>
      </c>
      <c r="E4736" s="2" t="s">
        <v>12</v>
      </c>
      <c r="F4736">
        <f t="shared" si="73"/>
        <v>563.17200000000003</v>
      </c>
      <c r="G4736" t="s">
        <v>16</v>
      </c>
      <c r="J4736" t="str">
        <f>"09/17/2014 23:45"</f>
        <v>09/17/2014 23:45</v>
      </c>
    </row>
    <row r="4737" spans="1:10" x14ac:dyDescent="0.3">
      <c r="A4737" t="s">
        <v>6</v>
      </c>
      <c r="B4737" t="str">
        <f>"09/18/2014 00:00"</f>
        <v>09/18/2014 00:00</v>
      </c>
      <c r="C4737">
        <v>316</v>
      </c>
      <c r="D4737" t="s">
        <v>7</v>
      </c>
      <c r="E4737" s="2" t="s">
        <v>12</v>
      </c>
      <c r="F4737">
        <f t="shared" si="73"/>
        <v>626.62800000000004</v>
      </c>
      <c r="G4737" t="s">
        <v>16</v>
      </c>
      <c r="J4737" t="str">
        <f>"09/18/2014 23:45"</f>
        <v>09/18/2014 23:45</v>
      </c>
    </row>
    <row r="4738" spans="1:10" x14ac:dyDescent="0.3">
      <c r="A4738" t="s">
        <v>6</v>
      </c>
      <c r="B4738" t="str">
        <f>"09/19/2014 00:00"</f>
        <v>09/19/2014 00:00</v>
      </c>
      <c r="C4738">
        <v>337</v>
      </c>
      <c r="D4738" t="s">
        <v>7</v>
      </c>
      <c r="E4738" s="2" t="s">
        <v>12</v>
      </c>
      <c r="F4738">
        <f t="shared" si="73"/>
        <v>668.27100000000007</v>
      </c>
      <c r="G4738" t="s">
        <v>16</v>
      </c>
      <c r="J4738" t="str">
        <f>"09/19/2014 23:45"</f>
        <v>09/19/2014 23:45</v>
      </c>
    </row>
    <row r="4739" spans="1:10" x14ac:dyDescent="0.3">
      <c r="A4739" t="s">
        <v>6</v>
      </c>
      <c r="B4739" t="str">
        <f>"09/20/2014 00:00"</f>
        <v>09/20/2014 00:00</v>
      </c>
      <c r="C4739">
        <v>337</v>
      </c>
      <c r="D4739" t="s">
        <v>7</v>
      </c>
      <c r="E4739" s="2" t="s">
        <v>12</v>
      </c>
      <c r="F4739">
        <f t="shared" si="73"/>
        <v>668.27100000000007</v>
      </c>
      <c r="G4739" t="s">
        <v>16</v>
      </c>
      <c r="J4739" t="str">
        <f>"09/20/2014 23:45"</f>
        <v>09/20/2014 23:45</v>
      </c>
    </row>
    <row r="4740" spans="1:10" x14ac:dyDescent="0.3">
      <c r="A4740" t="s">
        <v>6</v>
      </c>
      <c r="B4740" t="str">
        <f>"09/21/2014 00:00"</f>
        <v>09/21/2014 00:00</v>
      </c>
      <c r="C4740">
        <v>312</v>
      </c>
      <c r="D4740" t="s">
        <v>7</v>
      </c>
      <c r="E4740" s="2" t="s">
        <v>12</v>
      </c>
      <c r="F4740">
        <f t="shared" ref="F4740:F4803" si="74">C4740*1.983</f>
        <v>618.69600000000003</v>
      </c>
      <c r="G4740" t="s">
        <v>16</v>
      </c>
      <c r="J4740" t="str">
        <f>"09/21/2014 23:45"</f>
        <v>09/21/2014 23:45</v>
      </c>
    </row>
    <row r="4741" spans="1:10" x14ac:dyDescent="0.3">
      <c r="A4741" t="s">
        <v>6</v>
      </c>
      <c r="B4741" t="str">
        <f>"09/22/2014 00:00"</f>
        <v>09/22/2014 00:00</v>
      </c>
      <c r="C4741">
        <v>218</v>
      </c>
      <c r="D4741" t="s">
        <v>7</v>
      </c>
      <c r="E4741" s="2" t="s">
        <v>12</v>
      </c>
      <c r="F4741">
        <f t="shared" si="74"/>
        <v>432.29400000000004</v>
      </c>
      <c r="G4741" t="s">
        <v>16</v>
      </c>
      <c r="J4741" t="str">
        <f>"09/22/2014 23:45"</f>
        <v>09/22/2014 23:45</v>
      </c>
    </row>
    <row r="4742" spans="1:10" x14ac:dyDescent="0.3">
      <c r="A4742" t="s">
        <v>6</v>
      </c>
      <c r="B4742" t="str">
        <f>"09/23/2014 00:00"</f>
        <v>09/23/2014 00:00</v>
      </c>
      <c r="C4742">
        <v>112</v>
      </c>
      <c r="D4742" t="s">
        <v>7</v>
      </c>
      <c r="E4742" s="2" t="s">
        <v>12</v>
      </c>
      <c r="F4742">
        <f t="shared" si="74"/>
        <v>222.096</v>
      </c>
      <c r="G4742" t="s">
        <v>16</v>
      </c>
      <c r="J4742" t="str">
        <f>"09/23/2014 23:45"</f>
        <v>09/23/2014 23:45</v>
      </c>
    </row>
    <row r="4743" spans="1:10" x14ac:dyDescent="0.3">
      <c r="A4743" t="s">
        <v>6</v>
      </c>
      <c r="B4743" t="str">
        <f>"09/24/2014 00:00"</f>
        <v>09/24/2014 00:00</v>
      </c>
      <c r="C4743">
        <v>175</v>
      </c>
      <c r="D4743" t="s">
        <v>7</v>
      </c>
      <c r="E4743" s="2" t="s">
        <v>12</v>
      </c>
      <c r="F4743">
        <f t="shared" si="74"/>
        <v>347.02500000000003</v>
      </c>
      <c r="G4743" t="s">
        <v>16</v>
      </c>
      <c r="J4743" t="str">
        <f>"09/24/2014 23:45"</f>
        <v>09/24/2014 23:45</v>
      </c>
    </row>
    <row r="4744" spans="1:10" x14ac:dyDescent="0.3">
      <c r="A4744" t="s">
        <v>6</v>
      </c>
      <c r="B4744" t="str">
        <f>"09/25/2014 00:00"</f>
        <v>09/25/2014 00:00</v>
      </c>
      <c r="C4744">
        <v>241</v>
      </c>
      <c r="D4744" t="s">
        <v>7</v>
      </c>
      <c r="E4744" s="2" t="s">
        <v>12</v>
      </c>
      <c r="F4744">
        <f t="shared" si="74"/>
        <v>477.90300000000002</v>
      </c>
      <c r="G4744" t="s">
        <v>16</v>
      </c>
      <c r="J4744" t="str">
        <f>"09/25/2014 23:45"</f>
        <v>09/25/2014 23:45</v>
      </c>
    </row>
    <row r="4745" spans="1:10" x14ac:dyDescent="0.3">
      <c r="A4745" t="s">
        <v>6</v>
      </c>
      <c r="B4745" t="str">
        <f>"09/26/2014 00:00"</f>
        <v>09/26/2014 00:00</v>
      </c>
      <c r="C4745">
        <v>266</v>
      </c>
      <c r="D4745" t="s">
        <v>7</v>
      </c>
      <c r="E4745" s="2" t="s">
        <v>12</v>
      </c>
      <c r="F4745">
        <f t="shared" si="74"/>
        <v>527.47800000000007</v>
      </c>
      <c r="G4745" t="s">
        <v>16</v>
      </c>
      <c r="J4745" t="str">
        <f>"09/26/2014 23:45"</f>
        <v>09/26/2014 23:45</v>
      </c>
    </row>
    <row r="4746" spans="1:10" x14ac:dyDescent="0.3">
      <c r="A4746" t="s">
        <v>6</v>
      </c>
      <c r="B4746" t="str">
        <f>"09/27/2014 00:00"</f>
        <v>09/27/2014 00:00</v>
      </c>
      <c r="C4746">
        <v>307</v>
      </c>
      <c r="D4746" t="s">
        <v>7</v>
      </c>
      <c r="E4746" s="2" t="s">
        <v>12</v>
      </c>
      <c r="F4746">
        <f t="shared" si="74"/>
        <v>608.78100000000006</v>
      </c>
      <c r="G4746" t="s">
        <v>16</v>
      </c>
      <c r="J4746" t="str">
        <f>"09/27/2014 23:45"</f>
        <v>09/27/2014 23:45</v>
      </c>
    </row>
    <row r="4747" spans="1:10" x14ac:dyDescent="0.3">
      <c r="A4747" t="s">
        <v>6</v>
      </c>
      <c r="B4747" t="str">
        <f>"09/28/2014 00:00"</f>
        <v>09/28/2014 00:00</v>
      </c>
      <c r="C4747">
        <v>325</v>
      </c>
      <c r="D4747" t="s">
        <v>7</v>
      </c>
      <c r="E4747" s="2" t="s">
        <v>12</v>
      </c>
      <c r="F4747">
        <f t="shared" si="74"/>
        <v>644.47500000000002</v>
      </c>
      <c r="G4747" t="s">
        <v>16</v>
      </c>
      <c r="J4747" t="str">
        <f>"09/28/2014 23:45"</f>
        <v>09/28/2014 23:45</v>
      </c>
    </row>
    <row r="4748" spans="1:10" x14ac:dyDescent="0.3">
      <c r="A4748" t="s">
        <v>6</v>
      </c>
      <c r="B4748" t="str">
        <f>"09/29/2014 00:00"</f>
        <v>09/29/2014 00:00</v>
      </c>
      <c r="C4748">
        <v>233</v>
      </c>
      <c r="D4748" t="s">
        <v>7</v>
      </c>
      <c r="E4748" s="2" t="s">
        <v>12</v>
      </c>
      <c r="F4748">
        <f t="shared" si="74"/>
        <v>462.03900000000004</v>
      </c>
      <c r="G4748" t="s">
        <v>16</v>
      </c>
      <c r="J4748" t="str">
        <f>"09/29/2014 23:45"</f>
        <v>09/29/2014 23:45</v>
      </c>
    </row>
    <row r="4749" spans="1:10" x14ac:dyDescent="0.3">
      <c r="A4749" t="s">
        <v>6</v>
      </c>
      <c r="B4749" t="str">
        <f>"09/30/2014 00:00"</f>
        <v>09/30/2014 00:00</v>
      </c>
      <c r="C4749">
        <v>127</v>
      </c>
      <c r="D4749" t="s">
        <v>7</v>
      </c>
      <c r="E4749" s="2" t="s">
        <v>12</v>
      </c>
      <c r="F4749">
        <f t="shared" si="74"/>
        <v>251.84100000000001</v>
      </c>
      <c r="G4749" t="s">
        <v>16</v>
      </c>
      <c r="J4749" t="str">
        <f>"09/30/2014 23:45"</f>
        <v>09/30/2014 23:45</v>
      </c>
    </row>
    <row r="4750" spans="1:10" x14ac:dyDescent="0.3">
      <c r="A4750" t="s">
        <v>6</v>
      </c>
      <c r="B4750" t="str">
        <f>"10/01/2014 00:00"</f>
        <v>10/01/2014 00:00</v>
      </c>
      <c r="C4750">
        <v>38.799999999999997</v>
      </c>
      <c r="D4750" t="s">
        <v>7</v>
      </c>
      <c r="E4750" s="2" t="s">
        <v>12</v>
      </c>
      <c r="F4750">
        <f t="shared" si="74"/>
        <v>76.940399999999997</v>
      </c>
      <c r="G4750" t="s">
        <v>16</v>
      </c>
      <c r="J4750" t="str">
        <f>"10/01/2014 23:45"</f>
        <v>10/01/2014 23:45</v>
      </c>
    </row>
    <row r="4751" spans="1:10" x14ac:dyDescent="0.3">
      <c r="A4751" t="s">
        <v>6</v>
      </c>
      <c r="B4751" t="str">
        <f>"10/02/2014 00:00"</f>
        <v>10/02/2014 00:00</v>
      </c>
      <c r="C4751">
        <v>2.56</v>
      </c>
      <c r="D4751" t="s">
        <v>7</v>
      </c>
      <c r="E4751" s="2" t="s">
        <v>12</v>
      </c>
      <c r="F4751">
        <f t="shared" si="74"/>
        <v>5.0764800000000001</v>
      </c>
      <c r="G4751" t="s">
        <v>16</v>
      </c>
      <c r="J4751" t="str">
        <f>"10/02/2014 23:45"</f>
        <v>10/02/2014 23:45</v>
      </c>
    </row>
    <row r="4752" spans="1:10" x14ac:dyDescent="0.3">
      <c r="A4752" t="s">
        <v>6</v>
      </c>
      <c r="B4752" t="str">
        <f>"10/03/2014 00:00"</f>
        <v>10/03/2014 00:00</v>
      </c>
      <c r="C4752">
        <v>2.56</v>
      </c>
      <c r="D4752" t="s">
        <v>7</v>
      </c>
      <c r="E4752" s="2" t="s">
        <v>12</v>
      </c>
      <c r="F4752">
        <f t="shared" si="74"/>
        <v>5.0764800000000001</v>
      </c>
      <c r="G4752" t="s">
        <v>16</v>
      </c>
      <c r="J4752" t="str">
        <f>"10/03/2014 23:45"</f>
        <v>10/03/2014 23:45</v>
      </c>
    </row>
    <row r="4753" spans="1:10" x14ac:dyDescent="0.3">
      <c r="A4753" t="s">
        <v>6</v>
      </c>
      <c r="B4753" t="str">
        <f>"10/04/2014 00:00"</f>
        <v>10/04/2014 00:00</v>
      </c>
      <c r="C4753">
        <v>2.56</v>
      </c>
      <c r="D4753" t="s">
        <v>7</v>
      </c>
      <c r="E4753" s="2" t="s">
        <v>12</v>
      </c>
      <c r="F4753">
        <f t="shared" si="74"/>
        <v>5.0764800000000001</v>
      </c>
      <c r="G4753" t="s">
        <v>16</v>
      </c>
      <c r="J4753" t="str">
        <f>"10/04/2014 23:45"</f>
        <v>10/04/2014 23:45</v>
      </c>
    </row>
    <row r="4754" spans="1:10" x14ac:dyDescent="0.3">
      <c r="A4754" t="s">
        <v>6</v>
      </c>
      <c r="B4754" t="str">
        <f>"10/05/2014 00:00"</f>
        <v>10/05/2014 00:00</v>
      </c>
      <c r="C4754">
        <v>2.56</v>
      </c>
      <c r="D4754" t="s">
        <v>7</v>
      </c>
      <c r="E4754" s="2" t="s">
        <v>12</v>
      </c>
      <c r="F4754">
        <f t="shared" si="74"/>
        <v>5.0764800000000001</v>
      </c>
      <c r="G4754" t="s">
        <v>16</v>
      </c>
      <c r="J4754" t="str">
        <f>"10/05/2014 23:45"</f>
        <v>10/05/2014 23:45</v>
      </c>
    </row>
    <row r="4755" spans="1:10" x14ac:dyDescent="0.3">
      <c r="A4755" t="s">
        <v>6</v>
      </c>
      <c r="B4755" t="str">
        <f>"10/06/2014 00:00"</f>
        <v>10/06/2014 00:00</v>
      </c>
      <c r="C4755">
        <v>2.56</v>
      </c>
      <c r="D4755" t="s">
        <v>7</v>
      </c>
      <c r="E4755" s="2" t="s">
        <v>12</v>
      </c>
      <c r="F4755">
        <f t="shared" si="74"/>
        <v>5.0764800000000001</v>
      </c>
      <c r="G4755" t="s">
        <v>16</v>
      </c>
      <c r="J4755" t="str">
        <f>"10/06/2014 23:45"</f>
        <v>10/06/2014 23:45</v>
      </c>
    </row>
    <row r="4756" spans="1:10" x14ac:dyDescent="0.3">
      <c r="A4756" t="s">
        <v>6</v>
      </c>
      <c r="B4756" t="str">
        <f>"10/07/2014 00:00"</f>
        <v>10/07/2014 00:00</v>
      </c>
      <c r="C4756">
        <v>2.4300000000000002</v>
      </c>
      <c r="D4756" t="s">
        <v>7</v>
      </c>
      <c r="E4756" s="2" t="s">
        <v>12</v>
      </c>
      <c r="F4756">
        <f t="shared" si="74"/>
        <v>4.8186900000000001</v>
      </c>
      <c r="G4756" t="s">
        <v>16</v>
      </c>
      <c r="J4756" t="str">
        <f>"10/07/2014 23:45"</f>
        <v>10/07/2014 23:45</v>
      </c>
    </row>
    <row r="4757" spans="1:10" x14ac:dyDescent="0.3">
      <c r="A4757" t="s">
        <v>6</v>
      </c>
      <c r="B4757" t="str">
        <f>"10/08/2014 00:00"</f>
        <v>10/08/2014 00:00</v>
      </c>
      <c r="C4757">
        <v>2.2599999999999998</v>
      </c>
      <c r="D4757" t="s">
        <v>7</v>
      </c>
      <c r="E4757" s="2" t="s">
        <v>12</v>
      </c>
      <c r="F4757">
        <f t="shared" si="74"/>
        <v>4.4815800000000001</v>
      </c>
      <c r="G4757" t="s">
        <v>16</v>
      </c>
      <c r="J4757" t="str">
        <f>"10/08/2014 23:45"</f>
        <v>10/08/2014 23:45</v>
      </c>
    </row>
    <row r="4758" spans="1:10" x14ac:dyDescent="0.3">
      <c r="A4758" t="s">
        <v>6</v>
      </c>
      <c r="B4758" t="str">
        <f>"10/09/2014 00:00"</f>
        <v>10/09/2014 00:00</v>
      </c>
      <c r="C4758">
        <v>2.23</v>
      </c>
      <c r="D4758" t="s">
        <v>7</v>
      </c>
      <c r="E4758" s="2" t="s">
        <v>12</v>
      </c>
      <c r="F4758">
        <f t="shared" si="74"/>
        <v>4.4220899999999999</v>
      </c>
      <c r="G4758" t="s">
        <v>16</v>
      </c>
      <c r="J4758" t="str">
        <f>"10/09/2014 23:45"</f>
        <v>10/09/2014 23:45</v>
      </c>
    </row>
    <row r="4759" spans="1:10" x14ac:dyDescent="0.3">
      <c r="A4759" t="s">
        <v>6</v>
      </c>
      <c r="B4759" t="str">
        <f>"10/10/2014 00:00"</f>
        <v>10/10/2014 00:00</v>
      </c>
      <c r="C4759">
        <v>2.23</v>
      </c>
      <c r="D4759" t="s">
        <v>7</v>
      </c>
      <c r="E4759" s="2" t="s">
        <v>12</v>
      </c>
      <c r="F4759">
        <f t="shared" si="74"/>
        <v>4.4220899999999999</v>
      </c>
      <c r="G4759" t="s">
        <v>16</v>
      </c>
      <c r="J4759" t="str">
        <f>"10/10/2014 23:45"</f>
        <v>10/10/2014 23:45</v>
      </c>
    </row>
    <row r="4760" spans="1:10" x14ac:dyDescent="0.3">
      <c r="A4760" t="s">
        <v>6</v>
      </c>
      <c r="B4760" t="str">
        <f>"10/11/2014 00:00"</f>
        <v>10/11/2014 00:00</v>
      </c>
      <c r="C4760">
        <v>2.23</v>
      </c>
      <c r="D4760" t="s">
        <v>7</v>
      </c>
      <c r="E4760" s="2" t="s">
        <v>12</v>
      </c>
      <c r="F4760">
        <f t="shared" si="74"/>
        <v>4.4220899999999999</v>
      </c>
      <c r="G4760" t="s">
        <v>16</v>
      </c>
      <c r="J4760" t="str">
        <f>"10/11/2014 23:45"</f>
        <v>10/11/2014 23:45</v>
      </c>
    </row>
    <row r="4761" spans="1:10" x14ac:dyDescent="0.3">
      <c r="A4761" t="s">
        <v>6</v>
      </c>
      <c r="B4761" t="str">
        <f>"10/12/2014 00:00"</f>
        <v>10/12/2014 00:00</v>
      </c>
      <c r="C4761">
        <v>2.23</v>
      </c>
      <c r="D4761" t="s">
        <v>7</v>
      </c>
      <c r="E4761" s="2" t="s">
        <v>12</v>
      </c>
      <c r="F4761">
        <f t="shared" si="74"/>
        <v>4.4220899999999999</v>
      </c>
      <c r="G4761" t="s">
        <v>16</v>
      </c>
      <c r="J4761" t="str">
        <f>"10/12/2014 23:45"</f>
        <v>10/12/2014 23:45</v>
      </c>
    </row>
    <row r="4762" spans="1:10" x14ac:dyDescent="0.3">
      <c r="A4762" t="s">
        <v>6</v>
      </c>
      <c r="B4762" t="str">
        <f>"10/13/2014 00:00"</f>
        <v>10/13/2014 00:00</v>
      </c>
      <c r="C4762">
        <v>2.23</v>
      </c>
      <c r="D4762" t="s">
        <v>7</v>
      </c>
      <c r="E4762" s="2" t="s">
        <v>12</v>
      </c>
      <c r="F4762">
        <f t="shared" si="74"/>
        <v>4.4220899999999999</v>
      </c>
      <c r="G4762" t="s">
        <v>16</v>
      </c>
      <c r="J4762" t="str">
        <f>"10/13/2014 23:45"</f>
        <v>10/13/2014 23:45</v>
      </c>
    </row>
    <row r="4763" spans="1:10" x14ac:dyDescent="0.3">
      <c r="A4763" t="s">
        <v>6</v>
      </c>
      <c r="B4763" t="str">
        <f>"10/14/2014 00:00"</f>
        <v>10/14/2014 00:00</v>
      </c>
      <c r="C4763">
        <v>2.23</v>
      </c>
      <c r="D4763" t="s">
        <v>7</v>
      </c>
      <c r="E4763" s="2" t="s">
        <v>12</v>
      </c>
      <c r="F4763">
        <f t="shared" si="74"/>
        <v>4.4220899999999999</v>
      </c>
      <c r="G4763" t="s">
        <v>16</v>
      </c>
      <c r="J4763" t="str">
        <f>"10/14/2014 23:45"</f>
        <v>10/14/2014 23:45</v>
      </c>
    </row>
    <row r="4764" spans="1:10" x14ac:dyDescent="0.3">
      <c r="A4764" t="s">
        <v>6</v>
      </c>
      <c r="B4764" t="str">
        <f>"10/15/2014 00:00"</f>
        <v>10/15/2014 00:00</v>
      </c>
      <c r="C4764">
        <v>2.23</v>
      </c>
      <c r="D4764" t="s">
        <v>7</v>
      </c>
      <c r="E4764" s="2" t="s">
        <v>12</v>
      </c>
      <c r="F4764">
        <f t="shared" si="74"/>
        <v>4.4220899999999999</v>
      </c>
      <c r="G4764" t="s">
        <v>16</v>
      </c>
      <c r="J4764" t="str">
        <f>"10/15/2014 23:45"</f>
        <v>10/15/2014 23:45</v>
      </c>
    </row>
    <row r="4765" spans="1:10" x14ac:dyDescent="0.3">
      <c r="A4765" t="s">
        <v>6</v>
      </c>
      <c r="B4765" t="str">
        <f>"10/16/2014 00:00"</f>
        <v>10/16/2014 00:00</v>
      </c>
      <c r="C4765">
        <v>2.23</v>
      </c>
      <c r="D4765" t="s">
        <v>7</v>
      </c>
      <c r="E4765" s="2" t="s">
        <v>12</v>
      </c>
      <c r="F4765">
        <f t="shared" si="74"/>
        <v>4.4220899999999999</v>
      </c>
      <c r="G4765" t="s">
        <v>16</v>
      </c>
      <c r="J4765" t="str">
        <f>"10/16/2014 23:45"</f>
        <v>10/16/2014 23:45</v>
      </c>
    </row>
    <row r="4766" spans="1:10" x14ac:dyDescent="0.3">
      <c r="A4766" t="s">
        <v>6</v>
      </c>
      <c r="B4766" t="str">
        <f>"10/17/2014 00:00"</f>
        <v>10/17/2014 00:00</v>
      </c>
      <c r="C4766">
        <v>2.23</v>
      </c>
      <c r="D4766" t="s">
        <v>7</v>
      </c>
      <c r="E4766" s="2" t="s">
        <v>12</v>
      </c>
      <c r="F4766">
        <f t="shared" si="74"/>
        <v>4.4220899999999999</v>
      </c>
      <c r="G4766" t="s">
        <v>16</v>
      </c>
      <c r="J4766" t="str">
        <f>"10/17/2014 23:45"</f>
        <v>10/17/2014 23:45</v>
      </c>
    </row>
    <row r="4767" spans="1:10" x14ac:dyDescent="0.3">
      <c r="A4767" t="s">
        <v>6</v>
      </c>
      <c r="B4767" t="str">
        <f>"10/18/2014 00:00"</f>
        <v>10/18/2014 00:00</v>
      </c>
      <c r="C4767">
        <v>2.23</v>
      </c>
      <c r="D4767" t="s">
        <v>7</v>
      </c>
      <c r="E4767" s="2" t="s">
        <v>12</v>
      </c>
      <c r="F4767">
        <f t="shared" si="74"/>
        <v>4.4220899999999999</v>
      </c>
      <c r="G4767" t="s">
        <v>16</v>
      </c>
      <c r="J4767" t="str">
        <f>"10/18/2014 23:45"</f>
        <v>10/18/2014 23:45</v>
      </c>
    </row>
    <row r="4768" spans="1:10" x14ac:dyDescent="0.3">
      <c r="A4768" t="s">
        <v>6</v>
      </c>
      <c r="B4768" t="str">
        <f>"10/19/2014 00:00"</f>
        <v>10/19/2014 00:00</v>
      </c>
      <c r="C4768">
        <v>2.23</v>
      </c>
      <c r="D4768" t="s">
        <v>7</v>
      </c>
      <c r="E4768" s="2" t="s">
        <v>12</v>
      </c>
      <c r="F4768">
        <f t="shared" si="74"/>
        <v>4.4220899999999999</v>
      </c>
      <c r="G4768" t="s">
        <v>16</v>
      </c>
      <c r="J4768" t="str">
        <f>"10/19/2014 23:45"</f>
        <v>10/19/2014 23:45</v>
      </c>
    </row>
    <row r="4769" spans="1:10" x14ac:dyDescent="0.3">
      <c r="A4769" t="s">
        <v>6</v>
      </c>
      <c r="B4769" t="str">
        <f>"10/20/2014 00:00"</f>
        <v>10/20/2014 00:00</v>
      </c>
      <c r="C4769">
        <v>2.23</v>
      </c>
      <c r="D4769" t="s">
        <v>7</v>
      </c>
      <c r="E4769" s="2" t="s">
        <v>12</v>
      </c>
      <c r="F4769">
        <f t="shared" si="74"/>
        <v>4.4220899999999999</v>
      </c>
      <c r="G4769" t="s">
        <v>16</v>
      </c>
      <c r="J4769" t="str">
        <f>"10/20/2014 23:45"</f>
        <v>10/20/2014 23:45</v>
      </c>
    </row>
    <row r="4770" spans="1:10" x14ac:dyDescent="0.3">
      <c r="A4770" t="s">
        <v>6</v>
      </c>
      <c r="B4770" t="str">
        <f>"10/21/2014 00:00"</f>
        <v>10/21/2014 00:00</v>
      </c>
      <c r="C4770">
        <v>2.23</v>
      </c>
      <c r="D4770" t="s">
        <v>7</v>
      </c>
      <c r="E4770" s="2" t="s">
        <v>12</v>
      </c>
      <c r="F4770">
        <f t="shared" si="74"/>
        <v>4.4220899999999999</v>
      </c>
      <c r="G4770" t="s">
        <v>16</v>
      </c>
      <c r="J4770" t="str">
        <f>"10/21/2014 23:45"</f>
        <v>10/21/2014 23:45</v>
      </c>
    </row>
    <row r="4771" spans="1:10" x14ac:dyDescent="0.3">
      <c r="A4771" t="s">
        <v>6</v>
      </c>
      <c r="B4771" t="str">
        <f>"10/22/2014 00:00"</f>
        <v>10/22/2014 00:00</v>
      </c>
      <c r="C4771">
        <v>2.15</v>
      </c>
      <c r="D4771" t="s">
        <v>7</v>
      </c>
      <c r="E4771" s="2" t="s">
        <v>12</v>
      </c>
      <c r="F4771">
        <f t="shared" si="74"/>
        <v>4.2634499999999997</v>
      </c>
      <c r="G4771" t="s">
        <v>16</v>
      </c>
      <c r="J4771" t="str">
        <f>"10/22/2014 23:45"</f>
        <v>10/22/2014 23:45</v>
      </c>
    </row>
    <row r="4772" spans="1:10" x14ac:dyDescent="0.3">
      <c r="A4772" t="s">
        <v>6</v>
      </c>
      <c r="B4772" t="str">
        <f>"10/23/2014 00:00"</f>
        <v>10/23/2014 00:00</v>
      </c>
      <c r="C4772">
        <v>1.97</v>
      </c>
      <c r="D4772" t="s">
        <v>7</v>
      </c>
      <c r="E4772" s="2" t="s">
        <v>12</v>
      </c>
      <c r="F4772">
        <f t="shared" si="74"/>
        <v>3.9065099999999999</v>
      </c>
      <c r="G4772" t="s">
        <v>16</v>
      </c>
      <c r="J4772" t="str">
        <f>"10/23/2014 23:45"</f>
        <v>10/23/2014 23:45</v>
      </c>
    </row>
    <row r="4773" spans="1:10" x14ac:dyDescent="0.3">
      <c r="A4773" t="s">
        <v>6</v>
      </c>
      <c r="B4773" t="str">
        <f>"10/24/2014 00:00"</f>
        <v>10/24/2014 00:00</v>
      </c>
      <c r="C4773">
        <v>1.92</v>
      </c>
      <c r="D4773" t="s">
        <v>7</v>
      </c>
      <c r="E4773" s="2" t="s">
        <v>12</v>
      </c>
      <c r="F4773">
        <f t="shared" si="74"/>
        <v>3.8073600000000001</v>
      </c>
      <c r="G4773" t="s">
        <v>16</v>
      </c>
      <c r="J4773" t="str">
        <f>"10/24/2014 23:45"</f>
        <v>10/24/2014 23:45</v>
      </c>
    </row>
    <row r="4774" spans="1:10" x14ac:dyDescent="0.3">
      <c r="A4774" t="s">
        <v>6</v>
      </c>
      <c r="B4774" t="str">
        <f>"10/25/2014 00:00"</f>
        <v>10/25/2014 00:00</v>
      </c>
      <c r="C4774">
        <v>1.92</v>
      </c>
      <c r="D4774" t="s">
        <v>7</v>
      </c>
      <c r="E4774" s="2" t="s">
        <v>12</v>
      </c>
      <c r="F4774">
        <f t="shared" si="74"/>
        <v>3.8073600000000001</v>
      </c>
      <c r="G4774" t="s">
        <v>16</v>
      </c>
      <c r="J4774" t="str">
        <f>"10/25/2014 23:45"</f>
        <v>10/25/2014 23:45</v>
      </c>
    </row>
    <row r="4775" spans="1:10" x14ac:dyDescent="0.3">
      <c r="A4775" t="s">
        <v>6</v>
      </c>
      <c r="B4775" t="str">
        <f>"10/26/2014 00:00"</f>
        <v>10/26/2014 00:00</v>
      </c>
      <c r="C4775">
        <v>1.92</v>
      </c>
      <c r="D4775" t="s">
        <v>7</v>
      </c>
      <c r="E4775" s="2" t="s">
        <v>12</v>
      </c>
      <c r="F4775">
        <f t="shared" si="74"/>
        <v>3.8073600000000001</v>
      </c>
      <c r="G4775" t="s">
        <v>16</v>
      </c>
      <c r="J4775" t="str">
        <f>"10/26/2014 23:45"</f>
        <v>10/26/2014 23:45</v>
      </c>
    </row>
    <row r="4776" spans="1:10" x14ac:dyDescent="0.3">
      <c r="A4776" t="s">
        <v>6</v>
      </c>
      <c r="B4776" t="str">
        <f>"10/27/2014 00:00"</f>
        <v>10/27/2014 00:00</v>
      </c>
      <c r="C4776">
        <v>1.92</v>
      </c>
      <c r="D4776" t="s">
        <v>7</v>
      </c>
      <c r="E4776" s="2" t="s">
        <v>12</v>
      </c>
      <c r="F4776">
        <f t="shared" si="74"/>
        <v>3.8073600000000001</v>
      </c>
      <c r="G4776" t="s">
        <v>16</v>
      </c>
      <c r="J4776" t="str">
        <f>"10/27/2014 23:45"</f>
        <v>10/27/2014 23:45</v>
      </c>
    </row>
    <row r="4777" spans="1:10" x14ac:dyDescent="0.3">
      <c r="A4777" t="s">
        <v>6</v>
      </c>
      <c r="B4777" t="str">
        <f>"10/28/2014 00:00"</f>
        <v>10/28/2014 00:00</v>
      </c>
      <c r="C4777">
        <v>1.92</v>
      </c>
      <c r="D4777" t="s">
        <v>7</v>
      </c>
      <c r="E4777" s="2" t="s">
        <v>12</v>
      </c>
      <c r="F4777">
        <f t="shared" si="74"/>
        <v>3.8073600000000001</v>
      </c>
      <c r="G4777" t="s">
        <v>16</v>
      </c>
      <c r="J4777" t="str">
        <f>"10/28/2014 23:45"</f>
        <v>10/28/2014 23:45</v>
      </c>
    </row>
    <row r="4778" spans="1:10" x14ac:dyDescent="0.3">
      <c r="A4778" t="s">
        <v>6</v>
      </c>
      <c r="B4778" t="str">
        <f>"10/29/2014 00:00"</f>
        <v>10/29/2014 00:00</v>
      </c>
      <c r="C4778">
        <v>1.92</v>
      </c>
      <c r="D4778" t="s">
        <v>7</v>
      </c>
      <c r="E4778" s="2" t="s">
        <v>12</v>
      </c>
      <c r="F4778">
        <f t="shared" si="74"/>
        <v>3.8073600000000001</v>
      </c>
      <c r="G4778" t="s">
        <v>16</v>
      </c>
      <c r="J4778" t="str">
        <f>"10/29/2014 23:45"</f>
        <v>10/29/2014 23:45</v>
      </c>
    </row>
    <row r="4779" spans="1:10" x14ac:dyDescent="0.3">
      <c r="A4779" t="s">
        <v>6</v>
      </c>
      <c r="B4779" t="str">
        <f>"10/30/2014 00:00"</f>
        <v>10/30/2014 00:00</v>
      </c>
      <c r="C4779">
        <v>1.92</v>
      </c>
      <c r="D4779" t="s">
        <v>7</v>
      </c>
      <c r="E4779" s="2" t="s">
        <v>12</v>
      </c>
      <c r="F4779">
        <f t="shared" si="74"/>
        <v>3.8073600000000001</v>
      </c>
      <c r="G4779" t="s">
        <v>16</v>
      </c>
      <c r="J4779" t="str">
        <f>"10/30/2014 23:45"</f>
        <v>10/30/2014 23:45</v>
      </c>
    </row>
    <row r="4780" spans="1:10" x14ac:dyDescent="0.3">
      <c r="A4780" t="s">
        <v>6</v>
      </c>
      <c r="B4780" t="str">
        <f>"10/31/2014 00:00"</f>
        <v>10/31/2014 00:00</v>
      </c>
      <c r="C4780">
        <v>1.92</v>
      </c>
      <c r="D4780" t="s">
        <v>7</v>
      </c>
      <c r="E4780" s="2" t="s">
        <v>12</v>
      </c>
      <c r="F4780">
        <f t="shared" si="74"/>
        <v>3.8073600000000001</v>
      </c>
      <c r="G4780" t="s">
        <v>16</v>
      </c>
      <c r="J4780" t="str">
        <f>"10/31/2014 23:45"</f>
        <v>10/31/2014 23:45</v>
      </c>
    </row>
    <row r="4781" spans="1:10" x14ac:dyDescent="0.3">
      <c r="A4781" t="s">
        <v>6</v>
      </c>
      <c r="B4781" t="str">
        <f>"11/01/2014 00:00"</f>
        <v>11/01/2014 00:00</v>
      </c>
      <c r="C4781">
        <v>1.92</v>
      </c>
      <c r="D4781" t="s">
        <v>7</v>
      </c>
      <c r="E4781" s="2" t="s">
        <v>12</v>
      </c>
      <c r="F4781">
        <f t="shared" si="74"/>
        <v>3.8073600000000001</v>
      </c>
      <c r="G4781" t="s">
        <v>16</v>
      </c>
      <c r="J4781" t="str">
        <f>"11/01/2014 23:45"</f>
        <v>11/01/2014 23:45</v>
      </c>
    </row>
    <row r="4782" spans="1:10" x14ac:dyDescent="0.3">
      <c r="A4782" t="s">
        <v>6</v>
      </c>
      <c r="B4782" t="str">
        <f>"11/02/2014 00:00"</f>
        <v>11/02/2014 00:00</v>
      </c>
      <c r="C4782">
        <v>1.92</v>
      </c>
      <c r="D4782" t="s">
        <v>7</v>
      </c>
      <c r="E4782" s="2" t="s">
        <v>12</v>
      </c>
      <c r="F4782">
        <f t="shared" si="74"/>
        <v>3.8073600000000001</v>
      </c>
      <c r="G4782" t="s">
        <v>16</v>
      </c>
      <c r="J4782" t="str">
        <f>"11/02/2014 23:45"</f>
        <v>11/02/2014 23:45</v>
      </c>
    </row>
    <row r="4783" spans="1:10" x14ac:dyDescent="0.3">
      <c r="A4783" t="s">
        <v>6</v>
      </c>
      <c r="B4783" t="str">
        <f>"11/03/2014 00:00"</f>
        <v>11/03/2014 00:00</v>
      </c>
      <c r="C4783">
        <v>1.92</v>
      </c>
      <c r="D4783" t="s">
        <v>7</v>
      </c>
      <c r="E4783" s="2" t="s">
        <v>12</v>
      </c>
      <c r="F4783">
        <f t="shared" si="74"/>
        <v>3.8073600000000001</v>
      </c>
      <c r="G4783" t="s">
        <v>16</v>
      </c>
      <c r="J4783" t="str">
        <f>"11/03/2014 23:45"</f>
        <v>11/03/2014 23:45</v>
      </c>
    </row>
    <row r="4784" spans="1:10" x14ac:dyDescent="0.3">
      <c r="A4784" t="s">
        <v>6</v>
      </c>
      <c r="B4784" t="str">
        <f>"11/04/2014 00:00"</f>
        <v>11/04/2014 00:00</v>
      </c>
      <c r="C4784">
        <v>1.92</v>
      </c>
      <c r="D4784" t="s">
        <v>7</v>
      </c>
      <c r="E4784" s="2" t="s">
        <v>12</v>
      </c>
      <c r="F4784">
        <f t="shared" si="74"/>
        <v>3.8073600000000001</v>
      </c>
      <c r="G4784" t="s">
        <v>16</v>
      </c>
      <c r="J4784" t="str">
        <f>"11/04/2014 23:45"</f>
        <v>11/04/2014 23:45</v>
      </c>
    </row>
    <row r="4785" spans="1:10" x14ac:dyDescent="0.3">
      <c r="A4785" t="s">
        <v>6</v>
      </c>
      <c r="B4785" t="str">
        <f>"11/05/2014 00:00"</f>
        <v>11/05/2014 00:00</v>
      </c>
      <c r="C4785">
        <v>1.92</v>
      </c>
      <c r="D4785" t="s">
        <v>7</v>
      </c>
      <c r="E4785" s="2" t="s">
        <v>12</v>
      </c>
      <c r="F4785">
        <f t="shared" si="74"/>
        <v>3.8073600000000001</v>
      </c>
      <c r="G4785" t="s">
        <v>16</v>
      </c>
      <c r="J4785" t="str">
        <f>"11/05/2014 23:45"</f>
        <v>11/05/2014 23:45</v>
      </c>
    </row>
    <row r="4786" spans="1:10" x14ac:dyDescent="0.3">
      <c r="A4786" t="s">
        <v>6</v>
      </c>
      <c r="B4786" t="str">
        <f>"11/06/2014 00:00"</f>
        <v>11/06/2014 00:00</v>
      </c>
      <c r="C4786">
        <v>1.8</v>
      </c>
      <c r="D4786" t="s">
        <v>7</v>
      </c>
      <c r="E4786" s="2" t="s">
        <v>12</v>
      </c>
      <c r="F4786">
        <f t="shared" si="74"/>
        <v>3.5694000000000004</v>
      </c>
      <c r="G4786" t="s">
        <v>16</v>
      </c>
      <c r="J4786" t="str">
        <f>"11/06/2014 23:45"</f>
        <v>11/06/2014 23:45</v>
      </c>
    </row>
    <row r="4787" spans="1:10" x14ac:dyDescent="0.3">
      <c r="A4787" t="s">
        <v>6</v>
      </c>
      <c r="B4787" t="str">
        <f>"11/07/2014 00:00"</f>
        <v>11/07/2014 00:00</v>
      </c>
      <c r="C4787">
        <v>1.59</v>
      </c>
      <c r="D4787" t="s">
        <v>7</v>
      </c>
      <c r="E4787" s="2" t="s">
        <v>12</v>
      </c>
      <c r="F4787">
        <f t="shared" si="74"/>
        <v>3.1529700000000003</v>
      </c>
      <c r="G4787" t="s">
        <v>16</v>
      </c>
      <c r="J4787" t="str">
        <f>"11/07/2014 23:45"</f>
        <v>11/07/2014 23:45</v>
      </c>
    </row>
    <row r="4788" spans="1:10" x14ac:dyDescent="0.3">
      <c r="A4788" t="s">
        <v>6</v>
      </c>
      <c r="B4788" t="str">
        <f>"11/08/2014 00:00"</f>
        <v>11/08/2014 00:00</v>
      </c>
      <c r="C4788">
        <v>1.92</v>
      </c>
      <c r="D4788" t="s">
        <v>7</v>
      </c>
      <c r="E4788" s="2" t="s">
        <v>12</v>
      </c>
      <c r="F4788">
        <f t="shared" si="74"/>
        <v>3.8073600000000001</v>
      </c>
      <c r="G4788" t="s">
        <v>16</v>
      </c>
      <c r="J4788" t="str">
        <f>"11/08/2014 23:45"</f>
        <v>11/08/2014 23:45</v>
      </c>
    </row>
    <row r="4789" spans="1:10" x14ac:dyDescent="0.3">
      <c r="A4789" t="s">
        <v>6</v>
      </c>
      <c r="B4789" t="str">
        <f>"11/09/2014 00:00"</f>
        <v>11/09/2014 00:00</v>
      </c>
      <c r="C4789">
        <v>1.92</v>
      </c>
      <c r="D4789" t="s">
        <v>7</v>
      </c>
      <c r="E4789" s="2" t="s">
        <v>12</v>
      </c>
      <c r="F4789">
        <f t="shared" si="74"/>
        <v>3.8073600000000001</v>
      </c>
      <c r="G4789" t="s">
        <v>16</v>
      </c>
      <c r="J4789" t="str">
        <f>"11/09/2014 23:45"</f>
        <v>11/09/2014 23:45</v>
      </c>
    </row>
    <row r="4790" spans="1:10" x14ac:dyDescent="0.3">
      <c r="A4790" t="s">
        <v>6</v>
      </c>
      <c r="B4790" t="str">
        <f>"11/10/2014 00:00"</f>
        <v>11/10/2014 00:00</v>
      </c>
      <c r="C4790">
        <v>1.92</v>
      </c>
      <c r="D4790" t="s">
        <v>7</v>
      </c>
      <c r="E4790" s="2" t="s">
        <v>12</v>
      </c>
      <c r="F4790">
        <f t="shared" si="74"/>
        <v>3.8073600000000001</v>
      </c>
      <c r="G4790" t="s">
        <v>16</v>
      </c>
      <c r="J4790" t="str">
        <f>"11/10/2014 23:45"</f>
        <v>11/10/2014 23:45</v>
      </c>
    </row>
    <row r="4791" spans="1:10" x14ac:dyDescent="0.3">
      <c r="A4791" t="s">
        <v>6</v>
      </c>
      <c r="B4791" t="str">
        <f>"11/11/2014 00:00"</f>
        <v>11/11/2014 00:00</v>
      </c>
      <c r="C4791">
        <v>1.92</v>
      </c>
      <c r="D4791" t="s">
        <v>7</v>
      </c>
      <c r="E4791" s="2" t="s">
        <v>12</v>
      </c>
      <c r="F4791">
        <f t="shared" si="74"/>
        <v>3.8073600000000001</v>
      </c>
      <c r="G4791" t="s">
        <v>16</v>
      </c>
      <c r="J4791" t="str">
        <f>"11/11/2014 23:45"</f>
        <v>11/11/2014 23:45</v>
      </c>
    </row>
    <row r="4792" spans="1:10" x14ac:dyDescent="0.3">
      <c r="A4792" t="s">
        <v>6</v>
      </c>
      <c r="B4792" t="str">
        <f>"11/12/2014 00:00"</f>
        <v>11/12/2014 00:00</v>
      </c>
      <c r="C4792">
        <v>1.62</v>
      </c>
      <c r="D4792" t="s">
        <v>7</v>
      </c>
      <c r="E4792" s="2" t="s">
        <v>12</v>
      </c>
      <c r="F4792">
        <f t="shared" si="74"/>
        <v>3.2124600000000005</v>
      </c>
      <c r="G4792" t="s">
        <v>16</v>
      </c>
      <c r="J4792" t="str">
        <f>"11/12/2014 23:45"</f>
        <v>11/12/2014 23:45</v>
      </c>
    </row>
    <row r="4793" spans="1:10" x14ac:dyDescent="0.3">
      <c r="A4793" t="s">
        <v>6</v>
      </c>
      <c r="B4793" t="str">
        <f>"11/13/2014 00:00"</f>
        <v>11/13/2014 00:00</v>
      </c>
      <c r="C4793">
        <v>1.62</v>
      </c>
      <c r="D4793" t="s">
        <v>7</v>
      </c>
      <c r="E4793" s="2" t="s">
        <v>12</v>
      </c>
      <c r="F4793">
        <f t="shared" si="74"/>
        <v>3.2124600000000005</v>
      </c>
      <c r="G4793" t="s">
        <v>16</v>
      </c>
      <c r="J4793" t="str">
        <f>"11/13/2014 23:45"</f>
        <v>11/13/2014 23:45</v>
      </c>
    </row>
    <row r="4794" spans="1:10" x14ac:dyDescent="0.3">
      <c r="A4794" t="s">
        <v>6</v>
      </c>
      <c r="B4794" t="str">
        <f>"11/14/2014 00:00"</f>
        <v>11/14/2014 00:00</v>
      </c>
      <c r="C4794">
        <v>2.0299999999999998</v>
      </c>
      <c r="D4794" t="s">
        <v>7</v>
      </c>
      <c r="E4794" s="2" t="s">
        <v>12</v>
      </c>
      <c r="F4794">
        <f t="shared" si="74"/>
        <v>4.0254899999999996</v>
      </c>
      <c r="G4794" t="s">
        <v>16</v>
      </c>
      <c r="J4794" t="str">
        <f>"11/14/2014 23:45"</f>
        <v>11/14/2014 23:45</v>
      </c>
    </row>
    <row r="4795" spans="1:10" x14ac:dyDescent="0.3">
      <c r="A4795" t="s">
        <v>6</v>
      </c>
      <c r="B4795" t="str">
        <f>"11/15/2014 00:00"</f>
        <v>11/15/2014 00:00</v>
      </c>
      <c r="C4795">
        <v>2.57</v>
      </c>
      <c r="D4795" t="s">
        <v>7</v>
      </c>
      <c r="E4795" s="2" t="s">
        <v>12</v>
      </c>
      <c r="F4795">
        <f t="shared" si="74"/>
        <v>5.0963099999999999</v>
      </c>
      <c r="G4795" t="s">
        <v>16</v>
      </c>
      <c r="J4795" t="str">
        <f>"11/15/2014 23:45"</f>
        <v>11/15/2014 23:45</v>
      </c>
    </row>
    <row r="4796" spans="1:10" x14ac:dyDescent="0.3">
      <c r="A4796" t="s">
        <v>6</v>
      </c>
      <c r="B4796" t="str">
        <f>"11/16/2014 00:00"</f>
        <v>11/16/2014 00:00</v>
      </c>
      <c r="C4796">
        <v>2.56</v>
      </c>
      <c r="D4796" t="s">
        <v>7</v>
      </c>
      <c r="E4796" s="2" t="s">
        <v>12</v>
      </c>
      <c r="F4796">
        <f t="shared" si="74"/>
        <v>5.0764800000000001</v>
      </c>
      <c r="G4796" t="s">
        <v>16</v>
      </c>
      <c r="J4796" t="str">
        <f>"11/16/2014 23:45"</f>
        <v>11/16/2014 23:45</v>
      </c>
    </row>
    <row r="4797" spans="1:10" x14ac:dyDescent="0.3">
      <c r="A4797" t="s">
        <v>6</v>
      </c>
      <c r="B4797" t="str">
        <f>"11/17/2014 00:00"</f>
        <v>11/17/2014 00:00</v>
      </c>
      <c r="C4797">
        <v>2.56</v>
      </c>
      <c r="D4797" t="s">
        <v>7</v>
      </c>
      <c r="E4797" s="2" t="s">
        <v>12</v>
      </c>
      <c r="F4797">
        <f t="shared" si="74"/>
        <v>5.0764800000000001</v>
      </c>
      <c r="G4797" t="s">
        <v>16</v>
      </c>
      <c r="J4797" t="str">
        <f>"11/17/2014 23:45"</f>
        <v>11/17/2014 23:45</v>
      </c>
    </row>
    <row r="4798" spans="1:10" x14ac:dyDescent="0.3">
      <c r="A4798" t="s">
        <v>6</v>
      </c>
      <c r="B4798" t="str">
        <f>"11/18/2014 00:00"</f>
        <v>11/18/2014 00:00</v>
      </c>
      <c r="C4798">
        <v>2.56</v>
      </c>
      <c r="D4798" t="s">
        <v>7</v>
      </c>
      <c r="E4798" s="2" t="s">
        <v>12</v>
      </c>
      <c r="F4798">
        <f t="shared" si="74"/>
        <v>5.0764800000000001</v>
      </c>
      <c r="G4798" t="s">
        <v>16</v>
      </c>
      <c r="J4798" t="str">
        <f>"11/18/2014 23:45"</f>
        <v>11/18/2014 23:45</v>
      </c>
    </row>
    <row r="4799" spans="1:10" x14ac:dyDescent="0.3">
      <c r="A4799" t="s">
        <v>6</v>
      </c>
      <c r="B4799" t="str">
        <f>"11/19/2014 00:00"</f>
        <v>11/19/2014 00:00</v>
      </c>
      <c r="C4799">
        <v>2.56</v>
      </c>
      <c r="D4799" t="s">
        <v>7</v>
      </c>
      <c r="E4799" s="2" t="s">
        <v>12</v>
      </c>
      <c r="F4799">
        <f t="shared" si="74"/>
        <v>5.0764800000000001</v>
      </c>
      <c r="G4799" t="s">
        <v>16</v>
      </c>
      <c r="J4799" t="str">
        <f>"11/19/2014 23:45"</f>
        <v>11/19/2014 23:45</v>
      </c>
    </row>
    <row r="4800" spans="1:10" x14ac:dyDescent="0.3">
      <c r="A4800" t="s">
        <v>6</v>
      </c>
      <c r="B4800" t="str">
        <f>"11/20/2014 00:00"</f>
        <v>11/20/2014 00:00</v>
      </c>
      <c r="C4800">
        <v>2.56</v>
      </c>
      <c r="D4800" t="s">
        <v>7</v>
      </c>
      <c r="E4800" s="2" t="s">
        <v>12</v>
      </c>
      <c r="F4800">
        <f t="shared" si="74"/>
        <v>5.0764800000000001</v>
      </c>
      <c r="G4800" t="s">
        <v>16</v>
      </c>
      <c r="J4800" t="str">
        <f>"11/20/2014 23:45"</f>
        <v>11/20/2014 23:45</v>
      </c>
    </row>
    <row r="4801" spans="1:10" x14ac:dyDescent="0.3">
      <c r="A4801" t="s">
        <v>6</v>
      </c>
      <c r="B4801" t="str">
        <f>"11/21/2014 00:00"</f>
        <v>11/21/2014 00:00</v>
      </c>
      <c r="C4801">
        <v>2.56</v>
      </c>
      <c r="D4801" t="s">
        <v>7</v>
      </c>
      <c r="E4801" s="2" t="s">
        <v>12</v>
      </c>
      <c r="F4801">
        <f t="shared" si="74"/>
        <v>5.0764800000000001</v>
      </c>
      <c r="G4801" t="s">
        <v>16</v>
      </c>
      <c r="J4801" t="str">
        <f>"11/21/2014 23:45"</f>
        <v>11/21/2014 23:45</v>
      </c>
    </row>
    <row r="4802" spans="1:10" x14ac:dyDescent="0.3">
      <c r="A4802" t="s">
        <v>6</v>
      </c>
      <c r="B4802" t="str">
        <f>"11/22/2014 00:00"</f>
        <v>11/22/2014 00:00</v>
      </c>
      <c r="C4802">
        <v>2.56</v>
      </c>
      <c r="D4802" t="s">
        <v>7</v>
      </c>
      <c r="E4802" s="2" t="s">
        <v>12</v>
      </c>
      <c r="F4802">
        <f t="shared" si="74"/>
        <v>5.0764800000000001</v>
      </c>
      <c r="G4802" t="s">
        <v>16</v>
      </c>
      <c r="J4802" t="str">
        <f>"11/22/2014 23:45"</f>
        <v>11/22/2014 23:45</v>
      </c>
    </row>
    <row r="4803" spans="1:10" x14ac:dyDescent="0.3">
      <c r="A4803" t="s">
        <v>6</v>
      </c>
      <c r="B4803" t="str">
        <f>"11/23/2014 00:00"</f>
        <v>11/23/2014 00:00</v>
      </c>
      <c r="C4803">
        <v>2.64</v>
      </c>
      <c r="D4803" t="s">
        <v>7</v>
      </c>
      <c r="E4803" s="2" t="s">
        <v>12</v>
      </c>
      <c r="F4803">
        <f t="shared" si="74"/>
        <v>5.2351200000000002</v>
      </c>
      <c r="G4803" t="s">
        <v>16</v>
      </c>
      <c r="J4803" t="str">
        <f>"11/23/2014 23:45"</f>
        <v>11/23/2014 23:45</v>
      </c>
    </row>
    <row r="4804" spans="1:10" x14ac:dyDescent="0.3">
      <c r="A4804" t="s">
        <v>6</v>
      </c>
      <c r="B4804" t="str">
        <f>"11/24/2014 00:00"</f>
        <v>11/24/2014 00:00</v>
      </c>
      <c r="C4804">
        <v>2.56</v>
      </c>
      <c r="D4804" t="s">
        <v>7</v>
      </c>
      <c r="E4804" s="2" t="s">
        <v>12</v>
      </c>
      <c r="F4804">
        <f t="shared" ref="F4804:F4867" si="75">C4804*1.983</f>
        <v>5.0764800000000001</v>
      </c>
      <c r="G4804" t="s">
        <v>16</v>
      </c>
      <c r="J4804" t="str">
        <f>"11/24/2014 23:45"</f>
        <v>11/24/2014 23:45</v>
      </c>
    </row>
    <row r="4805" spans="1:10" x14ac:dyDescent="0.3">
      <c r="A4805" t="s">
        <v>6</v>
      </c>
      <c r="B4805" t="str">
        <f>"11/25/2014 00:00"</f>
        <v>11/25/2014 00:00</v>
      </c>
      <c r="C4805">
        <v>2.56</v>
      </c>
      <c r="D4805" t="s">
        <v>7</v>
      </c>
      <c r="E4805" s="2" t="s">
        <v>12</v>
      </c>
      <c r="F4805">
        <f t="shared" si="75"/>
        <v>5.0764800000000001</v>
      </c>
      <c r="G4805" t="s">
        <v>16</v>
      </c>
      <c r="J4805" t="str">
        <f>"11/25/2014 23:45"</f>
        <v>11/25/2014 23:45</v>
      </c>
    </row>
    <row r="4806" spans="1:10" x14ac:dyDescent="0.3">
      <c r="A4806" t="s">
        <v>6</v>
      </c>
      <c r="B4806" t="str">
        <f>"11/26/2014 00:00"</f>
        <v>11/26/2014 00:00</v>
      </c>
      <c r="C4806">
        <v>2.56</v>
      </c>
      <c r="D4806" t="s">
        <v>7</v>
      </c>
      <c r="E4806" s="2" t="s">
        <v>12</v>
      </c>
      <c r="F4806">
        <f t="shared" si="75"/>
        <v>5.0764800000000001</v>
      </c>
      <c r="G4806" t="s">
        <v>16</v>
      </c>
      <c r="J4806" t="str">
        <f>"11/26/2014 23:45"</f>
        <v>11/26/2014 23:45</v>
      </c>
    </row>
    <row r="4807" spans="1:10" x14ac:dyDescent="0.3">
      <c r="A4807" t="s">
        <v>6</v>
      </c>
      <c r="B4807" t="str">
        <f>"11/27/2014 00:00"</f>
        <v>11/27/2014 00:00</v>
      </c>
      <c r="C4807">
        <v>2.56</v>
      </c>
      <c r="D4807" t="s">
        <v>7</v>
      </c>
      <c r="E4807" s="2" t="s">
        <v>12</v>
      </c>
      <c r="F4807">
        <f t="shared" si="75"/>
        <v>5.0764800000000001</v>
      </c>
      <c r="G4807" t="s">
        <v>16</v>
      </c>
      <c r="J4807" t="str">
        <f>"11/27/2014 23:45"</f>
        <v>11/27/2014 23:45</v>
      </c>
    </row>
    <row r="4808" spans="1:10" x14ac:dyDescent="0.3">
      <c r="A4808" t="s">
        <v>6</v>
      </c>
      <c r="B4808" t="str">
        <f>"11/28/2014 00:00"</f>
        <v>11/28/2014 00:00</v>
      </c>
      <c r="C4808">
        <v>2.6</v>
      </c>
      <c r="D4808" t="s">
        <v>7</v>
      </c>
      <c r="E4808" s="2" t="s">
        <v>12</v>
      </c>
      <c r="F4808">
        <f t="shared" si="75"/>
        <v>5.1558000000000002</v>
      </c>
      <c r="G4808" t="s">
        <v>16</v>
      </c>
      <c r="J4808" t="str">
        <f>"11/28/2014 23:45"</f>
        <v>11/28/2014 23:45</v>
      </c>
    </row>
    <row r="4809" spans="1:10" x14ac:dyDescent="0.3">
      <c r="A4809" t="s">
        <v>6</v>
      </c>
      <c r="B4809" t="str">
        <f>"11/29/2014 00:00"</f>
        <v>11/29/2014 00:00</v>
      </c>
      <c r="C4809">
        <v>2.56</v>
      </c>
      <c r="D4809" t="s">
        <v>7</v>
      </c>
      <c r="E4809" s="2" t="s">
        <v>12</v>
      </c>
      <c r="F4809">
        <f t="shared" si="75"/>
        <v>5.0764800000000001</v>
      </c>
      <c r="G4809" t="s">
        <v>16</v>
      </c>
      <c r="J4809" t="str">
        <f>"11/29/2014 23:45"</f>
        <v>11/29/2014 23:45</v>
      </c>
    </row>
    <row r="4810" spans="1:10" x14ac:dyDescent="0.3">
      <c r="A4810" t="s">
        <v>6</v>
      </c>
      <c r="B4810" t="str">
        <f>"11/30/2014 00:00"</f>
        <v>11/30/2014 00:00</v>
      </c>
      <c r="C4810">
        <v>2.56</v>
      </c>
      <c r="D4810" t="s">
        <v>7</v>
      </c>
      <c r="E4810" s="2" t="s">
        <v>12</v>
      </c>
      <c r="F4810">
        <f t="shared" si="75"/>
        <v>5.0764800000000001</v>
      </c>
      <c r="G4810" t="s">
        <v>16</v>
      </c>
      <c r="J4810" t="str">
        <f>"11/30/2014 23:45"</f>
        <v>11/30/2014 23:45</v>
      </c>
    </row>
    <row r="4811" spans="1:10" x14ac:dyDescent="0.3">
      <c r="A4811" t="s">
        <v>6</v>
      </c>
      <c r="B4811" t="str">
        <f>"12/01/2014 00:00"</f>
        <v>12/01/2014 00:00</v>
      </c>
      <c r="C4811">
        <v>2.38</v>
      </c>
      <c r="D4811" t="s">
        <v>7</v>
      </c>
      <c r="E4811" s="2" t="s">
        <v>12</v>
      </c>
      <c r="F4811">
        <f t="shared" si="75"/>
        <v>4.7195400000000003</v>
      </c>
      <c r="G4811" t="s">
        <v>16</v>
      </c>
      <c r="J4811" t="str">
        <f>"12/01/2014 23:45"</f>
        <v>12/01/2014 23:45</v>
      </c>
    </row>
    <row r="4812" spans="1:10" x14ac:dyDescent="0.3">
      <c r="A4812" t="s">
        <v>6</v>
      </c>
      <c r="B4812" t="str">
        <f>"12/02/2014 00:00"</f>
        <v>12/02/2014 00:00</v>
      </c>
      <c r="C4812">
        <v>2.23</v>
      </c>
      <c r="D4812" t="s">
        <v>7</v>
      </c>
      <c r="E4812" s="2" t="s">
        <v>12</v>
      </c>
      <c r="F4812">
        <f t="shared" si="75"/>
        <v>4.4220899999999999</v>
      </c>
      <c r="G4812" t="s">
        <v>16</v>
      </c>
      <c r="J4812" t="str">
        <f>"12/02/2014 23:45"</f>
        <v>12/02/2014 23:45</v>
      </c>
    </row>
    <row r="4813" spans="1:10" x14ac:dyDescent="0.3">
      <c r="A4813" t="s">
        <v>6</v>
      </c>
      <c r="B4813" t="str">
        <f>"12/03/2014 00:00"</f>
        <v>12/03/2014 00:00</v>
      </c>
      <c r="C4813">
        <v>2.23</v>
      </c>
      <c r="D4813" t="s">
        <v>7</v>
      </c>
      <c r="E4813" s="2" t="s">
        <v>12</v>
      </c>
      <c r="F4813">
        <f t="shared" si="75"/>
        <v>4.4220899999999999</v>
      </c>
      <c r="G4813" t="s">
        <v>16</v>
      </c>
      <c r="J4813" t="str">
        <f>"12/03/2014 23:45"</f>
        <v>12/03/2014 23:45</v>
      </c>
    </row>
    <row r="4814" spans="1:10" x14ac:dyDescent="0.3">
      <c r="A4814" t="s">
        <v>6</v>
      </c>
      <c r="B4814" t="str">
        <f>"12/04/2014 00:00"</f>
        <v>12/04/2014 00:00</v>
      </c>
      <c r="C4814">
        <v>2.35</v>
      </c>
      <c r="D4814" t="s">
        <v>7</v>
      </c>
      <c r="E4814" s="2" t="s">
        <v>12</v>
      </c>
      <c r="F4814">
        <f t="shared" si="75"/>
        <v>4.66005</v>
      </c>
      <c r="G4814" t="s">
        <v>16</v>
      </c>
      <c r="J4814" t="str">
        <f>"12/04/2014 23:45"</f>
        <v>12/04/2014 23:45</v>
      </c>
    </row>
    <row r="4815" spans="1:10" x14ac:dyDescent="0.3">
      <c r="A4815" t="s">
        <v>6</v>
      </c>
      <c r="B4815" t="str">
        <f>"12/05/2014 00:00"</f>
        <v>12/05/2014 00:00</v>
      </c>
      <c r="C4815">
        <v>2.25</v>
      </c>
      <c r="D4815" t="s">
        <v>7</v>
      </c>
      <c r="E4815" s="2" t="s">
        <v>12</v>
      </c>
      <c r="F4815">
        <f t="shared" si="75"/>
        <v>4.4617500000000003</v>
      </c>
      <c r="G4815" t="s">
        <v>16</v>
      </c>
      <c r="J4815" t="str">
        <f>"12/05/2014 23:45"</f>
        <v>12/05/2014 23:45</v>
      </c>
    </row>
    <row r="4816" spans="1:10" x14ac:dyDescent="0.3">
      <c r="A4816" t="s">
        <v>6</v>
      </c>
      <c r="B4816" t="str">
        <f>"12/06/2014 00:00"</f>
        <v>12/06/2014 00:00</v>
      </c>
      <c r="C4816">
        <v>2.4900000000000002</v>
      </c>
      <c r="D4816" t="s">
        <v>7</v>
      </c>
      <c r="E4816" s="2" t="s">
        <v>12</v>
      </c>
      <c r="F4816">
        <f t="shared" si="75"/>
        <v>4.9376700000000007</v>
      </c>
      <c r="G4816" t="s">
        <v>16</v>
      </c>
      <c r="J4816" t="str">
        <f>"12/06/2014 23:45"</f>
        <v>12/06/2014 23:45</v>
      </c>
    </row>
    <row r="4817" spans="1:10" x14ac:dyDescent="0.3">
      <c r="A4817" t="s">
        <v>6</v>
      </c>
      <c r="B4817" t="str">
        <f>"12/07/2014 00:00"</f>
        <v>12/07/2014 00:00</v>
      </c>
      <c r="C4817">
        <v>2.56</v>
      </c>
      <c r="D4817" t="s">
        <v>7</v>
      </c>
      <c r="E4817" s="2" t="s">
        <v>12</v>
      </c>
      <c r="F4817">
        <f t="shared" si="75"/>
        <v>5.0764800000000001</v>
      </c>
      <c r="G4817" t="s">
        <v>16</v>
      </c>
      <c r="J4817" t="str">
        <f>"12/07/2014 23:45"</f>
        <v>12/07/2014 23:45</v>
      </c>
    </row>
    <row r="4818" spans="1:10" x14ac:dyDescent="0.3">
      <c r="A4818" t="s">
        <v>6</v>
      </c>
      <c r="B4818" t="str">
        <f>"12/08/2014 00:00"</f>
        <v>12/08/2014 00:00</v>
      </c>
      <c r="C4818">
        <v>2.56</v>
      </c>
      <c r="D4818" t="s">
        <v>7</v>
      </c>
      <c r="E4818" s="2" t="s">
        <v>12</v>
      </c>
      <c r="F4818">
        <f t="shared" si="75"/>
        <v>5.0764800000000001</v>
      </c>
      <c r="G4818" t="s">
        <v>16</v>
      </c>
      <c r="J4818" t="str">
        <f>"12/08/2014 23:45"</f>
        <v>12/08/2014 23:45</v>
      </c>
    </row>
    <row r="4819" spans="1:10" x14ac:dyDescent="0.3">
      <c r="A4819" t="s">
        <v>6</v>
      </c>
      <c r="B4819" t="str">
        <f>"12/09/2014 00:00"</f>
        <v>12/09/2014 00:00</v>
      </c>
      <c r="C4819">
        <v>2.56</v>
      </c>
      <c r="D4819" t="s">
        <v>7</v>
      </c>
      <c r="E4819" s="2" t="s">
        <v>12</v>
      </c>
      <c r="F4819">
        <f t="shared" si="75"/>
        <v>5.0764800000000001</v>
      </c>
      <c r="G4819" t="s">
        <v>16</v>
      </c>
      <c r="J4819" t="str">
        <f>"12/09/2014 23:45"</f>
        <v>12/09/2014 23:45</v>
      </c>
    </row>
    <row r="4820" spans="1:10" x14ac:dyDescent="0.3">
      <c r="A4820" t="s">
        <v>6</v>
      </c>
      <c r="B4820" t="str">
        <f>"12/10/2014 00:00"</f>
        <v>12/10/2014 00:00</v>
      </c>
      <c r="C4820">
        <v>2.56</v>
      </c>
      <c r="D4820" t="s">
        <v>7</v>
      </c>
      <c r="E4820" s="2" t="s">
        <v>12</v>
      </c>
      <c r="F4820">
        <f t="shared" si="75"/>
        <v>5.0764800000000001</v>
      </c>
      <c r="G4820" t="s">
        <v>16</v>
      </c>
      <c r="J4820" t="str">
        <f>"12/10/2014 23:45"</f>
        <v>12/10/2014 23:45</v>
      </c>
    </row>
    <row r="4821" spans="1:10" x14ac:dyDescent="0.3">
      <c r="A4821" t="s">
        <v>6</v>
      </c>
      <c r="B4821" t="str">
        <f>"12/11/2014 00:00"</f>
        <v>12/11/2014 00:00</v>
      </c>
      <c r="C4821">
        <v>2.56</v>
      </c>
      <c r="D4821" t="s">
        <v>7</v>
      </c>
      <c r="E4821" s="2" t="s">
        <v>12</v>
      </c>
      <c r="F4821">
        <f t="shared" si="75"/>
        <v>5.0764800000000001</v>
      </c>
      <c r="G4821" t="s">
        <v>16</v>
      </c>
      <c r="J4821" t="str">
        <f>"12/11/2014 23:45"</f>
        <v>12/11/2014 23:45</v>
      </c>
    </row>
    <row r="4822" spans="1:10" x14ac:dyDescent="0.3">
      <c r="A4822" t="s">
        <v>6</v>
      </c>
      <c r="B4822" t="str">
        <f>"12/12/2014 00:00"</f>
        <v>12/12/2014 00:00</v>
      </c>
      <c r="C4822">
        <v>2.56</v>
      </c>
      <c r="D4822" t="s">
        <v>7</v>
      </c>
      <c r="E4822" s="2" t="s">
        <v>12</v>
      </c>
      <c r="F4822">
        <f t="shared" si="75"/>
        <v>5.0764800000000001</v>
      </c>
      <c r="G4822" t="s">
        <v>16</v>
      </c>
      <c r="J4822" t="str">
        <f>"12/12/2014 23:45"</f>
        <v>12/12/2014 23:45</v>
      </c>
    </row>
    <row r="4823" spans="1:10" x14ac:dyDescent="0.3">
      <c r="A4823" t="s">
        <v>6</v>
      </c>
      <c r="B4823" t="str">
        <f>"12/13/2014 00:00"</f>
        <v>12/13/2014 00:00</v>
      </c>
      <c r="C4823">
        <v>2.41</v>
      </c>
      <c r="D4823" t="s">
        <v>7</v>
      </c>
      <c r="E4823" s="2" t="s">
        <v>12</v>
      </c>
      <c r="F4823">
        <f t="shared" si="75"/>
        <v>4.7790300000000006</v>
      </c>
      <c r="G4823" t="s">
        <v>16</v>
      </c>
      <c r="J4823" t="str">
        <f>"12/13/2014 23:45"</f>
        <v>12/13/2014 23:45</v>
      </c>
    </row>
    <row r="4824" spans="1:10" x14ac:dyDescent="0.3">
      <c r="A4824" t="s">
        <v>6</v>
      </c>
      <c r="B4824" t="str">
        <f>"12/14/2014 00:00"</f>
        <v>12/14/2014 00:00</v>
      </c>
      <c r="C4824">
        <v>2.33</v>
      </c>
      <c r="D4824" t="s">
        <v>7</v>
      </c>
      <c r="E4824" s="2" t="s">
        <v>12</v>
      </c>
      <c r="F4824">
        <f t="shared" si="75"/>
        <v>4.6203900000000004</v>
      </c>
      <c r="G4824" t="s">
        <v>16</v>
      </c>
      <c r="J4824" t="str">
        <f>"12/14/2014 23:45"</f>
        <v>12/14/2014 23:45</v>
      </c>
    </row>
    <row r="4825" spans="1:10" x14ac:dyDescent="0.3">
      <c r="A4825" t="s">
        <v>6</v>
      </c>
      <c r="B4825" t="str">
        <f>"12/15/2014 00:00"</f>
        <v>12/15/2014 00:00</v>
      </c>
      <c r="C4825">
        <v>2.56</v>
      </c>
      <c r="D4825" t="s">
        <v>7</v>
      </c>
      <c r="E4825" s="2" t="s">
        <v>12</v>
      </c>
      <c r="F4825">
        <f t="shared" si="75"/>
        <v>5.0764800000000001</v>
      </c>
      <c r="G4825" t="s">
        <v>16</v>
      </c>
      <c r="J4825" t="str">
        <f>"12/15/2014 23:45"</f>
        <v>12/15/2014 23:45</v>
      </c>
    </row>
    <row r="4826" spans="1:10" x14ac:dyDescent="0.3">
      <c r="A4826" t="s">
        <v>6</v>
      </c>
      <c r="B4826" t="str">
        <f>"12/16/2014 00:00"</f>
        <v>12/16/2014 00:00</v>
      </c>
      <c r="C4826">
        <v>2.56</v>
      </c>
      <c r="D4826" t="s">
        <v>7</v>
      </c>
      <c r="E4826" s="2" t="s">
        <v>12</v>
      </c>
      <c r="F4826">
        <f t="shared" si="75"/>
        <v>5.0764800000000001</v>
      </c>
      <c r="G4826" t="s">
        <v>16</v>
      </c>
      <c r="J4826" t="str">
        <f>"12/16/2014 23:45"</f>
        <v>12/16/2014 23:45</v>
      </c>
    </row>
    <row r="4827" spans="1:10" x14ac:dyDescent="0.3">
      <c r="A4827" t="s">
        <v>6</v>
      </c>
      <c r="B4827" t="str">
        <f>"12/17/2014 00:00"</f>
        <v>12/17/2014 00:00</v>
      </c>
      <c r="C4827">
        <v>2.56</v>
      </c>
      <c r="D4827" t="s">
        <v>7</v>
      </c>
      <c r="E4827" s="2" t="s">
        <v>12</v>
      </c>
      <c r="F4827">
        <f t="shared" si="75"/>
        <v>5.0764800000000001</v>
      </c>
      <c r="G4827" t="s">
        <v>16</v>
      </c>
      <c r="J4827" t="str">
        <f>"12/17/2014 23:45"</f>
        <v>12/17/2014 23:45</v>
      </c>
    </row>
    <row r="4828" spans="1:10" x14ac:dyDescent="0.3">
      <c r="A4828" t="s">
        <v>6</v>
      </c>
      <c r="B4828" t="str">
        <f>"12/18/2014 00:00"</f>
        <v>12/18/2014 00:00</v>
      </c>
      <c r="C4828">
        <v>2.56</v>
      </c>
      <c r="D4828" t="s">
        <v>7</v>
      </c>
      <c r="E4828" s="2" t="s">
        <v>12</v>
      </c>
      <c r="F4828">
        <f t="shared" si="75"/>
        <v>5.0764800000000001</v>
      </c>
      <c r="G4828" t="s">
        <v>16</v>
      </c>
      <c r="J4828" t="str">
        <f>"12/18/2014 23:45"</f>
        <v>12/18/2014 23:45</v>
      </c>
    </row>
    <row r="4829" spans="1:10" x14ac:dyDescent="0.3">
      <c r="A4829" t="s">
        <v>6</v>
      </c>
      <c r="B4829" t="str">
        <f>"12/19/2014 00:00"</f>
        <v>12/19/2014 00:00</v>
      </c>
      <c r="C4829">
        <v>2.56</v>
      </c>
      <c r="D4829" t="s">
        <v>7</v>
      </c>
      <c r="E4829" s="2" t="s">
        <v>12</v>
      </c>
      <c r="F4829">
        <f t="shared" si="75"/>
        <v>5.0764800000000001</v>
      </c>
      <c r="G4829" t="s">
        <v>16</v>
      </c>
      <c r="J4829" t="str">
        <f>"12/19/2014 23:45"</f>
        <v>12/19/2014 23:45</v>
      </c>
    </row>
    <row r="4830" spans="1:10" x14ac:dyDescent="0.3">
      <c r="A4830" t="s">
        <v>6</v>
      </c>
      <c r="B4830" t="str">
        <f>"12/20/2014 00:00"</f>
        <v>12/20/2014 00:00</v>
      </c>
      <c r="C4830">
        <v>2.56</v>
      </c>
      <c r="D4830" t="s">
        <v>7</v>
      </c>
      <c r="E4830" s="2" t="s">
        <v>12</v>
      </c>
      <c r="F4830">
        <f t="shared" si="75"/>
        <v>5.0764800000000001</v>
      </c>
      <c r="G4830" t="s">
        <v>16</v>
      </c>
      <c r="J4830" t="str">
        <f>"12/20/2014 23:45"</f>
        <v>12/20/2014 23:45</v>
      </c>
    </row>
    <row r="4831" spans="1:10" x14ac:dyDescent="0.3">
      <c r="A4831" t="s">
        <v>6</v>
      </c>
      <c r="B4831" t="str">
        <f>"12/21/2014 00:00"</f>
        <v>12/21/2014 00:00</v>
      </c>
      <c r="C4831">
        <v>2.5099999999999998</v>
      </c>
      <c r="D4831" t="s">
        <v>7</v>
      </c>
      <c r="E4831" s="2" t="s">
        <v>12</v>
      </c>
      <c r="F4831">
        <f t="shared" si="75"/>
        <v>4.9773300000000003</v>
      </c>
      <c r="G4831" t="s">
        <v>16</v>
      </c>
      <c r="J4831" t="str">
        <f>"12/21/2014 23:45"</f>
        <v>12/21/2014 23:45</v>
      </c>
    </row>
    <row r="4832" spans="1:10" x14ac:dyDescent="0.3">
      <c r="A4832" t="s">
        <v>6</v>
      </c>
      <c r="B4832" t="str">
        <f>"12/22/2014 00:00"</f>
        <v>12/22/2014 00:00</v>
      </c>
      <c r="C4832">
        <v>2.23</v>
      </c>
      <c r="D4832" t="s">
        <v>7</v>
      </c>
      <c r="E4832" s="2" t="s">
        <v>12</v>
      </c>
      <c r="F4832">
        <f t="shared" si="75"/>
        <v>4.4220899999999999</v>
      </c>
      <c r="G4832" t="s">
        <v>16</v>
      </c>
      <c r="J4832" t="str">
        <f>"12/22/2014 23:45"</f>
        <v>12/22/2014 23:45</v>
      </c>
    </row>
    <row r="4833" spans="1:10" x14ac:dyDescent="0.3">
      <c r="A4833" t="s">
        <v>6</v>
      </c>
      <c r="B4833" t="str">
        <f>"12/23/2014 00:00"</f>
        <v>12/23/2014 00:00</v>
      </c>
      <c r="C4833">
        <v>2.23</v>
      </c>
      <c r="D4833" t="s">
        <v>7</v>
      </c>
      <c r="E4833" s="2" t="s">
        <v>12</v>
      </c>
      <c r="F4833">
        <f t="shared" si="75"/>
        <v>4.4220899999999999</v>
      </c>
      <c r="G4833" t="s">
        <v>16</v>
      </c>
      <c r="J4833" t="str">
        <f>"12/23/2014 23:45"</f>
        <v>12/23/2014 23:45</v>
      </c>
    </row>
    <row r="4834" spans="1:10" x14ac:dyDescent="0.3">
      <c r="A4834" t="s">
        <v>6</v>
      </c>
      <c r="B4834" t="str">
        <f>"12/24/2014 00:00"</f>
        <v>12/24/2014 00:00</v>
      </c>
      <c r="C4834">
        <v>2.23</v>
      </c>
      <c r="D4834" t="s">
        <v>7</v>
      </c>
      <c r="E4834" s="2" t="s">
        <v>12</v>
      </c>
      <c r="F4834">
        <f t="shared" si="75"/>
        <v>4.4220899999999999</v>
      </c>
      <c r="G4834" t="s">
        <v>16</v>
      </c>
      <c r="J4834" t="str">
        <f>"12/24/2014 23:45"</f>
        <v>12/24/2014 23:45</v>
      </c>
    </row>
    <row r="4835" spans="1:10" x14ac:dyDescent="0.3">
      <c r="A4835" t="s">
        <v>6</v>
      </c>
      <c r="B4835" t="str">
        <f>"12/25/2014 00:00"</f>
        <v>12/25/2014 00:00</v>
      </c>
      <c r="C4835">
        <v>2.23</v>
      </c>
      <c r="D4835" t="s">
        <v>7</v>
      </c>
      <c r="E4835" s="2" t="s">
        <v>12</v>
      </c>
      <c r="F4835">
        <f t="shared" si="75"/>
        <v>4.4220899999999999</v>
      </c>
      <c r="G4835" t="s">
        <v>16</v>
      </c>
      <c r="J4835" t="str">
        <f>"12/25/2014 23:45"</f>
        <v>12/25/2014 23:45</v>
      </c>
    </row>
    <row r="4836" spans="1:10" x14ac:dyDescent="0.3">
      <c r="A4836" t="s">
        <v>6</v>
      </c>
      <c r="B4836" t="str">
        <f>"12/26/2014 00:00"</f>
        <v>12/26/2014 00:00</v>
      </c>
      <c r="C4836">
        <v>2.08</v>
      </c>
      <c r="D4836" t="s">
        <v>7</v>
      </c>
      <c r="E4836" s="2" t="s">
        <v>12</v>
      </c>
      <c r="F4836">
        <f t="shared" si="75"/>
        <v>4.1246400000000003</v>
      </c>
      <c r="G4836" t="s">
        <v>16</v>
      </c>
      <c r="J4836" t="str">
        <f>"12/26/2014 23:45"</f>
        <v>12/26/2014 23:45</v>
      </c>
    </row>
    <row r="4837" spans="1:10" x14ac:dyDescent="0.3">
      <c r="A4837" t="s">
        <v>6</v>
      </c>
      <c r="B4837" t="str">
        <f>"12/27/2014 00:00"</f>
        <v>12/27/2014 00:00</v>
      </c>
      <c r="C4837">
        <v>1.92</v>
      </c>
      <c r="D4837" t="s">
        <v>7</v>
      </c>
      <c r="E4837" s="2" t="s">
        <v>12</v>
      </c>
      <c r="F4837">
        <f t="shared" si="75"/>
        <v>3.8073600000000001</v>
      </c>
      <c r="G4837" t="s">
        <v>16</v>
      </c>
      <c r="J4837" t="str">
        <f>"12/27/2014 23:45"</f>
        <v>12/27/2014 23:45</v>
      </c>
    </row>
    <row r="4838" spans="1:10" x14ac:dyDescent="0.3">
      <c r="A4838" t="s">
        <v>6</v>
      </c>
      <c r="B4838" t="str">
        <f>"12/28/2014 00:00"</f>
        <v>12/28/2014 00:00</v>
      </c>
      <c r="C4838">
        <v>1.92</v>
      </c>
      <c r="D4838" t="s">
        <v>7</v>
      </c>
      <c r="E4838" s="2" t="s">
        <v>12</v>
      </c>
      <c r="F4838">
        <f t="shared" si="75"/>
        <v>3.8073600000000001</v>
      </c>
      <c r="G4838" t="s">
        <v>16</v>
      </c>
      <c r="J4838" t="str">
        <f>"12/28/2014 23:45"</f>
        <v>12/28/2014 23:45</v>
      </c>
    </row>
    <row r="4839" spans="1:10" x14ac:dyDescent="0.3">
      <c r="A4839" t="s">
        <v>6</v>
      </c>
      <c r="B4839" t="str">
        <f>"12/29/2014 00:00"</f>
        <v>12/29/2014 00:00</v>
      </c>
      <c r="C4839">
        <v>1.92</v>
      </c>
      <c r="D4839" t="s">
        <v>7</v>
      </c>
      <c r="E4839" s="2" t="s">
        <v>12</v>
      </c>
      <c r="F4839">
        <f t="shared" si="75"/>
        <v>3.8073600000000001</v>
      </c>
      <c r="G4839" t="s">
        <v>16</v>
      </c>
      <c r="J4839" t="str">
        <f>"12/29/2014 23:45"</f>
        <v>12/29/2014 23:45</v>
      </c>
    </row>
    <row r="4840" spans="1:10" x14ac:dyDescent="0.3">
      <c r="A4840" t="s">
        <v>6</v>
      </c>
      <c r="B4840" t="str">
        <f>"12/30/2014 00:00"</f>
        <v>12/30/2014 00:00</v>
      </c>
      <c r="C4840">
        <v>1.92</v>
      </c>
      <c r="D4840" t="s">
        <v>7</v>
      </c>
      <c r="E4840" s="2" t="s">
        <v>12</v>
      </c>
      <c r="F4840">
        <f t="shared" si="75"/>
        <v>3.8073600000000001</v>
      </c>
      <c r="G4840" t="s">
        <v>16</v>
      </c>
      <c r="J4840" t="str">
        <f>"12/30/2014 23:45"</f>
        <v>12/30/2014 23:45</v>
      </c>
    </row>
    <row r="4841" spans="1:10" x14ac:dyDescent="0.3">
      <c r="A4841" t="s">
        <v>6</v>
      </c>
      <c r="B4841" t="str">
        <f>"12/31/2014 00:00"</f>
        <v>12/31/2014 00:00</v>
      </c>
      <c r="C4841">
        <v>1.92</v>
      </c>
      <c r="D4841" t="s">
        <v>7</v>
      </c>
      <c r="E4841" s="2" t="s">
        <v>12</v>
      </c>
      <c r="F4841">
        <f t="shared" si="75"/>
        <v>3.8073600000000001</v>
      </c>
      <c r="G4841" t="s">
        <v>16</v>
      </c>
      <c r="J4841" t="str">
        <f>"12/31/2014 23:45"</f>
        <v>12/31/2014 23:45</v>
      </c>
    </row>
    <row r="4842" spans="1:10" x14ac:dyDescent="0.3">
      <c r="A4842" t="s">
        <v>6</v>
      </c>
      <c r="B4842" t="str">
        <f>"01/01/2015 00:00"</f>
        <v>01/01/2015 00:00</v>
      </c>
      <c r="C4842">
        <v>1.92</v>
      </c>
      <c r="D4842" t="s">
        <v>7</v>
      </c>
      <c r="E4842" s="2" t="s">
        <v>12</v>
      </c>
      <c r="F4842">
        <f t="shared" si="75"/>
        <v>3.8073600000000001</v>
      </c>
      <c r="G4842" t="s">
        <v>16</v>
      </c>
      <c r="J4842" t="str">
        <f>"01/01/2015 23:45"</f>
        <v>01/01/2015 23:45</v>
      </c>
    </row>
    <row r="4843" spans="1:10" x14ac:dyDescent="0.3">
      <c r="A4843" t="s">
        <v>6</v>
      </c>
      <c r="B4843" t="str">
        <f>"01/02/2015 00:00"</f>
        <v>01/02/2015 00:00</v>
      </c>
      <c r="C4843">
        <v>1.93</v>
      </c>
      <c r="D4843" t="s">
        <v>7</v>
      </c>
      <c r="E4843" s="2" t="s">
        <v>12</v>
      </c>
      <c r="F4843">
        <f t="shared" si="75"/>
        <v>3.8271899999999999</v>
      </c>
      <c r="G4843" t="s">
        <v>16</v>
      </c>
      <c r="J4843" t="str">
        <f>"01/02/2015 23:45"</f>
        <v>01/02/2015 23:45</v>
      </c>
    </row>
    <row r="4844" spans="1:10" x14ac:dyDescent="0.3">
      <c r="A4844" t="s">
        <v>6</v>
      </c>
      <c r="B4844" t="str">
        <f>"01/03/2015 00:00"</f>
        <v>01/03/2015 00:00</v>
      </c>
      <c r="C4844">
        <v>1.96</v>
      </c>
      <c r="D4844" t="s">
        <v>7</v>
      </c>
      <c r="E4844" s="2" t="s">
        <v>12</v>
      </c>
      <c r="F4844">
        <f t="shared" si="75"/>
        <v>3.8866800000000001</v>
      </c>
      <c r="G4844" t="s">
        <v>16</v>
      </c>
      <c r="J4844" t="str">
        <f>"01/03/2015 23:45"</f>
        <v>01/03/2015 23:45</v>
      </c>
    </row>
    <row r="4845" spans="1:10" x14ac:dyDescent="0.3">
      <c r="A4845" t="s">
        <v>6</v>
      </c>
      <c r="B4845" t="str">
        <f>"01/04/2015 00:00"</f>
        <v>01/04/2015 00:00</v>
      </c>
      <c r="C4845">
        <v>1.92</v>
      </c>
      <c r="D4845" t="s">
        <v>7</v>
      </c>
      <c r="E4845" s="2" t="s">
        <v>12</v>
      </c>
      <c r="F4845">
        <f t="shared" si="75"/>
        <v>3.8073600000000001</v>
      </c>
      <c r="G4845" t="s">
        <v>16</v>
      </c>
      <c r="J4845" t="str">
        <f>"01/04/2015 23:45"</f>
        <v>01/04/2015 23:45</v>
      </c>
    </row>
    <row r="4846" spans="1:10" x14ac:dyDescent="0.3">
      <c r="A4846" t="s">
        <v>6</v>
      </c>
      <c r="B4846" t="str">
        <f>"01/05/2015 00:00"</f>
        <v>01/05/2015 00:00</v>
      </c>
      <c r="C4846">
        <v>1.98</v>
      </c>
      <c r="D4846" t="s">
        <v>7</v>
      </c>
      <c r="E4846" s="2" t="s">
        <v>12</v>
      </c>
      <c r="F4846">
        <f t="shared" si="75"/>
        <v>3.9263400000000002</v>
      </c>
      <c r="G4846" t="s">
        <v>16</v>
      </c>
      <c r="J4846" t="str">
        <f>"01/05/2015 23:45"</f>
        <v>01/05/2015 23:45</v>
      </c>
    </row>
    <row r="4847" spans="1:10" x14ac:dyDescent="0.3">
      <c r="A4847" t="s">
        <v>6</v>
      </c>
      <c r="B4847" t="str">
        <f>"01/06/2015 00:00"</f>
        <v>01/06/2015 00:00</v>
      </c>
      <c r="C4847">
        <v>3.16</v>
      </c>
      <c r="D4847" t="s">
        <v>7</v>
      </c>
      <c r="E4847" s="2" t="s">
        <v>12</v>
      </c>
      <c r="F4847">
        <f t="shared" si="75"/>
        <v>6.266280000000001</v>
      </c>
      <c r="G4847" t="s">
        <v>16</v>
      </c>
      <c r="J4847" t="str">
        <f>"01/06/2015 23:45"</f>
        <v>01/06/2015 23:45</v>
      </c>
    </row>
    <row r="4848" spans="1:10" x14ac:dyDescent="0.3">
      <c r="A4848" t="s">
        <v>6</v>
      </c>
      <c r="B4848" t="str">
        <f>"01/07/2015 00:00"</f>
        <v>01/07/2015 00:00</v>
      </c>
      <c r="C4848">
        <v>3.1</v>
      </c>
      <c r="D4848" t="s">
        <v>7</v>
      </c>
      <c r="E4848" s="2" t="s">
        <v>12</v>
      </c>
      <c r="F4848">
        <f t="shared" si="75"/>
        <v>6.1473000000000004</v>
      </c>
      <c r="G4848" t="s">
        <v>16</v>
      </c>
      <c r="J4848" t="str">
        <f>"01/07/2015 23:45"</f>
        <v>01/07/2015 23:45</v>
      </c>
    </row>
    <row r="4849" spans="1:10" x14ac:dyDescent="0.3">
      <c r="A4849" t="s">
        <v>6</v>
      </c>
      <c r="B4849" t="str">
        <f>"01/08/2015 00:00"</f>
        <v>01/08/2015 00:00</v>
      </c>
      <c r="C4849">
        <v>2.91</v>
      </c>
      <c r="D4849" t="s">
        <v>7</v>
      </c>
      <c r="E4849" s="2" t="s">
        <v>12</v>
      </c>
      <c r="F4849">
        <f t="shared" si="75"/>
        <v>5.7705300000000008</v>
      </c>
      <c r="G4849" t="s">
        <v>16</v>
      </c>
      <c r="J4849" t="str">
        <f>"01/08/2015 23:45"</f>
        <v>01/08/2015 23:45</v>
      </c>
    </row>
    <row r="4850" spans="1:10" x14ac:dyDescent="0.3">
      <c r="A4850" t="s">
        <v>6</v>
      </c>
      <c r="B4850" t="str">
        <f>"01/09/2015 00:00"</f>
        <v>01/09/2015 00:00</v>
      </c>
      <c r="C4850">
        <v>2.91</v>
      </c>
      <c r="D4850" t="s">
        <v>7</v>
      </c>
      <c r="E4850" s="2" t="s">
        <v>12</v>
      </c>
      <c r="F4850">
        <f t="shared" si="75"/>
        <v>5.7705300000000008</v>
      </c>
      <c r="G4850" t="s">
        <v>16</v>
      </c>
      <c r="J4850" t="str">
        <f>"01/09/2015 23:45"</f>
        <v>01/09/2015 23:45</v>
      </c>
    </row>
    <row r="4851" spans="1:10" x14ac:dyDescent="0.3">
      <c r="A4851" t="s">
        <v>6</v>
      </c>
      <c r="B4851" t="str">
        <f>"01/10/2015 00:00"</f>
        <v>01/10/2015 00:00</v>
      </c>
      <c r="C4851">
        <v>2.84</v>
      </c>
      <c r="D4851" t="s">
        <v>7</v>
      </c>
      <c r="E4851" s="2" t="s">
        <v>12</v>
      </c>
      <c r="F4851">
        <f t="shared" si="75"/>
        <v>5.6317199999999996</v>
      </c>
      <c r="G4851" t="s">
        <v>16</v>
      </c>
      <c r="J4851" t="str">
        <f>"01/10/2015 23:45"</f>
        <v>01/10/2015 23:45</v>
      </c>
    </row>
    <row r="4852" spans="1:10" x14ac:dyDescent="0.3">
      <c r="A4852" t="s">
        <v>6</v>
      </c>
      <c r="B4852" t="str">
        <f>"01/11/2015 00:00"</f>
        <v>01/11/2015 00:00</v>
      </c>
      <c r="C4852">
        <v>2.56</v>
      </c>
      <c r="D4852" t="s">
        <v>7</v>
      </c>
      <c r="E4852" s="2" t="s">
        <v>12</v>
      </c>
      <c r="F4852">
        <f t="shared" si="75"/>
        <v>5.0764800000000001</v>
      </c>
      <c r="G4852" t="s">
        <v>16</v>
      </c>
      <c r="J4852" t="str">
        <f>"01/11/2015 23:45"</f>
        <v>01/11/2015 23:45</v>
      </c>
    </row>
    <row r="4853" spans="1:10" x14ac:dyDescent="0.3">
      <c r="A4853" t="s">
        <v>6</v>
      </c>
      <c r="B4853" t="str">
        <f>"01/12/2015 00:00"</f>
        <v>01/12/2015 00:00</v>
      </c>
      <c r="C4853">
        <v>2.56</v>
      </c>
      <c r="D4853" t="s">
        <v>7</v>
      </c>
      <c r="E4853" s="2" t="s">
        <v>12</v>
      </c>
      <c r="F4853">
        <f t="shared" si="75"/>
        <v>5.0764800000000001</v>
      </c>
      <c r="G4853" t="s">
        <v>16</v>
      </c>
      <c r="J4853" t="str">
        <f>"01/12/2015 23:45"</f>
        <v>01/12/2015 23:45</v>
      </c>
    </row>
    <row r="4854" spans="1:10" x14ac:dyDescent="0.3">
      <c r="A4854" t="s">
        <v>6</v>
      </c>
      <c r="B4854" t="str">
        <f>"01/13/2015 00:00"</f>
        <v>01/13/2015 00:00</v>
      </c>
      <c r="C4854">
        <v>2.56</v>
      </c>
      <c r="D4854" t="s">
        <v>7</v>
      </c>
      <c r="E4854" s="2" t="s">
        <v>12</v>
      </c>
      <c r="F4854">
        <f t="shared" si="75"/>
        <v>5.0764800000000001</v>
      </c>
      <c r="G4854" t="s">
        <v>16</v>
      </c>
      <c r="J4854" t="str">
        <f>"01/13/2015 23:45"</f>
        <v>01/13/2015 23:45</v>
      </c>
    </row>
    <row r="4855" spans="1:10" x14ac:dyDescent="0.3">
      <c r="A4855" t="s">
        <v>6</v>
      </c>
      <c r="B4855" t="str">
        <f>"01/14/2015 00:00"</f>
        <v>01/14/2015 00:00</v>
      </c>
      <c r="C4855">
        <v>2.56</v>
      </c>
      <c r="D4855" t="s">
        <v>7</v>
      </c>
      <c r="E4855" s="2" t="s">
        <v>12</v>
      </c>
      <c r="F4855">
        <f t="shared" si="75"/>
        <v>5.0764800000000001</v>
      </c>
      <c r="G4855" t="s">
        <v>16</v>
      </c>
      <c r="J4855" t="str">
        <f>"01/14/2015 23:45"</f>
        <v>01/14/2015 23:45</v>
      </c>
    </row>
    <row r="4856" spans="1:10" x14ac:dyDescent="0.3">
      <c r="A4856" t="s">
        <v>6</v>
      </c>
      <c r="B4856" t="str">
        <f>"01/15/2015 00:00"</f>
        <v>01/15/2015 00:00</v>
      </c>
      <c r="C4856">
        <v>2.56</v>
      </c>
      <c r="D4856" t="s">
        <v>7</v>
      </c>
      <c r="E4856" s="2" t="s">
        <v>12</v>
      </c>
      <c r="F4856">
        <f t="shared" si="75"/>
        <v>5.0764800000000001</v>
      </c>
      <c r="G4856" t="s">
        <v>16</v>
      </c>
      <c r="J4856" t="str">
        <f>"01/15/2015 23:45"</f>
        <v>01/15/2015 23:45</v>
      </c>
    </row>
    <row r="4857" spans="1:10" x14ac:dyDescent="0.3">
      <c r="A4857" t="s">
        <v>6</v>
      </c>
      <c r="B4857" t="str">
        <f>"01/16/2015 00:00"</f>
        <v>01/16/2015 00:00</v>
      </c>
      <c r="C4857">
        <v>2.56</v>
      </c>
      <c r="D4857" t="s">
        <v>7</v>
      </c>
      <c r="E4857" s="2" t="s">
        <v>12</v>
      </c>
      <c r="F4857">
        <f t="shared" si="75"/>
        <v>5.0764800000000001</v>
      </c>
      <c r="G4857" t="s">
        <v>16</v>
      </c>
      <c r="J4857" t="str">
        <f>"01/16/2015 23:45"</f>
        <v>01/16/2015 23:45</v>
      </c>
    </row>
    <row r="4858" spans="1:10" x14ac:dyDescent="0.3">
      <c r="A4858" t="s">
        <v>6</v>
      </c>
      <c r="B4858" t="str">
        <f>"01/17/2015 00:00"</f>
        <v>01/17/2015 00:00</v>
      </c>
      <c r="C4858">
        <v>2.56</v>
      </c>
      <c r="D4858" t="s">
        <v>7</v>
      </c>
      <c r="E4858" s="2" t="s">
        <v>12</v>
      </c>
      <c r="F4858">
        <f t="shared" si="75"/>
        <v>5.0764800000000001</v>
      </c>
      <c r="G4858" t="s">
        <v>16</v>
      </c>
      <c r="J4858" t="str">
        <f>"01/17/2015 23:45"</f>
        <v>01/17/2015 23:45</v>
      </c>
    </row>
    <row r="4859" spans="1:10" x14ac:dyDescent="0.3">
      <c r="A4859" t="s">
        <v>6</v>
      </c>
      <c r="B4859" t="str">
        <f>"01/18/2015 00:00"</f>
        <v>01/18/2015 00:00</v>
      </c>
      <c r="C4859">
        <v>2.56</v>
      </c>
      <c r="D4859" t="s">
        <v>7</v>
      </c>
      <c r="E4859" s="2" t="s">
        <v>12</v>
      </c>
      <c r="F4859">
        <f t="shared" si="75"/>
        <v>5.0764800000000001</v>
      </c>
      <c r="G4859" t="s">
        <v>16</v>
      </c>
      <c r="J4859" t="str">
        <f>"01/18/2015 23:45"</f>
        <v>01/18/2015 23:45</v>
      </c>
    </row>
    <row r="4860" spans="1:10" x14ac:dyDescent="0.3">
      <c r="A4860" t="s">
        <v>6</v>
      </c>
      <c r="B4860" t="str">
        <f>"01/19/2015 00:00"</f>
        <v>01/19/2015 00:00</v>
      </c>
      <c r="C4860">
        <v>2.56</v>
      </c>
      <c r="D4860" t="s">
        <v>7</v>
      </c>
      <c r="E4860" s="2" t="s">
        <v>12</v>
      </c>
      <c r="F4860">
        <f t="shared" si="75"/>
        <v>5.0764800000000001</v>
      </c>
      <c r="G4860" t="s">
        <v>16</v>
      </c>
      <c r="J4860" t="str">
        <f>"01/19/2015 23:45"</f>
        <v>01/19/2015 23:45</v>
      </c>
    </row>
    <row r="4861" spans="1:10" x14ac:dyDescent="0.3">
      <c r="A4861" t="s">
        <v>6</v>
      </c>
      <c r="B4861" t="str">
        <f>"01/20/2015 00:00"</f>
        <v>01/20/2015 00:00</v>
      </c>
      <c r="C4861">
        <v>2.56</v>
      </c>
      <c r="D4861" t="s">
        <v>7</v>
      </c>
      <c r="E4861" s="2" t="s">
        <v>12</v>
      </c>
      <c r="F4861">
        <f t="shared" si="75"/>
        <v>5.0764800000000001</v>
      </c>
      <c r="G4861" t="s">
        <v>16</v>
      </c>
      <c r="J4861" t="str">
        <f>"01/20/2015 23:45"</f>
        <v>01/20/2015 23:45</v>
      </c>
    </row>
    <row r="4862" spans="1:10" x14ac:dyDescent="0.3">
      <c r="A4862" t="s">
        <v>6</v>
      </c>
      <c r="B4862" t="str">
        <f>"01/21/2015 00:00"</f>
        <v>01/21/2015 00:00</v>
      </c>
      <c r="C4862">
        <v>2.56</v>
      </c>
      <c r="D4862" t="s">
        <v>7</v>
      </c>
      <c r="E4862" s="2" t="s">
        <v>12</v>
      </c>
      <c r="F4862">
        <f t="shared" si="75"/>
        <v>5.0764800000000001</v>
      </c>
      <c r="G4862" t="s">
        <v>16</v>
      </c>
      <c r="J4862" t="str">
        <f>"01/21/2015 23:45"</f>
        <v>01/21/2015 23:45</v>
      </c>
    </row>
    <row r="4863" spans="1:10" x14ac:dyDescent="0.3">
      <c r="A4863" t="s">
        <v>6</v>
      </c>
      <c r="B4863" t="str">
        <f>"01/22/2015 00:00"</f>
        <v>01/22/2015 00:00</v>
      </c>
      <c r="C4863">
        <v>2.56</v>
      </c>
      <c r="D4863" t="s">
        <v>7</v>
      </c>
      <c r="E4863" s="2" t="s">
        <v>12</v>
      </c>
      <c r="F4863">
        <f t="shared" si="75"/>
        <v>5.0764800000000001</v>
      </c>
      <c r="G4863" t="s">
        <v>16</v>
      </c>
      <c r="J4863" t="str">
        <f>"01/22/2015 23:45"</f>
        <v>01/22/2015 23:45</v>
      </c>
    </row>
    <row r="4864" spans="1:10" x14ac:dyDescent="0.3">
      <c r="A4864" t="s">
        <v>6</v>
      </c>
      <c r="B4864" t="str">
        <f>"01/23/2015 00:00"</f>
        <v>01/23/2015 00:00</v>
      </c>
      <c r="C4864">
        <v>2.56</v>
      </c>
      <c r="D4864" t="s">
        <v>7</v>
      </c>
      <c r="E4864" s="2" t="s">
        <v>12</v>
      </c>
      <c r="F4864">
        <f t="shared" si="75"/>
        <v>5.0764800000000001</v>
      </c>
      <c r="G4864" t="s">
        <v>16</v>
      </c>
      <c r="J4864" t="str">
        <f>"01/23/2015 23:45"</f>
        <v>01/23/2015 23:45</v>
      </c>
    </row>
    <row r="4865" spans="1:10" x14ac:dyDescent="0.3">
      <c r="A4865" t="s">
        <v>6</v>
      </c>
      <c r="B4865" t="str">
        <f>"01/24/2015 00:00"</f>
        <v>01/24/2015 00:00</v>
      </c>
      <c r="C4865">
        <v>2.5499999999999998</v>
      </c>
      <c r="D4865" t="s">
        <v>7</v>
      </c>
      <c r="E4865" s="2" t="s">
        <v>12</v>
      </c>
      <c r="F4865">
        <f t="shared" si="75"/>
        <v>5.0566500000000003</v>
      </c>
      <c r="G4865" t="s">
        <v>16</v>
      </c>
      <c r="J4865" t="str">
        <f>"01/24/2015 23:45"</f>
        <v>01/24/2015 23:45</v>
      </c>
    </row>
    <row r="4866" spans="1:10" x14ac:dyDescent="0.3">
      <c r="A4866" t="s">
        <v>6</v>
      </c>
      <c r="B4866" t="str">
        <f>"01/25/2015 00:00"</f>
        <v>01/25/2015 00:00</v>
      </c>
      <c r="C4866">
        <v>2.23</v>
      </c>
      <c r="D4866" t="s">
        <v>7</v>
      </c>
      <c r="E4866" s="2" t="s">
        <v>12</v>
      </c>
      <c r="F4866">
        <f t="shared" si="75"/>
        <v>4.4220899999999999</v>
      </c>
      <c r="G4866" t="s">
        <v>16</v>
      </c>
      <c r="J4866" t="str">
        <f>"01/25/2015 23:45"</f>
        <v>01/25/2015 23:45</v>
      </c>
    </row>
    <row r="4867" spans="1:10" x14ac:dyDescent="0.3">
      <c r="A4867" t="s">
        <v>6</v>
      </c>
      <c r="B4867" t="str">
        <f>"01/26/2015 00:00"</f>
        <v>01/26/2015 00:00</v>
      </c>
      <c r="C4867">
        <v>2.23</v>
      </c>
      <c r="D4867" t="s">
        <v>7</v>
      </c>
      <c r="E4867" s="2" t="s">
        <v>12</v>
      </c>
      <c r="F4867">
        <f t="shared" si="75"/>
        <v>4.4220899999999999</v>
      </c>
      <c r="G4867" t="s">
        <v>16</v>
      </c>
      <c r="J4867" t="str">
        <f>"01/26/2015 23:45"</f>
        <v>01/26/2015 23:45</v>
      </c>
    </row>
    <row r="4868" spans="1:10" x14ac:dyDescent="0.3">
      <c r="A4868" t="s">
        <v>6</v>
      </c>
      <c r="B4868" t="str">
        <f>"01/27/2015 00:00"</f>
        <v>01/27/2015 00:00</v>
      </c>
      <c r="C4868">
        <v>2.33</v>
      </c>
      <c r="D4868" t="s">
        <v>7</v>
      </c>
      <c r="E4868" s="2" t="s">
        <v>12</v>
      </c>
      <c r="F4868">
        <f t="shared" ref="F4868:F4931" si="76">C4868*1.983</f>
        <v>4.6203900000000004</v>
      </c>
      <c r="G4868" t="s">
        <v>16</v>
      </c>
      <c r="J4868" t="str">
        <f>"01/27/2015 23:45"</f>
        <v>01/27/2015 23:45</v>
      </c>
    </row>
    <row r="4869" spans="1:10" x14ac:dyDescent="0.3">
      <c r="A4869" t="s">
        <v>6</v>
      </c>
      <c r="B4869" t="str">
        <f>"01/28/2015 00:00"</f>
        <v>01/28/2015 00:00</v>
      </c>
      <c r="C4869">
        <v>2.56</v>
      </c>
      <c r="D4869" t="s">
        <v>7</v>
      </c>
      <c r="E4869" s="2" t="s">
        <v>12</v>
      </c>
      <c r="F4869">
        <f t="shared" si="76"/>
        <v>5.0764800000000001</v>
      </c>
      <c r="G4869" t="s">
        <v>16</v>
      </c>
      <c r="J4869" t="str">
        <f>"01/28/2015 23:45"</f>
        <v>01/28/2015 23:45</v>
      </c>
    </row>
    <row r="4870" spans="1:10" x14ac:dyDescent="0.3">
      <c r="A4870" t="s">
        <v>6</v>
      </c>
      <c r="B4870" t="str">
        <f>"01/29/2015 00:00"</f>
        <v>01/29/2015 00:00</v>
      </c>
      <c r="C4870">
        <v>2.56</v>
      </c>
      <c r="D4870" t="s">
        <v>7</v>
      </c>
      <c r="E4870" s="2" t="s">
        <v>12</v>
      </c>
      <c r="F4870">
        <f t="shared" si="76"/>
        <v>5.0764800000000001</v>
      </c>
      <c r="G4870" t="s">
        <v>16</v>
      </c>
      <c r="J4870" t="str">
        <f>"01/29/2015 23:45"</f>
        <v>01/29/2015 23:45</v>
      </c>
    </row>
    <row r="4871" spans="1:10" x14ac:dyDescent="0.3">
      <c r="A4871" t="s">
        <v>6</v>
      </c>
      <c r="B4871" t="str">
        <f>"01/30/2015 00:00"</f>
        <v>01/30/2015 00:00</v>
      </c>
      <c r="C4871">
        <v>2.54</v>
      </c>
      <c r="D4871" t="s">
        <v>7</v>
      </c>
      <c r="E4871" s="2" t="s">
        <v>12</v>
      </c>
      <c r="F4871">
        <f t="shared" si="76"/>
        <v>5.0368200000000005</v>
      </c>
      <c r="G4871" t="s">
        <v>16</v>
      </c>
      <c r="J4871" t="str">
        <f>"01/30/2015 23:45"</f>
        <v>01/30/2015 23:45</v>
      </c>
    </row>
    <row r="4872" spans="1:10" x14ac:dyDescent="0.3">
      <c r="A4872" t="s">
        <v>6</v>
      </c>
      <c r="B4872" t="str">
        <f>"01/31/2015 00:00"</f>
        <v>01/31/2015 00:00</v>
      </c>
      <c r="C4872">
        <v>2.36</v>
      </c>
      <c r="D4872" t="s">
        <v>7</v>
      </c>
      <c r="E4872" s="2" t="s">
        <v>12</v>
      </c>
      <c r="F4872">
        <f t="shared" si="76"/>
        <v>4.6798799999999998</v>
      </c>
      <c r="G4872" t="s">
        <v>16</v>
      </c>
      <c r="J4872" t="str">
        <f>"01/31/2015 23:45"</f>
        <v>01/31/2015 23:45</v>
      </c>
    </row>
    <row r="4873" spans="1:10" x14ac:dyDescent="0.3">
      <c r="A4873" t="s">
        <v>6</v>
      </c>
      <c r="B4873" t="str">
        <f>"02/01/2015 00:00"</f>
        <v>02/01/2015 00:00</v>
      </c>
      <c r="C4873">
        <v>2.56</v>
      </c>
      <c r="D4873" t="s">
        <v>7</v>
      </c>
      <c r="E4873" s="2" t="s">
        <v>12</v>
      </c>
      <c r="F4873">
        <f t="shared" si="76"/>
        <v>5.0764800000000001</v>
      </c>
      <c r="G4873" t="s">
        <v>16</v>
      </c>
      <c r="J4873" t="str">
        <f>"02/01/2015 23:45"</f>
        <v>02/01/2015 23:45</v>
      </c>
    </row>
    <row r="4874" spans="1:10" x14ac:dyDescent="0.3">
      <c r="A4874" t="s">
        <v>6</v>
      </c>
      <c r="B4874" t="str">
        <f>"02/02/2015 00:00"</f>
        <v>02/02/2015 00:00</v>
      </c>
      <c r="C4874">
        <v>2.56</v>
      </c>
      <c r="D4874" t="s">
        <v>7</v>
      </c>
      <c r="E4874" s="2" t="s">
        <v>12</v>
      </c>
      <c r="F4874">
        <f t="shared" si="76"/>
        <v>5.0764800000000001</v>
      </c>
      <c r="G4874" t="s">
        <v>16</v>
      </c>
      <c r="J4874" t="str">
        <f>"02/02/2015 23:45"</f>
        <v>02/02/2015 23:45</v>
      </c>
    </row>
    <row r="4875" spans="1:10" x14ac:dyDescent="0.3">
      <c r="A4875" t="s">
        <v>6</v>
      </c>
      <c r="B4875" t="str">
        <f>"02/03/2015 00:00"</f>
        <v>02/03/2015 00:00</v>
      </c>
      <c r="C4875">
        <v>2.56</v>
      </c>
      <c r="D4875" t="s">
        <v>7</v>
      </c>
      <c r="E4875" s="2" t="s">
        <v>12</v>
      </c>
      <c r="F4875">
        <f t="shared" si="76"/>
        <v>5.0764800000000001</v>
      </c>
      <c r="G4875" t="s">
        <v>16</v>
      </c>
      <c r="J4875" t="str">
        <f>"02/03/2015 23:45"</f>
        <v>02/03/2015 23:45</v>
      </c>
    </row>
    <row r="4876" spans="1:10" x14ac:dyDescent="0.3">
      <c r="A4876" t="s">
        <v>6</v>
      </c>
      <c r="B4876" t="str">
        <f>"02/04/2015 00:00"</f>
        <v>02/04/2015 00:00</v>
      </c>
      <c r="C4876">
        <v>2.56</v>
      </c>
      <c r="D4876" t="s">
        <v>7</v>
      </c>
      <c r="E4876" s="2" t="s">
        <v>12</v>
      </c>
      <c r="F4876">
        <f t="shared" si="76"/>
        <v>5.0764800000000001</v>
      </c>
      <c r="G4876" t="s">
        <v>16</v>
      </c>
      <c r="J4876" t="str">
        <f>"02/04/2015 23:45"</f>
        <v>02/04/2015 23:45</v>
      </c>
    </row>
    <row r="4877" spans="1:10" x14ac:dyDescent="0.3">
      <c r="A4877" t="s">
        <v>6</v>
      </c>
      <c r="B4877" t="str">
        <f>"02/05/2015 00:00"</f>
        <v>02/05/2015 00:00</v>
      </c>
      <c r="C4877">
        <v>2.56</v>
      </c>
      <c r="D4877" t="s">
        <v>7</v>
      </c>
      <c r="E4877" s="2" t="s">
        <v>12</v>
      </c>
      <c r="F4877">
        <f t="shared" si="76"/>
        <v>5.0764800000000001</v>
      </c>
      <c r="G4877" t="s">
        <v>16</v>
      </c>
      <c r="J4877" t="str">
        <f>"02/05/2015 23:45"</f>
        <v>02/05/2015 23:45</v>
      </c>
    </row>
    <row r="4878" spans="1:10" x14ac:dyDescent="0.3">
      <c r="A4878" t="s">
        <v>6</v>
      </c>
      <c r="B4878" t="str">
        <f>"02/06/2015 00:00"</f>
        <v>02/06/2015 00:00</v>
      </c>
      <c r="C4878">
        <v>2.35</v>
      </c>
      <c r="D4878" t="s">
        <v>7</v>
      </c>
      <c r="E4878" s="2" t="s">
        <v>12</v>
      </c>
      <c r="F4878">
        <f t="shared" si="76"/>
        <v>4.66005</v>
      </c>
      <c r="G4878" t="s">
        <v>16</v>
      </c>
      <c r="J4878" t="str">
        <f>"02/06/2015 23:45"</f>
        <v>02/06/2015 23:45</v>
      </c>
    </row>
    <row r="4879" spans="1:10" x14ac:dyDescent="0.3">
      <c r="A4879" t="s">
        <v>6</v>
      </c>
      <c r="B4879" t="str">
        <f>"02/07/2015 00:00"</f>
        <v>02/07/2015 00:00</v>
      </c>
      <c r="C4879">
        <v>2.23</v>
      </c>
      <c r="D4879" t="s">
        <v>7</v>
      </c>
      <c r="E4879" s="2" t="s">
        <v>12</v>
      </c>
      <c r="F4879">
        <f t="shared" si="76"/>
        <v>4.4220899999999999</v>
      </c>
      <c r="G4879" t="s">
        <v>16</v>
      </c>
      <c r="J4879" t="str">
        <f>"02/07/2015 23:45"</f>
        <v>02/07/2015 23:45</v>
      </c>
    </row>
    <row r="4880" spans="1:10" x14ac:dyDescent="0.3">
      <c r="A4880" t="s">
        <v>6</v>
      </c>
      <c r="B4880" t="str">
        <f>"02/08/2015 00:00"</f>
        <v>02/08/2015 00:00</v>
      </c>
      <c r="C4880">
        <v>2.38</v>
      </c>
      <c r="D4880" t="s">
        <v>7</v>
      </c>
      <c r="E4880" s="2" t="s">
        <v>12</v>
      </c>
      <c r="F4880">
        <f t="shared" si="76"/>
        <v>4.7195400000000003</v>
      </c>
      <c r="G4880" t="s">
        <v>16</v>
      </c>
      <c r="J4880" t="str">
        <f>"02/08/2015 23:45"</f>
        <v>02/08/2015 23:45</v>
      </c>
    </row>
    <row r="4881" spans="1:10" x14ac:dyDescent="0.3">
      <c r="A4881" t="s">
        <v>6</v>
      </c>
      <c r="B4881" t="str">
        <f>"02/09/2015 00:00"</f>
        <v>02/09/2015 00:00</v>
      </c>
      <c r="C4881">
        <v>2.4</v>
      </c>
      <c r="D4881" t="s">
        <v>7</v>
      </c>
      <c r="E4881" s="2" t="s">
        <v>12</v>
      </c>
      <c r="F4881">
        <f t="shared" si="76"/>
        <v>4.7591999999999999</v>
      </c>
      <c r="G4881" t="s">
        <v>16</v>
      </c>
      <c r="J4881" t="str">
        <f>"02/09/2015 23:45"</f>
        <v>02/09/2015 23:45</v>
      </c>
    </row>
    <row r="4882" spans="1:10" x14ac:dyDescent="0.3">
      <c r="A4882" t="s">
        <v>6</v>
      </c>
      <c r="B4882" t="str">
        <f>"02/10/2015 00:00"</f>
        <v>02/10/2015 00:00</v>
      </c>
      <c r="C4882">
        <v>2.23</v>
      </c>
      <c r="D4882" t="s">
        <v>7</v>
      </c>
      <c r="E4882" s="2" t="s">
        <v>12</v>
      </c>
      <c r="F4882">
        <f t="shared" si="76"/>
        <v>4.4220899999999999</v>
      </c>
      <c r="G4882" t="s">
        <v>16</v>
      </c>
      <c r="J4882" t="str">
        <f>"02/10/2015 23:45"</f>
        <v>02/10/2015 23:45</v>
      </c>
    </row>
    <row r="4883" spans="1:10" x14ac:dyDescent="0.3">
      <c r="A4883" t="s">
        <v>6</v>
      </c>
      <c r="B4883" t="str">
        <f>"02/11/2015 00:00"</f>
        <v>02/11/2015 00:00</v>
      </c>
      <c r="C4883">
        <v>2.23</v>
      </c>
      <c r="D4883" t="s">
        <v>7</v>
      </c>
      <c r="E4883" s="2" t="s">
        <v>12</v>
      </c>
      <c r="F4883">
        <f t="shared" si="76"/>
        <v>4.4220899999999999</v>
      </c>
      <c r="G4883" t="s">
        <v>16</v>
      </c>
      <c r="J4883" t="str">
        <f>"02/11/2015 23:45"</f>
        <v>02/11/2015 23:45</v>
      </c>
    </row>
    <row r="4884" spans="1:10" x14ac:dyDescent="0.3">
      <c r="A4884" t="s">
        <v>6</v>
      </c>
      <c r="B4884" t="str">
        <f>"02/12/2015 00:00"</f>
        <v>02/12/2015 00:00</v>
      </c>
      <c r="C4884">
        <v>2.15</v>
      </c>
      <c r="D4884" t="s">
        <v>7</v>
      </c>
      <c r="E4884" s="2" t="s">
        <v>12</v>
      </c>
      <c r="F4884">
        <f t="shared" si="76"/>
        <v>4.2634499999999997</v>
      </c>
      <c r="G4884" t="s">
        <v>16</v>
      </c>
      <c r="J4884" t="str">
        <f>"02/12/2015 23:45"</f>
        <v>02/12/2015 23:45</v>
      </c>
    </row>
    <row r="4885" spans="1:10" x14ac:dyDescent="0.3">
      <c r="A4885" t="s">
        <v>6</v>
      </c>
      <c r="B4885" t="str">
        <f>"02/13/2015 00:00"</f>
        <v>02/13/2015 00:00</v>
      </c>
      <c r="C4885">
        <v>1.92</v>
      </c>
      <c r="D4885" t="s">
        <v>7</v>
      </c>
      <c r="E4885" s="2" t="s">
        <v>12</v>
      </c>
      <c r="F4885">
        <f t="shared" si="76"/>
        <v>3.8073600000000001</v>
      </c>
      <c r="G4885" t="s">
        <v>16</v>
      </c>
      <c r="J4885" t="str">
        <f>"02/13/2015 23:45"</f>
        <v>02/13/2015 23:45</v>
      </c>
    </row>
    <row r="4886" spans="1:10" x14ac:dyDescent="0.3">
      <c r="A4886" t="s">
        <v>6</v>
      </c>
      <c r="B4886" t="str">
        <f>"02/14/2015 00:00"</f>
        <v>02/14/2015 00:00</v>
      </c>
      <c r="C4886">
        <v>1.92</v>
      </c>
      <c r="D4886" t="s">
        <v>7</v>
      </c>
      <c r="E4886" s="2" t="s">
        <v>12</v>
      </c>
      <c r="F4886">
        <f t="shared" si="76"/>
        <v>3.8073600000000001</v>
      </c>
      <c r="G4886" t="s">
        <v>16</v>
      </c>
      <c r="J4886" t="str">
        <f>"02/14/2015 23:45"</f>
        <v>02/14/2015 23:45</v>
      </c>
    </row>
    <row r="4887" spans="1:10" x14ac:dyDescent="0.3">
      <c r="A4887" t="s">
        <v>6</v>
      </c>
      <c r="B4887" t="str">
        <f>"02/15/2015 00:00"</f>
        <v>02/15/2015 00:00</v>
      </c>
      <c r="C4887">
        <v>2.08</v>
      </c>
      <c r="D4887" t="s">
        <v>7</v>
      </c>
      <c r="E4887" s="2" t="s">
        <v>12</v>
      </c>
      <c r="F4887">
        <f t="shared" si="76"/>
        <v>4.1246400000000003</v>
      </c>
      <c r="G4887" t="s">
        <v>16</v>
      </c>
      <c r="J4887" t="str">
        <f>"02/15/2015 23:45"</f>
        <v>02/15/2015 23:45</v>
      </c>
    </row>
    <row r="4888" spans="1:10" x14ac:dyDescent="0.3">
      <c r="A4888" t="s">
        <v>6</v>
      </c>
      <c r="B4888" t="str">
        <f>"02/16/2015 00:00"</f>
        <v>02/16/2015 00:00</v>
      </c>
      <c r="C4888">
        <v>2.23</v>
      </c>
      <c r="D4888" t="s">
        <v>7</v>
      </c>
      <c r="E4888" s="2" t="s">
        <v>12</v>
      </c>
      <c r="F4888">
        <f t="shared" si="76"/>
        <v>4.4220899999999999</v>
      </c>
      <c r="G4888" t="s">
        <v>16</v>
      </c>
      <c r="J4888" t="str">
        <f>"02/16/2015 23:45"</f>
        <v>02/16/2015 23:45</v>
      </c>
    </row>
    <row r="4889" spans="1:10" x14ac:dyDescent="0.3">
      <c r="A4889" t="s">
        <v>6</v>
      </c>
      <c r="B4889" t="str">
        <f>"02/17/2015 00:00"</f>
        <v>02/17/2015 00:00</v>
      </c>
      <c r="C4889">
        <v>2.16</v>
      </c>
      <c r="D4889" t="s">
        <v>7</v>
      </c>
      <c r="E4889" s="2" t="s">
        <v>12</v>
      </c>
      <c r="F4889">
        <f t="shared" si="76"/>
        <v>4.2832800000000004</v>
      </c>
      <c r="G4889" t="s">
        <v>16</v>
      </c>
      <c r="J4889" t="str">
        <f>"02/17/2015 23:45"</f>
        <v>02/17/2015 23:45</v>
      </c>
    </row>
    <row r="4890" spans="1:10" x14ac:dyDescent="0.3">
      <c r="A4890" t="s">
        <v>6</v>
      </c>
      <c r="B4890" t="str">
        <f>"02/18/2015 00:00"</f>
        <v>02/18/2015 00:00</v>
      </c>
      <c r="C4890">
        <v>2.2000000000000002</v>
      </c>
      <c r="D4890" t="s">
        <v>7</v>
      </c>
      <c r="E4890" s="2" t="s">
        <v>12</v>
      </c>
      <c r="F4890">
        <f t="shared" si="76"/>
        <v>4.3626000000000005</v>
      </c>
      <c r="G4890" t="s">
        <v>16</v>
      </c>
      <c r="J4890" t="str">
        <f>"02/18/2015 23:45"</f>
        <v>02/18/2015 23:45</v>
      </c>
    </row>
    <row r="4891" spans="1:10" x14ac:dyDescent="0.3">
      <c r="A4891" t="s">
        <v>6</v>
      </c>
      <c r="B4891" t="str">
        <f>"02/19/2015 00:00"</f>
        <v>02/19/2015 00:00</v>
      </c>
      <c r="C4891">
        <v>2.5099999999999998</v>
      </c>
      <c r="D4891" t="s">
        <v>7</v>
      </c>
      <c r="E4891" s="2" t="s">
        <v>12</v>
      </c>
      <c r="F4891">
        <f t="shared" si="76"/>
        <v>4.9773300000000003</v>
      </c>
      <c r="G4891" t="s">
        <v>16</v>
      </c>
      <c r="J4891" t="str">
        <f>"02/19/2015 23:45"</f>
        <v>02/19/2015 23:45</v>
      </c>
    </row>
    <row r="4892" spans="1:10" x14ac:dyDescent="0.3">
      <c r="A4892" t="s">
        <v>6</v>
      </c>
      <c r="B4892" t="str">
        <f>"02/20/2015 00:00"</f>
        <v>02/20/2015 00:00</v>
      </c>
      <c r="C4892">
        <v>2.31</v>
      </c>
      <c r="D4892" t="s">
        <v>7</v>
      </c>
      <c r="E4892" s="2" t="s">
        <v>12</v>
      </c>
      <c r="F4892">
        <f t="shared" si="76"/>
        <v>4.58073</v>
      </c>
      <c r="G4892" t="s">
        <v>16</v>
      </c>
      <c r="J4892" t="str">
        <f>"02/20/2015 23:45"</f>
        <v>02/20/2015 23:45</v>
      </c>
    </row>
    <row r="4893" spans="1:10" x14ac:dyDescent="0.3">
      <c r="A4893" t="s">
        <v>6</v>
      </c>
      <c r="B4893" t="str">
        <f>"02/21/2015 00:00"</f>
        <v>02/21/2015 00:00</v>
      </c>
      <c r="C4893">
        <v>2.2400000000000002</v>
      </c>
      <c r="D4893" t="s">
        <v>7</v>
      </c>
      <c r="E4893" s="2" t="s">
        <v>12</v>
      </c>
      <c r="F4893">
        <f t="shared" si="76"/>
        <v>4.4419200000000005</v>
      </c>
      <c r="G4893" t="s">
        <v>16</v>
      </c>
      <c r="J4893" t="str">
        <f>"02/21/2015 23:45"</f>
        <v>02/21/2015 23:45</v>
      </c>
    </row>
    <row r="4894" spans="1:10" x14ac:dyDescent="0.3">
      <c r="A4894" t="s">
        <v>6</v>
      </c>
      <c r="B4894" t="str">
        <f>"02/22/2015 00:00"</f>
        <v>02/22/2015 00:00</v>
      </c>
      <c r="C4894">
        <v>2.9</v>
      </c>
      <c r="D4894" t="s">
        <v>7</v>
      </c>
      <c r="E4894" s="2" t="s">
        <v>12</v>
      </c>
      <c r="F4894">
        <f t="shared" si="76"/>
        <v>5.7507000000000001</v>
      </c>
      <c r="G4894" t="s">
        <v>16</v>
      </c>
      <c r="J4894" t="str">
        <f>"02/22/2015 23:45"</f>
        <v>02/22/2015 23:45</v>
      </c>
    </row>
    <row r="4895" spans="1:10" x14ac:dyDescent="0.3">
      <c r="A4895" t="s">
        <v>6</v>
      </c>
      <c r="B4895" t="str">
        <f>"02/23/2015 00:00"</f>
        <v>02/23/2015 00:00</v>
      </c>
      <c r="C4895">
        <v>2.91</v>
      </c>
      <c r="D4895" t="s">
        <v>7</v>
      </c>
      <c r="E4895" s="2" t="s">
        <v>12</v>
      </c>
      <c r="F4895">
        <f t="shared" si="76"/>
        <v>5.7705300000000008</v>
      </c>
      <c r="G4895" t="s">
        <v>16</v>
      </c>
      <c r="J4895" t="str">
        <f>"02/23/2015 23:45"</f>
        <v>02/23/2015 23:45</v>
      </c>
    </row>
    <row r="4896" spans="1:10" x14ac:dyDescent="0.3">
      <c r="A4896" t="s">
        <v>6</v>
      </c>
      <c r="B4896" t="str">
        <f>"02/24/2015 00:00"</f>
        <v>02/24/2015 00:00</v>
      </c>
      <c r="C4896">
        <v>2.91</v>
      </c>
      <c r="D4896" t="s">
        <v>7</v>
      </c>
      <c r="E4896" s="2" t="s">
        <v>12</v>
      </c>
      <c r="F4896">
        <f t="shared" si="76"/>
        <v>5.7705300000000008</v>
      </c>
      <c r="G4896" t="s">
        <v>16</v>
      </c>
      <c r="J4896" t="str">
        <f>"02/24/2015 23:45"</f>
        <v>02/24/2015 23:45</v>
      </c>
    </row>
    <row r="4897" spans="1:10" x14ac:dyDescent="0.3">
      <c r="A4897" t="s">
        <v>6</v>
      </c>
      <c r="B4897" t="str">
        <f>"02/25/2015 00:00"</f>
        <v>02/25/2015 00:00</v>
      </c>
      <c r="C4897">
        <v>2.91</v>
      </c>
      <c r="D4897" t="s">
        <v>7</v>
      </c>
      <c r="E4897" s="2" t="s">
        <v>12</v>
      </c>
      <c r="F4897">
        <f t="shared" si="76"/>
        <v>5.7705300000000008</v>
      </c>
      <c r="G4897" t="s">
        <v>16</v>
      </c>
      <c r="J4897" t="str">
        <f>"02/25/2015 23:45"</f>
        <v>02/25/2015 23:45</v>
      </c>
    </row>
    <row r="4898" spans="1:10" x14ac:dyDescent="0.3">
      <c r="A4898" t="s">
        <v>6</v>
      </c>
      <c r="B4898" t="str">
        <f>"02/26/2015 00:00"</f>
        <v>02/26/2015 00:00</v>
      </c>
      <c r="C4898">
        <v>2.91</v>
      </c>
      <c r="D4898" t="s">
        <v>7</v>
      </c>
      <c r="E4898" s="2" t="s">
        <v>12</v>
      </c>
      <c r="F4898">
        <f t="shared" si="76"/>
        <v>5.7705300000000008</v>
      </c>
      <c r="G4898" t="s">
        <v>16</v>
      </c>
      <c r="J4898" t="str">
        <f>"02/26/2015 23:45"</f>
        <v>02/26/2015 23:45</v>
      </c>
    </row>
    <row r="4899" spans="1:10" x14ac:dyDescent="0.3">
      <c r="A4899" t="s">
        <v>6</v>
      </c>
      <c r="B4899" t="str">
        <f>"02/27/2015 00:00"</f>
        <v>02/27/2015 00:00</v>
      </c>
      <c r="C4899">
        <v>2.91</v>
      </c>
      <c r="D4899" t="s">
        <v>7</v>
      </c>
      <c r="E4899" s="2" t="s">
        <v>12</v>
      </c>
      <c r="F4899">
        <f t="shared" si="76"/>
        <v>5.7705300000000008</v>
      </c>
      <c r="G4899" t="s">
        <v>16</v>
      </c>
      <c r="J4899" t="str">
        <f>"02/27/2015 23:45"</f>
        <v>02/27/2015 23:45</v>
      </c>
    </row>
    <row r="4900" spans="1:10" x14ac:dyDescent="0.3">
      <c r="A4900" t="s">
        <v>6</v>
      </c>
      <c r="B4900" t="str">
        <f>"02/28/2015 00:00"</f>
        <v>02/28/2015 00:00</v>
      </c>
      <c r="C4900">
        <v>2.91</v>
      </c>
      <c r="D4900" t="s">
        <v>7</v>
      </c>
      <c r="E4900" s="2" t="s">
        <v>12</v>
      </c>
      <c r="F4900">
        <f t="shared" si="76"/>
        <v>5.7705300000000008</v>
      </c>
      <c r="G4900" t="s">
        <v>16</v>
      </c>
      <c r="J4900" t="str">
        <f>"02/28/2015 23:45"</f>
        <v>02/28/2015 23:45</v>
      </c>
    </row>
    <row r="4901" spans="1:10" x14ac:dyDescent="0.3">
      <c r="A4901" t="s">
        <v>6</v>
      </c>
      <c r="B4901" t="str">
        <f>"03/01/2015 00:00"</f>
        <v>03/01/2015 00:00</v>
      </c>
      <c r="C4901">
        <v>2.91</v>
      </c>
      <c r="D4901" t="s">
        <v>7</v>
      </c>
      <c r="E4901" s="2" t="s">
        <v>12</v>
      </c>
      <c r="F4901">
        <f t="shared" si="76"/>
        <v>5.7705300000000008</v>
      </c>
      <c r="G4901" t="s">
        <v>16</v>
      </c>
      <c r="J4901" t="str">
        <f>"03/01/2015 23:45"</f>
        <v>03/01/2015 23:45</v>
      </c>
    </row>
    <row r="4902" spans="1:10" x14ac:dyDescent="0.3">
      <c r="A4902" t="s">
        <v>6</v>
      </c>
      <c r="B4902" t="str">
        <f>"03/02/2015 00:00"</f>
        <v>03/02/2015 00:00</v>
      </c>
      <c r="C4902">
        <v>2.91</v>
      </c>
      <c r="D4902" t="s">
        <v>7</v>
      </c>
      <c r="E4902" s="2" t="s">
        <v>12</v>
      </c>
      <c r="F4902">
        <f t="shared" si="76"/>
        <v>5.7705300000000008</v>
      </c>
      <c r="G4902" t="s">
        <v>16</v>
      </c>
      <c r="J4902" t="str">
        <f>"03/02/2015 23:45"</f>
        <v>03/02/2015 23:45</v>
      </c>
    </row>
    <row r="4903" spans="1:10" x14ac:dyDescent="0.3">
      <c r="A4903" t="s">
        <v>6</v>
      </c>
      <c r="B4903" t="str">
        <f>"03/03/2015 00:00"</f>
        <v>03/03/2015 00:00</v>
      </c>
      <c r="C4903">
        <v>2.82</v>
      </c>
      <c r="D4903" t="s">
        <v>7</v>
      </c>
      <c r="E4903" s="2" t="s">
        <v>12</v>
      </c>
      <c r="F4903">
        <f t="shared" si="76"/>
        <v>5.59206</v>
      </c>
      <c r="G4903" t="s">
        <v>16</v>
      </c>
      <c r="J4903" t="str">
        <f>"03/03/2015 23:45"</f>
        <v>03/03/2015 23:45</v>
      </c>
    </row>
    <row r="4904" spans="1:10" x14ac:dyDescent="0.3">
      <c r="A4904" t="s">
        <v>6</v>
      </c>
      <c r="B4904" t="str">
        <f>"03/04/2015 00:00"</f>
        <v>03/04/2015 00:00</v>
      </c>
      <c r="C4904">
        <v>2.56</v>
      </c>
      <c r="D4904" t="s">
        <v>7</v>
      </c>
      <c r="E4904" s="2" t="s">
        <v>12</v>
      </c>
      <c r="F4904">
        <f t="shared" si="76"/>
        <v>5.0764800000000001</v>
      </c>
      <c r="G4904" t="s">
        <v>16</v>
      </c>
      <c r="J4904" t="str">
        <f>"03/04/2015 23:45"</f>
        <v>03/04/2015 23:45</v>
      </c>
    </row>
    <row r="4905" spans="1:10" x14ac:dyDescent="0.3">
      <c r="A4905" t="s">
        <v>6</v>
      </c>
      <c r="B4905" t="str">
        <f>"03/05/2015 00:00"</f>
        <v>03/05/2015 00:00</v>
      </c>
      <c r="C4905">
        <v>2.56</v>
      </c>
      <c r="D4905" t="s">
        <v>7</v>
      </c>
      <c r="E4905" s="2" t="s">
        <v>12</v>
      </c>
      <c r="F4905">
        <f t="shared" si="76"/>
        <v>5.0764800000000001</v>
      </c>
      <c r="G4905" t="s">
        <v>16</v>
      </c>
      <c r="J4905" t="str">
        <f>"03/05/2015 23:45"</f>
        <v>03/05/2015 23:45</v>
      </c>
    </row>
    <row r="4906" spans="1:10" x14ac:dyDescent="0.3">
      <c r="A4906" t="s">
        <v>6</v>
      </c>
      <c r="B4906" t="str">
        <f>"03/06/2015 00:00"</f>
        <v>03/06/2015 00:00</v>
      </c>
      <c r="C4906">
        <v>2.56</v>
      </c>
      <c r="D4906" t="s">
        <v>7</v>
      </c>
      <c r="E4906" s="2" t="s">
        <v>12</v>
      </c>
      <c r="F4906">
        <f t="shared" si="76"/>
        <v>5.0764800000000001</v>
      </c>
      <c r="G4906" t="s">
        <v>16</v>
      </c>
      <c r="J4906" t="str">
        <f>"03/06/2015 23:45"</f>
        <v>03/06/2015 23:45</v>
      </c>
    </row>
    <row r="4907" spans="1:10" x14ac:dyDescent="0.3">
      <c r="A4907" t="s">
        <v>6</v>
      </c>
      <c r="B4907" t="str">
        <f>"03/07/2015 00:00"</f>
        <v>03/07/2015 00:00</v>
      </c>
      <c r="C4907">
        <v>2.56</v>
      </c>
      <c r="D4907" t="s">
        <v>7</v>
      </c>
      <c r="E4907" s="2" t="s">
        <v>12</v>
      </c>
      <c r="F4907">
        <f t="shared" si="76"/>
        <v>5.0764800000000001</v>
      </c>
      <c r="G4907" t="s">
        <v>16</v>
      </c>
      <c r="J4907" t="str">
        <f>"03/07/2015 23:45"</f>
        <v>03/07/2015 23:45</v>
      </c>
    </row>
    <row r="4908" spans="1:10" x14ac:dyDescent="0.3">
      <c r="A4908" t="s">
        <v>6</v>
      </c>
      <c r="B4908" t="str">
        <f>"03/08/2015 00:00"</f>
        <v>03/08/2015 00:00</v>
      </c>
      <c r="C4908">
        <v>2.5</v>
      </c>
      <c r="D4908" t="s">
        <v>7</v>
      </c>
      <c r="E4908" s="2" t="s">
        <v>12</v>
      </c>
      <c r="F4908">
        <f t="shared" si="76"/>
        <v>4.9575000000000005</v>
      </c>
      <c r="G4908" t="s">
        <v>16</v>
      </c>
      <c r="J4908" t="str">
        <f>"03/08/2015 23:45"</f>
        <v>03/08/2015 23:45</v>
      </c>
    </row>
    <row r="4909" spans="1:10" x14ac:dyDescent="0.3">
      <c r="A4909" t="s">
        <v>6</v>
      </c>
      <c r="B4909" t="str">
        <f>"03/09/2015 00:00"</f>
        <v>03/09/2015 00:00</v>
      </c>
      <c r="C4909">
        <v>2.2599999999999998</v>
      </c>
      <c r="D4909" t="s">
        <v>7</v>
      </c>
      <c r="E4909" s="2" t="s">
        <v>12</v>
      </c>
      <c r="F4909">
        <f t="shared" si="76"/>
        <v>4.4815800000000001</v>
      </c>
      <c r="G4909" t="s">
        <v>16</v>
      </c>
      <c r="J4909" t="str">
        <f>"03/09/2015 23:45"</f>
        <v>03/09/2015 23:45</v>
      </c>
    </row>
    <row r="4910" spans="1:10" x14ac:dyDescent="0.3">
      <c r="A4910" t="s">
        <v>6</v>
      </c>
      <c r="B4910" t="str">
        <f>"03/10/2015 00:00"</f>
        <v>03/10/2015 00:00</v>
      </c>
      <c r="C4910">
        <v>2.23</v>
      </c>
      <c r="D4910" t="s">
        <v>7</v>
      </c>
      <c r="E4910" s="2" t="s">
        <v>12</v>
      </c>
      <c r="F4910">
        <f t="shared" si="76"/>
        <v>4.4220899999999999</v>
      </c>
      <c r="G4910" t="s">
        <v>16</v>
      </c>
      <c r="J4910" t="str">
        <f>"03/10/2015 23:45"</f>
        <v>03/10/2015 23:45</v>
      </c>
    </row>
    <row r="4911" spans="1:10" x14ac:dyDescent="0.3">
      <c r="A4911" t="s">
        <v>6</v>
      </c>
      <c r="B4911" t="str">
        <f>"03/11/2015 00:00"</f>
        <v>03/11/2015 00:00</v>
      </c>
      <c r="C4911">
        <v>2.23</v>
      </c>
      <c r="D4911" t="s">
        <v>7</v>
      </c>
      <c r="E4911" s="2" t="s">
        <v>12</v>
      </c>
      <c r="F4911">
        <f t="shared" si="76"/>
        <v>4.4220899999999999</v>
      </c>
      <c r="G4911" t="s">
        <v>16</v>
      </c>
      <c r="J4911" t="str">
        <f>"03/11/2015 23:45"</f>
        <v>03/11/2015 23:45</v>
      </c>
    </row>
    <row r="4912" spans="1:10" x14ac:dyDescent="0.3">
      <c r="A4912" t="s">
        <v>6</v>
      </c>
      <c r="B4912" t="str">
        <f>"03/12/2015 00:00"</f>
        <v>03/12/2015 00:00</v>
      </c>
      <c r="C4912">
        <v>2.23</v>
      </c>
      <c r="D4912" t="s">
        <v>7</v>
      </c>
      <c r="E4912" s="2" t="s">
        <v>12</v>
      </c>
      <c r="F4912">
        <f t="shared" si="76"/>
        <v>4.4220899999999999</v>
      </c>
      <c r="G4912" t="s">
        <v>16</v>
      </c>
      <c r="J4912" t="str">
        <f>"03/12/2015 23:45"</f>
        <v>03/12/2015 23:45</v>
      </c>
    </row>
    <row r="4913" spans="1:10" x14ac:dyDescent="0.3">
      <c r="A4913" t="s">
        <v>6</v>
      </c>
      <c r="B4913" t="str">
        <f>"03/13/2015 00:00"</f>
        <v>03/13/2015 00:00</v>
      </c>
      <c r="C4913">
        <v>2.38</v>
      </c>
      <c r="D4913" t="s">
        <v>7</v>
      </c>
      <c r="E4913" s="2" t="s">
        <v>12</v>
      </c>
      <c r="F4913">
        <f t="shared" si="76"/>
        <v>4.7195400000000003</v>
      </c>
      <c r="G4913" t="s">
        <v>16</v>
      </c>
      <c r="J4913" t="str">
        <f>"03/13/2015 23:45"</f>
        <v>03/13/2015 23:45</v>
      </c>
    </row>
    <row r="4914" spans="1:10" x14ac:dyDescent="0.3">
      <c r="A4914" t="s">
        <v>6</v>
      </c>
      <c r="B4914" t="str">
        <f>"03/14/2015 00:00"</f>
        <v>03/14/2015 00:00</v>
      </c>
      <c r="C4914">
        <v>2.4500000000000002</v>
      </c>
      <c r="D4914" t="s">
        <v>7</v>
      </c>
      <c r="E4914" s="2" t="s">
        <v>12</v>
      </c>
      <c r="F4914">
        <f t="shared" si="76"/>
        <v>4.8583500000000006</v>
      </c>
      <c r="G4914" t="s">
        <v>16</v>
      </c>
      <c r="J4914" t="str">
        <f>"03/14/2015 23:45"</f>
        <v>03/14/2015 23:45</v>
      </c>
    </row>
    <row r="4915" spans="1:10" x14ac:dyDescent="0.3">
      <c r="A4915" t="s">
        <v>6</v>
      </c>
      <c r="B4915" t="str">
        <f>"03/15/2015 00:00"</f>
        <v>03/15/2015 00:00</v>
      </c>
      <c r="C4915">
        <v>2.23</v>
      </c>
      <c r="D4915" t="s">
        <v>7</v>
      </c>
      <c r="E4915" s="2" t="s">
        <v>12</v>
      </c>
      <c r="F4915">
        <f t="shared" si="76"/>
        <v>4.4220899999999999</v>
      </c>
      <c r="G4915" t="s">
        <v>16</v>
      </c>
      <c r="J4915" t="str">
        <f>"03/15/2015 23:45"</f>
        <v>03/15/2015 23:45</v>
      </c>
    </row>
    <row r="4916" spans="1:10" x14ac:dyDescent="0.3">
      <c r="A4916" t="s">
        <v>6</v>
      </c>
      <c r="B4916" t="str">
        <f>"03/16/2015 00:00"</f>
        <v>03/16/2015 00:00</v>
      </c>
      <c r="C4916">
        <v>2.23</v>
      </c>
      <c r="D4916" t="s">
        <v>7</v>
      </c>
      <c r="E4916" s="2" t="s">
        <v>12</v>
      </c>
      <c r="F4916">
        <f t="shared" si="76"/>
        <v>4.4220899999999999</v>
      </c>
      <c r="G4916" t="s">
        <v>16</v>
      </c>
      <c r="J4916" t="str">
        <f>"03/16/2015 23:45"</f>
        <v>03/16/2015 23:45</v>
      </c>
    </row>
    <row r="4917" spans="1:10" x14ac:dyDescent="0.3">
      <c r="A4917" t="s">
        <v>6</v>
      </c>
      <c r="B4917" t="str">
        <f>"03/17/2015 00:00"</f>
        <v>03/17/2015 00:00</v>
      </c>
      <c r="C4917">
        <v>2.23</v>
      </c>
      <c r="D4917" t="s">
        <v>7</v>
      </c>
      <c r="E4917" s="2" t="s">
        <v>12</v>
      </c>
      <c r="F4917">
        <f t="shared" si="76"/>
        <v>4.4220899999999999</v>
      </c>
      <c r="G4917" t="s">
        <v>16</v>
      </c>
      <c r="J4917" t="str">
        <f>"03/17/2015 23:45"</f>
        <v>03/17/2015 23:45</v>
      </c>
    </row>
    <row r="4918" spans="1:10" x14ac:dyDescent="0.3">
      <c r="A4918" t="s">
        <v>6</v>
      </c>
      <c r="B4918" t="str">
        <f>"03/18/2015 00:00"</f>
        <v>03/18/2015 00:00</v>
      </c>
      <c r="C4918">
        <v>2.11</v>
      </c>
      <c r="D4918" t="s">
        <v>7</v>
      </c>
      <c r="E4918" s="2" t="s">
        <v>12</v>
      </c>
      <c r="F4918">
        <f t="shared" si="76"/>
        <v>4.1841299999999997</v>
      </c>
      <c r="G4918" t="s">
        <v>16</v>
      </c>
      <c r="J4918" t="str">
        <f>"03/18/2015 23:45"</f>
        <v>03/18/2015 23:45</v>
      </c>
    </row>
    <row r="4919" spans="1:10" x14ac:dyDescent="0.3">
      <c r="A4919" t="s">
        <v>6</v>
      </c>
      <c r="B4919" t="str">
        <f>"03/19/2015 00:00"</f>
        <v>03/19/2015 00:00</v>
      </c>
      <c r="C4919">
        <v>1.92</v>
      </c>
      <c r="D4919" t="s">
        <v>7</v>
      </c>
      <c r="E4919" s="2" t="s">
        <v>12</v>
      </c>
      <c r="F4919">
        <f t="shared" si="76"/>
        <v>3.8073600000000001</v>
      </c>
      <c r="G4919" t="s">
        <v>16</v>
      </c>
      <c r="J4919" t="str">
        <f>"03/19/2015 23:45"</f>
        <v>03/19/2015 23:45</v>
      </c>
    </row>
    <row r="4920" spans="1:10" x14ac:dyDescent="0.3">
      <c r="A4920" t="s">
        <v>6</v>
      </c>
      <c r="B4920" t="str">
        <f>"03/20/2015 00:00"</f>
        <v>03/20/2015 00:00</v>
      </c>
      <c r="C4920">
        <v>1.92</v>
      </c>
      <c r="D4920" t="s">
        <v>7</v>
      </c>
      <c r="E4920" s="2" t="s">
        <v>12</v>
      </c>
      <c r="F4920">
        <f t="shared" si="76"/>
        <v>3.8073600000000001</v>
      </c>
      <c r="G4920" t="s">
        <v>16</v>
      </c>
      <c r="J4920" t="str">
        <f>"03/20/2015 23:45"</f>
        <v>03/20/2015 23:45</v>
      </c>
    </row>
    <row r="4921" spans="1:10" x14ac:dyDescent="0.3">
      <c r="A4921" t="s">
        <v>6</v>
      </c>
      <c r="B4921" t="str">
        <f>"03/21/2015 00:00"</f>
        <v>03/21/2015 00:00</v>
      </c>
      <c r="C4921">
        <v>1.92</v>
      </c>
      <c r="D4921" t="s">
        <v>7</v>
      </c>
      <c r="E4921" s="2" t="s">
        <v>12</v>
      </c>
      <c r="F4921">
        <f t="shared" si="76"/>
        <v>3.8073600000000001</v>
      </c>
      <c r="G4921" t="s">
        <v>16</v>
      </c>
      <c r="J4921" t="str">
        <f>"03/21/2015 23:45"</f>
        <v>03/21/2015 23:45</v>
      </c>
    </row>
    <row r="4922" spans="1:10" x14ac:dyDescent="0.3">
      <c r="A4922" t="s">
        <v>6</v>
      </c>
      <c r="B4922" t="str">
        <f>"03/22/2015 00:00"</f>
        <v>03/22/2015 00:00</v>
      </c>
      <c r="C4922">
        <v>1.92</v>
      </c>
      <c r="D4922" t="s">
        <v>7</v>
      </c>
      <c r="E4922" s="2" t="s">
        <v>12</v>
      </c>
      <c r="F4922">
        <f t="shared" si="76"/>
        <v>3.8073600000000001</v>
      </c>
      <c r="G4922" t="s">
        <v>16</v>
      </c>
      <c r="J4922" t="str">
        <f>"03/22/2015 23:45"</f>
        <v>03/22/2015 23:45</v>
      </c>
    </row>
    <row r="4923" spans="1:10" x14ac:dyDescent="0.3">
      <c r="A4923" t="s">
        <v>6</v>
      </c>
      <c r="B4923" t="str">
        <f>"03/23/2015 00:00"</f>
        <v>03/23/2015 00:00</v>
      </c>
      <c r="C4923">
        <v>1.92</v>
      </c>
      <c r="D4923" t="s">
        <v>7</v>
      </c>
      <c r="E4923" s="2" t="s">
        <v>12</v>
      </c>
      <c r="F4923">
        <f t="shared" si="76"/>
        <v>3.8073600000000001</v>
      </c>
      <c r="G4923" t="s">
        <v>16</v>
      </c>
      <c r="J4923" t="str">
        <f>"03/23/2015 23:45"</f>
        <v>03/23/2015 23:45</v>
      </c>
    </row>
    <row r="4924" spans="1:10" x14ac:dyDescent="0.3">
      <c r="A4924" t="s">
        <v>6</v>
      </c>
      <c r="B4924" t="str">
        <f>"03/24/2015 00:00"</f>
        <v>03/24/2015 00:00</v>
      </c>
      <c r="C4924">
        <v>1.92</v>
      </c>
      <c r="D4924" t="s">
        <v>7</v>
      </c>
      <c r="E4924" s="2" t="s">
        <v>12</v>
      </c>
      <c r="F4924">
        <f t="shared" si="76"/>
        <v>3.8073600000000001</v>
      </c>
      <c r="G4924" t="s">
        <v>16</v>
      </c>
      <c r="J4924" t="str">
        <f>"03/24/2015 23:45"</f>
        <v>03/24/2015 23:45</v>
      </c>
    </row>
    <row r="4925" spans="1:10" x14ac:dyDescent="0.3">
      <c r="A4925" t="s">
        <v>6</v>
      </c>
      <c r="B4925" t="str">
        <f>"03/25/2015 00:00"</f>
        <v>03/25/2015 00:00</v>
      </c>
      <c r="C4925">
        <v>1.92</v>
      </c>
      <c r="D4925" t="s">
        <v>7</v>
      </c>
      <c r="E4925" s="2" t="s">
        <v>12</v>
      </c>
      <c r="F4925">
        <f t="shared" si="76"/>
        <v>3.8073600000000001</v>
      </c>
      <c r="G4925" t="s">
        <v>16</v>
      </c>
      <c r="J4925" t="str">
        <f>"03/25/2015 23:45"</f>
        <v>03/25/2015 23:45</v>
      </c>
    </row>
    <row r="4926" spans="1:10" x14ac:dyDescent="0.3">
      <c r="A4926" t="s">
        <v>6</v>
      </c>
      <c r="B4926" t="str">
        <f>"03/26/2015 00:00"</f>
        <v>03/26/2015 00:00</v>
      </c>
      <c r="C4926">
        <v>1.92</v>
      </c>
      <c r="D4926" t="s">
        <v>7</v>
      </c>
      <c r="E4926" s="2" t="s">
        <v>12</v>
      </c>
      <c r="F4926">
        <f t="shared" si="76"/>
        <v>3.8073600000000001</v>
      </c>
      <c r="G4926" t="s">
        <v>16</v>
      </c>
      <c r="J4926" t="str">
        <f>"03/26/2015 23:45"</f>
        <v>03/26/2015 23:45</v>
      </c>
    </row>
    <row r="4927" spans="1:10" x14ac:dyDescent="0.3">
      <c r="A4927" t="s">
        <v>6</v>
      </c>
      <c r="B4927" t="str">
        <f>"03/27/2015 00:00"</f>
        <v>03/27/2015 00:00</v>
      </c>
      <c r="C4927">
        <v>1.92</v>
      </c>
      <c r="D4927" t="s">
        <v>7</v>
      </c>
      <c r="E4927" s="2" t="s">
        <v>12</v>
      </c>
      <c r="F4927">
        <f t="shared" si="76"/>
        <v>3.8073600000000001</v>
      </c>
      <c r="G4927" t="s">
        <v>16</v>
      </c>
      <c r="J4927" t="str">
        <f>"03/27/2015 23:45"</f>
        <v>03/27/2015 23:45</v>
      </c>
    </row>
    <row r="4928" spans="1:10" x14ac:dyDescent="0.3">
      <c r="A4928" t="s">
        <v>6</v>
      </c>
      <c r="B4928" t="str">
        <f>"03/28/2015 00:00"</f>
        <v>03/28/2015 00:00</v>
      </c>
      <c r="C4928">
        <v>1.92</v>
      </c>
      <c r="D4928" t="s">
        <v>7</v>
      </c>
      <c r="E4928" s="2" t="s">
        <v>12</v>
      </c>
      <c r="F4928">
        <f t="shared" si="76"/>
        <v>3.8073600000000001</v>
      </c>
      <c r="G4928" t="s">
        <v>16</v>
      </c>
      <c r="J4928" t="str">
        <f>"03/28/2015 23:45"</f>
        <v>03/28/2015 23:45</v>
      </c>
    </row>
    <row r="4929" spans="1:10" x14ac:dyDescent="0.3">
      <c r="A4929" t="s">
        <v>6</v>
      </c>
      <c r="B4929" t="str">
        <f>"03/29/2015 00:00"</f>
        <v>03/29/2015 00:00</v>
      </c>
      <c r="C4929">
        <v>1.92</v>
      </c>
      <c r="D4929" t="s">
        <v>7</v>
      </c>
      <c r="E4929" s="2" t="s">
        <v>12</v>
      </c>
      <c r="F4929">
        <f t="shared" si="76"/>
        <v>3.8073600000000001</v>
      </c>
      <c r="G4929" t="s">
        <v>16</v>
      </c>
      <c r="J4929" t="str">
        <f>"03/29/2015 23:45"</f>
        <v>03/29/2015 23:45</v>
      </c>
    </row>
    <row r="4930" spans="1:10" x14ac:dyDescent="0.3">
      <c r="A4930" t="s">
        <v>6</v>
      </c>
      <c r="B4930" t="str">
        <f>"03/30/2015 00:00"</f>
        <v>03/30/2015 00:00</v>
      </c>
      <c r="C4930">
        <v>1.92</v>
      </c>
      <c r="D4930" t="s">
        <v>7</v>
      </c>
      <c r="E4930" s="2" t="s">
        <v>12</v>
      </c>
      <c r="F4930">
        <f t="shared" si="76"/>
        <v>3.8073600000000001</v>
      </c>
      <c r="G4930" t="s">
        <v>16</v>
      </c>
      <c r="J4930" t="str">
        <f>"03/30/2015 23:45"</f>
        <v>03/30/2015 23:45</v>
      </c>
    </row>
    <row r="4931" spans="1:10" x14ac:dyDescent="0.3">
      <c r="A4931" t="s">
        <v>6</v>
      </c>
      <c r="B4931" t="str">
        <f>"03/31/2015 00:00"</f>
        <v>03/31/2015 00:00</v>
      </c>
      <c r="C4931">
        <v>1.92</v>
      </c>
      <c r="D4931" t="s">
        <v>7</v>
      </c>
      <c r="E4931" s="2" t="s">
        <v>12</v>
      </c>
      <c r="F4931">
        <f t="shared" si="76"/>
        <v>3.8073600000000001</v>
      </c>
      <c r="G4931" t="s">
        <v>16</v>
      </c>
      <c r="J4931" t="str">
        <f>"03/31/2015 23:45"</f>
        <v>03/31/2015 23:45</v>
      </c>
    </row>
    <row r="4932" spans="1:10" x14ac:dyDescent="0.3">
      <c r="A4932" t="s">
        <v>6</v>
      </c>
      <c r="B4932" t="str">
        <f>"04/01/2015 00:00"</f>
        <v>04/01/2015 00:00</v>
      </c>
      <c r="C4932">
        <v>1.92</v>
      </c>
      <c r="D4932" t="s">
        <v>7</v>
      </c>
      <c r="E4932" s="2" t="s">
        <v>12</v>
      </c>
      <c r="F4932">
        <f t="shared" ref="F4932:F4995" si="77">C4932*1.983</f>
        <v>3.8073600000000001</v>
      </c>
      <c r="G4932" t="s">
        <v>16</v>
      </c>
      <c r="J4932" t="str">
        <f>"04/01/2015 23:45"</f>
        <v>04/01/2015 23:45</v>
      </c>
    </row>
    <row r="4933" spans="1:10" x14ac:dyDescent="0.3">
      <c r="A4933" t="s">
        <v>6</v>
      </c>
      <c r="B4933" t="str">
        <f>"04/02/2015 00:00"</f>
        <v>04/02/2015 00:00</v>
      </c>
      <c r="C4933">
        <v>1.92</v>
      </c>
      <c r="D4933" t="s">
        <v>7</v>
      </c>
      <c r="E4933" s="2" t="s">
        <v>12</v>
      </c>
      <c r="F4933">
        <f t="shared" si="77"/>
        <v>3.8073600000000001</v>
      </c>
      <c r="G4933" t="s">
        <v>16</v>
      </c>
      <c r="J4933" t="str">
        <f>"04/02/2015 23:45"</f>
        <v>04/02/2015 23:45</v>
      </c>
    </row>
    <row r="4934" spans="1:10" x14ac:dyDescent="0.3">
      <c r="A4934" t="s">
        <v>6</v>
      </c>
      <c r="B4934" t="str">
        <f>"04/03/2015 00:00"</f>
        <v>04/03/2015 00:00</v>
      </c>
      <c r="C4934">
        <v>1.92</v>
      </c>
      <c r="D4934" t="s">
        <v>7</v>
      </c>
      <c r="E4934" s="2" t="s">
        <v>12</v>
      </c>
      <c r="F4934">
        <f t="shared" si="77"/>
        <v>3.8073600000000001</v>
      </c>
      <c r="G4934" t="s">
        <v>16</v>
      </c>
      <c r="J4934" t="str">
        <f>"04/03/2015 23:45"</f>
        <v>04/03/2015 23:45</v>
      </c>
    </row>
    <row r="4935" spans="1:10" x14ac:dyDescent="0.3">
      <c r="A4935" t="s">
        <v>6</v>
      </c>
      <c r="B4935" t="str">
        <f>"04/04/2015 00:00"</f>
        <v>04/04/2015 00:00</v>
      </c>
      <c r="C4935">
        <v>1.92</v>
      </c>
      <c r="D4935" t="s">
        <v>7</v>
      </c>
      <c r="E4935" s="2" t="s">
        <v>12</v>
      </c>
      <c r="F4935">
        <f t="shared" si="77"/>
        <v>3.8073600000000001</v>
      </c>
      <c r="G4935" t="s">
        <v>16</v>
      </c>
      <c r="J4935" t="str">
        <f>"04/04/2015 23:45"</f>
        <v>04/04/2015 23:45</v>
      </c>
    </row>
    <row r="4936" spans="1:10" x14ac:dyDescent="0.3">
      <c r="A4936" t="s">
        <v>6</v>
      </c>
      <c r="B4936" t="str">
        <f>"04/05/2015 00:00"</f>
        <v>04/05/2015 00:00</v>
      </c>
      <c r="C4936">
        <v>1.92</v>
      </c>
      <c r="D4936" t="s">
        <v>7</v>
      </c>
      <c r="E4936" s="2" t="s">
        <v>12</v>
      </c>
      <c r="F4936">
        <f t="shared" si="77"/>
        <v>3.8073600000000001</v>
      </c>
      <c r="G4936" t="s">
        <v>16</v>
      </c>
      <c r="J4936" t="str">
        <f>"04/05/2015 23:45"</f>
        <v>04/05/2015 23:45</v>
      </c>
    </row>
    <row r="4937" spans="1:10" x14ac:dyDescent="0.3">
      <c r="A4937" t="s">
        <v>6</v>
      </c>
      <c r="B4937" t="str">
        <f>"04/06/2015 00:00"</f>
        <v>04/06/2015 00:00</v>
      </c>
      <c r="C4937">
        <v>1.92</v>
      </c>
      <c r="D4937" t="s">
        <v>7</v>
      </c>
      <c r="E4937" s="2" t="s">
        <v>12</v>
      </c>
      <c r="F4937">
        <f t="shared" si="77"/>
        <v>3.8073600000000001</v>
      </c>
      <c r="G4937" t="s">
        <v>16</v>
      </c>
      <c r="J4937" t="str">
        <f>"04/06/2015 23:45"</f>
        <v>04/06/2015 23:45</v>
      </c>
    </row>
    <row r="4938" spans="1:10" x14ac:dyDescent="0.3">
      <c r="A4938" t="s">
        <v>6</v>
      </c>
      <c r="B4938" t="str">
        <f>"04/07/2015 00:00"</f>
        <v>04/07/2015 00:00</v>
      </c>
      <c r="C4938">
        <v>1.92</v>
      </c>
      <c r="D4938" t="s">
        <v>7</v>
      </c>
      <c r="E4938" s="2" t="s">
        <v>12</v>
      </c>
      <c r="F4938">
        <f t="shared" si="77"/>
        <v>3.8073600000000001</v>
      </c>
      <c r="G4938" t="s">
        <v>16</v>
      </c>
      <c r="J4938" t="str">
        <f>"04/07/2015 23:45"</f>
        <v>04/07/2015 23:45</v>
      </c>
    </row>
    <row r="4939" spans="1:10" x14ac:dyDescent="0.3">
      <c r="A4939" t="s">
        <v>6</v>
      </c>
      <c r="B4939" t="str">
        <f>"04/08/2015 00:00"</f>
        <v>04/08/2015 00:00</v>
      </c>
      <c r="C4939">
        <v>1.92</v>
      </c>
      <c r="D4939" t="s">
        <v>7</v>
      </c>
      <c r="E4939" s="2" t="s">
        <v>12</v>
      </c>
      <c r="F4939">
        <f t="shared" si="77"/>
        <v>3.8073600000000001</v>
      </c>
      <c r="G4939" t="s">
        <v>16</v>
      </c>
      <c r="J4939" t="str">
        <f>"04/08/2015 23:45"</f>
        <v>04/08/2015 23:45</v>
      </c>
    </row>
    <row r="4940" spans="1:10" x14ac:dyDescent="0.3">
      <c r="A4940" t="s">
        <v>6</v>
      </c>
      <c r="B4940" t="str">
        <f>"04/09/2015 00:00"</f>
        <v>04/09/2015 00:00</v>
      </c>
      <c r="C4940">
        <v>1.92</v>
      </c>
      <c r="D4940" t="s">
        <v>7</v>
      </c>
      <c r="E4940" s="2" t="s">
        <v>12</v>
      </c>
      <c r="F4940">
        <f t="shared" si="77"/>
        <v>3.8073600000000001</v>
      </c>
      <c r="G4940" t="s">
        <v>16</v>
      </c>
      <c r="J4940" t="str">
        <f>"04/09/2015 23:45"</f>
        <v>04/09/2015 23:45</v>
      </c>
    </row>
    <row r="4941" spans="1:10" x14ac:dyDescent="0.3">
      <c r="A4941" t="s">
        <v>6</v>
      </c>
      <c r="B4941" t="str">
        <f>"04/10/2015 00:00"</f>
        <v>04/10/2015 00:00</v>
      </c>
      <c r="C4941">
        <v>1.83</v>
      </c>
      <c r="D4941" t="s">
        <v>7</v>
      </c>
      <c r="E4941" s="2" t="s">
        <v>12</v>
      </c>
      <c r="F4941">
        <f t="shared" si="77"/>
        <v>3.6288900000000002</v>
      </c>
      <c r="G4941" t="s">
        <v>16</v>
      </c>
      <c r="J4941" t="str">
        <f>"04/10/2015 23:45"</f>
        <v>04/10/2015 23:45</v>
      </c>
    </row>
    <row r="4942" spans="1:10" x14ac:dyDescent="0.3">
      <c r="A4942" t="s">
        <v>6</v>
      </c>
      <c r="B4942" t="str">
        <f>"04/11/2015 00:00"</f>
        <v>04/11/2015 00:00</v>
      </c>
      <c r="C4942">
        <v>1.62</v>
      </c>
      <c r="D4942" t="s">
        <v>7</v>
      </c>
      <c r="E4942" s="2" t="s">
        <v>12</v>
      </c>
      <c r="F4942">
        <f t="shared" si="77"/>
        <v>3.2124600000000005</v>
      </c>
      <c r="G4942" t="s">
        <v>16</v>
      </c>
      <c r="J4942" t="str">
        <f>"04/11/2015 23:45"</f>
        <v>04/11/2015 23:45</v>
      </c>
    </row>
    <row r="4943" spans="1:10" x14ac:dyDescent="0.3">
      <c r="A4943" t="s">
        <v>6</v>
      </c>
      <c r="B4943" t="str">
        <f>"04/12/2015 00:00"</f>
        <v>04/12/2015 00:00</v>
      </c>
      <c r="C4943">
        <v>1.62</v>
      </c>
      <c r="D4943" t="s">
        <v>7</v>
      </c>
      <c r="E4943" s="2" t="s">
        <v>12</v>
      </c>
      <c r="F4943">
        <f t="shared" si="77"/>
        <v>3.2124600000000005</v>
      </c>
      <c r="G4943" t="s">
        <v>16</v>
      </c>
      <c r="J4943" t="str">
        <f>"04/12/2015 23:45"</f>
        <v>04/12/2015 23:45</v>
      </c>
    </row>
    <row r="4944" spans="1:10" x14ac:dyDescent="0.3">
      <c r="A4944" t="s">
        <v>6</v>
      </c>
      <c r="B4944" t="str">
        <f>"04/13/2015 00:00"</f>
        <v>04/13/2015 00:00</v>
      </c>
      <c r="C4944">
        <v>1.62</v>
      </c>
      <c r="D4944" t="s">
        <v>7</v>
      </c>
      <c r="E4944" s="2" t="s">
        <v>12</v>
      </c>
      <c r="F4944">
        <f t="shared" si="77"/>
        <v>3.2124600000000005</v>
      </c>
      <c r="G4944" t="s">
        <v>16</v>
      </c>
      <c r="J4944" t="str">
        <f>"04/13/2015 23:45"</f>
        <v>04/13/2015 23:45</v>
      </c>
    </row>
    <row r="4945" spans="1:10" x14ac:dyDescent="0.3">
      <c r="A4945" t="s">
        <v>6</v>
      </c>
      <c r="B4945" t="str">
        <f>"04/14/2015 00:00"</f>
        <v>04/14/2015 00:00</v>
      </c>
      <c r="C4945">
        <v>1.62</v>
      </c>
      <c r="D4945" t="s">
        <v>7</v>
      </c>
      <c r="E4945" s="2" t="s">
        <v>12</v>
      </c>
      <c r="F4945">
        <f t="shared" si="77"/>
        <v>3.2124600000000005</v>
      </c>
      <c r="G4945" t="s">
        <v>16</v>
      </c>
      <c r="J4945" t="str">
        <f>"04/14/2015 23:45"</f>
        <v>04/14/2015 23:45</v>
      </c>
    </row>
    <row r="4946" spans="1:10" x14ac:dyDescent="0.3">
      <c r="A4946" t="s">
        <v>6</v>
      </c>
      <c r="B4946" t="str">
        <f>"04/15/2015 00:00"</f>
        <v>04/15/2015 00:00</v>
      </c>
      <c r="C4946">
        <v>1.62</v>
      </c>
      <c r="D4946" t="s">
        <v>7</v>
      </c>
      <c r="E4946" s="2" t="s">
        <v>12</v>
      </c>
      <c r="F4946">
        <f t="shared" si="77"/>
        <v>3.2124600000000005</v>
      </c>
      <c r="G4946" t="s">
        <v>16</v>
      </c>
      <c r="J4946" t="str">
        <f>"04/15/2015 23:45"</f>
        <v>04/15/2015 23:45</v>
      </c>
    </row>
    <row r="4947" spans="1:10" x14ac:dyDescent="0.3">
      <c r="A4947" t="s">
        <v>6</v>
      </c>
      <c r="B4947" t="str">
        <f>"04/16/2015 00:00"</f>
        <v>04/16/2015 00:00</v>
      </c>
      <c r="C4947">
        <v>2.02</v>
      </c>
      <c r="D4947" t="s">
        <v>7</v>
      </c>
      <c r="E4947" s="2" t="s">
        <v>12</v>
      </c>
      <c r="F4947">
        <f t="shared" si="77"/>
        <v>4.0056600000000007</v>
      </c>
      <c r="G4947" t="s">
        <v>16</v>
      </c>
      <c r="J4947" t="str">
        <f>"04/16/2015 23:45"</f>
        <v>04/16/2015 23:45</v>
      </c>
    </row>
    <row r="4948" spans="1:10" x14ac:dyDescent="0.3">
      <c r="A4948" t="s">
        <v>6</v>
      </c>
      <c r="B4948" t="str">
        <f>"04/17/2015 00:00"</f>
        <v>04/17/2015 00:00</v>
      </c>
      <c r="C4948">
        <v>2.59</v>
      </c>
      <c r="D4948" t="s">
        <v>7</v>
      </c>
      <c r="E4948" s="2" t="s">
        <v>12</v>
      </c>
      <c r="F4948">
        <f t="shared" si="77"/>
        <v>5.1359700000000004</v>
      </c>
      <c r="G4948" t="s">
        <v>16</v>
      </c>
      <c r="J4948" t="str">
        <f>"04/17/2015 23:45"</f>
        <v>04/17/2015 23:45</v>
      </c>
    </row>
    <row r="4949" spans="1:10" x14ac:dyDescent="0.3">
      <c r="A4949" t="s">
        <v>6</v>
      </c>
      <c r="B4949" t="str">
        <f>"04/18/2015 00:00"</f>
        <v>04/18/2015 00:00</v>
      </c>
      <c r="C4949">
        <v>2.64</v>
      </c>
      <c r="D4949" t="s">
        <v>7</v>
      </c>
      <c r="E4949" s="2" t="s">
        <v>12</v>
      </c>
      <c r="F4949">
        <f t="shared" si="77"/>
        <v>5.2351200000000002</v>
      </c>
      <c r="G4949" t="s">
        <v>16</v>
      </c>
      <c r="J4949" t="str">
        <f>"04/18/2015 23:45"</f>
        <v>04/18/2015 23:45</v>
      </c>
    </row>
    <row r="4950" spans="1:10" x14ac:dyDescent="0.3">
      <c r="A4950" t="s">
        <v>6</v>
      </c>
      <c r="B4950" t="str">
        <f>"04/19/2015 00:00"</f>
        <v>04/19/2015 00:00</v>
      </c>
      <c r="C4950">
        <v>2.5499999999999998</v>
      </c>
      <c r="D4950" t="s">
        <v>7</v>
      </c>
      <c r="E4950" s="2" t="s">
        <v>12</v>
      </c>
      <c r="F4950">
        <f t="shared" si="77"/>
        <v>5.0566500000000003</v>
      </c>
      <c r="G4950" t="s">
        <v>16</v>
      </c>
      <c r="J4950" t="str">
        <f>"04/19/2015 23:45"</f>
        <v>04/19/2015 23:45</v>
      </c>
    </row>
    <row r="4951" spans="1:10" x14ac:dyDescent="0.3">
      <c r="A4951" t="s">
        <v>6</v>
      </c>
      <c r="B4951" t="str">
        <f>"04/20/2015 00:00"</f>
        <v>04/20/2015 00:00</v>
      </c>
      <c r="C4951">
        <v>2.23</v>
      </c>
      <c r="D4951" t="s">
        <v>7</v>
      </c>
      <c r="E4951" s="2" t="s">
        <v>12</v>
      </c>
      <c r="F4951">
        <f t="shared" si="77"/>
        <v>4.4220899999999999</v>
      </c>
      <c r="G4951" t="s">
        <v>16</v>
      </c>
      <c r="J4951" t="str">
        <f>"04/20/2015 23:45"</f>
        <v>04/20/2015 23:45</v>
      </c>
    </row>
    <row r="4952" spans="1:10" x14ac:dyDescent="0.3">
      <c r="A4952" t="s">
        <v>6</v>
      </c>
      <c r="B4952" t="str">
        <f>"04/21/2015 00:00"</f>
        <v>04/21/2015 00:00</v>
      </c>
      <c r="C4952">
        <v>2.23</v>
      </c>
      <c r="D4952" t="s">
        <v>7</v>
      </c>
      <c r="E4952" s="2" t="s">
        <v>12</v>
      </c>
      <c r="F4952">
        <f t="shared" si="77"/>
        <v>4.4220899999999999</v>
      </c>
      <c r="G4952" t="s">
        <v>16</v>
      </c>
      <c r="J4952" t="str">
        <f>"04/21/2015 23:45"</f>
        <v>04/21/2015 23:45</v>
      </c>
    </row>
    <row r="4953" spans="1:10" x14ac:dyDescent="0.3">
      <c r="A4953" t="s">
        <v>6</v>
      </c>
      <c r="B4953" t="str">
        <f>"04/22/2015 00:00"</f>
        <v>04/22/2015 00:00</v>
      </c>
      <c r="C4953">
        <v>2.23</v>
      </c>
      <c r="D4953" t="s">
        <v>7</v>
      </c>
      <c r="E4953" s="2" t="s">
        <v>12</v>
      </c>
      <c r="F4953">
        <f t="shared" si="77"/>
        <v>4.4220899999999999</v>
      </c>
      <c r="G4953" t="s">
        <v>16</v>
      </c>
      <c r="J4953" t="str">
        <f>"04/22/2015 23:45"</f>
        <v>04/22/2015 23:45</v>
      </c>
    </row>
    <row r="4954" spans="1:10" x14ac:dyDescent="0.3">
      <c r="A4954" t="s">
        <v>6</v>
      </c>
      <c r="B4954" t="str">
        <f>"04/23/2015 00:00"</f>
        <v>04/23/2015 00:00</v>
      </c>
      <c r="C4954">
        <v>2.23</v>
      </c>
      <c r="D4954" t="s">
        <v>7</v>
      </c>
      <c r="E4954" s="2" t="s">
        <v>12</v>
      </c>
      <c r="F4954">
        <f t="shared" si="77"/>
        <v>4.4220899999999999</v>
      </c>
      <c r="G4954" t="s">
        <v>16</v>
      </c>
      <c r="J4954" t="str">
        <f>"04/23/2015 23:45"</f>
        <v>04/23/2015 23:45</v>
      </c>
    </row>
    <row r="4955" spans="1:10" x14ac:dyDescent="0.3">
      <c r="A4955" t="s">
        <v>6</v>
      </c>
      <c r="B4955" t="str">
        <f>"04/24/2015 00:00"</f>
        <v>04/24/2015 00:00</v>
      </c>
      <c r="C4955">
        <v>1.99</v>
      </c>
      <c r="D4955" t="s">
        <v>7</v>
      </c>
      <c r="E4955" s="2" t="s">
        <v>12</v>
      </c>
      <c r="F4955">
        <f t="shared" si="77"/>
        <v>3.94617</v>
      </c>
      <c r="G4955" t="s">
        <v>16</v>
      </c>
      <c r="J4955" t="str">
        <f>"04/24/2015 23:45"</f>
        <v>04/24/2015 23:45</v>
      </c>
    </row>
    <row r="4956" spans="1:10" x14ac:dyDescent="0.3">
      <c r="A4956" t="s">
        <v>6</v>
      </c>
      <c r="B4956" t="str">
        <f>"04/25/2015 00:00"</f>
        <v>04/25/2015 00:00</v>
      </c>
      <c r="C4956">
        <v>1.92</v>
      </c>
      <c r="D4956" t="s">
        <v>7</v>
      </c>
      <c r="E4956" s="2" t="s">
        <v>12</v>
      </c>
      <c r="F4956">
        <f t="shared" si="77"/>
        <v>3.8073600000000001</v>
      </c>
      <c r="G4956" t="s">
        <v>16</v>
      </c>
      <c r="J4956" t="str">
        <f>"04/25/2015 23:45"</f>
        <v>04/25/2015 23:45</v>
      </c>
    </row>
    <row r="4957" spans="1:10" x14ac:dyDescent="0.3">
      <c r="A4957" t="s">
        <v>6</v>
      </c>
      <c r="B4957" t="str">
        <f>"04/26/2015 00:00"</f>
        <v>04/26/2015 00:00</v>
      </c>
      <c r="C4957">
        <v>2.2200000000000002</v>
      </c>
      <c r="D4957" t="s">
        <v>7</v>
      </c>
      <c r="E4957" s="2" t="s">
        <v>12</v>
      </c>
      <c r="F4957">
        <f t="shared" si="77"/>
        <v>4.402260000000001</v>
      </c>
      <c r="G4957" t="s">
        <v>16</v>
      </c>
      <c r="J4957" t="str">
        <f>"04/26/2015 23:45"</f>
        <v>04/26/2015 23:45</v>
      </c>
    </row>
    <row r="4958" spans="1:10" x14ac:dyDescent="0.3">
      <c r="A4958" t="s">
        <v>6</v>
      </c>
      <c r="B4958" t="str">
        <f>"04/27/2015 00:00"</f>
        <v>04/27/2015 00:00</v>
      </c>
      <c r="C4958">
        <v>2.29</v>
      </c>
      <c r="D4958" t="s">
        <v>7</v>
      </c>
      <c r="E4958" s="2" t="s">
        <v>12</v>
      </c>
      <c r="F4958">
        <f t="shared" si="77"/>
        <v>4.5410700000000004</v>
      </c>
      <c r="G4958" t="s">
        <v>16</v>
      </c>
      <c r="J4958" t="str">
        <f>"04/27/2015 23:45"</f>
        <v>04/27/2015 23:45</v>
      </c>
    </row>
    <row r="4959" spans="1:10" x14ac:dyDescent="0.3">
      <c r="A4959" t="s">
        <v>6</v>
      </c>
      <c r="B4959" t="str">
        <f>"04/28/2015 00:00"</f>
        <v>04/28/2015 00:00</v>
      </c>
      <c r="C4959">
        <v>2.23</v>
      </c>
      <c r="D4959" t="s">
        <v>7</v>
      </c>
      <c r="E4959" s="2" t="s">
        <v>12</v>
      </c>
      <c r="F4959">
        <f t="shared" si="77"/>
        <v>4.4220899999999999</v>
      </c>
      <c r="G4959" t="s">
        <v>16</v>
      </c>
      <c r="J4959" t="str">
        <f>"04/28/2015 23:45"</f>
        <v>04/28/2015 23:45</v>
      </c>
    </row>
    <row r="4960" spans="1:10" x14ac:dyDescent="0.3">
      <c r="A4960" t="s">
        <v>6</v>
      </c>
      <c r="B4960" t="str">
        <f>"04/29/2015 00:00"</f>
        <v>04/29/2015 00:00</v>
      </c>
      <c r="C4960">
        <v>2.23</v>
      </c>
      <c r="D4960" t="s">
        <v>7</v>
      </c>
      <c r="E4960" s="2" t="s">
        <v>12</v>
      </c>
      <c r="F4960">
        <f t="shared" si="77"/>
        <v>4.4220899999999999</v>
      </c>
      <c r="G4960" t="s">
        <v>16</v>
      </c>
      <c r="J4960" t="str">
        <f>"04/29/2015 23:45"</f>
        <v>04/29/2015 23:45</v>
      </c>
    </row>
    <row r="4961" spans="1:10" x14ac:dyDescent="0.3">
      <c r="A4961" t="s">
        <v>6</v>
      </c>
      <c r="B4961" t="str">
        <f>"04/30/2015 00:00"</f>
        <v>04/30/2015 00:00</v>
      </c>
      <c r="C4961">
        <v>2.11</v>
      </c>
      <c r="D4961" t="s">
        <v>7</v>
      </c>
      <c r="E4961" s="2" t="s">
        <v>12</v>
      </c>
      <c r="F4961">
        <f t="shared" si="77"/>
        <v>4.1841299999999997</v>
      </c>
      <c r="G4961" t="s">
        <v>16</v>
      </c>
      <c r="J4961" t="str">
        <f>"04/30/2015 23:45"</f>
        <v>04/30/2015 23:45</v>
      </c>
    </row>
    <row r="4962" spans="1:10" x14ac:dyDescent="0.3">
      <c r="A4962" t="s">
        <v>6</v>
      </c>
      <c r="B4962" t="str">
        <f>"05/01/2015 00:00"</f>
        <v>05/01/2015 00:00</v>
      </c>
      <c r="C4962">
        <v>1.92</v>
      </c>
      <c r="D4962" t="s">
        <v>7</v>
      </c>
      <c r="E4962" s="2" t="s">
        <v>12</v>
      </c>
      <c r="F4962">
        <f t="shared" si="77"/>
        <v>3.8073600000000001</v>
      </c>
      <c r="G4962" t="s">
        <v>16</v>
      </c>
      <c r="J4962" t="str">
        <f>"05/01/2015 23:45"</f>
        <v>05/01/2015 23:45</v>
      </c>
    </row>
    <row r="4963" spans="1:10" x14ac:dyDescent="0.3">
      <c r="A4963" t="s">
        <v>6</v>
      </c>
      <c r="B4963" t="str">
        <f>"05/02/2015 00:00"</f>
        <v>05/02/2015 00:00</v>
      </c>
      <c r="C4963">
        <v>1.92</v>
      </c>
      <c r="D4963" t="s">
        <v>7</v>
      </c>
      <c r="E4963" s="2" t="s">
        <v>12</v>
      </c>
      <c r="F4963">
        <f t="shared" si="77"/>
        <v>3.8073600000000001</v>
      </c>
      <c r="G4963" t="s">
        <v>16</v>
      </c>
      <c r="J4963" t="str">
        <f>"05/02/2015 23:45"</f>
        <v>05/02/2015 23:45</v>
      </c>
    </row>
    <row r="4964" spans="1:10" x14ac:dyDescent="0.3">
      <c r="A4964" t="s">
        <v>6</v>
      </c>
      <c r="B4964" t="str">
        <f>"05/03/2015 00:00"</f>
        <v>05/03/2015 00:00</v>
      </c>
      <c r="C4964">
        <v>1.92</v>
      </c>
      <c r="D4964" t="s">
        <v>7</v>
      </c>
      <c r="E4964" s="2" t="s">
        <v>12</v>
      </c>
      <c r="F4964">
        <f t="shared" si="77"/>
        <v>3.8073600000000001</v>
      </c>
      <c r="G4964" t="s">
        <v>16</v>
      </c>
      <c r="J4964" t="str">
        <f>"05/03/2015 23:45"</f>
        <v>05/03/2015 23:45</v>
      </c>
    </row>
    <row r="4965" spans="1:10" x14ac:dyDescent="0.3">
      <c r="A4965" t="s">
        <v>6</v>
      </c>
      <c r="B4965" t="str">
        <f>"05/04/2015 00:00"</f>
        <v>05/04/2015 00:00</v>
      </c>
      <c r="C4965">
        <v>1.92</v>
      </c>
      <c r="D4965" t="s">
        <v>7</v>
      </c>
      <c r="E4965" s="2" t="s">
        <v>12</v>
      </c>
      <c r="F4965">
        <f t="shared" si="77"/>
        <v>3.8073600000000001</v>
      </c>
      <c r="G4965" t="s">
        <v>16</v>
      </c>
      <c r="J4965" t="str">
        <f>"05/04/2015 23:45"</f>
        <v>05/04/2015 23:45</v>
      </c>
    </row>
    <row r="4966" spans="1:10" x14ac:dyDescent="0.3">
      <c r="A4966" t="s">
        <v>6</v>
      </c>
      <c r="B4966" t="str">
        <f>"05/05/2015 00:00"</f>
        <v>05/05/2015 00:00</v>
      </c>
      <c r="C4966">
        <v>1.92</v>
      </c>
      <c r="D4966" t="s">
        <v>7</v>
      </c>
      <c r="E4966" s="2" t="s">
        <v>12</v>
      </c>
      <c r="F4966">
        <f t="shared" si="77"/>
        <v>3.8073600000000001</v>
      </c>
      <c r="G4966" t="s">
        <v>16</v>
      </c>
      <c r="J4966" t="str">
        <f>"05/05/2015 23:45"</f>
        <v>05/05/2015 23:45</v>
      </c>
    </row>
    <row r="4967" spans="1:10" x14ac:dyDescent="0.3">
      <c r="A4967" t="s">
        <v>6</v>
      </c>
      <c r="B4967" t="str">
        <f>"05/06/2015 00:00"</f>
        <v>05/06/2015 00:00</v>
      </c>
      <c r="C4967">
        <v>1.92</v>
      </c>
      <c r="D4967" t="s">
        <v>7</v>
      </c>
      <c r="E4967" s="2" t="s">
        <v>12</v>
      </c>
      <c r="F4967">
        <f t="shared" si="77"/>
        <v>3.8073600000000001</v>
      </c>
      <c r="G4967" t="s">
        <v>16</v>
      </c>
      <c r="J4967" t="str">
        <f>"05/06/2015 23:45"</f>
        <v>05/06/2015 23:45</v>
      </c>
    </row>
    <row r="4968" spans="1:10" x14ac:dyDescent="0.3">
      <c r="A4968" t="s">
        <v>6</v>
      </c>
      <c r="B4968" t="str">
        <f>"05/07/2015 00:00"</f>
        <v>05/07/2015 00:00</v>
      </c>
      <c r="C4968">
        <v>1.92</v>
      </c>
      <c r="D4968" t="s">
        <v>7</v>
      </c>
      <c r="E4968" s="2" t="s">
        <v>12</v>
      </c>
      <c r="F4968">
        <f t="shared" si="77"/>
        <v>3.8073600000000001</v>
      </c>
      <c r="G4968" t="s">
        <v>16</v>
      </c>
      <c r="J4968" t="str">
        <f>"05/07/2015 23:45"</f>
        <v>05/07/2015 23:45</v>
      </c>
    </row>
    <row r="4969" spans="1:10" x14ac:dyDescent="0.3">
      <c r="A4969" t="s">
        <v>6</v>
      </c>
      <c r="B4969" t="str">
        <f>"05/08/2015 00:00"</f>
        <v>05/08/2015 00:00</v>
      </c>
      <c r="C4969">
        <v>1.92</v>
      </c>
      <c r="D4969" t="s">
        <v>7</v>
      </c>
      <c r="E4969" s="2" t="s">
        <v>12</v>
      </c>
      <c r="F4969">
        <f t="shared" si="77"/>
        <v>3.8073600000000001</v>
      </c>
      <c r="G4969" t="s">
        <v>16</v>
      </c>
      <c r="J4969" t="str">
        <f>"05/08/2015 23:45"</f>
        <v>05/08/2015 23:45</v>
      </c>
    </row>
    <row r="4970" spans="1:10" x14ac:dyDescent="0.3">
      <c r="A4970" t="s">
        <v>6</v>
      </c>
      <c r="B4970" t="str">
        <f>"05/09/2015 00:00"</f>
        <v>05/09/2015 00:00</v>
      </c>
      <c r="C4970">
        <v>1.92</v>
      </c>
      <c r="D4970" t="s">
        <v>7</v>
      </c>
      <c r="E4970" s="2" t="s">
        <v>12</v>
      </c>
      <c r="F4970">
        <f t="shared" si="77"/>
        <v>3.8073600000000001</v>
      </c>
      <c r="G4970" t="s">
        <v>16</v>
      </c>
      <c r="J4970" t="str">
        <f>"05/09/2015 23:45"</f>
        <v>05/09/2015 23:45</v>
      </c>
    </row>
    <row r="4971" spans="1:10" x14ac:dyDescent="0.3">
      <c r="A4971" t="s">
        <v>6</v>
      </c>
      <c r="B4971" t="str">
        <f>"05/10/2015 00:00"</f>
        <v>05/10/2015 00:00</v>
      </c>
      <c r="C4971">
        <v>1.92</v>
      </c>
      <c r="D4971" t="s">
        <v>7</v>
      </c>
      <c r="E4971" s="2" t="s">
        <v>12</v>
      </c>
      <c r="F4971">
        <f t="shared" si="77"/>
        <v>3.8073600000000001</v>
      </c>
      <c r="G4971" t="s">
        <v>16</v>
      </c>
      <c r="J4971" t="str">
        <f>"05/10/2015 23:45"</f>
        <v>05/10/2015 23:45</v>
      </c>
    </row>
    <row r="4972" spans="1:10" x14ac:dyDescent="0.3">
      <c r="A4972" t="s">
        <v>6</v>
      </c>
      <c r="B4972" t="str">
        <f>"05/11/2015 00:00"</f>
        <v>05/11/2015 00:00</v>
      </c>
      <c r="C4972">
        <v>1.92</v>
      </c>
      <c r="D4972" t="s">
        <v>7</v>
      </c>
      <c r="E4972" s="2" t="s">
        <v>12</v>
      </c>
      <c r="F4972">
        <f t="shared" si="77"/>
        <v>3.8073600000000001</v>
      </c>
      <c r="G4972" t="s">
        <v>16</v>
      </c>
      <c r="J4972" t="str">
        <f>"05/11/2015 23:45"</f>
        <v>05/11/2015 23:45</v>
      </c>
    </row>
    <row r="4973" spans="1:10" x14ac:dyDescent="0.3">
      <c r="A4973" t="s">
        <v>6</v>
      </c>
      <c r="B4973" t="str">
        <f>"05/12/2015 00:00"</f>
        <v>05/12/2015 00:00</v>
      </c>
      <c r="C4973">
        <v>1.92</v>
      </c>
      <c r="D4973" t="s">
        <v>7</v>
      </c>
      <c r="E4973" s="2" t="s">
        <v>12</v>
      </c>
      <c r="F4973">
        <f t="shared" si="77"/>
        <v>3.8073600000000001</v>
      </c>
      <c r="G4973" t="s">
        <v>16</v>
      </c>
      <c r="J4973" t="str">
        <f>"05/12/2015 23:45"</f>
        <v>05/12/2015 23:45</v>
      </c>
    </row>
    <row r="4974" spans="1:10" x14ac:dyDescent="0.3">
      <c r="A4974" t="s">
        <v>6</v>
      </c>
      <c r="B4974" t="str">
        <f>"05/13/2015 00:00"</f>
        <v>05/13/2015 00:00</v>
      </c>
      <c r="C4974">
        <v>1.92</v>
      </c>
      <c r="D4974" t="s">
        <v>7</v>
      </c>
      <c r="E4974" s="2" t="s">
        <v>12</v>
      </c>
      <c r="F4974">
        <f t="shared" si="77"/>
        <v>3.8073600000000001</v>
      </c>
      <c r="G4974" t="s">
        <v>16</v>
      </c>
      <c r="J4974" t="str">
        <f>"05/13/2015 23:45"</f>
        <v>05/13/2015 23:45</v>
      </c>
    </row>
    <row r="4975" spans="1:10" x14ac:dyDescent="0.3">
      <c r="A4975" t="s">
        <v>6</v>
      </c>
      <c r="B4975" t="str">
        <f>"05/14/2015 00:00"</f>
        <v>05/14/2015 00:00</v>
      </c>
      <c r="C4975">
        <v>1.92</v>
      </c>
      <c r="D4975" t="s">
        <v>7</v>
      </c>
      <c r="E4975" s="2" t="s">
        <v>12</v>
      </c>
      <c r="F4975">
        <f t="shared" si="77"/>
        <v>3.8073600000000001</v>
      </c>
      <c r="G4975" t="s">
        <v>16</v>
      </c>
      <c r="J4975" t="str">
        <f>"05/14/2015 23:45"</f>
        <v>05/14/2015 23:45</v>
      </c>
    </row>
    <row r="4976" spans="1:10" x14ac:dyDescent="0.3">
      <c r="A4976" t="s">
        <v>6</v>
      </c>
      <c r="B4976" t="str">
        <f>"05/15/2015 00:00"</f>
        <v>05/15/2015 00:00</v>
      </c>
      <c r="C4976">
        <v>1.92</v>
      </c>
      <c r="D4976" t="s">
        <v>7</v>
      </c>
      <c r="E4976" s="2" t="s">
        <v>12</v>
      </c>
      <c r="F4976">
        <f t="shared" si="77"/>
        <v>3.8073600000000001</v>
      </c>
      <c r="G4976" t="s">
        <v>16</v>
      </c>
      <c r="J4976" t="str">
        <f>"05/15/2015 23:45"</f>
        <v>05/15/2015 23:45</v>
      </c>
    </row>
    <row r="4977" spans="1:10" x14ac:dyDescent="0.3">
      <c r="A4977" t="s">
        <v>6</v>
      </c>
      <c r="B4977" t="str">
        <f>"05/16/2015 00:00"</f>
        <v>05/16/2015 00:00</v>
      </c>
      <c r="C4977">
        <v>1.92</v>
      </c>
      <c r="D4977" t="s">
        <v>7</v>
      </c>
      <c r="E4977" s="2" t="s">
        <v>12</v>
      </c>
      <c r="F4977">
        <f t="shared" si="77"/>
        <v>3.8073600000000001</v>
      </c>
      <c r="G4977" t="s">
        <v>16</v>
      </c>
      <c r="J4977" t="str">
        <f>"05/16/2015 23:45"</f>
        <v>05/16/2015 23:45</v>
      </c>
    </row>
    <row r="4978" spans="1:10" x14ac:dyDescent="0.3">
      <c r="A4978" t="s">
        <v>6</v>
      </c>
      <c r="B4978" t="str">
        <f>"05/17/2015 00:00"</f>
        <v>05/17/2015 00:00</v>
      </c>
      <c r="C4978">
        <v>1.92</v>
      </c>
      <c r="D4978" t="s">
        <v>7</v>
      </c>
      <c r="E4978" s="2" t="s">
        <v>12</v>
      </c>
      <c r="F4978">
        <f t="shared" si="77"/>
        <v>3.8073600000000001</v>
      </c>
      <c r="G4978" t="s">
        <v>16</v>
      </c>
      <c r="J4978" t="str">
        <f>"05/17/2015 23:45"</f>
        <v>05/17/2015 23:45</v>
      </c>
    </row>
    <row r="4979" spans="1:10" x14ac:dyDescent="0.3">
      <c r="A4979" t="s">
        <v>6</v>
      </c>
      <c r="B4979" t="str">
        <f>"05/18/2015 00:00"</f>
        <v>05/18/2015 00:00</v>
      </c>
      <c r="C4979">
        <v>1.92</v>
      </c>
      <c r="D4979" t="s">
        <v>7</v>
      </c>
      <c r="E4979" s="2" t="s">
        <v>12</v>
      </c>
      <c r="F4979">
        <f t="shared" si="77"/>
        <v>3.8073600000000001</v>
      </c>
      <c r="G4979" t="s">
        <v>16</v>
      </c>
      <c r="J4979" t="str">
        <f>"05/18/2015 23:45"</f>
        <v>05/18/2015 23:45</v>
      </c>
    </row>
    <row r="4980" spans="1:10" x14ac:dyDescent="0.3">
      <c r="A4980" t="s">
        <v>6</v>
      </c>
      <c r="B4980" t="str">
        <f>"05/19/2015 00:00"</f>
        <v>05/19/2015 00:00</v>
      </c>
      <c r="C4980">
        <v>1.92</v>
      </c>
      <c r="D4980" t="s">
        <v>7</v>
      </c>
      <c r="E4980" s="2" t="s">
        <v>12</v>
      </c>
      <c r="F4980">
        <f t="shared" si="77"/>
        <v>3.8073600000000001</v>
      </c>
      <c r="G4980" t="s">
        <v>16</v>
      </c>
      <c r="J4980" t="str">
        <f>"05/19/2015 23:45"</f>
        <v>05/19/2015 23:45</v>
      </c>
    </row>
    <row r="4981" spans="1:10" x14ac:dyDescent="0.3">
      <c r="A4981" t="s">
        <v>6</v>
      </c>
      <c r="B4981" t="str">
        <f>"05/20/2015 00:00"</f>
        <v>05/20/2015 00:00</v>
      </c>
      <c r="C4981">
        <v>1.92</v>
      </c>
      <c r="D4981" t="s">
        <v>7</v>
      </c>
      <c r="E4981" s="2" t="s">
        <v>12</v>
      </c>
      <c r="F4981">
        <f t="shared" si="77"/>
        <v>3.8073600000000001</v>
      </c>
      <c r="G4981" t="s">
        <v>16</v>
      </c>
      <c r="J4981" t="str">
        <f>"05/20/2015 23:45"</f>
        <v>05/20/2015 23:45</v>
      </c>
    </row>
    <row r="4982" spans="1:10" x14ac:dyDescent="0.3">
      <c r="A4982" t="s">
        <v>6</v>
      </c>
      <c r="B4982" t="str">
        <f>"05/21/2015 00:00"</f>
        <v>05/21/2015 00:00</v>
      </c>
      <c r="C4982">
        <v>1.92</v>
      </c>
      <c r="D4982" t="s">
        <v>7</v>
      </c>
      <c r="E4982" s="2" t="s">
        <v>12</v>
      </c>
      <c r="F4982">
        <f t="shared" si="77"/>
        <v>3.8073600000000001</v>
      </c>
      <c r="G4982" t="s">
        <v>16</v>
      </c>
      <c r="J4982" t="str">
        <f>"05/21/2015 23:45"</f>
        <v>05/21/2015 23:45</v>
      </c>
    </row>
    <row r="4983" spans="1:10" x14ac:dyDescent="0.3">
      <c r="A4983" t="s">
        <v>6</v>
      </c>
      <c r="B4983" t="str">
        <f>"05/22/2015 00:00"</f>
        <v>05/22/2015 00:00</v>
      </c>
      <c r="C4983">
        <v>1.92</v>
      </c>
      <c r="D4983" t="s">
        <v>7</v>
      </c>
      <c r="E4983" s="2" t="s">
        <v>12</v>
      </c>
      <c r="F4983">
        <f t="shared" si="77"/>
        <v>3.8073600000000001</v>
      </c>
      <c r="G4983" t="s">
        <v>16</v>
      </c>
      <c r="J4983" t="str">
        <f>"05/22/2015 23:45"</f>
        <v>05/22/2015 23:45</v>
      </c>
    </row>
    <row r="4984" spans="1:10" x14ac:dyDescent="0.3">
      <c r="A4984" t="s">
        <v>6</v>
      </c>
      <c r="B4984" t="str">
        <f>"05/23/2015 00:00"</f>
        <v>05/23/2015 00:00</v>
      </c>
      <c r="C4984">
        <v>1.92</v>
      </c>
      <c r="D4984" t="s">
        <v>7</v>
      </c>
      <c r="E4984" s="2" t="s">
        <v>12</v>
      </c>
      <c r="F4984">
        <f t="shared" si="77"/>
        <v>3.8073600000000001</v>
      </c>
      <c r="G4984" t="s">
        <v>16</v>
      </c>
      <c r="J4984" t="str">
        <f>"05/23/2015 23:45"</f>
        <v>05/23/2015 23:45</v>
      </c>
    </row>
    <row r="4985" spans="1:10" x14ac:dyDescent="0.3">
      <c r="A4985" t="s">
        <v>6</v>
      </c>
      <c r="B4985" t="str">
        <f>"05/24/2015 00:00"</f>
        <v>05/24/2015 00:00</v>
      </c>
      <c r="C4985">
        <v>1.92</v>
      </c>
      <c r="D4985" t="s">
        <v>7</v>
      </c>
      <c r="E4985" s="2" t="s">
        <v>12</v>
      </c>
      <c r="F4985">
        <f t="shared" si="77"/>
        <v>3.8073600000000001</v>
      </c>
      <c r="G4985" t="s">
        <v>16</v>
      </c>
      <c r="J4985" t="str">
        <f>"05/24/2015 23:45"</f>
        <v>05/24/2015 23:45</v>
      </c>
    </row>
    <row r="4986" spans="1:10" x14ac:dyDescent="0.3">
      <c r="A4986" t="s">
        <v>6</v>
      </c>
      <c r="B4986" t="str">
        <f>"05/25/2015 00:00"</f>
        <v>05/25/2015 00:00</v>
      </c>
      <c r="C4986">
        <v>1.92</v>
      </c>
      <c r="D4986" t="s">
        <v>7</v>
      </c>
      <c r="E4986" s="2" t="s">
        <v>12</v>
      </c>
      <c r="F4986">
        <f t="shared" si="77"/>
        <v>3.8073600000000001</v>
      </c>
      <c r="G4986" t="s">
        <v>16</v>
      </c>
      <c r="J4986" t="str">
        <f>"05/25/2015 23:45"</f>
        <v>05/25/2015 23:45</v>
      </c>
    </row>
    <row r="4987" spans="1:10" x14ac:dyDescent="0.3">
      <c r="A4987" t="s">
        <v>6</v>
      </c>
      <c r="B4987" t="str">
        <f>"05/26/2015 00:00"</f>
        <v>05/26/2015 00:00</v>
      </c>
      <c r="C4987">
        <v>1.92</v>
      </c>
      <c r="D4987" t="s">
        <v>7</v>
      </c>
      <c r="E4987" s="2" t="s">
        <v>12</v>
      </c>
      <c r="F4987">
        <f t="shared" si="77"/>
        <v>3.8073600000000001</v>
      </c>
      <c r="G4987" t="s">
        <v>16</v>
      </c>
      <c r="J4987" t="str">
        <f>"05/26/2015 23:45"</f>
        <v>05/26/2015 23:45</v>
      </c>
    </row>
    <row r="4988" spans="1:10" x14ac:dyDescent="0.3">
      <c r="A4988" t="s">
        <v>6</v>
      </c>
      <c r="B4988" t="str">
        <f>"05/27/2015 00:00"</f>
        <v>05/27/2015 00:00</v>
      </c>
      <c r="C4988">
        <v>1.92</v>
      </c>
      <c r="D4988" t="s">
        <v>7</v>
      </c>
      <c r="E4988" s="2" t="s">
        <v>12</v>
      </c>
      <c r="F4988">
        <f t="shared" si="77"/>
        <v>3.8073600000000001</v>
      </c>
      <c r="G4988" t="s">
        <v>16</v>
      </c>
      <c r="J4988" t="str">
        <f>"05/27/2015 23:45"</f>
        <v>05/27/2015 23:45</v>
      </c>
    </row>
    <row r="4989" spans="1:10" x14ac:dyDescent="0.3">
      <c r="A4989" t="s">
        <v>6</v>
      </c>
      <c r="B4989" t="str">
        <f>"05/28/2015 00:00"</f>
        <v>05/28/2015 00:00</v>
      </c>
      <c r="C4989">
        <v>1.92</v>
      </c>
      <c r="D4989" t="s">
        <v>7</v>
      </c>
      <c r="E4989" s="2" t="s">
        <v>12</v>
      </c>
      <c r="F4989">
        <f t="shared" si="77"/>
        <v>3.8073600000000001</v>
      </c>
      <c r="G4989" t="s">
        <v>16</v>
      </c>
      <c r="J4989" t="str">
        <f>"05/28/2015 23:45"</f>
        <v>05/28/2015 23:45</v>
      </c>
    </row>
    <row r="4990" spans="1:10" x14ac:dyDescent="0.3">
      <c r="A4990" t="s">
        <v>6</v>
      </c>
      <c r="B4990" t="str">
        <f>"05/29/2015 00:00"</f>
        <v>05/29/2015 00:00</v>
      </c>
      <c r="C4990">
        <v>1.92</v>
      </c>
      <c r="D4990" t="s">
        <v>7</v>
      </c>
      <c r="E4990" s="2" t="s">
        <v>12</v>
      </c>
      <c r="F4990">
        <f t="shared" si="77"/>
        <v>3.8073600000000001</v>
      </c>
      <c r="G4990" t="s">
        <v>16</v>
      </c>
      <c r="J4990" t="str">
        <f>"05/29/2015 23:45"</f>
        <v>05/29/2015 23:45</v>
      </c>
    </row>
    <row r="4991" spans="1:10" x14ac:dyDescent="0.3">
      <c r="A4991" t="s">
        <v>6</v>
      </c>
      <c r="B4991" t="str">
        <f>"05/30/2015 00:00"</f>
        <v>05/30/2015 00:00</v>
      </c>
      <c r="C4991">
        <v>1.92</v>
      </c>
      <c r="D4991" t="s">
        <v>7</v>
      </c>
      <c r="E4991" s="2" t="s">
        <v>12</v>
      </c>
      <c r="F4991">
        <f t="shared" si="77"/>
        <v>3.8073600000000001</v>
      </c>
      <c r="G4991" t="s">
        <v>16</v>
      </c>
      <c r="J4991" t="str">
        <f>"05/30/2015 23:45"</f>
        <v>05/30/2015 23:45</v>
      </c>
    </row>
    <row r="4992" spans="1:10" x14ac:dyDescent="0.3">
      <c r="A4992" t="s">
        <v>6</v>
      </c>
      <c r="B4992" t="str">
        <f>"05/31/2015 00:00"</f>
        <v>05/31/2015 00:00</v>
      </c>
      <c r="C4992">
        <v>1.92</v>
      </c>
      <c r="D4992" t="s">
        <v>7</v>
      </c>
      <c r="E4992" s="2" t="s">
        <v>12</v>
      </c>
      <c r="F4992">
        <f t="shared" si="77"/>
        <v>3.8073600000000001</v>
      </c>
      <c r="G4992" t="s">
        <v>16</v>
      </c>
      <c r="J4992" t="str">
        <f>"05/31/2015 23:45"</f>
        <v>05/31/2015 23:45</v>
      </c>
    </row>
    <row r="4993" spans="1:10" x14ac:dyDescent="0.3">
      <c r="A4993" t="s">
        <v>6</v>
      </c>
      <c r="B4993" t="str">
        <f>"06/01/2015 00:00"</f>
        <v>06/01/2015 00:00</v>
      </c>
      <c r="C4993">
        <v>1.92</v>
      </c>
      <c r="D4993" t="s">
        <v>7</v>
      </c>
      <c r="E4993" s="2" t="s">
        <v>12</v>
      </c>
      <c r="F4993">
        <f t="shared" si="77"/>
        <v>3.8073600000000001</v>
      </c>
      <c r="G4993" t="s">
        <v>16</v>
      </c>
      <c r="J4993" t="str">
        <f>"06/01/2015 23:45"</f>
        <v>06/01/2015 23:45</v>
      </c>
    </row>
    <row r="4994" spans="1:10" x14ac:dyDescent="0.3">
      <c r="A4994" t="s">
        <v>6</v>
      </c>
      <c r="B4994" t="str">
        <f>"06/02/2015 00:00"</f>
        <v>06/02/2015 00:00</v>
      </c>
      <c r="C4994">
        <v>1.92</v>
      </c>
      <c r="D4994" t="s">
        <v>7</v>
      </c>
      <c r="E4994" s="2" t="s">
        <v>12</v>
      </c>
      <c r="F4994">
        <f t="shared" si="77"/>
        <v>3.8073600000000001</v>
      </c>
      <c r="G4994" t="s">
        <v>16</v>
      </c>
      <c r="J4994" t="str">
        <f>"06/02/2015 23:45"</f>
        <v>06/02/2015 23:45</v>
      </c>
    </row>
    <row r="4995" spans="1:10" x14ac:dyDescent="0.3">
      <c r="A4995" t="s">
        <v>6</v>
      </c>
      <c r="B4995" t="str">
        <f>"06/03/2015 00:00"</f>
        <v>06/03/2015 00:00</v>
      </c>
      <c r="C4995">
        <v>1.92</v>
      </c>
      <c r="D4995" t="s">
        <v>7</v>
      </c>
      <c r="E4995" s="2" t="s">
        <v>12</v>
      </c>
      <c r="F4995">
        <f t="shared" si="77"/>
        <v>3.8073600000000001</v>
      </c>
      <c r="G4995" t="s">
        <v>16</v>
      </c>
      <c r="J4995" t="str">
        <f>"06/03/2015 23:45"</f>
        <v>06/03/2015 23:45</v>
      </c>
    </row>
    <row r="4996" spans="1:10" x14ac:dyDescent="0.3">
      <c r="A4996" t="s">
        <v>6</v>
      </c>
      <c r="B4996" t="str">
        <f>"06/04/2015 00:00"</f>
        <v>06/04/2015 00:00</v>
      </c>
      <c r="C4996">
        <v>1.92</v>
      </c>
      <c r="D4996" t="s">
        <v>7</v>
      </c>
      <c r="E4996" s="2" t="s">
        <v>12</v>
      </c>
      <c r="F4996">
        <f t="shared" ref="F4996:F5059" si="78">C4996*1.983</f>
        <v>3.8073600000000001</v>
      </c>
      <c r="G4996" t="s">
        <v>16</v>
      </c>
      <c r="J4996" t="str">
        <f>"06/04/2015 23:45"</f>
        <v>06/04/2015 23:45</v>
      </c>
    </row>
    <row r="4997" spans="1:10" x14ac:dyDescent="0.3">
      <c r="A4997" t="s">
        <v>6</v>
      </c>
      <c r="B4997" t="str">
        <f>"06/05/2015 00:00"</f>
        <v>06/05/2015 00:00</v>
      </c>
      <c r="C4997">
        <v>1.92</v>
      </c>
      <c r="D4997" t="s">
        <v>7</v>
      </c>
      <c r="E4997" s="2" t="s">
        <v>12</v>
      </c>
      <c r="F4997">
        <f t="shared" si="78"/>
        <v>3.8073600000000001</v>
      </c>
      <c r="G4997" t="s">
        <v>16</v>
      </c>
      <c r="J4997" t="str">
        <f>"06/05/2015 23:45"</f>
        <v>06/05/2015 23:45</v>
      </c>
    </row>
    <row r="4998" spans="1:10" x14ac:dyDescent="0.3">
      <c r="A4998" t="s">
        <v>6</v>
      </c>
      <c r="B4998" t="str">
        <f>"06/06/2015 00:00"</f>
        <v>06/06/2015 00:00</v>
      </c>
      <c r="C4998">
        <v>1.92</v>
      </c>
      <c r="D4998" t="s">
        <v>7</v>
      </c>
      <c r="E4998" s="2" t="s">
        <v>12</v>
      </c>
      <c r="F4998">
        <f t="shared" si="78"/>
        <v>3.8073600000000001</v>
      </c>
      <c r="G4998" t="s">
        <v>16</v>
      </c>
      <c r="J4998" t="str">
        <f>"06/06/2015 23:45"</f>
        <v>06/06/2015 23:45</v>
      </c>
    </row>
    <row r="4999" spans="1:10" x14ac:dyDescent="0.3">
      <c r="A4999" t="s">
        <v>6</v>
      </c>
      <c r="B4999" t="str">
        <f>"06/07/2015 00:00"</f>
        <v>06/07/2015 00:00</v>
      </c>
      <c r="C4999">
        <v>1.92</v>
      </c>
      <c r="D4999" t="s">
        <v>7</v>
      </c>
      <c r="E4999" s="2" t="s">
        <v>12</v>
      </c>
      <c r="F4999">
        <f t="shared" si="78"/>
        <v>3.8073600000000001</v>
      </c>
      <c r="G4999" t="s">
        <v>16</v>
      </c>
      <c r="J4999" t="str">
        <f>"06/07/2015 23:45"</f>
        <v>06/07/2015 23:45</v>
      </c>
    </row>
    <row r="5000" spans="1:10" x14ac:dyDescent="0.3">
      <c r="A5000" t="s">
        <v>6</v>
      </c>
      <c r="B5000" t="str">
        <f>"06/08/2015 00:00"</f>
        <v>06/08/2015 00:00</v>
      </c>
      <c r="C5000">
        <v>1.92</v>
      </c>
      <c r="D5000" t="s">
        <v>7</v>
      </c>
      <c r="E5000" s="2" t="s">
        <v>12</v>
      </c>
      <c r="F5000">
        <f t="shared" si="78"/>
        <v>3.8073600000000001</v>
      </c>
      <c r="G5000" t="s">
        <v>16</v>
      </c>
      <c r="J5000" t="str">
        <f>"06/08/2015 23:45"</f>
        <v>06/08/2015 23:45</v>
      </c>
    </row>
    <row r="5001" spans="1:10" x14ac:dyDescent="0.3">
      <c r="A5001" t="s">
        <v>6</v>
      </c>
      <c r="B5001" t="str">
        <f>"06/09/2015 00:00"</f>
        <v>06/09/2015 00:00</v>
      </c>
      <c r="C5001">
        <v>1.92</v>
      </c>
      <c r="D5001" t="s">
        <v>7</v>
      </c>
      <c r="E5001" s="2" t="s">
        <v>12</v>
      </c>
      <c r="F5001">
        <f t="shared" si="78"/>
        <v>3.8073600000000001</v>
      </c>
      <c r="G5001" t="s">
        <v>16</v>
      </c>
      <c r="J5001" t="str">
        <f>"06/09/2015 23:45"</f>
        <v>06/09/2015 23:45</v>
      </c>
    </row>
    <row r="5002" spans="1:10" x14ac:dyDescent="0.3">
      <c r="A5002" t="s">
        <v>6</v>
      </c>
      <c r="B5002" t="str">
        <f>"06/10/2015 00:00"</f>
        <v>06/10/2015 00:00</v>
      </c>
      <c r="C5002">
        <v>1.92</v>
      </c>
      <c r="D5002" t="s">
        <v>7</v>
      </c>
      <c r="E5002" s="2" t="s">
        <v>12</v>
      </c>
      <c r="F5002">
        <f t="shared" si="78"/>
        <v>3.8073600000000001</v>
      </c>
      <c r="G5002" t="s">
        <v>16</v>
      </c>
      <c r="J5002" t="str">
        <f>"06/10/2015 23:45"</f>
        <v>06/10/2015 23:45</v>
      </c>
    </row>
    <row r="5003" spans="1:10" x14ac:dyDescent="0.3">
      <c r="A5003" t="s">
        <v>6</v>
      </c>
      <c r="B5003" t="str">
        <f>"06/11/2015 00:00"</f>
        <v>06/11/2015 00:00</v>
      </c>
      <c r="C5003">
        <v>1.92</v>
      </c>
      <c r="D5003" t="s">
        <v>7</v>
      </c>
      <c r="E5003" s="2" t="s">
        <v>12</v>
      </c>
      <c r="F5003">
        <f t="shared" si="78"/>
        <v>3.8073600000000001</v>
      </c>
      <c r="G5003" t="s">
        <v>16</v>
      </c>
      <c r="J5003" t="str">
        <f>"06/11/2015 23:45"</f>
        <v>06/11/2015 23:45</v>
      </c>
    </row>
    <row r="5004" spans="1:10" x14ac:dyDescent="0.3">
      <c r="A5004" t="s">
        <v>6</v>
      </c>
      <c r="B5004" t="str">
        <f>"06/12/2015 00:00"</f>
        <v>06/12/2015 00:00</v>
      </c>
      <c r="C5004">
        <v>1.92</v>
      </c>
      <c r="D5004" t="s">
        <v>7</v>
      </c>
      <c r="E5004" s="2" t="s">
        <v>12</v>
      </c>
      <c r="F5004">
        <f t="shared" si="78"/>
        <v>3.8073600000000001</v>
      </c>
      <c r="G5004" t="s">
        <v>16</v>
      </c>
      <c r="J5004" t="str">
        <f>"06/12/2015 23:45"</f>
        <v>06/12/2015 23:45</v>
      </c>
    </row>
    <row r="5005" spans="1:10" x14ac:dyDescent="0.3">
      <c r="A5005" t="s">
        <v>6</v>
      </c>
      <c r="B5005" t="str">
        <f>"06/13/2015 00:00"</f>
        <v>06/13/2015 00:00</v>
      </c>
      <c r="C5005">
        <v>1.92</v>
      </c>
      <c r="D5005" t="s">
        <v>7</v>
      </c>
      <c r="E5005" s="2" t="s">
        <v>12</v>
      </c>
      <c r="F5005">
        <f t="shared" si="78"/>
        <v>3.8073600000000001</v>
      </c>
      <c r="G5005" t="s">
        <v>16</v>
      </c>
      <c r="J5005" t="str">
        <f>"06/13/2015 23:45"</f>
        <v>06/13/2015 23:45</v>
      </c>
    </row>
    <row r="5006" spans="1:10" x14ac:dyDescent="0.3">
      <c r="A5006" t="s">
        <v>6</v>
      </c>
      <c r="B5006" t="str">
        <f>"06/14/2015 00:00"</f>
        <v>06/14/2015 00:00</v>
      </c>
      <c r="C5006">
        <v>1.92</v>
      </c>
      <c r="D5006" t="s">
        <v>7</v>
      </c>
      <c r="E5006" s="2" t="s">
        <v>12</v>
      </c>
      <c r="F5006">
        <f t="shared" si="78"/>
        <v>3.8073600000000001</v>
      </c>
      <c r="G5006" t="s">
        <v>16</v>
      </c>
      <c r="J5006" t="str">
        <f>"06/14/2015 23:45"</f>
        <v>06/14/2015 23:45</v>
      </c>
    </row>
    <row r="5007" spans="1:10" x14ac:dyDescent="0.3">
      <c r="A5007" t="s">
        <v>6</v>
      </c>
      <c r="B5007" t="str">
        <f>"06/15/2015 00:00"</f>
        <v>06/15/2015 00:00</v>
      </c>
      <c r="C5007">
        <v>1.92</v>
      </c>
      <c r="D5007" t="s">
        <v>7</v>
      </c>
      <c r="E5007" s="2" t="s">
        <v>12</v>
      </c>
      <c r="F5007">
        <f t="shared" si="78"/>
        <v>3.8073600000000001</v>
      </c>
      <c r="G5007" t="s">
        <v>16</v>
      </c>
      <c r="J5007" t="str">
        <f>"06/15/2015 23:45"</f>
        <v>06/15/2015 23:45</v>
      </c>
    </row>
    <row r="5008" spans="1:10" x14ac:dyDescent="0.3">
      <c r="A5008" t="s">
        <v>6</v>
      </c>
      <c r="B5008" t="str">
        <f>"06/16/2015 00:00"</f>
        <v>06/16/2015 00:00</v>
      </c>
      <c r="C5008">
        <v>1.92</v>
      </c>
      <c r="D5008" t="s">
        <v>7</v>
      </c>
      <c r="E5008" s="2" t="s">
        <v>12</v>
      </c>
      <c r="F5008">
        <f t="shared" si="78"/>
        <v>3.8073600000000001</v>
      </c>
      <c r="G5008" t="s">
        <v>16</v>
      </c>
      <c r="J5008" t="str">
        <f>"06/16/2015 23:45"</f>
        <v>06/16/2015 23:45</v>
      </c>
    </row>
    <row r="5009" spans="1:10" x14ac:dyDescent="0.3">
      <c r="A5009" t="s">
        <v>6</v>
      </c>
      <c r="B5009" t="str">
        <f>"06/17/2015 00:00"</f>
        <v>06/17/2015 00:00</v>
      </c>
      <c r="C5009">
        <v>1.92</v>
      </c>
      <c r="D5009" t="s">
        <v>7</v>
      </c>
      <c r="E5009" s="2" t="s">
        <v>12</v>
      </c>
      <c r="F5009">
        <f t="shared" si="78"/>
        <v>3.8073600000000001</v>
      </c>
      <c r="G5009" t="s">
        <v>16</v>
      </c>
      <c r="J5009" t="str">
        <f>"06/17/2015 23:45"</f>
        <v>06/17/2015 23:45</v>
      </c>
    </row>
    <row r="5010" spans="1:10" x14ac:dyDescent="0.3">
      <c r="A5010" t="s">
        <v>6</v>
      </c>
      <c r="B5010" t="str">
        <f>"06/18/2015 00:00"</f>
        <v>06/18/2015 00:00</v>
      </c>
      <c r="C5010">
        <v>1.92</v>
      </c>
      <c r="D5010" t="s">
        <v>7</v>
      </c>
      <c r="E5010" s="2" t="s">
        <v>12</v>
      </c>
      <c r="F5010">
        <f t="shared" si="78"/>
        <v>3.8073600000000001</v>
      </c>
      <c r="G5010" t="s">
        <v>16</v>
      </c>
      <c r="J5010" t="str">
        <f>"06/18/2015 23:45"</f>
        <v>06/18/2015 23:45</v>
      </c>
    </row>
    <row r="5011" spans="1:10" x14ac:dyDescent="0.3">
      <c r="A5011" t="s">
        <v>6</v>
      </c>
      <c r="B5011" t="str">
        <f>"06/19/2015 00:00"</f>
        <v>06/19/2015 00:00</v>
      </c>
      <c r="C5011">
        <v>1.92</v>
      </c>
      <c r="D5011" t="s">
        <v>7</v>
      </c>
      <c r="E5011" s="2" t="s">
        <v>12</v>
      </c>
      <c r="F5011">
        <f t="shared" si="78"/>
        <v>3.8073600000000001</v>
      </c>
      <c r="G5011" t="s">
        <v>16</v>
      </c>
      <c r="J5011" t="str">
        <f>"06/19/2015 23:45"</f>
        <v>06/19/2015 23:45</v>
      </c>
    </row>
    <row r="5012" spans="1:10" x14ac:dyDescent="0.3">
      <c r="A5012" t="s">
        <v>6</v>
      </c>
      <c r="B5012" t="str">
        <f>"06/20/2015 00:00"</f>
        <v>06/20/2015 00:00</v>
      </c>
      <c r="C5012">
        <v>1.92</v>
      </c>
      <c r="D5012" t="s">
        <v>7</v>
      </c>
      <c r="E5012" s="2" t="s">
        <v>12</v>
      </c>
      <c r="F5012">
        <f t="shared" si="78"/>
        <v>3.8073600000000001</v>
      </c>
      <c r="G5012" t="s">
        <v>16</v>
      </c>
      <c r="J5012" t="str">
        <f>"06/20/2015 23:45"</f>
        <v>06/20/2015 23:45</v>
      </c>
    </row>
    <row r="5013" spans="1:10" x14ac:dyDescent="0.3">
      <c r="A5013" t="s">
        <v>6</v>
      </c>
      <c r="B5013" t="str">
        <f>"06/21/2015 00:00"</f>
        <v>06/21/2015 00:00</v>
      </c>
      <c r="C5013">
        <v>1.92</v>
      </c>
      <c r="D5013" t="s">
        <v>7</v>
      </c>
      <c r="E5013" s="2" t="s">
        <v>12</v>
      </c>
      <c r="F5013">
        <f t="shared" si="78"/>
        <v>3.8073600000000001</v>
      </c>
      <c r="G5013" t="s">
        <v>16</v>
      </c>
      <c r="J5013" t="str">
        <f>"06/21/2015 23:45"</f>
        <v>06/21/2015 23:45</v>
      </c>
    </row>
    <row r="5014" spans="1:10" x14ac:dyDescent="0.3">
      <c r="A5014" t="s">
        <v>6</v>
      </c>
      <c r="B5014" t="str">
        <f>"06/22/2015 00:00"</f>
        <v>06/22/2015 00:00</v>
      </c>
      <c r="C5014">
        <v>1.92</v>
      </c>
      <c r="D5014" t="s">
        <v>7</v>
      </c>
      <c r="E5014" s="2" t="s">
        <v>12</v>
      </c>
      <c r="F5014">
        <f t="shared" si="78"/>
        <v>3.8073600000000001</v>
      </c>
      <c r="G5014" t="s">
        <v>16</v>
      </c>
      <c r="J5014" t="str">
        <f>"06/22/2015 23:45"</f>
        <v>06/22/2015 23:45</v>
      </c>
    </row>
    <row r="5015" spans="1:10" x14ac:dyDescent="0.3">
      <c r="A5015" t="s">
        <v>6</v>
      </c>
      <c r="B5015" t="str">
        <f>"06/23/2015 00:00"</f>
        <v>06/23/2015 00:00</v>
      </c>
      <c r="C5015">
        <v>1.92</v>
      </c>
      <c r="D5015" t="s">
        <v>7</v>
      </c>
      <c r="E5015" s="2" t="s">
        <v>12</v>
      </c>
      <c r="F5015">
        <f t="shared" si="78"/>
        <v>3.8073600000000001</v>
      </c>
      <c r="G5015" t="s">
        <v>16</v>
      </c>
      <c r="J5015" t="str">
        <f>"06/23/2015 23:45"</f>
        <v>06/23/2015 23:45</v>
      </c>
    </row>
    <row r="5016" spans="1:10" x14ac:dyDescent="0.3">
      <c r="A5016" t="s">
        <v>6</v>
      </c>
      <c r="B5016" t="str">
        <f>"06/24/2015 00:00"</f>
        <v>06/24/2015 00:00</v>
      </c>
      <c r="C5016">
        <v>1.92</v>
      </c>
      <c r="D5016" t="s">
        <v>7</v>
      </c>
      <c r="E5016" s="2" t="s">
        <v>12</v>
      </c>
      <c r="F5016">
        <f t="shared" si="78"/>
        <v>3.8073600000000001</v>
      </c>
      <c r="G5016" t="s">
        <v>16</v>
      </c>
      <c r="J5016" t="str">
        <f>"06/24/2015 23:45"</f>
        <v>06/24/2015 23:45</v>
      </c>
    </row>
    <row r="5017" spans="1:10" x14ac:dyDescent="0.3">
      <c r="A5017" t="s">
        <v>6</v>
      </c>
      <c r="B5017" t="str">
        <f>"06/25/2015 00:00"</f>
        <v>06/25/2015 00:00</v>
      </c>
      <c r="C5017">
        <v>1.92</v>
      </c>
      <c r="D5017" t="s">
        <v>7</v>
      </c>
      <c r="E5017" s="2" t="s">
        <v>12</v>
      </c>
      <c r="F5017">
        <f t="shared" si="78"/>
        <v>3.8073600000000001</v>
      </c>
      <c r="G5017" t="s">
        <v>16</v>
      </c>
      <c r="J5017" t="str">
        <f>"06/25/2015 23:45"</f>
        <v>06/25/2015 23:45</v>
      </c>
    </row>
    <row r="5018" spans="1:10" x14ac:dyDescent="0.3">
      <c r="A5018" t="s">
        <v>6</v>
      </c>
      <c r="B5018" t="str">
        <f>"06/26/2015 00:00"</f>
        <v>06/26/2015 00:00</v>
      </c>
      <c r="C5018">
        <v>1.92</v>
      </c>
      <c r="D5018" t="s">
        <v>7</v>
      </c>
      <c r="E5018" s="2" t="s">
        <v>12</v>
      </c>
      <c r="F5018">
        <f t="shared" si="78"/>
        <v>3.8073600000000001</v>
      </c>
      <c r="G5018" t="s">
        <v>16</v>
      </c>
      <c r="J5018" t="str">
        <f>"06/26/2015 23:45"</f>
        <v>06/26/2015 23:45</v>
      </c>
    </row>
    <row r="5019" spans="1:10" x14ac:dyDescent="0.3">
      <c r="A5019" t="s">
        <v>6</v>
      </c>
      <c r="B5019" t="str">
        <f>"06/27/2015 00:00"</f>
        <v>06/27/2015 00:00</v>
      </c>
      <c r="C5019">
        <v>1.92</v>
      </c>
      <c r="D5019" t="s">
        <v>7</v>
      </c>
      <c r="E5019" s="2" t="s">
        <v>12</v>
      </c>
      <c r="F5019">
        <f t="shared" si="78"/>
        <v>3.8073600000000001</v>
      </c>
      <c r="G5019" t="s">
        <v>16</v>
      </c>
      <c r="J5019" t="str">
        <f>"06/27/2015 23:45"</f>
        <v>06/27/2015 23:45</v>
      </c>
    </row>
    <row r="5020" spans="1:10" x14ac:dyDescent="0.3">
      <c r="A5020" t="s">
        <v>6</v>
      </c>
      <c r="B5020" t="str">
        <f>"06/28/2015 00:00"</f>
        <v>06/28/2015 00:00</v>
      </c>
      <c r="C5020">
        <v>1.92</v>
      </c>
      <c r="D5020" t="s">
        <v>7</v>
      </c>
      <c r="E5020" s="2" t="s">
        <v>12</v>
      </c>
      <c r="F5020">
        <f t="shared" si="78"/>
        <v>3.8073600000000001</v>
      </c>
      <c r="G5020" t="s">
        <v>16</v>
      </c>
      <c r="J5020" t="str">
        <f>"06/28/2015 23:45"</f>
        <v>06/28/2015 23:45</v>
      </c>
    </row>
    <row r="5021" spans="1:10" x14ac:dyDescent="0.3">
      <c r="A5021" t="s">
        <v>6</v>
      </c>
      <c r="B5021" t="str">
        <f>"06/29/2015 00:00"</f>
        <v>06/29/2015 00:00</v>
      </c>
      <c r="C5021">
        <v>1.92</v>
      </c>
      <c r="D5021" t="s">
        <v>7</v>
      </c>
      <c r="E5021" s="2" t="s">
        <v>12</v>
      </c>
      <c r="F5021">
        <f t="shared" si="78"/>
        <v>3.8073600000000001</v>
      </c>
      <c r="G5021" t="s">
        <v>16</v>
      </c>
      <c r="J5021" t="str">
        <f>"06/29/2015 23:45"</f>
        <v>06/29/2015 23:45</v>
      </c>
    </row>
    <row r="5022" spans="1:10" x14ac:dyDescent="0.3">
      <c r="A5022" t="s">
        <v>6</v>
      </c>
      <c r="B5022" t="str">
        <f>"06/30/2015 00:00"</f>
        <v>06/30/2015 00:00</v>
      </c>
      <c r="C5022">
        <v>1.92</v>
      </c>
      <c r="D5022" t="s">
        <v>7</v>
      </c>
      <c r="E5022" s="2" t="s">
        <v>12</v>
      </c>
      <c r="F5022">
        <f t="shared" si="78"/>
        <v>3.8073600000000001</v>
      </c>
      <c r="G5022" t="s">
        <v>16</v>
      </c>
      <c r="J5022" t="str">
        <f>"06/30/2015 23:45"</f>
        <v>06/30/2015 23:45</v>
      </c>
    </row>
    <row r="5023" spans="1:10" x14ac:dyDescent="0.3">
      <c r="A5023" t="s">
        <v>6</v>
      </c>
      <c r="B5023" t="str">
        <f>"07/01/2015 00:00"</f>
        <v>07/01/2015 00:00</v>
      </c>
      <c r="C5023">
        <v>1.92</v>
      </c>
      <c r="D5023" t="s">
        <v>7</v>
      </c>
      <c r="E5023" s="2" t="s">
        <v>12</v>
      </c>
      <c r="F5023">
        <f t="shared" si="78"/>
        <v>3.8073600000000001</v>
      </c>
      <c r="G5023" t="s">
        <v>16</v>
      </c>
      <c r="J5023" t="str">
        <f>"07/01/2015 23:45"</f>
        <v>07/01/2015 23:45</v>
      </c>
    </row>
    <row r="5024" spans="1:10" x14ac:dyDescent="0.3">
      <c r="A5024" t="s">
        <v>6</v>
      </c>
      <c r="B5024" t="str">
        <f>"07/02/2015 00:00"</f>
        <v>07/02/2015 00:00</v>
      </c>
      <c r="C5024">
        <v>1.92</v>
      </c>
      <c r="D5024" t="s">
        <v>7</v>
      </c>
      <c r="E5024" s="2" t="s">
        <v>12</v>
      </c>
      <c r="F5024">
        <f t="shared" si="78"/>
        <v>3.8073600000000001</v>
      </c>
      <c r="G5024" t="s">
        <v>16</v>
      </c>
      <c r="J5024" t="str">
        <f>"07/02/2015 23:45"</f>
        <v>07/02/2015 23:45</v>
      </c>
    </row>
    <row r="5025" spans="1:10" x14ac:dyDescent="0.3">
      <c r="A5025" t="s">
        <v>6</v>
      </c>
      <c r="B5025" t="str">
        <f>"07/03/2015 00:00"</f>
        <v>07/03/2015 00:00</v>
      </c>
      <c r="C5025">
        <v>1.92</v>
      </c>
      <c r="D5025" t="s">
        <v>7</v>
      </c>
      <c r="E5025" s="2" t="s">
        <v>12</v>
      </c>
      <c r="F5025">
        <f t="shared" si="78"/>
        <v>3.8073600000000001</v>
      </c>
      <c r="G5025" t="s">
        <v>16</v>
      </c>
      <c r="J5025" t="str">
        <f>"07/03/2015 23:45"</f>
        <v>07/03/2015 23:45</v>
      </c>
    </row>
    <row r="5026" spans="1:10" x14ac:dyDescent="0.3">
      <c r="A5026" t="s">
        <v>6</v>
      </c>
      <c r="B5026" t="str">
        <f>"07/04/2015 00:00"</f>
        <v>07/04/2015 00:00</v>
      </c>
      <c r="C5026">
        <v>1.92</v>
      </c>
      <c r="D5026" t="s">
        <v>7</v>
      </c>
      <c r="E5026" s="2" t="s">
        <v>12</v>
      </c>
      <c r="F5026">
        <f t="shared" si="78"/>
        <v>3.8073600000000001</v>
      </c>
      <c r="G5026" t="s">
        <v>16</v>
      </c>
      <c r="J5026" t="str">
        <f>"07/04/2015 23:45"</f>
        <v>07/04/2015 23:45</v>
      </c>
    </row>
    <row r="5027" spans="1:10" x14ac:dyDescent="0.3">
      <c r="A5027" t="s">
        <v>6</v>
      </c>
      <c r="B5027" t="str">
        <f>"07/05/2015 00:00"</f>
        <v>07/05/2015 00:00</v>
      </c>
      <c r="C5027">
        <v>1.92</v>
      </c>
      <c r="D5027" t="s">
        <v>7</v>
      </c>
      <c r="E5027" s="2" t="s">
        <v>12</v>
      </c>
      <c r="F5027">
        <f t="shared" si="78"/>
        <v>3.8073600000000001</v>
      </c>
      <c r="G5027" t="s">
        <v>16</v>
      </c>
      <c r="J5027" t="str">
        <f>"07/05/2015 23:45"</f>
        <v>07/05/2015 23:45</v>
      </c>
    </row>
    <row r="5028" spans="1:10" x14ac:dyDescent="0.3">
      <c r="A5028" t="s">
        <v>6</v>
      </c>
      <c r="B5028" t="str">
        <f>"07/06/2015 00:00"</f>
        <v>07/06/2015 00:00</v>
      </c>
      <c r="C5028">
        <v>1.92</v>
      </c>
      <c r="D5028" t="s">
        <v>7</v>
      </c>
      <c r="E5028" s="2" t="s">
        <v>12</v>
      </c>
      <c r="F5028">
        <f t="shared" si="78"/>
        <v>3.8073600000000001</v>
      </c>
      <c r="G5028" t="s">
        <v>16</v>
      </c>
      <c r="J5028" t="str">
        <f>"07/06/2015 23:45"</f>
        <v>07/06/2015 23:45</v>
      </c>
    </row>
    <row r="5029" spans="1:10" x14ac:dyDescent="0.3">
      <c r="A5029" t="s">
        <v>6</v>
      </c>
      <c r="B5029" t="str">
        <f>"07/07/2015 00:00"</f>
        <v>07/07/2015 00:00</v>
      </c>
      <c r="C5029">
        <v>3.64</v>
      </c>
      <c r="D5029" t="s">
        <v>7</v>
      </c>
      <c r="E5029" s="2" t="s">
        <v>12</v>
      </c>
      <c r="F5029">
        <f t="shared" si="78"/>
        <v>7.2181200000000008</v>
      </c>
      <c r="G5029" t="s">
        <v>16</v>
      </c>
      <c r="J5029" t="str">
        <f>"07/07/2015 23:45"</f>
        <v>07/07/2015 23:45</v>
      </c>
    </row>
    <row r="5030" spans="1:10" x14ac:dyDescent="0.3">
      <c r="A5030" t="s">
        <v>6</v>
      </c>
      <c r="B5030" t="str">
        <f>"07/08/2015 00:00"</f>
        <v>07/08/2015 00:00</v>
      </c>
      <c r="C5030">
        <v>5.35</v>
      </c>
      <c r="D5030" t="s">
        <v>7</v>
      </c>
      <c r="E5030" s="2" t="s">
        <v>12</v>
      </c>
      <c r="F5030">
        <f t="shared" si="78"/>
        <v>10.60905</v>
      </c>
      <c r="G5030" t="s">
        <v>16</v>
      </c>
      <c r="J5030" t="str">
        <f>"07/08/2015 23:45"</f>
        <v>07/08/2015 23:45</v>
      </c>
    </row>
    <row r="5031" spans="1:10" x14ac:dyDescent="0.3">
      <c r="A5031" t="s">
        <v>6</v>
      </c>
      <c r="B5031" t="str">
        <f>"07/09/2015 00:00"</f>
        <v>07/09/2015 00:00</v>
      </c>
      <c r="C5031">
        <v>5.35</v>
      </c>
      <c r="D5031" t="s">
        <v>7</v>
      </c>
      <c r="E5031" s="2" t="s">
        <v>12</v>
      </c>
      <c r="F5031">
        <f t="shared" si="78"/>
        <v>10.60905</v>
      </c>
      <c r="G5031" t="s">
        <v>16</v>
      </c>
      <c r="J5031" t="str">
        <f>"07/09/2015 23:45"</f>
        <v>07/09/2015 23:45</v>
      </c>
    </row>
    <row r="5032" spans="1:10" x14ac:dyDescent="0.3">
      <c r="A5032" t="s">
        <v>6</v>
      </c>
      <c r="B5032" t="str">
        <f>"07/10/2015 00:00"</f>
        <v>07/10/2015 00:00</v>
      </c>
      <c r="C5032">
        <v>5.35</v>
      </c>
      <c r="D5032" t="s">
        <v>7</v>
      </c>
      <c r="E5032" s="2" t="s">
        <v>12</v>
      </c>
      <c r="F5032">
        <f t="shared" si="78"/>
        <v>10.60905</v>
      </c>
      <c r="G5032" t="s">
        <v>16</v>
      </c>
      <c r="J5032" t="str">
        <f>"07/10/2015 23:45"</f>
        <v>07/10/2015 23:45</v>
      </c>
    </row>
    <row r="5033" spans="1:10" x14ac:dyDescent="0.3">
      <c r="A5033" t="s">
        <v>6</v>
      </c>
      <c r="B5033" t="str">
        <f>"07/11/2015 00:00"</f>
        <v>07/11/2015 00:00</v>
      </c>
      <c r="C5033">
        <v>5.35</v>
      </c>
      <c r="D5033" t="s">
        <v>7</v>
      </c>
      <c r="E5033" s="2" t="s">
        <v>12</v>
      </c>
      <c r="F5033">
        <f t="shared" si="78"/>
        <v>10.60905</v>
      </c>
      <c r="G5033" t="s">
        <v>16</v>
      </c>
      <c r="J5033" t="str">
        <f>"07/11/2015 23:45"</f>
        <v>07/11/2015 23:45</v>
      </c>
    </row>
    <row r="5034" spans="1:10" x14ac:dyDescent="0.3">
      <c r="A5034" t="s">
        <v>6</v>
      </c>
      <c r="B5034" t="str">
        <f>"07/12/2015 00:00"</f>
        <v>07/12/2015 00:00</v>
      </c>
      <c r="C5034">
        <v>5.35</v>
      </c>
      <c r="D5034" t="s">
        <v>7</v>
      </c>
      <c r="E5034" s="2" t="s">
        <v>12</v>
      </c>
      <c r="F5034">
        <f t="shared" si="78"/>
        <v>10.60905</v>
      </c>
      <c r="G5034" t="s">
        <v>16</v>
      </c>
      <c r="J5034" t="str">
        <f>"07/12/2015 23:45"</f>
        <v>07/12/2015 23:45</v>
      </c>
    </row>
    <row r="5035" spans="1:10" x14ac:dyDescent="0.3">
      <c r="A5035" t="s">
        <v>6</v>
      </c>
      <c r="B5035" t="str">
        <f>"07/13/2015 00:00"</f>
        <v>07/13/2015 00:00</v>
      </c>
      <c r="C5035">
        <v>3.6</v>
      </c>
      <c r="D5035" t="s">
        <v>7</v>
      </c>
      <c r="E5035" s="2" t="s">
        <v>12</v>
      </c>
      <c r="F5035">
        <f t="shared" si="78"/>
        <v>7.1388000000000007</v>
      </c>
      <c r="G5035" t="s">
        <v>16</v>
      </c>
      <c r="J5035" t="str">
        <f>"07/13/2015 23:45"</f>
        <v>07/13/2015 23:45</v>
      </c>
    </row>
    <row r="5036" spans="1:10" x14ac:dyDescent="0.3">
      <c r="A5036" t="s">
        <v>6</v>
      </c>
      <c r="B5036" t="str">
        <f>"07/14/2015 00:00"</f>
        <v>07/14/2015 00:00</v>
      </c>
      <c r="C5036">
        <v>2.27</v>
      </c>
      <c r="D5036" t="s">
        <v>7</v>
      </c>
      <c r="E5036" s="2" t="s">
        <v>12</v>
      </c>
      <c r="F5036">
        <f t="shared" si="78"/>
        <v>4.5014099999999999</v>
      </c>
      <c r="G5036" t="s">
        <v>16</v>
      </c>
      <c r="J5036" t="str">
        <f>"07/14/2015 23:45"</f>
        <v>07/14/2015 23:45</v>
      </c>
    </row>
    <row r="5037" spans="1:10" x14ac:dyDescent="0.3">
      <c r="A5037" t="s">
        <v>6</v>
      </c>
      <c r="B5037" t="str">
        <f>"07/15/2015 00:00"</f>
        <v>07/15/2015 00:00</v>
      </c>
      <c r="C5037">
        <v>2.23</v>
      </c>
      <c r="D5037" t="s">
        <v>7</v>
      </c>
      <c r="E5037" s="2" t="s">
        <v>12</v>
      </c>
      <c r="F5037">
        <f t="shared" si="78"/>
        <v>4.4220899999999999</v>
      </c>
      <c r="G5037" t="s">
        <v>16</v>
      </c>
      <c r="J5037" t="str">
        <f>"07/15/2015 23:45"</f>
        <v>07/15/2015 23:45</v>
      </c>
    </row>
    <row r="5038" spans="1:10" x14ac:dyDescent="0.3">
      <c r="A5038" t="s">
        <v>6</v>
      </c>
      <c r="B5038" t="str">
        <f>"07/16/2015 00:00"</f>
        <v>07/16/2015 00:00</v>
      </c>
      <c r="C5038">
        <v>2.23</v>
      </c>
      <c r="D5038" t="s">
        <v>7</v>
      </c>
      <c r="E5038" s="2" t="s">
        <v>12</v>
      </c>
      <c r="F5038">
        <f t="shared" si="78"/>
        <v>4.4220899999999999</v>
      </c>
      <c r="G5038" t="s">
        <v>16</v>
      </c>
      <c r="J5038" t="str">
        <f>"07/16/2015 23:45"</f>
        <v>07/16/2015 23:45</v>
      </c>
    </row>
    <row r="5039" spans="1:10" x14ac:dyDescent="0.3">
      <c r="A5039" t="s">
        <v>6</v>
      </c>
      <c r="B5039" t="str">
        <f>"07/17/2015 00:00"</f>
        <v>07/17/2015 00:00</v>
      </c>
      <c r="C5039">
        <v>2.23</v>
      </c>
      <c r="D5039" t="s">
        <v>7</v>
      </c>
      <c r="E5039" s="2" t="s">
        <v>12</v>
      </c>
      <c r="F5039">
        <f t="shared" si="78"/>
        <v>4.4220899999999999</v>
      </c>
      <c r="G5039" t="s">
        <v>16</v>
      </c>
      <c r="J5039" t="str">
        <f>"07/17/2015 23:45"</f>
        <v>07/17/2015 23:45</v>
      </c>
    </row>
    <row r="5040" spans="1:10" x14ac:dyDescent="0.3">
      <c r="A5040" t="s">
        <v>6</v>
      </c>
      <c r="B5040" t="str">
        <f>"07/18/2015 00:00"</f>
        <v>07/18/2015 00:00</v>
      </c>
      <c r="C5040">
        <v>2.23</v>
      </c>
      <c r="D5040" t="s">
        <v>7</v>
      </c>
      <c r="E5040" s="2" t="s">
        <v>12</v>
      </c>
      <c r="F5040">
        <f t="shared" si="78"/>
        <v>4.4220899999999999</v>
      </c>
      <c r="G5040" t="s">
        <v>16</v>
      </c>
      <c r="J5040" t="str">
        <f>"07/18/2015 23:45"</f>
        <v>07/18/2015 23:45</v>
      </c>
    </row>
    <row r="5041" spans="1:10" x14ac:dyDescent="0.3">
      <c r="A5041" t="s">
        <v>6</v>
      </c>
      <c r="B5041" t="str">
        <f>"07/19/2015 00:00"</f>
        <v>07/19/2015 00:00</v>
      </c>
      <c r="C5041">
        <v>2.23</v>
      </c>
      <c r="D5041" t="s">
        <v>7</v>
      </c>
      <c r="E5041" s="2" t="s">
        <v>12</v>
      </c>
      <c r="F5041">
        <f t="shared" si="78"/>
        <v>4.4220899999999999</v>
      </c>
      <c r="G5041" t="s">
        <v>16</v>
      </c>
      <c r="J5041" t="str">
        <f>"07/19/2015 23:45"</f>
        <v>07/19/2015 23:45</v>
      </c>
    </row>
    <row r="5042" spans="1:10" x14ac:dyDescent="0.3">
      <c r="A5042" t="s">
        <v>6</v>
      </c>
      <c r="B5042" t="str">
        <f>"07/20/2015 00:00"</f>
        <v>07/20/2015 00:00</v>
      </c>
      <c r="C5042">
        <v>3.91</v>
      </c>
      <c r="D5042" t="s">
        <v>7</v>
      </c>
      <c r="E5042" s="2" t="s">
        <v>12</v>
      </c>
      <c r="F5042">
        <f t="shared" si="78"/>
        <v>7.7535300000000005</v>
      </c>
      <c r="G5042" t="s">
        <v>16</v>
      </c>
      <c r="J5042" t="str">
        <f>"07/20/2015 23:45"</f>
        <v>07/20/2015 23:45</v>
      </c>
    </row>
    <row r="5043" spans="1:10" x14ac:dyDescent="0.3">
      <c r="A5043" t="s">
        <v>6</v>
      </c>
      <c r="B5043" t="str">
        <f>"07/21/2015 00:00"</f>
        <v>07/21/2015 00:00</v>
      </c>
      <c r="C5043">
        <v>3.4</v>
      </c>
      <c r="D5043" t="s">
        <v>7</v>
      </c>
      <c r="E5043" s="2" t="s">
        <v>12</v>
      </c>
      <c r="F5043">
        <f t="shared" si="78"/>
        <v>6.7422000000000004</v>
      </c>
      <c r="G5043" t="s">
        <v>16</v>
      </c>
      <c r="J5043" t="str">
        <f>"07/21/2015 23:45"</f>
        <v>07/21/2015 23:45</v>
      </c>
    </row>
    <row r="5044" spans="1:10" x14ac:dyDescent="0.3">
      <c r="A5044" t="s">
        <v>6</v>
      </c>
      <c r="B5044" t="str">
        <f>"07/22/2015 00:00"</f>
        <v>07/22/2015 00:00</v>
      </c>
      <c r="C5044">
        <v>2.34</v>
      </c>
      <c r="D5044" t="s">
        <v>7</v>
      </c>
      <c r="E5044" s="2" t="s">
        <v>12</v>
      </c>
      <c r="F5044">
        <f t="shared" si="78"/>
        <v>4.6402200000000002</v>
      </c>
      <c r="G5044" t="s">
        <v>16</v>
      </c>
      <c r="J5044" t="str">
        <f>"07/22/2015 23:45"</f>
        <v>07/22/2015 23:45</v>
      </c>
    </row>
    <row r="5045" spans="1:10" x14ac:dyDescent="0.3">
      <c r="A5045" t="s">
        <v>6</v>
      </c>
      <c r="B5045" t="str">
        <f>"07/23/2015 00:00"</f>
        <v>07/23/2015 00:00</v>
      </c>
      <c r="C5045">
        <v>2.23</v>
      </c>
      <c r="D5045" t="s">
        <v>7</v>
      </c>
      <c r="E5045" s="2" t="s">
        <v>12</v>
      </c>
      <c r="F5045">
        <f t="shared" si="78"/>
        <v>4.4220899999999999</v>
      </c>
      <c r="G5045" t="s">
        <v>16</v>
      </c>
      <c r="J5045" t="str">
        <f>"07/23/2015 23:45"</f>
        <v>07/23/2015 23:45</v>
      </c>
    </row>
    <row r="5046" spans="1:10" x14ac:dyDescent="0.3">
      <c r="A5046" t="s">
        <v>6</v>
      </c>
      <c r="B5046" t="str">
        <f>"07/24/2015 00:00"</f>
        <v>07/24/2015 00:00</v>
      </c>
      <c r="C5046">
        <v>2.23</v>
      </c>
      <c r="D5046" t="s">
        <v>7</v>
      </c>
      <c r="E5046" s="2" t="s">
        <v>12</v>
      </c>
      <c r="F5046">
        <f t="shared" si="78"/>
        <v>4.4220899999999999</v>
      </c>
      <c r="G5046" t="s">
        <v>16</v>
      </c>
      <c r="J5046" t="str">
        <f>"07/24/2015 23:45"</f>
        <v>07/24/2015 23:45</v>
      </c>
    </row>
    <row r="5047" spans="1:10" x14ac:dyDescent="0.3">
      <c r="A5047" t="s">
        <v>6</v>
      </c>
      <c r="B5047" t="str">
        <f>"07/25/2015 00:00"</f>
        <v>07/25/2015 00:00</v>
      </c>
      <c r="C5047">
        <v>2.23</v>
      </c>
      <c r="D5047" t="s">
        <v>7</v>
      </c>
      <c r="E5047" s="2" t="s">
        <v>12</v>
      </c>
      <c r="F5047">
        <f t="shared" si="78"/>
        <v>4.4220899999999999</v>
      </c>
      <c r="G5047" t="s">
        <v>16</v>
      </c>
      <c r="J5047" t="str">
        <f>"07/25/2015 23:45"</f>
        <v>07/25/2015 23:45</v>
      </c>
    </row>
    <row r="5048" spans="1:10" x14ac:dyDescent="0.3">
      <c r="A5048" t="s">
        <v>6</v>
      </c>
      <c r="B5048" t="str">
        <f>"07/26/2015 00:00"</f>
        <v>07/26/2015 00:00</v>
      </c>
      <c r="C5048">
        <v>2.23</v>
      </c>
      <c r="D5048" t="s">
        <v>7</v>
      </c>
      <c r="E5048" s="2" t="s">
        <v>12</v>
      </c>
      <c r="F5048">
        <f t="shared" si="78"/>
        <v>4.4220899999999999</v>
      </c>
      <c r="G5048" t="s">
        <v>16</v>
      </c>
      <c r="J5048" t="str">
        <f>"07/26/2015 23:45"</f>
        <v>07/26/2015 23:45</v>
      </c>
    </row>
    <row r="5049" spans="1:10" x14ac:dyDescent="0.3">
      <c r="A5049" t="s">
        <v>6</v>
      </c>
      <c r="B5049" t="str">
        <f>"07/27/2015 00:00"</f>
        <v>07/27/2015 00:00</v>
      </c>
      <c r="C5049">
        <v>2.23</v>
      </c>
      <c r="D5049" t="s">
        <v>7</v>
      </c>
      <c r="E5049" s="2" t="s">
        <v>12</v>
      </c>
      <c r="F5049">
        <f t="shared" si="78"/>
        <v>4.4220899999999999</v>
      </c>
      <c r="G5049" t="s">
        <v>16</v>
      </c>
      <c r="J5049" t="str">
        <f>"07/27/2015 23:45"</f>
        <v>07/27/2015 23:45</v>
      </c>
    </row>
    <row r="5050" spans="1:10" x14ac:dyDescent="0.3">
      <c r="A5050" t="s">
        <v>6</v>
      </c>
      <c r="B5050" t="str">
        <f>"07/28/2015 00:00"</f>
        <v>07/28/2015 00:00</v>
      </c>
      <c r="C5050">
        <v>2.23</v>
      </c>
      <c r="D5050" t="s">
        <v>7</v>
      </c>
      <c r="E5050" s="2" t="s">
        <v>12</v>
      </c>
      <c r="F5050">
        <f t="shared" si="78"/>
        <v>4.4220899999999999</v>
      </c>
      <c r="G5050" t="s">
        <v>16</v>
      </c>
      <c r="J5050" t="str">
        <f>"07/28/2015 23:45"</f>
        <v>07/28/2015 23:45</v>
      </c>
    </row>
    <row r="5051" spans="1:10" x14ac:dyDescent="0.3">
      <c r="A5051" t="s">
        <v>6</v>
      </c>
      <c r="B5051" t="str">
        <f>"07/29/2015 00:00"</f>
        <v>07/29/2015 00:00</v>
      </c>
      <c r="C5051">
        <v>2.02</v>
      </c>
      <c r="D5051" t="s">
        <v>7</v>
      </c>
      <c r="E5051" s="2" t="s">
        <v>12</v>
      </c>
      <c r="F5051">
        <f t="shared" si="78"/>
        <v>4.0056600000000007</v>
      </c>
      <c r="G5051" t="s">
        <v>16</v>
      </c>
      <c r="J5051" t="str">
        <f>"07/29/2015 23:45"</f>
        <v>07/29/2015 23:45</v>
      </c>
    </row>
    <row r="5052" spans="1:10" x14ac:dyDescent="0.3">
      <c r="A5052" t="s">
        <v>6</v>
      </c>
      <c r="B5052" t="str">
        <f>"07/30/2015 00:00"</f>
        <v>07/30/2015 00:00</v>
      </c>
      <c r="C5052">
        <v>1.92</v>
      </c>
      <c r="D5052" t="s">
        <v>7</v>
      </c>
      <c r="E5052" s="2" t="s">
        <v>12</v>
      </c>
      <c r="F5052">
        <f t="shared" si="78"/>
        <v>3.8073600000000001</v>
      </c>
      <c r="G5052" t="s">
        <v>16</v>
      </c>
      <c r="J5052" t="str">
        <f>"07/30/2015 23:45"</f>
        <v>07/30/2015 23:45</v>
      </c>
    </row>
    <row r="5053" spans="1:10" x14ac:dyDescent="0.3">
      <c r="A5053" t="s">
        <v>6</v>
      </c>
      <c r="B5053" t="str">
        <f>"07/31/2015 00:00"</f>
        <v>07/31/2015 00:00</v>
      </c>
      <c r="C5053">
        <v>9.2200000000000006</v>
      </c>
      <c r="D5053" t="s">
        <v>7</v>
      </c>
      <c r="E5053" s="2" t="s">
        <v>12</v>
      </c>
      <c r="F5053">
        <f t="shared" si="78"/>
        <v>18.283260000000002</v>
      </c>
      <c r="G5053" t="s">
        <v>16</v>
      </c>
      <c r="J5053" t="str">
        <f>"07/31/2015 23:45"</f>
        <v>07/31/2015 23:45</v>
      </c>
    </row>
    <row r="5054" spans="1:10" x14ac:dyDescent="0.3">
      <c r="A5054" t="s">
        <v>6</v>
      </c>
      <c r="B5054" t="str">
        <f>"08/01/2015 00:00"</f>
        <v>08/01/2015 00:00</v>
      </c>
      <c r="C5054">
        <v>12.9</v>
      </c>
      <c r="D5054" t="s">
        <v>7</v>
      </c>
      <c r="E5054" s="2" t="s">
        <v>12</v>
      </c>
      <c r="F5054">
        <f t="shared" si="78"/>
        <v>25.5807</v>
      </c>
      <c r="G5054" t="s">
        <v>16</v>
      </c>
      <c r="J5054" t="str">
        <f>"08/01/2015 23:45"</f>
        <v>08/01/2015 23:45</v>
      </c>
    </row>
    <row r="5055" spans="1:10" x14ac:dyDescent="0.3">
      <c r="A5055" t="s">
        <v>6</v>
      </c>
      <c r="B5055" t="str">
        <f>"08/02/2015 00:00"</f>
        <v>08/02/2015 00:00</v>
      </c>
      <c r="C5055">
        <v>12.9</v>
      </c>
      <c r="D5055" t="s">
        <v>7</v>
      </c>
      <c r="E5055" s="2" t="s">
        <v>12</v>
      </c>
      <c r="F5055">
        <f t="shared" si="78"/>
        <v>25.5807</v>
      </c>
      <c r="G5055" t="s">
        <v>16</v>
      </c>
      <c r="J5055" t="str">
        <f>"08/02/2015 23:45"</f>
        <v>08/02/2015 23:45</v>
      </c>
    </row>
    <row r="5056" spans="1:10" x14ac:dyDescent="0.3">
      <c r="A5056" t="s">
        <v>6</v>
      </c>
      <c r="B5056" t="str">
        <f>"08/03/2015 00:00"</f>
        <v>08/03/2015 00:00</v>
      </c>
      <c r="C5056">
        <v>12.9</v>
      </c>
      <c r="D5056" t="s">
        <v>7</v>
      </c>
      <c r="E5056" s="2" t="s">
        <v>12</v>
      </c>
      <c r="F5056">
        <f t="shared" si="78"/>
        <v>25.5807</v>
      </c>
      <c r="G5056" t="s">
        <v>16</v>
      </c>
      <c r="J5056" t="str">
        <f>"08/03/2015 23:45"</f>
        <v>08/03/2015 23:45</v>
      </c>
    </row>
    <row r="5057" spans="1:10" x14ac:dyDescent="0.3">
      <c r="A5057" t="s">
        <v>6</v>
      </c>
      <c r="B5057" t="str">
        <f>"08/04/2015 00:00"</f>
        <v>08/04/2015 00:00</v>
      </c>
      <c r="C5057">
        <v>12.8</v>
      </c>
      <c r="D5057" t="s">
        <v>7</v>
      </c>
      <c r="E5057" s="2" t="s">
        <v>12</v>
      </c>
      <c r="F5057">
        <f t="shared" si="78"/>
        <v>25.382400000000004</v>
      </c>
      <c r="G5057" t="s">
        <v>16</v>
      </c>
      <c r="J5057" t="str">
        <f>"08/04/2015 23:45"</f>
        <v>08/04/2015 23:45</v>
      </c>
    </row>
    <row r="5058" spans="1:10" x14ac:dyDescent="0.3">
      <c r="A5058" t="s">
        <v>6</v>
      </c>
      <c r="B5058" t="str">
        <f>"08/05/2015 00:00"</f>
        <v>08/05/2015 00:00</v>
      </c>
      <c r="C5058">
        <v>12.9</v>
      </c>
      <c r="D5058" t="s">
        <v>7</v>
      </c>
      <c r="E5058" s="2" t="s">
        <v>12</v>
      </c>
      <c r="F5058">
        <f t="shared" si="78"/>
        <v>25.5807</v>
      </c>
      <c r="G5058" t="s">
        <v>16</v>
      </c>
      <c r="J5058" t="str">
        <f>"08/05/2015 23:45"</f>
        <v>08/05/2015 23:45</v>
      </c>
    </row>
    <row r="5059" spans="1:10" x14ac:dyDescent="0.3">
      <c r="A5059" t="s">
        <v>6</v>
      </c>
      <c r="B5059" t="str">
        <f>"08/06/2015 00:00"</f>
        <v>08/06/2015 00:00</v>
      </c>
      <c r="C5059">
        <v>12.9</v>
      </c>
      <c r="D5059" t="s">
        <v>7</v>
      </c>
      <c r="E5059" s="2" t="s">
        <v>12</v>
      </c>
      <c r="F5059">
        <f t="shared" si="78"/>
        <v>25.5807</v>
      </c>
      <c r="G5059" t="s">
        <v>16</v>
      </c>
      <c r="J5059" t="str">
        <f>"08/06/2015 23:45"</f>
        <v>08/06/2015 23:45</v>
      </c>
    </row>
    <row r="5060" spans="1:10" x14ac:dyDescent="0.3">
      <c r="A5060" t="s">
        <v>6</v>
      </c>
      <c r="B5060" t="str">
        <f>"08/07/2015 00:00"</f>
        <v>08/07/2015 00:00</v>
      </c>
      <c r="C5060">
        <v>8.44</v>
      </c>
      <c r="D5060" t="s">
        <v>7</v>
      </c>
      <c r="E5060" s="2" t="s">
        <v>12</v>
      </c>
      <c r="F5060">
        <f t="shared" ref="F5060:F5123" si="79">C5060*1.983</f>
        <v>16.736519999999999</v>
      </c>
      <c r="G5060" t="s">
        <v>16</v>
      </c>
      <c r="J5060" t="str">
        <f>"08/07/2015 23:45"</f>
        <v>08/07/2015 23:45</v>
      </c>
    </row>
    <row r="5061" spans="1:10" x14ac:dyDescent="0.3">
      <c r="A5061" t="s">
        <v>6</v>
      </c>
      <c r="B5061" t="str">
        <f>"08/08/2015 00:00"</f>
        <v>08/08/2015 00:00</v>
      </c>
      <c r="C5061">
        <v>8.3000000000000007</v>
      </c>
      <c r="D5061" t="s">
        <v>7</v>
      </c>
      <c r="E5061" s="2" t="s">
        <v>12</v>
      </c>
      <c r="F5061">
        <f t="shared" si="79"/>
        <v>16.458900000000003</v>
      </c>
      <c r="G5061" t="s">
        <v>16</v>
      </c>
      <c r="J5061" t="str">
        <f>"08/08/2015 23:45"</f>
        <v>08/08/2015 23:45</v>
      </c>
    </row>
    <row r="5062" spans="1:10" x14ac:dyDescent="0.3">
      <c r="A5062" t="s">
        <v>6</v>
      </c>
      <c r="B5062" t="str">
        <f>"08/09/2015 00:00"</f>
        <v>08/09/2015 00:00</v>
      </c>
      <c r="C5062">
        <v>8.3000000000000007</v>
      </c>
      <c r="D5062" t="s">
        <v>7</v>
      </c>
      <c r="E5062" s="2" t="s">
        <v>12</v>
      </c>
      <c r="F5062">
        <f t="shared" si="79"/>
        <v>16.458900000000003</v>
      </c>
      <c r="G5062" t="s">
        <v>16</v>
      </c>
      <c r="J5062" t="str">
        <f>"08/09/2015 23:45"</f>
        <v>08/09/2015 23:45</v>
      </c>
    </row>
    <row r="5063" spans="1:10" x14ac:dyDescent="0.3">
      <c r="A5063" t="s">
        <v>6</v>
      </c>
      <c r="B5063" t="str">
        <f>"08/10/2015 00:00"</f>
        <v>08/10/2015 00:00</v>
      </c>
      <c r="C5063">
        <v>8.3000000000000007</v>
      </c>
      <c r="D5063" t="s">
        <v>7</v>
      </c>
      <c r="E5063" s="2" t="s">
        <v>12</v>
      </c>
      <c r="F5063">
        <f t="shared" si="79"/>
        <v>16.458900000000003</v>
      </c>
      <c r="G5063" t="s">
        <v>16</v>
      </c>
      <c r="J5063" t="str">
        <f>"08/10/2015 23:45"</f>
        <v>08/10/2015 23:45</v>
      </c>
    </row>
    <row r="5064" spans="1:10" x14ac:dyDescent="0.3">
      <c r="A5064" t="s">
        <v>6</v>
      </c>
      <c r="B5064" t="str">
        <f>"08/11/2015 00:00"</f>
        <v>08/11/2015 00:00</v>
      </c>
      <c r="C5064">
        <v>8.3000000000000007</v>
      </c>
      <c r="D5064" t="s">
        <v>7</v>
      </c>
      <c r="E5064" s="2" t="s">
        <v>12</v>
      </c>
      <c r="F5064">
        <f t="shared" si="79"/>
        <v>16.458900000000003</v>
      </c>
      <c r="G5064" t="s">
        <v>16</v>
      </c>
      <c r="J5064" t="str">
        <f>"08/11/2015 23:45"</f>
        <v>08/11/2015 23:45</v>
      </c>
    </row>
    <row r="5065" spans="1:10" x14ac:dyDescent="0.3">
      <c r="A5065" t="s">
        <v>6</v>
      </c>
      <c r="B5065" t="str">
        <f>"08/12/2015 00:00"</f>
        <v>08/12/2015 00:00</v>
      </c>
      <c r="C5065">
        <v>8.3000000000000007</v>
      </c>
      <c r="D5065" t="s">
        <v>7</v>
      </c>
      <c r="E5065" s="2" t="s">
        <v>12</v>
      </c>
      <c r="F5065">
        <f t="shared" si="79"/>
        <v>16.458900000000003</v>
      </c>
      <c r="G5065" t="s">
        <v>16</v>
      </c>
      <c r="J5065" t="str">
        <f>"08/12/2015 23:45"</f>
        <v>08/12/2015 23:45</v>
      </c>
    </row>
    <row r="5066" spans="1:10" x14ac:dyDescent="0.3">
      <c r="A5066" t="s">
        <v>6</v>
      </c>
      <c r="B5066" t="str">
        <f>"08/13/2015 00:00"</f>
        <v>08/13/2015 00:00</v>
      </c>
      <c r="C5066">
        <v>5.37</v>
      </c>
      <c r="D5066" t="s">
        <v>7</v>
      </c>
      <c r="E5066" s="2" t="s">
        <v>12</v>
      </c>
      <c r="F5066">
        <f t="shared" si="79"/>
        <v>10.648710000000001</v>
      </c>
      <c r="G5066" t="s">
        <v>16</v>
      </c>
      <c r="J5066" t="str">
        <f>"08/13/2015 23:45"</f>
        <v>08/13/2015 23:45</v>
      </c>
    </row>
    <row r="5067" spans="1:10" x14ac:dyDescent="0.3">
      <c r="A5067" t="s">
        <v>6</v>
      </c>
      <c r="B5067" t="str">
        <f>"08/14/2015 00:00"</f>
        <v>08/14/2015 00:00</v>
      </c>
      <c r="C5067">
        <v>0.41099999999999998</v>
      </c>
      <c r="D5067" t="s">
        <v>7</v>
      </c>
      <c r="E5067" s="2" t="s">
        <v>12</v>
      </c>
      <c r="F5067">
        <f t="shared" si="79"/>
        <v>0.81501299999999999</v>
      </c>
      <c r="G5067" t="s">
        <v>16</v>
      </c>
      <c r="J5067" t="str">
        <f>"08/14/2015 23:45"</f>
        <v>08/14/2015 23:45</v>
      </c>
    </row>
    <row r="5068" spans="1:10" x14ac:dyDescent="0.3">
      <c r="A5068" t="s">
        <v>6</v>
      </c>
      <c r="B5068" t="str">
        <f>"08/15/2015 00:00"</f>
        <v>08/15/2015 00:00</v>
      </c>
      <c r="C5068">
        <v>0.27900000000000003</v>
      </c>
      <c r="D5068" t="s">
        <v>7</v>
      </c>
      <c r="E5068" s="2" t="s">
        <v>12</v>
      </c>
      <c r="F5068">
        <f t="shared" si="79"/>
        <v>0.55325700000000011</v>
      </c>
      <c r="G5068" t="s">
        <v>16</v>
      </c>
      <c r="J5068" t="str">
        <f>"08/15/2015 23:45"</f>
        <v>08/15/2015 23:45</v>
      </c>
    </row>
    <row r="5069" spans="1:10" x14ac:dyDescent="0.3">
      <c r="A5069" t="s">
        <v>6</v>
      </c>
      <c r="B5069" t="str">
        <f>"08/16/2015 00:00"</f>
        <v>08/16/2015 00:00</v>
      </c>
      <c r="C5069">
        <v>0.27900000000000003</v>
      </c>
      <c r="D5069" t="s">
        <v>7</v>
      </c>
      <c r="E5069" s="2" t="s">
        <v>12</v>
      </c>
      <c r="F5069">
        <f t="shared" si="79"/>
        <v>0.55325700000000011</v>
      </c>
      <c r="G5069" t="s">
        <v>16</v>
      </c>
      <c r="J5069" t="str">
        <f>"08/16/2015 23:45"</f>
        <v>08/16/2015 23:45</v>
      </c>
    </row>
    <row r="5070" spans="1:10" x14ac:dyDescent="0.3">
      <c r="A5070" t="s">
        <v>6</v>
      </c>
      <c r="B5070" t="str">
        <f>"08/17/2015 00:00"</f>
        <v>08/17/2015 00:00</v>
      </c>
      <c r="C5070">
        <v>0.27900000000000003</v>
      </c>
      <c r="D5070" t="s">
        <v>7</v>
      </c>
      <c r="E5070" s="2" t="s">
        <v>12</v>
      </c>
      <c r="F5070">
        <f t="shared" si="79"/>
        <v>0.55325700000000011</v>
      </c>
      <c r="G5070" t="s">
        <v>16</v>
      </c>
      <c r="J5070" t="str">
        <f>"08/17/2015 23:45"</f>
        <v>08/17/2015 23:45</v>
      </c>
    </row>
    <row r="5071" spans="1:10" x14ac:dyDescent="0.3">
      <c r="A5071" t="s">
        <v>6</v>
      </c>
      <c r="B5071" t="str">
        <f>"08/18/2015 00:00"</f>
        <v>08/18/2015 00:00</v>
      </c>
      <c r="C5071">
        <v>0.27100000000000002</v>
      </c>
      <c r="D5071" t="s">
        <v>7</v>
      </c>
      <c r="E5071" s="2" t="s">
        <v>12</v>
      </c>
      <c r="F5071">
        <f t="shared" si="79"/>
        <v>0.53739300000000001</v>
      </c>
      <c r="G5071" t="s">
        <v>16</v>
      </c>
      <c r="J5071" t="str">
        <f>"08/18/2015 23:45"</f>
        <v>08/18/2015 23:45</v>
      </c>
    </row>
    <row r="5072" spans="1:10" x14ac:dyDescent="0.3">
      <c r="A5072" t="s">
        <v>6</v>
      </c>
      <c r="B5072" t="str">
        <f>"08/19/2015 00:00"</f>
        <v>08/19/2015 00:00</v>
      </c>
      <c r="C5072">
        <v>0.14599999999999999</v>
      </c>
      <c r="D5072" t="s">
        <v>7</v>
      </c>
      <c r="E5072" s="2" t="s">
        <v>12</v>
      </c>
      <c r="F5072">
        <f t="shared" si="79"/>
        <v>0.289518</v>
      </c>
      <c r="G5072" t="s">
        <v>16</v>
      </c>
      <c r="J5072" t="str">
        <f>"08/19/2015 23:45"</f>
        <v>08/19/2015 23:45</v>
      </c>
    </row>
    <row r="5073" spans="1:10" x14ac:dyDescent="0.3">
      <c r="A5073" t="s">
        <v>6</v>
      </c>
      <c r="B5073" t="str">
        <f>"08/20/2015 00:00"</f>
        <v>08/20/2015 00:00</v>
      </c>
      <c r="C5073">
        <v>0.14599999999999999</v>
      </c>
      <c r="D5073" t="s">
        <v>7</v>
      </c>
      <c r="E5073" s="2" t="s">
        <v>12</v>
      </c>
      <c r="F5073">
        <f t="shared" si="79"/>
        <v>0.289518</v>
      </c>
      <c r="G5073" t="s">
        <v>16</v>
      </c>
      <c r="J5073" t="str">
        <f>"08/20/2015 23:45"</f>
        <v>08/20/2015 23:45</v>
      </c>
    </row>
    <row r="5074" spans="1:10" x14ac:dyDescent="0.3">
      <c r="A5074" t="s">
        <v>6</v>
      </c>
      <c r="B5074" t="str">
        <f>"08/21/2015 00:00"</f>
        <v>08/21/2015 00:00</v>
      </c>
      <c r="C5074">
        <v>0.14599999999999999</v>
      </c>
      <c r="D5074" t="s">
        <v>7</v>
      </c>
      <c r="E5074" s="2" t="s">
        <v>12</v>
      </c>
      <c r="F5074">
        <f t="shared" si="79"/>
        <v>0.289518</v>
      </c>
      <c r="G5074" t="s">
        <v>16</v>
      </c>
      <c r="J5074" t="str">
        <f>"08/21/2015 23:45"</f>
        <v>08/21/2015 23:45</v>
      </c>
    </row>
    <row r="5075" spans="1:10" x14ac:dyDescent="0.3">
      <c r="A5075" t="s">
        <v>6</v>
      </c>
      <c r="B5075" t="str">
        <f>"08/22/2015 00:00"</f>
        <v>08/22/2015 00:00</v>
      </c>
      <c r="C5075">
        <v>0.14599999999999999</v>
      </c>
      <c r="D5075" t="s">
        <v>7</v>
      </c>
      <c r="E5075" s="2" t="s">
        <v>12</v>
      </c>
      <c r="F5075">
        <f t="shared" si="79"/>
        <v>0.289518</v>
      </c>
      <c r="G5075" t="s">
        <v>16</v>
      </c>
      <c r="J5075" t="str">
        <f>"08/22/2015 23:45"</f>
        <v>08/22/2015 23:45</v>
      </c>
    </row>
    <row r="5076" spans="1:10" x14ac:dyDescent="0.3">
      <c r="A5076" t="s">
        <v>6</v>
      </c>
      <c r="B5076" t="str">
        <f>"08/23/2015 00:00"</f>
        <v>08/23/2015 00:00</v>
      </c>
      <c r="C5076">
        <v>0.14599999999999999</v>
      </c>
      <c r="D5076" t="s">
        <v>7</v>
      </c>
      <c r="E5076" s="2" t="s">
        <v>12</v>
      </c>
      <c r="F5076">
        <f t="shared" si="79"/>
        <v>0.289518</v>
      </c>
      <c r="G5076" t="s">
        <v>16</v>
      </c>
      <c r="J5076" t="str">
        <f>"08/23/2015 23:45"</f>
        <v>08/23/2015 23:45</v>
      </c>
    </row>
    <row r="5077" spans="1:10" x14ac:dyDescent="0.3">
      <c r="A5077" t="s">
        <v>6</v>
      </c>
      <c r="B5077" t="str">
        <f>"08/24/2015 00:00"</f>
        <v>08/24/2015 00:00</v>
      </c>
      <c r="C5077">
        <v>0.14599999999999999</v>
      </c>
      <c r="D5077" t="s">
        <v>7</v>
      </c>
      <c r="E5077" s="2" t="s">
        <v>12</v>
      </c>
      <c r="F5077">
        <f t="shared" si="79"/>
        <v>0.289518</v>
      </c>
      <c r="G5077" t="s">
        <v>16</v>
      </c>
      <c r="J5077" t="str">
        <f>"08/24/2015 23:45"</f>
        <v>08/24/2015 23:45</v>
      </c>
    </row>
    <row r="5078" spans="1:10" x14ac:dyDescent="0.3">
      <c r="A5078" t="s">
        <v>6</v>
      </c>
      <c r="B5078" t="str">
        <f>"08/25/2015 00:00"</f>
        <v>08/25/2015 00:00</v>
      </c>
      <c r="C5078">
        <v>0.14599999999999999</v>
      </c>
      <c r="D5078" t="s">
        <v>7</v>
      </c>
      <c r="E5078" s="2" t="s">
        <v>12</v>
      </c>
      <c r="F5078">
        <f t="shared" si="79"/>
        <v>0.289518</v>
      </c>
      <c r="G5078" t="s">
        <v>16</v>
      </c>
      <c r="J5078" t="str">
        <f>"08/25/2015 23:45"</f>
        <v>08/25/2015 23:45</v>
      </c>
    </row>
    <row r="5079" spans="1:10" x14ac:dyDescent="0.3">
      <c r="A5079" t="s">
        <v>6</v>
      </c>
      <c r="B5079" t="str">
        <f>"08/26/2015 00:00"</f>
        <v>08/26/2015 00:00</v>
      </c>
      <c r="C5079">
        <v>0.14599999999999999</v>
      </c>
      <c r="D5079" t="s">
        <v>7</v>
      </c>
      <c r="E5079" s="2" t="s">
        <v>12</v>
      </c>
      <c r="F5079">
        <f t="shared" si="79"/>
        <v>0.289518</v>
      </c>
      <c r="G5079" t="s">
        <v>16</v>
      </c>
      <c r="J5079" t="str">
        <f>"08/26/2015 23:45"</f>
        <v>08/26/2015 23:45</v>
      </c>
    </row>
    <row r="5080" spans="1:10" x14ac:dyDescent="0.3">
      <c r="A5080" t="s">
        <v>6</v>
      </c>
      <c r="B5080" t="str">
        <f>"08/27/2015 00:00"</f>
        <v>08/27/2015 00:00</v>
      </c>
      <c r="C5080">
        <v>0.14599999999999999</v>
      </c>
      <c r="D5080" t="s">
        <v>7</v>
      </c>
      <c r="E5080" s="2" t="s">
        <v>12</v>
      </c>
      <c r="F5080">
        <f t="shared" si="79"/>
        <v>0.289518</v>
      </c>
      <c r="G5080" t="s">
        <v>16</v>
      </c>
      <c r="J5080" t="str">
        <f>"08/27/2015 23:45"</f>
        <v>08/27/2015 23:45</v>
      </c>
    </row>
    <row r="5081" spans="1:10" x14ac:dyDescent="0.3">
      <c r="A5081" t="s">
        <v>6</v>
      </c>
      <c r="B5081" t="str">
        <f>"08/28/2015 00:00"</f>
        <v>08/28/2015 00:00</v>
      </c>
      <c r="C5081">
        <v>0.14599999999999999</v>
      </c>
      <c r="D5081" t="s">
        <v>7</v>
      </c>
      <c r="E5081" s="2" t="s">
        <v>12</v>
      </c>
      <c r="F5081">
        <f t="shared" si="79"/>
        <v>0.289518</v>
      </c>
      <c r="G5081" t="s">
        <v>16</v>
      </c>
      <c r="J5081" t="str">
        <f>"08/28/2015 23:45"</f>
        <v>08/28/2015 23:45</v>
      </c>
    </row>
    <row r="5082" spans="1:10" x14ac:dyDescent="0.3">
      <c r="A5082" t="s">
        <v>6</v>
      </c>
      <c r="B5082" t="str">
        <f>"08/29/2015 00:00"</f>
        <v>08/29/2015 00:00</v>
      </c>
      <c r="C5082">
        <v>0.14599999999999999</v>
      </c>
      <c r="D5082" t="s">
        <v>7</v>
      </c>
      <c r="E5082" s="2" t="s">
        <v>12</v>
      </c>
      <c r="F5082">
        <f t="shared" si="79"/>
        <v>0.289518</v>
      </c>
      <c r="G5082" t="s">
        <v>16</v>
      </c>
      <c r="J5082" t="str">
        <f>"08/29/2015 23:45"</f>
        <v>08/29/2015 23:45</v>
      </c>
    </row>
    <row r="5083" spans="1:10" x14ac:dyDescent="0.3">
      <c r="A5083" t="s">
        <v>6</v>
      </c>
      <c r="B5083" t="str">
        <f>"08/30/2015 00:00"</f>
        <v>08/30/2015 00:00</v>
      </c>
      <c r="C5083">
        <v>0.14599999999999999</v>
      </c>
      <c r="D5083" t="s">
        <v>7</v>
      </c>
      <c r="E5083" s="2" t="s">
        <v>12</v>
      </c>
      <c r="F5083">
        <f t="shared" si="79"/>
        <v>0.289518</v>
      </c>
      <c r="G5083" t="s">
        <v>16</v>
      </c>
      <c r="J5083" t="str">
        <f>"08/30/2015 23:45"</f>
        <v>08/30/2015 23:45</v>
      </c>
    </row>
    <row r="5084" spans="1:10" x14ac:dyDescent="0.3">
      <c r="A5084" t="s">
        <v>6</v>
      </c>
      <c r="B5084" t="str">
        <f>"08/31/2015 00:00"</f>
        <v>08/31/2015 00:00</v>
      </c>
      <c r="C5084">
        <v>0.14599999999999999</v>
      </c>
      <c r="D5084" t="s">
        <v>7</v>
      </c>
      <c r="E5084" s="2" t="s">
        <v>12</v>
      </c>
      <c r="F5084">
        <f t="shared" si="79"/>
        <v>0.289518</v>
      </c>
      <c r="G5084" t="s">
        <v>16</v>
      </c>
      <c r="J5084" t="str">
        <f>"08/31/2015 23:45"</f>
        <v>08/31/2015 23:45</v>
      </c>
    </row>
    <row r="5085" spans="1:10" x14ac:dyDescent="0.3">
      <c r="A5085" t="s">
        <v>6</v>
      </c>
      <c r="B5085" t="str">
        <f>"09/01/2015 00:00"</f>
        <v>09/01/2015 00:00</v>
      </c>
      <c r="C5085">
        <v>0.14599999999999999</v>
      </c>
      <c r="D5085" t="s">
        <v>7</v>
      </c>
      <c r="E5085" s="2" t="s">
        <v>12</v>
      </c>
      <c r="F5085">
        <f t="shared" si="79"/>
        <v>0.289518</v>
      </c>
      <c r="G5085" t="s">
        <v>16</v>
      </c>
      <c r="J5085" t="str">
        <f>"09/01/2015 23:45"</f>
        <v>09/01/2015 23:45</v>
      </c>
    </row>
    <row r="5086" spans="1:10" x14ac:dyDescent="0.3">
      <c r="A5086" t="s">
        <v>6</v>
      </c>
      <c r="B5086" t="str">
        <f>"09/02/2015 00:00"</f>
        <v>09/02/2015 00:00</v>
      </c>
      <c r="C5086">
        <v>0.14599999999999999</v>
      </c>
      <c r="D5086" t="s">
        <v>7</v>
      </c>
      <c r="E5086" s="2" t="s">
        <v>12</v>
      </c>
      <c r="F5086">
        <f t="shared" si="79"/>
        <v>0.289518</v>
      </c>
      <c r="G5086" t="s">
        <v>16</v>
      </c>
      <c r="J5086" t="str">
        <f>"09/02/2015 23:45"</f>
        <v>09/02/2015 23:45</v>
      </c>
    </row>
    <row r="5087" spans="1:10" x14ac:dyDescent="0.3">
      <c r="A5087" t="s">
        <v>6</v>
      </c>
      <c r="B5087" t="str">
        <f>"09/03/2015 00:00"</f>
        <v>09/03/2015 00:00</v>
      </c>
      <c r="C5087">
        <v>27.5</v>
      </c>
      <c r="D5087" t="s">
        <v>7</v>
      </c>
      <c r="E5087" s="2" t="s">
        <v>12</v>
      </c>
      <c r="F5087">
        <f t="shared" si="79"/>
        <v>54.532500000000006</v>
      </c>
      <c r="G5087" t="s">
        <v>16</v>
      </c>
      <c r="J5087" t="str">
        <f>"09/03/2015 23:45"</f>
        <v>09/03/2015 23:45</v>
      </c>
    </row>
    <row r="5088" spans="1:10" x14ac:dyDescent="0.3">
      <c r="A5088" t="s">
        <v>6</v>
      </c>
      <c r="B5088" t="str">
        <f>"09/04/2015 00:00"</f>
        <v>09/04/2015 00:00</v>
      </c>
      <c r="C5088">
        <v>50.2</v>
      </c>
      <c r="D5088" t="s">
        <v>7</v>
      </c>
      <c r="E5088" s="2" t="s">
        <v>12</v>
      </c>
      <c r="F5088">
        <f t="shared" si="79"/>
        <v>99.546600000000012</v>
      </c>
      <c r="G5088" t="s">
        <v>16</v>
      </c>
      <c r="J5088" t="str">
        <f>"09/04/2015 23:45"</f>
        <v>09/04/2015 23:45</v>
      </c>
    </row>
    <row r="5089" spans="1:10" x14ac:dyDescent="0.3">
      <c r="A5089" t="s">
        <v>6</v>
      </c>
      <c r="B5089" t="str">
        <f>"09/05/2015 00:00"</f>
        <v>09/05/2015 00:00</v>
      </c>
      <c r="C5089">
        <v>50.2</v>
      </c>
      <c r="D5089" t="s">
        <v>7</v>
      </c>
      <c r="E5089" s="2" t="s">
        <v>12</v>
      </c>
      <c r="F5089">
        <f t="shared" si="79"/>
        <v>99.546600000000012</v>
      </c>
      <c r="G5089" t="s">
        <v>16</v>
      </c>
      <c r="J5089" t="str">
        <f>"09/05/2015 23:45"</f>
        <v>09/05/2015 23:45</v>
      </c>
    </row>
    <row r="5090" spans="1:10" x14ac:dyDescent="0.3">
      <c r="A5090" t="s">
        <v>6</v>
      </c>
      <c r="B5090" t="str">
        <f>"09/06/2015 00:00"</f>
        <v>09/06/2015 00:00</v>
      </c>
      <c r="C5090">
        <v>50.2</v>
      </c>
      <c r="D5090" t="s">
        <v>7</v>
      </c>
      <c r="E5090" s="2" t="s">
        <v>12</v>
      </c>
      <c r="F5090">
        <f t="shared" si="79"/>
        <v>99.546600000000012</v>
      </c>
      <c r="G5090" t="s">
        <v>16</v>
      </c>
      <c r="J5090" t="str">
        <f>"09/06/2015 23:45"</f>
        <v>09/06/2015 23:45</v>
      </c>
    </row>
    <row r="5091" spans="1:10" x14ac:dyDescent="0.3">
      <c r="A5091" t="s">
        <v>6</v>
      </c>
      <c r="B5091" t="str">
        <f>"09/07/2015 00:00"</f>
        <v>09/07/2015 00:00</v>
      </c>
      <c r="C5091">
        <v>50.1</v>
      </c>
      <c r="D5091" t="s">
        <v>7</v>
      </c>
      <c r="E5091" s="2" t="s">
        <v>12</v>
      </c>
      <c r="F5091">
        <f t="shared" si="79"/>
        <v>99.348300000000009</v>
      </c>
      <c r="G5091" t="s">
        <v>16</v>
      </c>
      <c r="J5091" t="str">
        <f>"09/07/2015 23:45"</f>
        <v>09/07/2015 23:45</v>
      </c>
    </row>
    <row r="5092" spans="1:10" x14ac:dyDescent="0.3">
      <c r="A5092" t="s">
        <v>6</v>
      </c>
      <c r="B5092" t="str">
        <f>"09/08/2015 00:00"</f>
        <v>09/08/2015 00:00</v>
      </c>
      <c r="C5092">
        <v>80.099999999999994</v>
      </c>
      <c r="D5092" t="s">
        <v>7</v>
      </c>
      <c r="E5092" s="2" t="s">
        <v>12</v>
      </c>
      <c r="F5092">
        <f t="shared" si="79"/>
        <v>158.8383</v>
      </c>
      <c r="G5092" t="s">
        <v>16</v>
      </c>
      <c r="J5092" t="str">
        <f>"09/08/2015 23:45"</f>
        <v>09/08/2015 23:45</v>
      </c>
    </row>
    <row r="5093" spans="1:10" x14ac:dyDescent="0.3">
      <c r="A5093" t="s">
        <v>6</v>
      </c>
      <c r="B5093" t="str">
        <f>"09/09/2015 00:00"</f>
        <v>09/09/2015 00:00</v>
      </c>
      <c r="C5093">
        <v>101</v>
      </c>
      <c r="D5093" t="s">
        <v>7</v>
      </c>
      <c r="E5093" s="2" t="s">
        <v>12</v>
      </c>
      <c r="F5093">
        <f t="shared" si="79"/>
        <v>200.28300000000002</v>
      </c>
      <c r="G5093" t="s">
        <v>16</v>
      </c>
      <c r="J5093" t="str">
        <f>"09/09/2015 23:45"</f>
        <v>09/09/2015 23:45</v>
      </c>
    </row>
    <row r="5094" spans="1:10" x14ac:dyDescent="0.3">
      <c r="A5094" t="s">
        <v>6</v>
      </c>
      <c r="B5094" t="str">
        <f>"09/10/2015 00:00"</f>
        <v>09/10/2015 00:00</v>
      </c>
      <c r="C5094">
        <v>101</v>
      </c>
      <c r="D5094" t="s">
        <v>7</v>
      </c>
      <c r="E5094" s="2" t="s">
        <v>12</v>
      </c>
      <c r="F5094">
        <f t="shared" si="79"/>
        <v>200.28300000000002</v>
      </c>
      <c r="G5094" t="s">
        <v>16</v>
      </c>
      <c r="J5094" t="str">
        <f>"09/10/2015 23:45"</f>
        <v>09/10/2015 23:45</v>
      </c>
    </row>
    <row r="5095" spans="1:10" x14ac:dyDescent="0.3">
      <c r="A5095" t="s">
        <v>6</v>
      </c>
      <c r="B5095" t="str">
        <f>"09/11/2015 00:00"</f>
        <v>09/11/2015 00:00</v>
      </c>
      <c r="C5095">
        <v>101</v>
      </c>
      <c r="D5095" t="s">
        <v>7</v>
      </c>
      <c r="E5095" s="2" t="s">
        <v>12</v>
      </c>
      <c r="F5095">
        <f t="shared" si="79"/>
        <v>200.28300000000002</v>
      </c>
      <c r="G5095" t="s">
        <v>16</v>
      </c>
      <c r="J5095" t="str">
        <f>"09/11/2015 23:45"</f>
        <v>09/11/2015 23:45</v>
      </c>
    </row>
    <row r="5096" spans="1:10" x14ac:dyDescent="0.3">
      <c r="A5096" t="s">
        <v>6</v>
      </c>
      <c r="B5096" t="str">
        <f>"09/12/2015 00:00"</f>
        <v>09/12/2015 00:00</v>
      </c>
      <c r="C5096">
        <v>101</v>
      </c>
      <c r="D5096" t="s">
        <v>7</v>
      </c>
      <c r="E5096" s="2" t="s">
        <v>12</v>
      </c>
      <c r="F5096">
        <f t="shared" si="79"/>
        <v>200.28300000000002</v>
      </c>
      <c r="G5096" t="s">
        <v>16</v>
      </c>
      <c r="J5096" t="str">
        <f>"09/12/2015 23:45"</f>
        <v>09/12/2015 23:45</v>
      </c>
    </row>
    <row r="5097" spans="1:10" x14ac:dyDescent="0.3">
      <c r="A5097" t="s">
        <v>6</v>
      </c>
      <c r="B5097" t="str">
        <f>"09/13/2015 00:00"</f>
        <v>09/13/2015 00:00</v>
      </c>
      <c r="C5097">
        <v>101</v>
      </c>
      <c r="D5097" t="s">
        <v>7</v>
      </c>
      <c r="E5097" s="2" t="s">
        <v>12</v>
      </c>
      <c r="F5097">
        <f t="shared" si="79"/>
        <v>200.28300000000002</v>
      </c>
      <c r="G5097" t="s">
        <v>16</v>
      </c>
      <c r="J5097" t="str">
        <f>"09/13/2015 23:45"</f>
        <v>09/13/2015 23:45</v>
      </c>
    </row>
    <row r="5098" spans="1:10" x14ac:dyDescent="0.3">
      <c r="A5098" t="s">
        <v>6</v>
      </c>
      <c r="B5098" t="str">
        <f>"09/14/2015 00:00"</f>
        <v>09/14/2015 00:00</v>
      </c>
      <c r="C5098">
        <v>101</v>
      </c>
      <c r="D5098" t="s">
        <v>7</v>
      </c>
      <c r="E5098" s="2" t="s">
        <v>12</v>
      </c>
      <c r="F5098">
        <f t="shared" si="79"/>
        <v>200.28300000000002</v>
      </c>
      <c r="G5098" t="s">
        <v>16</v>
      </c>
      <c r="J5098" t="str">
        <f>"09/14/2015 23:45"</f>
        <v>09/14/2015 23:45</v>
      </c>
    </row>
    <row r="5099" spans="1:10" x14ac:dyDescent="0.3">
      <c r="A5099" t="s">
        <v>6</v>
      </c>
      <c r="B5099" t="str">
        <f>"09/15/2015 00:00"</f>
        <v>09/15/2015 00:00</v>
      </c>
      <c r="C5099">
        <v>102</v>
      </c>
      <c r="D5099" t="s">
        <v>7</v>
      </c>
      <c r="E5099" s="2" t="s">
        <v>12</v>
      </c>
      <c r="F5099">
        <f t="shared" si="79"/>
        <v>202.26600000000002</v>
      </c>
      <c r="G5099" t="s">
        <v>16</v>
      </c>
      <c r="J5099" t="str">
        <f>"09/15/2015 23:45"</f>
        <v>09/15/2015 23:45</v>
      </c>
    </row>
    <row r="5100" spans="1:10" x14ac:dyDescent="0.3">
      <c r="A5100" t="s">
        <v>6</v>
      </c>
      <c r="B5100" t="str">
        <f>"09/16/2015 00:00"</f>
        <v>09/16/2015 00:00</v>
      </c>
      <c r="C5100">
        <v>101</v>
      </c>
      <c r="D5100" t="s">
        <v>7</v>
      </c>
      <c r="E5100" s="2" t="s">
        <v>12</v>
      </c>
      <c r="F5100">
        <f t="shared" si="79"/>
        <v>200.28300000000002</v>
      </c>
      <c r="G5100" t="s">
        <v>16</v>
      </c>
      <c r="J5100" t="str">
        <f>"09/16/2015 23:45"</f>
        <v>09/16/2015 23:45</v>
      </c>
    </row>
    <row r="5101" spans="1:10" x14ac:dyDescent="0.3">
      <c r="A5101" t="s">
        <v>6</v>
      </c>
      <c r="B5101" t="str">
        <f>"09/17/2015 00:00"</f>
        <v>09/17/2015 00:00</v>
      </c>
      <c r="C5101">
        <v>126</v>
      </c>
      <c r="D5101" t="s">
        <v>7</v>
      </c>
      <c r="E5101" s="2" t="s">
        <v>12</v>
      </c>
      <c r="F5101">
        <f t="shared" si="79"/>
        <v>249.858</v>
      </c>
      <c r="G5101" t="s">
        <v>16</v>
      </c>
      <c r="J5101" t="str">
        <f>"09/17/2015 23:45"</f>
        <v>09/17/2015 23:45</v>
      </c>
    </row>
    <row r="5102" spans="1:10" x14ac:dyDescent="0.3">
      <c r="A5102" t="s">
        <v>6</v>
      </c>
      <c r="B5102" t="str">
        <f>"09/18/2015 00:00"</f>
        <v>09/18/2015 00:00</v>
      </c>
      <c r="C5102">
        <v>131</v>
      </c>
      <c r="D5102" t="s">
        <v>7</v>
      </c>
      <c r="E5102" s="2" t="s">
        <v>12</v>
      </c>
      <c r="F5102">
        <f t="shared" si="79"/>
        <v>259.77300000000002</v>
      </c>
      <c r="G5102" t="s">
        <v>16</v>
      </c>
      <c r="J5102" t="str">
        <f>"09/18/2015 23:45"</f>
        <v>09/18/2015 23:45</v>
      </c>
    </row>
    <row r="5103" spans="1:10" x14ac:dyDescent="0.3">
      <c r="A5103" t="s">
        <v>6</v>
      </c>
      <c r="B5103" t="str">
        <f>"09/19/2015 00:00"</f>
        <v>09/19/2015 00:00</v>
      </c>
      <c r="C5103">
        <v>181</v>
      </c>
      <c r="D5103" t="s">
        <v>7</v>
      </c>
      <c r="E5103" s="2" t="s">
        <v>12</v>
      </c>
      <c r="F5103">
        <f t="shared" si="79"/>
        <v>358.923</v>
      </c>
      <c r="G5103" t="s">
        <v>16</v>
      </c>
      <c r="J5103" t="str">
        <f>"09/19/2015 23:45"</f>
        <v>09/19/2015 23:45</v>
      </c>
    </row>
    <row r="5104" spans="1:10" x14ac:dyDescent="0.3">
      <c r="A5104" t="s">
        <v>6</v>
      </c>
      <c r="B5104" t="str">
        <f>"09/20/2015 00:00"</f>
        <v>09/20/2015 00:00</v>
      </c>
      <c r="C5104">
        <v>199</v>
      </c>
      <c r="D5104" t="s">
        <v>7</v>
      </c>
      <c r="E5104" s="2" t="s">
        <v>12</v>
      </c>
      <c r="F5104">
        <f t="shared" si="79"/>
        <v>394.61700000000002</v>
      </c>
      <c r="G5104" t="s">
        <v>16</v>
      </c>
      <c r="J5104" t="str">
        <f>"09/20/2015 23:45"</f>
        <v>09/20/2015 23:45</v>
      </c>
    </row>
    <row r="5105" spans="1:10" x14ac:dyDescent="0.3">
      <c r="A5105" t="s">
        <v>6</v>
      </c>
      <c r="B5105" t="str">
        <f>"09/21/2015 00:00"</f>
        <v>09/21/2015 00:00</v>
      </c>
      <c r="C5105">
        <v>199</v>
      </c>
      <c r="D5105" t="s">
        <v>7</v>
      </c>
      <c r="E5105" s="2" t="s">
        <v>12</v>
      </c>
      <c r="F5105">
        <f t="shared" si="79"/>
        <v>394.61700000000002</v>
      </c>
      <c r="G5105" t="s">
        <v>16</v>
      </c>
      <c r="J5105" t="str">
        <f>"09/21/2015 23:45"</f>
        <v>09/21/2015 23:45</v>
      </c>
    </row>
    <row r="5106" spans="1:10" x14ac:dyDescent="0.3">
      <c r="A5106" t="s">
        <v>6</v>
      </c>
      <c r="B5106" t="str">
        <f>"09/22/2015 00:00"</f>
        <v>09/22/2015 00:00</v>
      </c>
      <c r="C5106">
        <v>221</v>
      </c>
      <c r="D5106" t="s">
        <v>7</v>
      </c>
      <c r="E5106" s="2" t="s">
        <v>12</v>
      </c>
      <c r="F5106">
        <f t="shared" si="79"/>
        <v>438.24299999999999</v>
      </c>
      <c r="G5106" t="s">
        <v>16</v>
      </c>
      <c r="J5106" t="str">
        <f>"09/22/2015 23:45"</f>
        <v>09/22/2015 23:45</v>
      </c>
    </row>
    <row r="5107" spans="1:10" x14ac:dyDescent="0.3">
      <c r="A5107" t="s">
        <v>6</v>
      </c>
      <c r="B5107" t="str">
        <f>"09/23/2015 00:00"</f>
        <v>09/23/2015 00:00</v>
      </c>
      <c r="C5107">
        <v>249</v>
      </c>
      <c r="D5107" t="s">
        <v>7</v>
      </c>
      <c r="E5107" s="2" t="s">
        <v>12</v>
      </c>
      <c r="F5107">
        <f t="shared" si="79"/>
        <v>493.767</v>
      </c>
      <c r="G5107" t="s">
        <v>16</v>
      </c>
      <c r="J5107" t="str">
        <f>"09/23/2015 23:45"</f>
        <v>09/23/2015 23:45</v>
      </c>
    </row>
    <row r="5108" spans="1:10" x14ac:dyDescent="0.3">
      <c r="A5108" t="s">
        <v>6</v>
      </c>
      <c r="B5108" t="str">
        <f>"09/24/2015 00:00"</f>
        <v>09/24/2015 00:00</v>
      </c>
      <c r="C5108">
        <v>247</v>
      </c>
      <c r="D5108" t="s">
        <v>7</v>
      </c>
      <c r="E5108" s="2" t="s">
        <v>12</v>
      </c>
      <c r="F5108">
        <f t="shared" si="79"/>
        <v>489.80100000000004</v>
      </c>
      <c r="G5108" t="s">
        <v>16</v>
      </c>
      <c r="J5108" t="str">
        <f>"09/24/2015 23:45"</f>
        <v>09/24/2015 23:45</v>
      </c>
    </row>
    <row r="5109" spans="1:10" x14ac:dyDescent="0.3">
      <c r="A5109" t="s">
        <v>6</v>
      </c>
      <c r="B5109" t="str">
        <f>"09/25/2015 00:00"</f>
        <v>09/25/2015 00:00</v>
      </c>
      <c r="C5109">
        <v>247</v>
      </c>
      <c r="D5109" t="s">
        <v>7</v>
      </c>
      <c r="E5109" s="2" t="s">
        <v>12</v>
      </c>
      <c r="F5109">
        <f t="shared" si="79"/>
        <v>489.80100000000004</v>
      </c>
      <c r="G5109" t="s">
        <v>16</v>
      </c>
      <c r="J5109" t="str">
        <f>"09/25/2015 23:45"</f>
        <v>09/25/2015 23:45</v>
      </c>
    </row>
    <row r="5110" spans="1:10" x14ac:dyDescent="0.3">
      <c r="A5110" t="s">
        <v>6</v>
      </c>
      <c r="B5110" t="str">
        <f>"09/26/2015 00:00"</f>
        <v>09/26/2015 00:00</v>
      </c>
      <c r="C5110">
        <v>249</v>
      </c>
      <c r="D5110" t="s">
        <v>7</v>
      </c>
      <c r="E5110" s="2" t="s">
        <v>12</v>
      </c>
      <c r="F5110">
        <f t="shared" si="79"/>
        <v>493.767</v>
      </c>
      <c r="G5110" t="s">
        <v>16</v>
      </c>
      <c r="J5110" t="str">
        <f>"09/26/2015 23:45"</f>
        <v>09/26/2015 23:45</v>
      </c>
    </row>
    <row r="5111" spans="1:10" x14ac:dyDescent="0.3">
      <c r="A5111" t="s">
        <v>6</v>
      </c>
      <c r="B5111" t="str">
        <f>"09/27/2015 00:00"</f>
        <v>09/27/2015 00:00</v>
      </c>
      <c r="C5111">
        <v>255</v>
      </c>
      <c r="D5111" t="s">
        <v>7</v>
      </c>
      <c r="E5111" s="2" t="s">
        <v>12</v>
      </c>
      <c r="F5111">
        <f t="shared" si="79"/>
        <v>505.66500000000002</v>
      </c>
      <c r="G5111" t="s">
        <v>16</v>
      </c>
      <c r="J5111" t="str">
        <f>"09/27/2015 23:45"</f>
        <v>09/27/2015 23:45</v>
      </c>
    </row>
    <row r="5112" spans="1:10" x14ac:dyDescent="0.3">
      <c r="A5112" t="s">
        <v>6</v>
      </c>
      <c r="B5112" t="str">
        <f>"09/28/2015 00:00"</f>
        <v>09/28/2015 00:00</v>
      </c>
      <c r="C5112">
        <v>252</v>
      </c>
      <c r="D5112" t="s">
        <v>7</v>
      </c>
      <c r="E5112" s="2" t="s">
        <v>12</v>
      </c>
      <c r="F5112">
        <f t="shared" si="79"/>
        <v>499.71600000000001</v>
      </c>
      <c r="G5112" t="s">
        <v>16</v>
      </c>
      <c r="J5112" t="str">
        <f>"09/28/2015 23:45"</f>
        <v>09/28/2015 23:45</v>
      </c>
    </row>
    <row r="5113" spans="1:10" x14ac:dyDescent="0.3">
      <c r="A5113" t="s">
        <v>6</v>
      </c>
      <c r="B5113" t="str">
        <f>"09/29/2015 00:00"</f>
        <v>09/29/2015 00:00</v>
      </c>
      <c r="C5113">
        <v>252</v>
      </c>
      <c r="D5113" t="s">
        <v>7</v>
      </c>
      <c r="E5113" s="2" t="s">
        <v>12</v>
      </c>
      <c r="F5113">
        <f t="shared" si="79"/>
        <v>499.71600000000001</v>
      </c>
      <c r="G5113" t="s">
        <v>16</v>
      </c>
      <c r="J5113" t="str">
        <f>"09/29/2015 23:45"</f>
        <v>09/29/2015 23:45</v>
      </c>
    </row>
    <row r="5114" spans="1:10" x14ac:dyDescent="0.3">
      <c r="A5114" t="s">
        <v>6</v>
      </c>
      <c r="B5114" t="str">
        <f>"09/30/2015 00:00"</f>
        <v>09/30/2015 00:00</v>
      </c>
      <c r="C5114">
        <v>192</v>
      </c>
      <c r="D5114" t="s">
        <v>7</v>
      </c>
      <c r="E5114" s="2" t="s">
        <v>12</v>
      </c>
      <c r="F5114">
        <f t="shared" si="79"/>
        <v>380.73599999999999</v>
      </c>
      <c r="G5114" t="s">
        <v>16</v>
      </c>
      <c r="J5114" t="str">
        <f>"09/30/2015 23:45"</f>
        <v>09/30/2015 23:45</v>
      </c>
    </row>
    <row r="5115" spans="1:10" x14ac:dyDescent="0.3">
      <c r="A5115" t="s">
        <v>6</v>
      </c>
      <c r="B5115" t="str">
        <f>"10/01/2015 00:00"</f>
        <v>10/01/2015 00:00</v>
      </c>
      <c r="C5115">
        <v>188</v>
      </c>
      <c r="D5115" t="s">
        <v>7</v>
      </c>
      <c r="E5115" s="2" t="s">
        <v>12</v>
      </c>
      <c r="F5115">
        <f t="shared" si="79"/>
        <v>372.80400000000003</v>
      </c>
      <c r="G5115" t="s">
        <v>16</v>
      </c>
      <c r="J5115" t="str">
        <f>"10/01/2015 23:45"</f>
        <v>10/01/2015 23:45</v>
      </c>
    </row>
    <row r="5116" spans="1:10" x14ac:dyDescent="0.3">
      <c r="A5116" t="s">
        <v>6</v>
      </c>
      <c r="B5116" t="str">
        <f>"10/02/2015 00:00"</f>
        <v>10/02/2015 00:00</v>
      </c>
      <c r="C5116">
        <v>178</v>
      </c>
      <c r="D5116" t="s">
        <v>7</v>
      </c>
      <c r="E5116" s="2" t="s">
        <v>12</v>
      </c>
      <c r="F5116">
        <f t="shared" si="79"/>
        <v>352.97399999999999</v>
      </c>
      <c r="G5116" t="s">
        <v>16</v>
      </c>
      <c r="J5116" t="str">
        <f>"10/02/2015 23:45"</f>
        <v>10/02/2015 23:45</v>
      </c>
    </row>
    <row r="5117" spans="1:10" x14ac:dyDescent="0.3">
      <c r="A5117" t="s">
        <v>6</v>
      </c>
      <c r="B5117" t="str">
        <f>"10/03/2015 00:00"</f>
        <v>10/03/2015 00:00</v>
      </c>
      <c r="C5117">
        <v>149</v>
      </c>
      <c r="D5117" t="s">
        <v>7</v>
      </c>
      <c r="E5117" s="2" t="s">
        <v>12</v>
      </c>
      <c r="F5117">
        <f t="shared" si="79"/>
        <v>295.46700000000004</v>
      </c>
      <c r="G5117" t="s">
        <v>16</v>
      </c>
      <c r="J5117" t="str">
        <f>"10/03/2015 23:45"</f>
        <v>10/03/2015 23:45</v>
      </c>
    </row>
    <row r="5118" spans="1:10" x14ac:dyDescent="0.3">
      <c r="A5118" t="s">
        <v>6</v>
      </c>
      <c r="B5118" t="str">
        <f>"10/04/2015 00:00"</f>
        <v>10/04/2015 00:00</v>
      </c>
      <c r="C5118">
        <v>150</v>
      </c>
      <c r="D5118" t="s">
        <v>7</v>
      </c>
      <c r="E5118" s="2" t="s">
        <v>12</v>
      </c>
      <c r="F5118">
        <f t="shared" si="79"/>
        <v>297.45</v>
      </c>
      <c r="G5118" t="s">
        <v>16</v>
      </c>
      <c r="J5118" t="str">
        <f>"10/04/2015 23:45"</f>
        <v>10/04/2015 23:45</v>
      </c>
    </row>
    <row r="5119" spans="1:10" x14ac:dyDescent="0.3">
      <c r="A5119" t="s">
        <v>6</v>
      </c>
      <c r="B5119" t="str">
        <f>"10/05/2015 00:00"</f>
        <v>10/05/2015 00:00</v>
      </c>
      <c r="C5119">
        <v>150</v>
      </c>
      <c r="D5119" t="s">
        <v>7</v>
      </c>
      <c r="E5119" s="2" t="s">
        <v>12</v>
      </c>
      <c r="F5119">
        <f t="shared" si="79"/>
        <v>297.45</v>
      </c>
      <c r="G5119" t="s">
        <v>16</v>
      </c>
      <c r="J5119" t="str">
        <f>"10/05/2015 23:45"</f>
        <v>10/05/2015 23:45</v>
      </c>
    </row>
    <row r="5120" spans="1:10" x14ac:dyDescent="0.3">
      <c r="A5120" t="s">
        <v>6</v>
      </c>
      <c r="B5120" t="str">
        <f>"10/06/2015 00:00"</f>
        <v>10/06/2015 00:00</v>
      </c>
      <c r="C5120">
        <v>173</v>
      </c>
      <c r="D5120" t="s">
        <v>7</v>
      </c>
      <c r="E5120" s="2" t="s">
        <v>12</v>
      </c>
      <c r="F5120">
        <f t="shared" si="79"/>
        <v>343.05900000000003</v>
      </c>
      <c r="G5120" t="s">
        <v>16</v>
      </c>
      <c r="J5120" t="str">
        <f>"10/06/2015 23:45"</f>
        <v>10/06/2015 23:45</v>
      </c>
    </row>
    <row r="5121" spans="1:10" x14ac:dyDescent="0.3">
      <c r="A5121" t="s">
        <v>6</v>
      </c>
      <c r="B5121" t="str">
        <f>"10/07/2015 00:00"</f>
        <v>10/07/2015 00:00</v>
      </c>
      <c r="C5121">
        <v>142</v>
      </c>
      <c r="D5121" t="s">
        <v>7</v>
      </c>
      <c r="E5121" s="2" t="s">
        <v>12</v>
      </c>
      <c r="F5121">
        <f t="shared" si="79"/>
        <v>281.58600000000001</v>
      </c>
      <c r="G5121" t="s">
        <v>16</v>
      </c>
      <c r="J5121" t="str">
        <f>"10/07/2015 23:45"</f>
        <v>10/07/2015 23:45</v>
      </c>
    </row>
    <row r="5122" spans="1:10" x14ac:dyDescent="0.3">
      <c r="A5122" t="s">
        <v>6</v>
      </c>
      <c r="B5122" t="str">
        <f>"10/08/2015 00:00"</f>
        <v>10/08/2015 00:00</v>
      </c>
      <c r="C5122">
        <v>128</v>
      </c>
      <c r="D5122" t="s">
        <v>7</v>
      </c>
      <c r="E5122" s="2" t="s">
        <v>12</v>
      </c>
      <c r="F5122">
        <f t="shared" si="79"/>
        <v>253.82400000000001</v>
      </c>
      <c r="G5122" t="s">
        <v>16</v>
      </c>
      <c r="J5122" t="str">
        <f>"10/08/2015 23:45"</f>
        <v>10/08/2015 23:45</v>
      </c>
    </row>
    <row r="5123" spans="1:10" x14ac:dyDescent="0.3">
      <c r="A5123" t="s">
        <v>6</v>
      </c>
      <c r="B5123" t="str">
        <f>"10/09/2015 00:00"</f>
        <v>10/09/2015 00:00</v>
      </c>
      <c r="C5123">
        <v>177</v>
      </c>
      <c r="D5123" t="s">
        <v>7</v>
      </c>
      <c r="E5123" s="2" t="s">
        <v>12</v>
      </c>
      <c r="F5123">
        <f t="shared" si="79"/>
        <v>350.99100000000004</v>
      </c>
      <c r="G5123" t="s">
        <v>16</v>
      </c>
      <c r="J5123" t="str">
        <f>"10/09/2015 23:45"</f>
        <v>10/09/2015 23:45</v>
      </c>
    </row>
    <row r="5124" spans="1:10" x14ac:dyDescent="0.3">
      <c r="A5124" t="s">
        <v>6</v>
      </c>
      <c r="B5124" t="str">
        <f>"10/10/2015 00:00"</f>
        <v>10/10/2015 00:00</v>
      </c>
      <c r="C5124">
        <v>200</v>
      </c>
      <c r="D5124" t="s">
        <v>7</v>
      </c>
      <c r="E5124" s="2" t="s">
        <v>12</v>
      </c>
      <c r="F5124">
        <f t="shared" ref="F5124:F5187" si="80">C5124*1.983</f>
        <v>396.6</v>
      </c>
      <c r="G5124" t="s">
        <v>16</v>
      </c>
      <c r="J5124" t="str">
        <f>"10/10/2015 23:45"</f>
        <v>10/10/2015 23:45</v>
      </c>
    </row>
    <row r="5125" spans="1:10" x14ac:dyDescent="0.3">
      <c r="A5125" t="s">
        <v>6</v>
      </c>
      <c r="B5125" t="str">
        <f>"10/11/2015 00:00"</f>
        <v>10/11/2015 00:00</v>
      </c>
      <c r="C5125">
        <v>200</v>
      </c>
      <c r="D5125" t="s">
        <v>7</v>
      </c>
      <c r="E5125" s="2" t="s">
        <v>12</v>
      </c>
      <c r="F5125">
        <f t="shared" si="80"/>
        <v>396.6</v>
      </c>
      <c r="G5125" t="s">
        <v>16</v>
      </c>
      <c r="J5125" t="str">
        <f>"10/11/2015 23:45"</f>
        <v>10/11/2015 23:45</v>
      </c>
    </row>
    <row r="5126" spans="1:10" x14ac:dyDescent="0.3">
      <c r="A5126" t="s">
        <v>6</v>
      </c>
      <c r="B5126" t="str">
        <f>"10/12/2015 00:00"</f>
        <v>10/12/2015 00:00</v>
      </c>
      <c r="C5126">
        <v>200</v>
      </c>
      <c r="D5126" t="s">
        <v>7</v>
      </c>
      <c r="E5126" s="2" t="s">
        <v>12</v>
      </c>
      <c r="F5126">
        <f t="shared" si="80"/>
        <v>396.6</v>
      </c>
      <c r="G5126" t="s">
        <v>16</v>
      </c>
      <c r="J5126" t="str">
        <f>"10/12/2015 23:45"</f>
        <v>10/12/2015 23:45</v>
      </c>
    </row>
    <row r="5127" spans="1:10" x14ac:dyDescent="0.3">
      <c r="A5127" t="s">
        <v>6</v>
      </c>
      <c r="B5127" t="str">
        <f>"10/13/2015 00:00"</f>
        <v>10/13/2015 00:00</v>
      </c>
      <c r="C5127">
        <v>218</v>
      </c>
      <c r="D5127" t="s">
        <v>7</v>
      </c>
      <c r="E5127" s="2" t="s">
        <v>12</v>
      </c>
      <c r="F5127">
        <f t="shared" si="80"/>
        <v>432.29400000000004</v>
      </c>
      <c r="G5127" t="s">
        <v>16</v>
      </c>
      <c r="J5127" t="str">
        <f>"10/13/2015 23:45"</f>
        <v>10/13/2015 23:45</v>
      </c>
    </row>
    <row r="5128" spans="1:10" x14ac:dyDescent="0.3">
      <c r="A5128" t="s">
        <v>6</v>
      </c>
      <c r="B5128" t="str">
        <f>"10/14/2015 00:00"</f>
        <v>10/14/2015 00:00</v>
      </c>
      <c r="C5128">
        <v>252</v>
      </c>
      <c r="D5128" t="s">
        <v>7</v>
      </c>
      <c r="E5128" s="2" t="s">
        <v>12</v>
      </c>
      <c r="F5128">
        <f t="shared" si="80"/>
        <v>499.71600000000001</v>
      </c>
      <c r="G5128" t="s">
        <v>16</v>
      </c>
      <c r="J5128" t="str">
        <f>"10/14/2015 23:45"</f>
        <v>10/14/2015 23:45</v>
      </c>
    </row>
    <row r="5129" spans="1:10" x14ac:dyDescent="0.3">
      <c r="A5129" t="s">
        <v>6</v>
      </c>
      <c r="B5129" t="str">
        <f>"10/15/2015 00:00"</f>
        <v>10/15/2015 00:00</v>
      </c>
      <c r="C5129">
        <v>230</v>
      </c>
      <c r="D5129" t="s">
        <v>7</v>
      </c>
      <c r="E5129" s="2" t="s">
        <v>12</v>
      </c>
      <c r="F5129">
        <f t="shared" si="80"/>
        <v>456.09000000000003</v>
      </c>
      <c r="G5129" t="s">
        <v>16</v>
      </c>
      <c r="J5129" t="str">
        <f>"10/15/2015 23:45"</f>
        <v>10/15/2015 23:45</v>
      </c>
    </row>
    <row r="5130" spans="1:10" x14ac:dyDescent="0.3">
      <c r="A5130" t="s">
        <v>6</v>
      </c>
      <c r="B5130" t="str">
        <f>"10/16/2015 00:00"</f>
        <v>10/16/2015 00:00</v>
      </c>
      <c r="C5130">
        <v>182</v>
      </c>
      <c r="D5130" t="s">
        <v>7</v>
      </c>
      <c r="E5130" s="2" t="s">
        <v>12</v>
      </c>
      <c r="F5130">
        <f t="shared" si="80"/>
        <v>360.90600000000001</v>
      </c>
      <c r="G5130" t="s">
        <v>16</v>
      </c>
      <c r="J5130" t="str">
        <f>"10/16/2015 23:45"</f>
        <v>10/16/2015 23:45</v>
      </c>
    </row>
    <row r="5131" spans="1:10" x14ac:dyDescent="0.3">
      <c r="A5131" t="s">
        <v>6</v>
      </c>
      <c r="B5131" t="str">
        <f>"10/17/2015 00:00"</f>
        <v>10/17/2015 00:00</v>
      </c>
      <c r="C5131">
        <v>162</v>
      </c>
      <c r="D5131" t="s">
        <v>7</v>
      </c>
      <c r="E5131" s="2" t="s">
        <v>12</v>
      </c>
      <c r="F5131">
        <f t="shared" si="80"/>
        <v>321.24600000000004</v>
      </c>
      <c r="G5131" t="s">
        <v>16</v>
      </c>
      <c r="J5131" t="str">
        <f>"10/17/2015 23:45"</f>
        <v>10/17/2015 23:45</v>
      </c>
    </row>
    <row r="5132" spans="1:10" x14ac:dyDescent="0.3">
      <c r="A5132" t="s">
        <v>6</v>
      </c>
      <c r="B5132" t="str">
        <f>"10/18/2015 00:00"</f>
        <v>10/18/2015 00:00</v>
      </c>
      <c r="C5132">
        <v>161</v>
      </c>
      <c r="D5132" t="s">
        <v>7</v>
      </c>
      <c r="E5132" s="2" t="s">
        <v>12</v>
      </c>
      <c r="F5132">
        <f t="shared" si="80"/>
        <v>319.26300000000003</v>
      </c>
      <c r="G5132" t="s">
        <v>16</v>
      </c>
      <c r="J5132" t="str">
        <f>"10/18/2015 23:45"</f>
        <v>10/18/2015 23:45</v>
      </c>
    </row>
    <row r="5133" spans="1:10" x14ac:dyDescent="0.3">
      <c r="A5133" t="s">
        <v>6</v>
      </c>
      <c r="B5133" t="str">
        <f>"10/19/2015 00:00"</f>
        <v>10/19/2015 00:00</v>
      </c>
      <c r="C5133">
        <v>160</v>
      </c>
      <c r="D5133" t="s">
        <v>7</v>
      </c>
      <c r="E5133" s="2" t="s">
        <v>12</v>
      </c>
      <c r="F5133">
        <f t="shared" si="80"/>
        <v>317.28000000000003</v>
      </c>
      <c r="G5133" t="s">
        <v>16</v>
      </c>
      <c r="J5133" t="str">
        <f>"10/19/2015 23:45"</f>
        <v>10/19/2015 23:45</v>
      </c>
    </row>
    <row r="5134" spans="1:10" x14ac:dyDescent="0.3">
      <c r="A5134" t="s">
        <v>6</v>
      </c>
      <c r="B5134" t="str">
        <f>"10/20/2015 00:00"</f>
        <v>10/20/2015 00:00</v>
      </c>
      <c r="C5134">
        <v>160</v>
      </c>
      <c r="D5134" t="s">
        <v>7</v>
      </c>
      <c r="E5134" s="2" t="s">
        <v>12</v>
      </c>
      <c r="F5134">
        <f t="shared" si="80"/>
        <v>317.28000000000003</v>
      </c>
      <c r="G5134" t="s">
        <v>16</v>
      </c>
      <c r="J5134" t="str">
        <f>"10/20/2015 23:45"</f>
        <v>10/20/2015 23:45</v>
      </c>
    </row>
    <row r="5135" spans="1:10" x14ac:dyDescent="0.3">
      <c r="A5135" t="s">
        <v>6</v>
      </c>
      <c r="B5135" t="str">
        <f>"10/21/2015 00:00"</f>
        <v>10/21/2015 00:00</v>
      </c>
      <c r="C5135">
        <v>127</v>
      </c>
      <c r="D5135" t="s">
        <v>7</v>
      </c>
      <c r="E5135" s="2" t="s">
        <v>12</v>
      </c>
      <c r="F5135">
        <f t="shared" si="80"/>
        <v>251.84100000000001</v>
      </c>
      <c r="G5135" t="s">
        <v>16</v>
      </c>
      <c r="J5135" t="str">
        <f>"10/21/2015 23:45"</f>
        <v>10/21/2015 23:45</v>
      </c>
    </row>
    <row r="5136" spans="1:10" x14ac:dyDescent="0.3">
      <c r="A5136" t="s">
        <v>6</v>
      </c>
      <c r="B5136" t="str">
        <f>"10/22/2015 00:00"</f>
        <v>10/22/2015 00:00</v>
      </c>
      <c r="C5136">
        <v>79.900000000000006</v>
      </c>
      <c r="D5136" t="s">
        <v>7</v>
      </c>
      <c r="E5136" s="2" t="s">
        <v>12</v>
      </c>
      <c r="F5136">
        <f t="shared" si="80"/>
        <v>158.44170000000003</v>
      </c>
      <c r="G5136" t="s">
        <v>16</v>
      </c>
      <c r="J5136" t="str">
        <f>"10/22/2015 23:45"</f>
        <v>10/22/2015 23:45</v>
      </c>
    </row>
    <row r="5137" spans="1:10" x14ac:dyDescent="0.3">
      <c r="A5137" t="s">
        <v>6</v>
      </c>
      <c r="B5137" t="str">
        <f>"10/23/2015 00:00"</f>
        <v>10/23/2015 00:00</v>
      </c>
      <c r="C5137">
        <v>59.7</v>
      </c>
      <c r="D5137" t="s">
        <v>7</v>
      </c>
      <c r="E5137" s="2" t="s">
        <v>12</v>
      </c>
      <c r="F5137">
        <f t="shared" si="80"/>
        <v>118.38510000000001</v>
      </c>
      <c r="G5137" t="s">
        <v>16</v>
      </c>
      <c r="J5137" t="str">
        <f>"10/23/2015 23:45"</f>
        <v>10/23/2015 23:45</v>
      </c>
    </row>
    <row r="5138" spans="1:10" x14ac:dyDescent="0.3">
      <c r="A5138" t="s">
        <v>6</v>
      </c>
      <c r="B5138" t="str">
        <f>"10/24/2015 00:00"</f>
        <v>10/24/2015 00:00</v>
      </c>
      <c r="C5138">
        <v>61.5</v>
      </c>
      <c r="D5138" t="s">
        <v>7</v>
      </c>
      <c r="E5138" s="2" t="s">
        <v>12</v>
      </c>
      <c r="F5138">
        <f t="shared" si="80"/>
        <v>121.95450000000001</v>
      </c>
      <c r="G5138" t="s">
        <v>16</v>
      </c>
      <c r="J5138" t="str">
        <f>"10/24/2015 23:45"</f>
        <v>10/24/2015 23:45</v>
      </c>
    </row>
    <row r="5139" spans="1:10" x14ac:dyDescent="0.3">
      <c r="A5139" t="s">
        <v>6</v>
      </c>
      <c r="B5139" t="str">
        <f>"10/25/2015 00:00"</f>
        <v>10/25/2015 00:00</v>
      </c>
      <c r="C5139">
        <v>62.5</v>
      </c>
      <c r="D5139" t="s">
        <v>7</v>
      </c>
      <c r="E5139" s="2" t="s">
        <v>12</v>
      </c>
      <c r="F5139">
        <f t="shared" si="80"/>
        <v>123.9375</v>
      </c>
      <c r="G5139" t="s">
        <v>16</v>
      </c>
      <c r="J5139" t="str">
        <f>"10/25/2015 23:45"</f>
        <v>10/25/2015 23:45</v>
      </c>
    </row>
    <row r="5140" spans="1:10" x14ac:dyDescent="0.3">
      <c r="A5140" t="s">
        <v>6</v>
      </c>
      <c r="B5140" t="str">
        <f>"10/26/2015 00:00"</f>
        <v>10/26/2015 00:00</v>
      </c>
      <c r="C5140">
        <v>84.7</v>
      </c>
      <c r="D5140" t="s">
        <v>7</v>
      </c>
      <c r="E5140" s="2" t="s">
        <v>12</v>
      </c>
      <c r="F5140">
        <f t="shared" si="80"/>
        <v>167.96010000000001</v>
      </c>
      <c r="G5140" t="s">
        <v>16</v>
      </c>
      <c r="J5140" t="str">
        <f>"10/26/2015 23:45"</f>
        <v>10/26/2015 23:45</v>
      </c>
    </row>
    <row r="5141" spans="1:10" x14ac:dyDescent="0.3">
      <c r="A5141" t="s">
        <v>6</v>
      </c>
      <c r="B5141" t="str">
        <f>"10/27/2015 00:00"</f>
        <v>10/27/2015 00:00</v>
      </c>
      <c r="C5141">
        <v>130</v>
      </c>
      <c r="D5141" t="s">
        <v>7</v>
      </c>
      <c r="E5141" s="2" t="s">
        <v>12</v>
      </c>
      <c r="F5141">
        <f t="shared" si="80"/>
        <v>257.79000000000002</v>
      </c>
      <c r="G5141" t="s">
        <v>16</v>
      </c>
      <c r="J5141" t="str">
        <f>"10/27/2015 23:45"</f>
        <v>10/27/2015 23:45</v>
      </c>
    </row>
    <row r="5142" spans="1:10" x14ac:dyDescent="0.3">
      <c r="A5142" t="s">
        <v>6</v>
      </c>
      <c r="B5142" t="str">
        <f>"10/28/2015 00:00"</f>
        <v>10/28/2015 00:00</v>
      </c>
      <c r="C5142">
        <v>151</v>
      </c>
      <c r="D5142" t="s">
        <v>7</v>
      </c>
      <c r="E5142" s="2" t="s">
        <v>12</v>
      </c>
      <c r="F5142">
        <f t="shared" si="80"/>
        <v>299.43299999999999</v>
      </c>
      <c r="G5142" t="s">
        <v>16</v>
      </c>
      <c r="J5142" t="str">
        <f>"10/28/2015 23:45"</f>
        <v>10/28/2015 23:45</v>
      </c>
    </row>
    <row r="5143" spans="1:10" x14ac:dyDescent="0.3">
      <c r="A5143" t="s">
        <v>6</v>
      </c>
      <c r="B5143" t="str">
        <f>"10/29/2015 00:00"</f>
        <v>10/29/2015 00:00</v>
      </c>
      <c r="C5143">
        <v>151</v>
      </c>
      <c r="D5143" t="s">
        <v>7</v>
      </c>
      <c r="E5143" s="2" t="s">
        <v>12</v>
      </c>
      <c r="F5143">
        <f t="shared" si="80"/>
        <v>299.43299999999999</v>
      </c>
      <c r="G5143" t="s">
        <v>16</v>
      </c>
      <c r="J5143" t="str">
        <f>"10/29/2015 23:45"</f>
        <v>10/29/2015 23:45</v>
      </c>
    </row>
    <row r="5144" spans="1:10" x14ac:dyDescent="0.3">
      <c r="A5144" t="s">
        <v>6</v>
      </c>
      <c r="B5144" t="str">
        <f>"10/30/2015 00:00"</f>
        <v>10/30/2015 00:00</v>
      </c>
      <c r="C5144">
        <v>123</v>
      </c>
      <c r="D5144" t="s">
        <v>7</v>
      </c>
      <c r="E5144" s="2" t="s">
        <v>12</v>
      </c>
      <c r="F5144">
        <f t="shared" si="80"/>
        <v>243.90900000000002</v>
      </c>
      <c r="G5144" t="s">
        <v>16</v>
      </c>
      <c r="J5144" t="str">
        <f>"10/30/2015 23:45"</f>
        <v>10/30/2015 23:45</v>
      </c>
    </row>
    <row r="5145" spans="1:10" x14ac:dyDescent="0.3">
      <c r="A5145" t="s">
        <v>6</v>
      </c>
      <c r="B5145" t="str">
        <f>"10/31/2015 00:00"</f>
        <v>10/31/2015 00:00</v>
      </c>
      <c r="C5145">
        <v>99.5</v>
      </c>
      <c r="D5145" t="s">
        <v>7</v>
      </c>
      <c r="E5145" s="2" t="s">
        <v>12</v>
      </c>
      <c r="F5145">
        <f t="shared" si="80"/>
        <v>197.30850000000001</v>
      </c>
      <c r="G5145" t="s">
        <v>16</v>
      </c>
      <c r="J5145" t="str">
        <f>"10/31/2015 23:45"</f>
        <v>10/31/2015 23:45</v>
      </c>
    </row>
    <row r="5146" spans="1:10" x14ac:dyDescent="0.3">
      <c r="A5146" t="s">
        <v>6</v>
      </c>
      <c r="B5146" t="str">
        <f>"11/01/2015 00:00"</f>
        <v>11/01/2015 00:00</v>
      </c>
      <c r="C5146">
        <v>99.9</v>
      </c>
      <c r="D5146" t="s">
        <v>7</v>
      </c>
      <c r="E5146" s="2" t="s">
        <v>12</v>
      </c>
      <c r="F5146">
        <f t="shared" si="80"/>
        <v>198.10170000000002</v>
      </c>
      <c r="G5146" t="s">
        <v>16</v>
      </c>
      <c r="J5146" t="str">
        <f>"11/01/2015 23:45"</f>
        <v>11/01/2015 23:45</v>
      </c>
    </row>
    <row r="5147" spans="1:10" x14ac:dyDescent="0.3">
      <c r="A5147" t="s">
        <v>6</v>
      </c>
      <c r="B5147" t="str">
        <f>"11/02/2015 00:00"</f>
        <v>11/02/2015 00:00</v>
      </c>
      <c r="C5147">
        <v>99.8</v>
      </c>
      <c r="D5147" t="s">
        <v>7</v>
      </c>
      <c r="E5147" s="2" t="s">
        <v>12</v>
      </c>
      <c r="F5147">
        <f t="shared" si="80"/>
        <v>197.9034</v>
      </c>
      <c r="G5147" t="s">
        <v>16</v>
      </c>
      <c r="J5147" t="str">
        <f>"11/02/2015 23:45"</f>
        <v>11/02/2015 23:45</v>
      </c>
    </row>
    <row r="5148" spans="1:10" x14ac:dyDescent="0.3">
      <c r="A5148" t="s">
        <v>6</v>
      </c>
      <c r="B5148" t="str">
        <f>"11/03/2015 00:00"</f>
        <v>11/03/2015 00:00</v>
      </c>
      <c r="C5148">
        <v>99.4</v>
      </c>
      <c r="D5148" t="s">
        <v>7</v>
      </c>
      <c r="E5148" s="2" t="s">
        <v>12</v>
      </c>
      <c r="F5148">
        <f t="shared" si="80"/>
        <v>197.11020000000002</v>
      </c>
      <c r="G5148" t="s">
        <v>16</v>
      </c>
      <c r="J5148" t="str">
        <f>"11/03/2015 23:45"</f>
        <v>11/03/2015 23:45</v>
      </c>
    </row>
    <row r="5149" spans="1:10" x14ac:dyDescent="0.3">
      <c r="A5149" t="s">
        <v>6</v>
      </c>
      <c r="B5149" t="str">
        <f>"11/04/2015 00:00"</f>
        <v>11/04/2015 00:00</v>
      </c>
      <c r="C5149">
        <v>99.5</v>
      </c>
      <c r="D5149" t="s">
        <v>7</v>
      </c>
      <c r="E5149" s="2" t="s">
        <v>12</v>
      </c>
      <c r="F5149">
        <f t="shared" si="80"/>
        <v>197.30850000000001</v>
      </c>
      <c r="G5149" t="s">
        <v>16</v>
      </c>
      <c r="J5149" t="str">
        <f>"11/04/2015 23:45"</f>
        <v>11/04/2015 23:45</v>
      </c>
    </row>
    <row r="5150" spans="1:10" x14ac:dyDescent="0.3">
      <c r="A5150" t="s">
        <v>6</v>
      </c>
      <c r="B5150" t="str">
        <f>"11/05/2015 00:00"</f>
        <v>11/05/2015 00:00</v>
      </c>
      <c r="C5150">
        <v>74.099999999999994</v>
      </c>
      <c r="D5150" t="s">
        <v>7</v>
      </c>
      <c r="E5150" s="2" t="s">
        <v>12</v>
      </c>
      <c r="F5150">
        <f t="shared" si="80"/>
        <v>146.94030000000001</v>
      </c>
      <c r="G5150" t="s">
        <v>16</v>
      </c>
      <c r="J5150" t="str">
        <f>"11/05/2015 23:45"</f>
        <v>11/05/2015 23:45</v>
      </c>
    </row>
    <row r="5151" spans="1:10" x14ac:dyDescent="0.3">
      <c r="A5151" t="s">
        <v>6</v>
      </c>
      <c r="B5151" t="str">
        <f>"11/06/2015 00:00"</f>
        <v>11/06/2015 00:00</v>
      </c>
      <c r="C5151">
        <v>52.6</v>
      </c>
      <c r="D5151" t="s">
        <v>7</v>
      </c>
      <c r="E5151" s="2" t="s">
        <v>12</v>
      </c>
      <c r="F5151">
        <f t="shared" si="80"/>
        <v>104.3058</v>
      </c>
      <c r="G5151" t="s">
        <v>16</v>
      </c>
      <c r="J5151" t="str">
        <f>"11/06/2015 23:45"</f>
        <v>11/06/2015 23:45</v>
      </c>
    </row>
    <row r="5152" spans="1:10" x14ac:dyDescent="0.3">
      <c r="A5152" t="s">
        <v>6</v>
      </c>
      <c r="B5152" t="str">
        <f>"11/07/2015 00:00"</f>
        <v>11/07/2015 00:00</v>
      </c>
      <c r="C5152">
        <v>52.4</v>
      </c>
      <c r="D5152" t="s">
        <v>7</v>
      </c>
      <c r="E5152" s="2" t="s">
        <v>12</v>
      </c>
      <c r="F5152">
        <f t="shared" si="80"/>
        <v>103.9092</v>
      </c>
      <c r="G5152" t="s">
        <v>16</v>
      </c>
      <c r="J5152" t="str">
        <f>"11/07/2015 23:45"</f>
        <v>11/07/2015 23:45</v>
      </c>
    </row>
    <row r="5153" spans="1:10" x14ac:dyDescent="0.3">
      <c r="A5153" t="s">
        <v>6</v>
      </c>
      <c r="B5153" t="str">
        <f>"11/08/2015 00:00"</f>
        <v>11/08/2015 00:00</v>
      </c>
      <c r="C5153">
        <v>52.7</v>
      </c>
      <c r="D5153" t="s">
        <v>7</v>
      </c>
      <c r="E5153" s="2" t="s">
        <v>12</v>
      </c>
      <c r="F5153">
        <f t="shared" si="80"/>
        <v>104.50410000000001</v>
      </c>
      <c r="G5153" t="s">
        <v>16</v>
      </c>
      <c r="J5153" t="str">
        <f>"11/08/2015 23:45"</f>
        <v>11/08/2015 23:45</v>
      </c>
    </row>
    <row r="5154" spans="1:10" x14ac:dyDescent="0.3">
      <c r="A5154" t="s">
        <v>6</v>
      </c>
      <c r="B5154" t="str">
        <f>"11/09/2015 00:00"</f>
        <v>11/09/2015 00:00</v>
      </c>
      <c r="C5154">
        <v>52.6</v>
      </c>
      <c r="D5154" t="s">
        <v>7</v>
      </c>
      <c r="E5154" s="2" t="s">
        <v>12</v>
      </c>
      <c r="F5154">
        <f t="shared" si="80"/>
        <v>104.3058</v>
      </c>
      <c r="G5154" t="s">
        <v>16</v>
      </c>
      <c r="J5154" t="str">
        <f>"11/09/2015 23:45"</f>
        <v>11/09/2015 23:45</v>
      </c>
    </row>
    <row r="5155" spans="1:10" x14ac:dyDescent="0.3">
      <c r="A5155" t="s">
        <v>6</v>
      </c>
      <c r="B5155" t="str">
        <f>"11/10/2015 00:00"</f>
        <v>11/10/2015 00:00</v>
      </c>
      <c r="C5155">
        <v>53</v>
      </c>
      <c r="D5155" t="s">
        <v>7</v>
      </c>
      <c r="E5155" s="2" t="s">
        <v>12</v>
      </c>
      <c r="F5155">
        <f t="shared" si="80"/>
        <v>105.099</v>
      </c>
      <c r="G5155" t="s">
        <v>16</v>
      </c>
      <c r="J5155" t="str">
        <f>"11/10/2015 23:45"</f>
        <v>11/10/2015 23:45</v>
      </c>
    </row>
    <row r="5156" spans="1:10" x14ac:dyDescent="0.3">
      <c r="A5156" t="s">
        <v>6</v>
      </c>
      <c r="B5156" t="str">
        <f>"11/11/2015 00:00"</f>
        <v>11/11/2015 00:00</v>
      </c>
      <c r="C5156">
        <v>35.6</v>
      </c>
      <c r="D5156" t="s">
        <v>7</v>
      </c>
      <c r="E5156" s="2" t="s">
        <v>12</v>
      </c>
      <c r="F5156">
        <f t="shared" si="80"/>
        <v>70.594800000000006</v>
      </c>
      <c r="G5156" t="s">
        <v>16</v>
      </c>
      <c r="J5156" t="str">
        <f>"11/11/2015 23:45"</f>
        <v>11/11/2015 23:45</v>
      </c>
    </row>
    <row r="5157" spans="1:10" x14ac:dyDescent="0.3">
      <c r="A5157" t="s">
        <v>6</v>
      </c>
      <c r="B5157" t="str">
        <f>"11/12/2015 00:00"</f>
        <v>11/12/2015 00:00</v>
      </c>
      <c r="C5157">
        <v>26</v>
      </c>
      <c r="D5157" t="s">
        <v>7</v>
      </c>
      <c r="E5157" s="2" t="s">
        <v>12</v>
      </c>
      <c r="F5157">
        <f t="shared" si="80"/>
        <v>51.558</v>
      </c>
      <c r="G5157" t="s">
        <v>16</v>
      </c>
      <c r="J5157" t="str">
        <f>"11/12/2015 23:45"</f>
        <v>11/12/2015 23:45</v>
      </c>
    </row>
    <row r="5158" spans="1:10" x14ac:dyDescent="0.3">
      <c r="A5158" t="s">
        <v>6</v>
      </c>
      <c r="B5158" t="str">
        <f>"11/13/2015 00:00"</f>
        <v>11/13/2015 00:00</v>
      </c>
      <c r="C5158">
        <v>26</v>
      </c>
      <c r="D5158" t="s">
        <v>7</v>
      </c>
      <c r="E5158" s="2" t="s">
        <v>12</v>
      </c>
      <c r="F5158">
        <f t="shared" si="80"/>
        <v>51.558</v>
      </c>
      <c r="G5158" t="s">
        <v>16</v>
      </c>
      <c r="J5158" t="str">
        <f>"11/13/2015 23:45"</f>
        <v>11/13/2015 23:45</v>
      </c>
    </row>
    <row r="5159" spans="1:10" x14ac:dyDescent="0.3">
      <c r="A5159" t="s">
        <v>6</v>
      </c>
      <c r="B5159" t="str">
        <f>"11/14/2015 00:00"</f>
        <v>11/14/2015 00:00</v>
      </c>
      <c r="C5159">
        <v>26</v>
      </c>
      <c r="D5159" t="s">
        <v>7</v>
      </c>
      <c r="E5159" s="2" t="s">
        <v>12</v>
      </c>
      <c r="F5159">
        <f t="shared" si="80"/>
        <v>51.558</v>
      </c>
      <c r="G5159" t="s">
        <v>16</v>
      </c>
      <c r="J5159" t="str">
        <f>"11/14/2015 23:45"</f>
        <v>11/14/2015 23:45</v>
      </c>
    </row>
    <row r="5160" spans="1:10" x14ac:dyDescent="0.3">
      <c r="A5160" t="s">
        <v>6</v>
      </c>
      <c r="B5160" t="str">
        <f>"11/15/2015 00:00"</f>
        <v>11/15/2015 00:00</v>
      </c>
      <c r="C5160">
        <v>10.199999999999999</v>
      </c>
      <c r="D5160" t="s">
        <v>7</v>
      </c>
      <c r="E5160" s="2" t="s">
        <v>12</v>
      </c>
      <c r="F5160">
        <f t="shared" si="80"/>
        <v>20.226600000000001</v>
      </c>
      <c r="G5160" t="s">
        <v>16</v>
      </c>
      <c r="J5160" t="str">
        <f>"11/15/2015 23:45"</f>
        <v>11/15/2015 23:45</v>
      </c>
    </row>
    <row r="5161" spans="1:10" x14ac:dyDescent="0.3">
      <c r="A5161" t="s">
        <v>6</v>
      </c>
      <c r="B5161" t="str">
        <f>"11/16/2015 00:00"</f>
        <v>11/16/2015 00:00</v>
      </c>
      <c r="C5161">
        <v>0.442</v>
      </c>
      <c r="D5161" t="s">
        <v>7</v>
      </c>
      <c r="E5161" s="2" t="s">
        <v>12</v>
      </c>
      <c r="F5161">
        <f t="shared" si="80"/>
        <v>0.8764860000000001</v>
      </c>
      <c r="G5161" t="s">
        <v>16</v>
      </c>
      <c r="J5161" t="str">
        <f>"11/16/2015 23:45"</f>
        <v>11/16/2015 23:45</v>
      </c>
    </row>
    <row r="5162" spans="1:10" x14ac:dyDescent="0.3">
      <c r="A5162" t="s">
        <v>6</v>
      </c>
      <c r="B5162" t="str">
        <f>"11/17/2015 00:00"</f>
        <v>11/17/2015 00:00</v>
      </c>
      <c r="C5162">
        <v>0.442</v>
      </c>
      <c r="D5162" t="s">
        <v>7</v>
      </c>
      <c r="E5162" s="2" t="s">
        <v>12</v>
      </c>
      <c r="F5162">
        <f t="shared" si="80"/>
        <v>0.8764860000000001</v>
      </c>
      <c r="G5162" t="s">
        <v>16</v>
      </c>
      <c r="J5162" t="str">
        <f>"11/17/2015 23:45"</f>
        <v>11/17/2015 23:45</v>
      </c>
    </row>
    <row r="5163" spans="1:10" x14ac:dyDescent="0.3">
      <c r="A5163" t="s">
        <v>6</v>
      </c>
      <c r="B5163" t="str">
        <f>"11/18/2015 00:00"</f>
        <v>11/18/2015 00:00</v>
      </c>
      <c r="C5163">
        <v>0.36099999999999999</v>
      </c>
      <c r="D5163" t="s">
        <v>7</v>
      </c>
      <c r="E5163" s="2" t="s">
        <v>12</v>
      </c>
      <c r="F5163">
        <f t="shared" si="80"/>
        <v>0.71586300000000003</v>
      </c>
      <c r="G5163" t="s">
        <v>16</v>
      </c>
      <c r="J5163" t="str">
        <f>"11/18/2015 23:45"</f>
        <v>11/18/2015 23:45</v>
      </c>
    </row>
    <row r="5164" spans="1:10" x14ac:dyDescent="0.3">
      <c r="A5164" t="s">
        <v>6</v>
      </c>
      <c r="B5164" t="str">
        <f>"11/19/2015 00:00"</f>
        <v>11/19/2015 00:00</v>
      </c>
      <c r="C5164">
        <v>0.27900000000000003</v>
      </c>
      <c r="D5164" t="s">
        <v>7</v>
      </c>
      <c r="E5164" s="2" t="s">
        <v>12</v>
      </c>
      <c r="F5164">
        <f t="shared" si="80"/>
        <v>0.55325700000000011</v>
      </c>
      <c r="G5164" t="s">
        <v>16</v>
      </c>
      <c r="J5164" t="str">
        <f>"11/19/2015 23:45"</f>
        <v>11/19/2015 23:45</v>
      </c>
    </row>
    <row r="5165" spans="1:10" x14ac:dyDescent="0.3">
      <c r="A5165" t="s">
        <v>6</v>
      </c>
      <c r="B5165" t="str">
        <f>"11/20/2015 00:00"</f>
        <v>11/20/2015 00:00</v>
      </c>
      <c r="C5165">
        <v>0.27900000000000003</v>
      </c>
      <c r="D5165" t="s">
        <v>7</v>
      </c>
      <c r="E5165" s="2" t="s">
        <v>12</v>
      </c>
      <c r="F5165">
        <f t="shared" si="80"/>
        <v>0.55325700000000011</v>
      </c>
      <c r="G5165" t="s">
        <v>16</v>
      </c>
      <c r="J5165" t="str">
        <f>"11/20/2015 23:45"</f>
        <v>11/20/2015 23:45</v>
      </c>
    </row>
    <row r="5166" spans="1:10" x14ac:dyDescent="0.3">
      <c r="A5166" t="s">
        <v>6</v>
      </c>
      <c r="B5166" t="str">
        <f>"11/21/2015 00:00"</f>
        <v>11/21/2015 00:00</v>
      </c>
      <c r="C5166">
        <v>0.27900000000000003</v>
      </c>
      <c r="D5166" t="s">
        <v>7</v>
      </c>
      <c r="E5166" s="2" t="s">
        <v>12</v>
      </c>
      <c r="F5166">
        <f t="shared" si="80"/>
        <v>0.55325700000000011</v>
      </c>
      <c r="G5166" t="s">
        <v>16</v>
      </c>
      <c r="J5166" t="str">
        <f>"11/21/2015 23:45"</f>
        <v>11/21/2015 23:45</v>
      </c>
    </row>
    <row r="5167" spans="1:10" x14ac:dyDescent="0.3">
      <c r="A5167" t="s">
        <v>6</v>
      </c>
      <c r="B5167" t="str">
        <f>"11/22/2015 00:00"</f>
        <v>11/22/2015 00:00</v>
      </c>
      <c r="C5167">
        <v>0.27900000000000003</v>
      </c>
      <c r="D5167" t="s">
        <v>7</v>
      </c>
      <c r="E5167" s="2" t="s">
        <v>12</v>
      </c>
      <c r="F5167">
        <f t="shared" si="80"/>
        <v>0.55325700000000011</v>
      </c>
      <c r="G5167" t="s">
        <v>16</v>
      </c>
      <c r="J5167" t="str">
        <f>"11/22/2015 23:45"</f>
        <v>11/22/2015 23:45</v>
      </c>
    </row>
    <row r="5168" spans="1:10" x14ac:dyDescent="0.3">
      <c r="A5168" t="s">
        <v>6</v>
      </c>
      <c r="B5168" t="str">
        <f>"11/23/2015 00:00"</f>
        <v>11/23/2015 00:00</v>
      </c>
      <c r="C5168">
        <v>0.27900000000000003</v>
      </c>
      <c r="D5168" t="s">
        <v>7</v>
      </c>
      <c r="E5168" s="2" t="s">
        <v>12</v>
      </c>
      <c r="F5168">
        <f t="shared" si="80"/>
        <v>0.55325700000000011</v>
      </c>
      <c r="G5168" t="s">
        <v>16</v>
      </c>
      <c r="J5168" t="str">
        <f>"11/23/2015 23:45"</f>
        <v>11/23/2015 23:45</v>
      </c>
    </row>
    <row r="5169" spans="1:10" x14ac:dyDescent="0.3">
      <c r="A5169" t="s">
        <v>6</v>
      </c>
      <c r="B5169" t="str">
        <f>"11/24/2015 00:00"</f>
        <v>11/24/2015 00:00</v>
      </c>
      <c r="C5169">
        <v>0.22600000000000001</v>
      </c>
      <c r="D5169" t="s">
        <v>7</v>
      </c>
      <c r="E5169" s="2" t="s">
        <v>12</v>
      </c>
      <c r="F5169">
        <f t="shared" si="80"/>
        <v>0.44815800000000006</v>
      </c>
      <c r="G5169" t="s">
        <v>16</v>
      </c>
      <c r="J5169" t="str">
        <f>"11/24/2015 23:45"</f>
        <v>11/24/2015 23:45</v>
      </c>
    </row>
    <row r="5170" spans="1:10" x14ac:dyDescent="0.3">
      <c r="A5170" t="s">
        <v>6</v>
      </c>
      <c r="B5170" t="str">
        <f>"11/25/2015 00:00"</f>
        <v>11/25/2015 00:00</v>
      </c>
      <c r="C5170">
        <v>0.14599999999999999</v>
      </c>
      <c r="D5170" t="s">
        <v>7</v>
      </c>
      <c r="E5170" s="2" t="s">
        <v>12</v>
      </c>
      <c r="F5170">
        <f t="shared" si="80"/>
        <v>0.289518</v>
      </c>
      <c r="G5170" t="s">
        <v>16</v>
      </c>
      <c r="J5170" t="str">
        <f>"11/25/2015 23:45"</f>
        <v>11/25/2015 23:45</v>
      </c>
    </row>
    <row r="5171" spans="1:10" x14ac:dyDescent="0.3">
      <c r="A5171" t="s">
        <v>6</v>
      </c>
      <c r="B5171" t="str">
        <f>"11/26/2015 00:00"</f>
        <v>11/26/2015 00:00</v>
      </c>
      <c r="C5171">
        <v>0.14599999999999999</v>
      </c>
      <c r="D5171" t="s">
        <v>7</v>
      </c>
      <c r="E5171" s="2" t="s">
        <v>12</v>
      </c>
      <c r="F5171">
        <f t="shared" si="80"/>
        <v>0.289518</v>
      </c>
      <c r="G5171" t="s">
        <v>16</v>
      </c>
      <c r="J5171" t="str">
        <f>"11/26/2015 23:45"</f>
        <v>11/26/2015 23:45</v>
      </c>
    </row>
    <row r="5172" spans="1:10" x14ac:dyDescent="0.3">
      <c r="A5172" t="s">
        <v>6</v>
      </c>
      <c r="B5172" t="str">
        <f>"11/27/2015 00:00"</f>
        <v>11/27/2015 00:00</v>
      </c>
      <c r="C5172">
        <v>0.14599999999999999</v>
      </c>
      <c r="D5172" t="s">
        <v>7</v>
      </c>
      <c r="E5172" s="2" t="s">
        <v>12</v>
      </c>
      <c r="F5172">
        <f t="shared" si="80"/>
        <v>0.289518</v>
      </c>
      <c r="G5172" t="s">
        <v>16</v>
      </c>
      <c r="J5172" t="str">
        <f>"11/27/2015 23:45"</f>
        <v>11/27/2015 23:45</v>
      </c>
    </row>
    <row r="5173" spans="1:10" x14ac:dyDescent="0.3">
      <c r="A5173" t="s">
        <v>6</v>
      </c>
      <c r="B5173" t="str">
        <f>"11/28/2015 00:00"</f>
        <v>11/28/2015 00:00</v>
      </c>
      <c r="C5173">
        <v>0.14599999999999999</v>
      </c>
      <c r="D5173" t="s">
        <v>7</v>
      </c>
      <c r="E5173" s="2" t="s">
        <v>12</v>
      </c>
      <c r="F5173">
        <f t="shared" si="80"/>
        <v>0.289518</v>
      </c>
      <c r="G5173" t="s">
        <v>16</v>
      </c>
      <c r="J5173" t="str">
        <f>"11/28/2015 23:45"</f>
        <v>11/28/2015 23:45</v>
      </c>
    </row>
    <row r="5174" spans="1:10" x14ac:dyDescent="0.3">
      <c r="A5174" t="s">
        <v>6</v>
      </c>
      <c r="B5174" t="str">
        <f>"11/29/2015 00:00"</f>
        <v>11/29/2015 00:00</v>
      </c>
      <c r="C5174">
        <v>0.14599999999999999</v>
      </c>
      <c r="D5174" t="s">
        <v>7</v>
      </c>
      <c r="E5174" s="2" t="s">
        <v>12</v>
      </c>
      <c r="F5174">
        <f t="shared" si="80"/>
        <v>0.289518</v>
      </c>
      <c r="G5174" t="s">
        <v>16</v>
      </c>
      <c r="J5174" t="str">
        <f>"11/29/2015 23:45"</f>
        <v>11/29/2015 23:45</v>
      </c>
    </row>
    <row r="5175" spans="1:10" x14ac:dyDescent="0.3">
      <c r="A5175" t="s">
        <v>6</v>
      </c>
      <c r="B5175" t="str">
        <f>"11/30/2015 00:00"</f>
        <v>11/30/2015 00:00</v>
      </c>
      <c r="C5175">
        <v>0.14599999999999999</v>
      </c>
      <c r="D5175" t="s">
        <v>7</v>
      </c>
      <c r="E5175" s="2" t="s">
        <v>12</v>
      </c>
      <c r="F5175">
        <f t="shared" si="80"/>
        <v>0.289518</v>
      </c>
      <c r="G5175" t="s">
        <v>16</v>
      </c>
      <c r="J5175" t="str">
        <f>"11/30/2015 23:45"</f>
        <v>11/30/2015 23:45</v>
      </c>
    </row>
    <row r="5176" spans="1:10" x14ac:dyDescent="0.3">
      <c r="A5176" t="s">
        <v>6</v>
      </c>
      <c r="B5176" t="str">
        <f>"12/01/2015 00:00"</f>
        <v>12/01/2015 00:00</v>
      </c>
      <c r="C5176">
        <v>0.14599999999999999</v>
      </c>
      <c r="D5176" t="s">
        <v>7</v>
      </c>
      <c r="E5176" s="2" t="s">
        <v>12</v>
      </c>
      <c r="F5176">
        <f t="shared" si="80"/>
        <v>0.289518</v>
      </c>
      <c r="G5176" t="s">
        <v>16</v>
      </c>
      <c r="J5176" t="str">
        <f>"12/01/2015 23:45"</f>
        <v>12/01/2015 23:45</v>
      </c>
    </row>
    <row r="5177" spans="1:10" x14ac:dyDescent="0.3">
      <c r="A5177" t="s">
        <v>6</v>
      </c>
      <c r="B5177" t="str">
        <f>"12/02/2015 00:00"</f>
        <v>12/02/2015 00:00</v>
      </c>
      <c r="C5177">
        <v>0.14599999999999999</v>
      </c>
      <c r="D5177" t="s">
        <v>7</v>
      </c>
      <c r="E5177" s="2" t="s">
        <v>12</v>
      </c>
      <c r="F5177">
        <f t="shared" si="80"/>
        <v>0.289518</v>
      </c>
      <c r="G5177" t="s">
        <v>16</v>
      </c>
      <c r="J5177" t="str">
        <f>"12/02/2015 23:45"</f>
        <v>12/02/2015 23:45</v>
      </c>
    </row>
    <row r="5178" spans="1:10" x14ac:dyDescent="0.3">
      <c r="A5178" t="s">
        <v>6</v>
      </c>
      <c r="B5178" t="str">
        <f>"12/03/2015 00:00"</f>
        <v>12/03/2015 00:00</v>
      </c>
      <c r="C5178">
        <v>0.14599999999999999</v>
      </c>
      <c r="D5178" t="s">
        <v>7</v>
      </c>
      <c r="E5178" s="2" t="s">
        <v>12</v>
      </c>
      <c r="F5178">
        <f t="shared" si="80"/>
        <v>0.289518</v>
      </c>
      <c r="G5178" t="s">
        <v>16</v>
      </c>
      <c r="J5178" t="str">
        <f>"12/03/2015 23:45"</f>
        <v>12/03/2015 23:45</v>
      </c>
    </row>
    <row r="5179" spans="1:10" x14ac:dyDescent="0.3">
      <c r="A5179" t="s">
        <v>6</v>
      </c>
      <c r="B5179" t="str">
        <f>"12/04/2015 00:00"</f>
        <v>12/04/2015 00:00</v>
      </c>
      <c r="C5179">
        <v>0.14599999999999999</v>
      </c>
      <c r="D5179" t="s">
        <v>7</v>
      </c>
      <c r="E5179" s="2" t="s">
        <v>12</v>
      </c>
      <c r="F5179">
        <f t="shared" si="80"/>
        <v>0.289518</v>
      </c>
      <c r="G5179" t="s">
        <v>16</v>
      </c>
      <c r="J5179" t="str">
        <f>"12/04/2015 23:45"</f>
        <v>12/04/2015 23:45</v>
      </c>
    </row>
    <row r="5180" spans="1:10" x14ac:dyDescent="0.3">
      <c r="A5180" t="s">
        <v>6</v>
      </c>
      <c r="B5180" t="str">
        <f>"12/05/2015 00:00"</f>
        <v>12/05/2015 00:00</v>
      </c>
      <c r="C5180">
        <v>0.14599999999999999</v>
      </c>
      <c r="D5180" t="s">
        <v>7</v>
      </c>
      <c r="E5180" s="2" t="s">
        <v>12</v>
      </c>
      <c r="F5180">
        <f t="shared" si="80"/>
        <v>0.289518</v>
      </c>
      <c r="G5180" t="s">
        <v>16</v>
      </c>
      <c r="J5180" t="str">
        <f>"12/05/2015 23:45"</f>
        <v>12/05/2015 23:45</v>
      </c>
    </row>
    <row r="5181" spans="1:10" x14ac:dyDescent="0.3">
      <c r="A5181" t="s">
        <v>6</v>
      </c>
      <c r="B5181" t="str">
        <f>"12/06/2015 00:00"</f>
        <v>12/06/2015 00:00</v>
      </c>
      <c r="C5181">
        <v>0.14599999999999999</v>
      </c>
      <c r="D5181" t="s">
        <v>7</v>
      </c>
      <c r="E5181" s="2" t="s">
        <v>12</v>
      </c>
      <c r="F5181">
        <f t="shared" si="80"/>
        <v>0.289518</v>
      </c>
      <c r="G5181" t="s">
        <v>16</v>
      </c>
      <c r="J5181" t="str">
        <f>"12/06/2015 23:45"</f>
        <v>12/06/2015 23:45</v>
      </c>
    </row>
    <row r="5182" spans="1:10" x14ac:dyDescent="0.3">
      <c r="A5182" t="s">
        <v>6</v>
      </c>
      <c r="B5182" t="str">
        <f>"12/07/2015 00:00"</f>
        <v>12/07/2015 00:00</v>
      </c>
      <c r="C5182">
        <v>0.14599999999999999</v>
      </c>
      <c r="D5182" t="s">
        <v>7</v>
      </c>
      <c r="E5182" s="2" t="s">
        <v>12</v>
      </c>
      <c r="F5182">
        <f t="shared" si="80"/>
        <v>0.289518</v>
      </c>
      <c r="G5182" t="s">
        <v>16</v>
      </c>
      <c r="J5182" t="str">
        <f>"12/07/2015 23:45"</f>
        <v>12/07/2015 23:45</v>
      </c>
    </row>
    <row r="5183" spans="1:10" x14ac:dyDescent="0.3">
      <c r="A5183" t="s">
        <v>6</v>
      </c>
      <c r="B5183" t="str">
        <f>"12/08/2015 00:00"</f>
        <v>12/08/2015 00:00</v>
      </c>
      <c r="C5183">
        <v>0.14599999999999999</v>
      </c>
      <c r="D5183" t="s">
        <v>7</v>
      </c>
      <c r="E5183" s="2" t="s">
        <v>12</v>
      </c>
      <c r="F5183">
        <f t="shared" si="80"/>
        <v>0.289518</v>
      </c>
      <c r="G5183" t="s">
        <v>16</v>
      </c>
      <c r="J5183" t="str">
        <f>"12/08/2015 23:45"</f>
        <v>12/08/2015 23:45</v>
      </c>
    </row>
    <row r="5184" spans="1:10" x14ac:dyDescent="0.3">
      <c r="A5184" t="s">
        <v>6</v>
      </c>
      <c r="B5184" t="str">
        <f>"12/09/2015 00:00"</f>
        <v>12/09/2015 00:00</v>
      </c>
      <c r="C5184">
        <v>0.14599999999999999</v>
      </c>
      <c r="D5184" t="s">
        <v>7</v>
      </c>
      <c r="E5184" s="2" t="s">
        <v>12</v>
      </c>
      <c r="F5184">
        <f t="shared" si="80"/>
        <v>0.289518</v>
      </c>
      <c r="G5184" t="s">
        <v>16</v>
      </c>
      <c r="J5184" t="str">
        <f>"12/09/2015 23:45"</f>
        <v>12/09/2015 23:45</v>
      </c>
    </row>
    <row r="5185" spans="1:10" x14ac:dyDescent="0.3">
      <c r="A5185" t="s">
        <v>6</v>
      </c>
      <c r="B5185" t="str">
        <f>"12/10/2015 00:00"</f>
        <v>12/10/2015 00:00</v>
      </c>
      <c r="C5185">
        <v>0.14599999999999999</v>
      </c>
      <c r="D5185" t="s">
        <v>7</v>
      </c>
      <c r="E5185" s="2" t="s">
        <v>12</v>
      </c>
      <c r="F5185">
        <f t="shared" si="80"/>
        <v>0.289518</v>
      </c>
      <c r="G5185" t="s">
        <v>16</v>
      </c>
      <c r="J5185" t="str">
        <f>"12/10/2015 23:45"</f>
        <v>12/10/2015 23:45</v>
      </c>
    </row>
    <row r="5186" spans="1:10" x14ac:dyDescent="0.3">
      <c r="A5186" t="s">
        <v>6</v>
      </c>
      <c r="B5186" t="str">
        <f>"12/11/2015 00:00"</f>
        <v>12/11/2015 00:00</v>
      </c>
      <c r="C5186">
        <v>0.14599999999999999</v>
      </c>
      <c r="D5186" t="s">
        <v>7</v>
      </c>
      <c r="E5186" s="2" t="s">
        <v>12</v>
      </c>
      <c r="F5186">
        <f t="shared" si="80"/>
        <v>0.289518</v>
      </c>
      <c r="G5186" t="s">
        <v>16</v>
      </c>
      <c r="J5186" t="str">
        <f>"12/11/2015 23:45"</f>
        <v>12/11/2015 23:45</v>
      </c>
    </row>
    <row r="5187" spans="1:10" x14ac:dyDescent="0.3">
      <c r="A5187" t="s">
        <v>6</v>
      </c>
      <c r="B5187" t="str">
        <f>"12/12/2015 00:00"</f>
        <v>12/12/2015 00:00</v>
      </c>
      <c r="C5187">
        <v>0.14599999999999999</v>
      </c>
      <c r="D5187" t="s">
        <v>7</v>
      </c>
      <c r="E5187" s="2" t="s">
        <v>12</v>
      </c>
      <c r="F5187">
        <f t="shared" si="80"/>
        <v>0.289518</v>
      </c>
      <c r="G5187" t="s">
        <v>16</v>
      </c>
      <c r="J5187" t="str">
        <f>"12/12/2015 23:45"</f>
        <v>12/12/2015 23:45</v>
      </c>
    </row>
    <row r="5188" spans="1:10" x14ac:dyDescent="0.3">
      <c r="A5188" t="s">
        <v>6</v>
      </c>
      <c r="B5188" t="str">
        <f>"12/13/2015 00:00"</f>
        <v>12/13/2015 00:00</v>
      </c>
      <c r="C5188">
        <v>0.17599999999999999</v>
      </c>
      <c r="D5188" t="s">
        <v>7</v>
      </c>
      <c r="E5188" s="2" t="s">
        <v>12</v>
      </c>
      <c r="F5188">
        <f t="shared" ref="F5188:F5251" si="81">C5188*1.983</f>
        <v>0.34900799999999998</v>
      </c>
      <c r="G5188" t="s">
        <v>16</v>
      </c>
      <c r="J5188" t="str">
        <f>"12/13/2015 23:45"</f>
        <v>12/13/2015 23:45</v>
      </c>
    </row>
    <row r="5189" spans="1:10" x14ac:dyDescent="0.3">
      <c r="A5189" t="s">
        <v>6</v>
      </c>
      <c r="B5189" t="str">
        <f>"12/14/2015 00:00"</f>
        <v>12/14/2015 00:00</v>
      </c>
      <c r="C5189">
        <v>0.30099999999999999</v>
      </c>
      <c r="D5189" t="s">
        <v>7</v>
      </c>
      <c r="E5189" s="2" t="s">
        <v>12</v>
      </c>
      <c r="F5189">
        <f t="shared" si="81"/>
        <v>0.59688300000000005</v>
      </c>
      <c r="G5189" t="s">
        <v>16</v>
      </c>
      <c r="J5189" t="str">
        <f>"12/14/2015 23:45"</f>
        <v>12/14/2015 23:45</v>
      </c>
    </row>
    <row r="5190" spans="1:10" x14ac:dyDescent="0.3">
      <c r="A5190" t="s">
        <v>6</v>
      </c>
      <c r="B5190" t="str">
        <f>"12/15/2015 00:00"</f>
        <v>12/15/2015 00:00</v>
      </c>
      <c r="C5190">
        <v>0.442</v>
      </c>
      <c r="D5190" t="s">
        <v>7</v>
      </c>
      <c r="E5190" s="2" t="s">
        <v>12</v>
      </c>
      <c r="F5190">
        <f t="shared" si="81"/>
        <v>0.8764860000000001</v>
      </c>
      <c r="G5190" t="s">
        <v>16</v>
      </c>
      <c r="J5190" t="str">
        <f>"12/15/2015 23:45"</f>
        <v>12/15/2015 23:45</v>
      </c>
    </row>
    <row r="5191" spans="1:10" x14ac:dyDescent="0.3">
      <c r="A5191" t="s">
        <v>6</v>
      </c>
      <c r="B5191" t="str">
        <f>"12/16/2015 00:00"</f>
        <v>12/16/2015 00:00</v>
      </c>
      <c r="C5191">
        <v>0.442</v>
      </c>
      <c r="D5191" t="s">
        <v>7</v>
      </c>
      <c r="E5191" s="2" t="s">
        <v>12</v>
      </c>
      <c r="F5191">
        <f t="shared" si="81"/>
        <v>0.8764860000000001</v>
      </c>
      <c r="G5191" t="s">
        <v>16</v>
      </c>
      <c r="J5191" t="str">
        <f>"12/16/2015 23:45"</f>
        <v>12/16/2015 23:45</v>
      </c>
    </row>
    <row r="5192" spans="1:10" x14ac:dyDescent="0.3">
      <c r="A5192" t="s">
        <v>6</v>
      </c>
      <c r="B5192" t="str">
        <f>"12/17/2015 00:00"</f>
        <v>12/17/2015 00:00</v>
      </c>
      <c r="C5192">
        <v>0.442</v>
      </c>
      <c r="D5192" t="s">
        <v>7</v>
      </c>
      <c r="E5192" s="2" t="s">
        <v>12</v>
      </c>
      <c r="F5192">
        <f t="shared" si="81"/>
        <v>0.8764860000000001</v>
      </c>
      <c r="G5192" t="s">
        <v>16</v>
      </c>
      <c r="J5192" t="str">
        <f>"12/17/2015 23:45"</f>
        <v>12/17/2015 23:45</v>
      </c>
    </row>
    <row r="5193" spans="1:10" x14ac:dyDescent="0.3">
      <c r="A5193" t="s">
        <v>6</v>
      </c>
      <c r="B5193" t="str">
        <f>"12/18/2015 00:00"</f>
        <v>12/18/2015 00:00</v>
      </c>
      <c r="C5193">
        <v>0.442</v>
      </c>
      <c r="D5193" t="s">
        <v>7</v>
      </c>
      <c r="E5193" s="2" t="s">
        <v>12</v>
      </c>
      <c r="F5193">
        <f t="shared" si="81"/>
        <v>0.8764860000000001</v>
      </c>
      <c r="G5193" t="s">
        <v>16</v>
      </c>
      <c r="J5193" t="str">
        <f>"12/18/2015 23:45"</f>
        <v>12/18/2015 23:45</v>
      </c>
    </row>
    <row r="5194" spans="1:10" x14ac:dyDescent="0.3">
      <c r="A5194" t="s">
        <v>6</v>
      </c>
      <c r="B5194" t="str">
        <f>"12/19/2015 00:00"</f>
        <v>12/19/2015 00:00</v>
      </c>
      <c r="C5194">
        <v>0.442</v>
      </c>
      <c r="D5194" t="s">
        <v>7</v>
      </c>
      <c r="E5194" s="2" t="s">
        <v>12</v>
      </c>
      <c r="F5194">
        <f t="shared" si="81"/>
        <v>0.8764860000000001</v>
      </c>
      <c r="G5194" t="s">
        <v>16</v>
      </c>
      <c r="J5194" t="str">
        <f>"12/19/2015 23:45"</f>
        <v>12/19/2015 23:45</v>
      </c>
    </row>
    <row r="5195" spans="1:10" x14ac:dyDescent="0.3">
      <c r="A5195" t="s">
        <v>6</v>
      </c>
      <c r="B5195" t="str">
        <f>"12/20/2015 00:00"</f>
        <v>12/20/2015 00:00</v>
      </c>
      <c r="C5195">
        <v>0.442</v>
      </c>
      <c r="D5195" t="s">
        <v>7</v>
      </c>
      <c r="E5195" s="2" t="s">
        <v>12</v>
      </c>
      <c r="F5195">
        <f t="shared" si="81"/>
        <v>0.8764860000000001</v>
      </c>
      <c r="G5195" t="s">
        <v>16</v>
      </c>
      <c r="J5195" t="str">
        <f>"12/20/2015 23:45"</f>
        <v>12/20/2015 23:45</v>
      </c>
    </row>
    <row r="5196" spans="1:10" x14ac:dyDescent="0.3">
      <c r="A5196" t="s">
        <v>6</v>
      </c>
      <c r="B5196" t="str">
        <f>"12/21/2015 00:00"</f>
        <v>12/21/2015 00:00</v>
      </c>
      <c r="C5196">
        <v>0.442</v>
      </c>
      <c r="D5196" t="s">
        <v>7</v>
      </c>
      <c r="E5196" s="2" t="s">
        <v>12</v>
      </c>
      <c r="F5196">
        <f t="shared" si="81"/>
        <v>0.8764860000000001</v>
      </c>
      <c r="G5196" t="s">
        <v>16</v>
      </c>
      <c r="J5196" t="str">
        <f>"12/21/2015 23:45"</f>
        <v>12/21/2015 23:45</v>
      </c>
    </row>
    <row r="5197" spans="1:10" x14ac:dyDescent="0.3">
      <c r="A5197" t="s">
        <v>6</v>
      </c>
      <c r="B5197" t="str">
        <f>"12/22/2015 00:00"</f>
        <v>12/22/2015 00:00</v>
      </c>
      <c r="C5197">
        <v>0.435</v>
      </c>
      <c r="D5197" t="s">
        <v>7</v>
      </c>
      <c r="E5197" s="2" t="s">
        <v>12</v>
      </c>
      <c r="F5197">
        <f t="shared" si="81"/>
        <v>0.86260500000000007</v>
      </c>
      <c r="G5197" t="s">
        <v>16</v>
      </c>
      <c r="J5197" t="str">
        <f>"12/22/2015 23:45"</f>
        <v>12/22/2015 23:45</v>
      </c>
    </row>
    <row r="5198" spans="1:10" x14ac:dyDescent="0.3">
      <c r="A5198" t="s">
        <v>6</v>
      </c>
      <c r="B5198" t="str">
        <f>"12/23/2015 00:00"</f>
        <v>12/23/2015 00:00</v>
      </c>
      <c r="C5198">
        <v>0.27900000000000003</v>
      </c>
      <c r="D5198" t="s">
        <v>7</v>
      </c>
      <c r="E5198" s="2" t="s">
        <v>12</v>
      </c>
      <c r="F5198">
        <f t="shared" si="81"/>
        <v>0.55325700000000011</v>
      </c>
      <c r="G5198" t="s">
        <v>16</v>
      </c>
      <c r="J5198" t="str">
        <f>"12/23/2015 23:45"</f>
        <v>12/23/2015 23:45</v>
      </c>
    </row>
    <row r="5199" spans="1:10" x14ac:dyDescent="0.3">
      <c r="A5199" t="s">
        <v>6</v>
      </c>
      <c r="B5199" t="str">
        <f>"12/24/2015 00:00"</f>
        <v>12/24/2015 00:00</v>
      </c>
      <c r="C5199">
        <v>0.27900000000000003</v>
      </c>
      <c r="D5199" t="s">
        <v>7</v>
      </c>
      <c r="E5199" s="2" t="s">
        <v>12</v>
      </c>
      <c r="F5199">
        <f t="shared" si="81"/>
        <v>0.55325700000000011</v>
      </c>
      <c r="G5199" t="s">
        <v>16</v>
      </c>
      <c r="J5199" t="str">
        <f>"12/24/2015 23:45"</f>
        <v>12/24/2015 23:45</v>
      </c>
    </row>
    <row r="5200" spans="1:10" x14ac:dyDescent="0.3">
      <c r="A5200" t="s">
        <v>6</v>
      </c>
      <c r="B5200" t="str">
        <f>"12/25/2015 00:00"</f>
        <v>12/25/2015 00:00</v>
      </c>
      <c r="C5200">
        <v>0.27900000000000003</v>
      </c>
      <c r="D5200" t="s">
        <v>7</v>
      </c>
      <c r="E5200" s="2" t="s">
        <v>12</v>
      </c>
      <c r="F5200">
        <f t="shared" si="81"/>
        <v>0.55325700000000011</v>
      </c>
      <c r="G5200" t="s">
        <v>16</v>
      </c>
      <c r="J5200" t="str">
        <f>"12/25/2015 23:45"</f>
        <v>12/25/2015 23:45</v>
      </c>
    </row>
    <row r="5201" spans="1:10" x14ac:dyDescent="0.3">
      <c r="A5201" t="s">
        <v>6</v>
      </c>
      <c r="B5201" t="str">
        <f>"12/26/2015 00:00"</f>
        <v>12/26/2015 00:00</v>
      </c>
      <c r="C5201">
        <v>0.27900000000000003</v>
      </c>
      <c r="D5201" t="s">
        <v>7</v>
      </c>
      <c r="E5201" s="2" t="s">
        <v>12</v>
      </c>
      <c r="F5201">
        <f t="shared" si="81"/>
        <v>0.55325700000000011</v>
      </c>
      <c r="G5201" t="s">
        <v>16</v>
      </c>
      <c r="J5201" t="str">
        <f>"12/26/2015 23:45"</f>
        <v>12/26/2015 23:45</v>
      </c>
    </row>
    <row r="5202" spans="1:10" x14ac:dyDescent="0.3">
      <c r="A5202" t="s">
        <v>6</v>
      </c>
      <c r="B5202" t="str">
        <f>"12/27/2015 00:00"</f>
        <v>12/27/2015 00:00</v>
      </c>
      <c r="C5202">
        <v>0.27900000000000003</v>
      </c>
      <c r="D5202" t="s">
        <v>7</v>
      </c>
      <c r="E5202" s="2" t="s">
        <v>12</v>
      </c>
      <c r="F5202">
        <f t="shared" si="81"/>
        <v>0.55325700000000011</v>
      </c>
      <c r="G5202" t="s">
        <v>16</v>
      </c>
      <c r="J5202" t="str">
        <f>"12/27/2015 23:45"</f>
        <v>12/27/2015 23:45</v>
      </c>
    </row>
    <row r="5203" spans="1:10" x14ac:dyDescent="0.3">
      <c r="A5203" t="s">
        <v>6</v>
      </c>
      <c r="B5203" t="str">
        <f>"12/28/2015 00:00"</f>
        <v>12/28/2015 00:00</v>
      </c>
      <c r="C5203">
        <v>0.27900000000000003</v>
      </c>
      <c r="D5203" t="s">
        <v>7</v>
      </c>
      <c r="E5203" s="2" t="s">
        <v>12</v>
      </c>
      <c r="F5203">
        <f t="shared" si="81"/>
        <v>0.55325700000000011</v>
      </c>
      <c r="G5203" t="s">
        <v>16</v>
      </c>
      <c r="J5203" t="str">
        <f>"12/28/2015 23:45"</f>
        <v>12/28/2015 23:45</v>
      </c>
    </row>
    <row r="5204" spans="1:10" x14ac:dyDescent="0.3">
      <c r="A5204" t="s">
        <v>6</v>
      </c>
      <c r="B5204" t="str">
        <f>"12/29/2015 00:00"</f>
        <v>12/29/2015 00:00</v>
      </c>
      <c r="C5204">
        <v>0.27900000000000003</v>
      </c>
      <c r="D5204" t="s">
        <v>7</v>
      </c>
      <c r="E5204" s="2" t="s">
        <v>12</v>
      </c>
      <c r="F5204">
        <f t="shared" si="81"/>
        <v>0.55325700000000011</v>
      </c>
      <c r="G5204" t="s">
        <v>16</v>
      </c>
      <c r="J5204" t="str">
        <f>"12/29/2015 23:45"</f>
        <v>12/29/2015 23:45</v>
      </c>
    </row>
    <row r="5205" spans="1:10" x14ac:dyDescent="0.3">
      <c r="A5205" t="s">
        <v>6</v>
      </c>
      <c r="B5205" t="str">
        <f>"12/30/2015 00:00"</f>
        <v>12/30/2015 00:00</v>
      </c>
      <c r="C5205">
        <v>0.27900000000000003</v>
      </c>
      <c r="D5205" t="s">
        <v>7</v>
      </c>
      <c r="E5205" s="2" t="s">
        <v>12</v>
      </c>
      <c r="F5205">
        <f t="shared" si="81"/>
        <v>0.55325700000000011</v>
      </c>
      <c r="G5205" t="s">
        <v>16</v>
      </c>
      <c r="J5205" t="str">
        <f>"12/30/2015 23:45"</f>
        <v>12/30/2015 23:45</v>
      </c>
    </row>
    <row r="5206" spans="1:10" x14ac:dyDescent="0.3">
      <c r="A5206" t="s">
        <v>6</v>
      </c>
      <c r="B5206" t="str">
        <f>"12/31/2015 00:00"</f>
        <v>12/31/2015 00:00</v>
      </c>
      <c r="C5206">
        <v>0.27900000000000003</v>
      </c>
      <c r="D5206" t="s">
        <v>7</v>
      </c>
      <c r="E5206" s="2" t="s">
        <v>12</v>
      </c>
      <c r="F5206">
        <f t="shared" si="81"/>
        <v>0.55325700000000011</v>
      </c>
      <c r="G5206" t="s">
        <v>16</v>
      </c>
      <c r="J5206" t="str">
        <f>"12/31/2015 23:45"</f>
        <v>12/31/2015 23:45</v>
      </c>
    </row>
    <row r="5207" spans="1:10" x14ac:dyDescent="0.3">
      <c r="A5207" t="s">
        <v>6</v>
      </c>
      <c r="B5207" t="str">
        <f>"01/01/2016 00:00"</f>
        <v>01/01/2016 00:00</v>
      </c>
      <c r="C5207">
        <v>0.217</v>
      </c>
      <c r="D5207" t="s">
        <v>7</v>
      </c>
      <c r="E5207" s="2" t="s">
        <v>12</v>
      </c>
      <c r="F5207">
        <f t="shared" si="81"/>
        <v>0.430311</v>
      </c>
      <c r="G5207" t="s">
        <v>16</v>
      </c>
      <c r="J5207" t="str">
        <f>"01/01/2016 23:45"</f>
        <v>01/01/2016 23:45</v>
      </c>
    </row>
    <row r="5208" spans="1:10" x14ac:dyDescent="0.3">
      <c r="A5208" t="s">
        <v>6</v>
      </c>
      <c r="B5208" t="str">
        <f>"01/02/2016 00:00"</f>
        <v>01/02/2016 00:00</v>
      </c>
      <c r="C5208">
        <v>0.14599999999999999</v>
      </c>
      <c r="D5208" t="s">
        <v>7</v>
      </c>
      <c r="E5208" s="2" t="s">
        <v>12</v>
      </c>
      <c r="F5208">
        <f t="shared" si="81"/>
        <v>0.289518</v>
      </c>
      <c r="G5208" t="s">
        <v>16</v>
      </c>
      <c r="J5208" t="str">
        <f>"01/02/2016 23:45"</f>
        <v>01/02/2016 23:45</v>
      </c>
    </row>
    <row r="5209" spans="1:10" x14ac:dyDescent="0.3">
      <c r="A5209" t="s">
        <v>6</v>
      </c>
      <c r="B5209" t="str">
        <f>"01/03/2016 00:00"</f>
        <v>01/03/2016 00:00</v>
      </c>
      <c r="C5209">
        <v>0.24399999999999999</v>
      </c>
      <c r="D5209" t="s">
        <v>7</v>
      </c>
      <c r="E5209" s="2" t="s">
        <v>12</v>
      </c>
      <c r="F5209">
        <f t="shared" si="81"/>
        <v>0.483852</v>
      </c>
      <c r="G5209" t="s">
        <v>16</v>
      </c>
      <c r="J5209" t="str">
        <f>"01/03/2016 23:45"</f>
        <v>01/03/2016 23:45</v>
      </c>
    </row>
    <row r="5210" spans="1:10" x14ac:dyDescent="0.3">
      <c r="A5210" t="s">
        <v>6</v>
      </c>
      <c r="B5210" t="str">
        <f>"01/04/2016 00:00"</f>
        <v>01/04/2016 00:00</v>
      </c>
      <c r="C5210">
        <v>0.14599999999999999</v>
      </c>
      <c r="D5210" t="s">
        <v>7</v>
      </c>
      <c r="E5210" s="2" t="s">
        <v>12</v>
      </c>
      <c r="F5210">
        <f t="shared" si="81"/>
        <v>0.289518</v>
      </c>
      <c r="G5210" t="s">
        <v>16</v>
      </c>
      <c r="J5210" t="str">
        <f>"01/04/2016 23:45"</f>
        <v>01/04/2016 23:45</v>
      </c>
    </row>
    <row r="5211" spans="1:10" x14ac:dyDescent="0.3">
      <c r="A5211" t="s">
        <v>6</v>
      </c>
      <c r="B5211" t="str">
        <f>"01/05/2016 00:00"</f>
        <v>01/05/2016 00:00</v>
      </c>
      <c r="C5211">
        <v>0.14599999999999999</v>
      </c>
      <c r="D5211" t="s">
        <v>7</v>
      </c>
      <c r="E5211" s="2" t="s">
        <v>12</v>
      </c>
      <c r="F5211">
        <f t="shared" si="81"/>
        <v>0.289518</v>
      </c>
      <c r="G5211" t="s">
        <v>16</v>
      </c>
      <c r="J5211" t="str">
        <f>"01/05/2016 23:45"</f>
        <v>01/05/2016 23:45</v>
      </c>
    </row>
    <row r="5212" spans="1:10" x14ac:dyDescent="0.3">
      <c r="A5212" t="s">
        <v>6</v>
      </c>
      <c r="B5212" t="str">
        <f>"01/06/2016 00:00"</f>
        <v>01/06/2016 00:00</v>
      </c>
      <c r="C5212">
        <v>6.8400000000000002E-2</v>
      </c>
      <c r="D5212" t="s">
        <v>7</v>
      </c>
      <c r="E5212" s="2" t="s">
        <v>12</v>
      </c>
      <c r="F5212">
        <f t="shared" si="81"/>
        <v>0.13563720000000001</v>
      </c>
      <c r="G5212" t="s">
        <v>16</v>
      </c>
      <c r="J5212" t="str">
        <f>"01/06/2016 23:45"</f>
        <v>01/06/2016 23:45</v>
      </c>
    </row>
    <row r="5213" spans="1:10" x14ac:dyDescent="0.3">
      <c r="A5213" t="s">
        <v>6</v>
      </c>
      <c r="B5213" t="str">
        <f>"01/07/2016 00:00"</f>
        <v>01/07/2016 00:00</v>
      </c>
      <c r="C5213">
        <v>4.8000000000000001E-2</v>
      </c>
      <c r="D5213" t="s">
        <v>7</v>
      </c>
      <c r="E5213" s="2" t="s">
        <v>12</v>
      </c>
      <c r="F5213">
        <f t="shared" si="81"/>
        <v>9.5184000000000005E-2</v>
      </c>
      <c r="G5213" t="s">
        <v>16</v>
      </c>
      <c r="J5213" t="str">
        <f>"01/07/2016 23:45"</f>
        <v>01/07/2016 23:45</v>
      </c>
    </row>
    <row r="5214" spans="1:10" x14ac:dyDescent="0.3">
      <c r="A5214" t="s">
        <v>6</v>
      </c>
      <c r="B5214" t="str">
        <f>"01/08/2016 00:00"</f>
        <v>01/08/2016 00:00</v>
      </c>
      <c r="C5214">
        <v>4.8000000000000001E-2</v>
      </c>
      <c r="D5214" t="s">
        <v>7</v>
      </c>
      <c r="E5214" s="2" t="s">
        <v>12</v>
      </c>
      <c r="F5214">
        <f t="shared" si="81"/>
        <v>9.5184000000000005E-2</v>
      </c>
      <c r="G5214" t="s">
        <v>16</v>
      </c>
      <c r="J5214" t="str">
        <f>"01/08/2016 23:45"</f>
        <v>01/08/2016 23:45</v>
      </c>
    </row>
    <row r="5215" spans="1:10" x14ac:dyDescent="0.3">
      <c r="A5215" t="s">
        <v>6</v>
      </c>
      <c r="B5215" t="str">
        <f>"01/09/2016 00:00"</f>
        <v>01/09/2016 00:00</v>
      </c>
      <c r="C5215">
        <v>3.0000000000000001E-3</v>
      </c>
      <c r="D5215" t="s">
        <v>7</v>
      </c>
      <c r="E5215" s="2" t="s">
        <v>12</v>
      </c>
      <c r="F5215">
        <f t="shared" si="81"/>
        <v>5.9490000000000003E-3</v>
      </c>
      <c r="G5215" t="s">
        <v>16</v>
      </c>
      <c r="J5215" t="str">
        <f>"01/09/2016 23:45"</f>
        <v>01/09/2016 23:45</v>
      </c>
    </row>
    <row r="5216" spans="1:10" x14ac:dyDescent="0.3">
      <c r="A5216" t="s">
        <v>6</v>
      </c>
      <c r="B5216" t="str">
        <f>"01/10/2016 00:00"</f>
        <v>01/10/2016 00:00</v>
      </c>
      <c r="C5216">
        <v>0</v>
      </c>
      <c r="D5216" t="s">
        <v>7</v>
      </c>
      <c r="E5216" s="2" t="s">
        <v>12</v>
      </c>
      <c r="F5216">
        <f t="shared" si="81"/>
        <v>0</v>
      </c>
      <c r="G5216" t="s">
        <v>16</v>
      </c>
      <c r="J5216" t="str">
        <f>"01/10/2016 23:45"</f>
        <v>01/10/2016 23:45</v>
      </c>
    </row>
    <row r="5217" spans="1:10" x14ac:dyDescent="0.3">
      <c r="A5217" t="s">
        <v>6</v>
      </c>
      <c r="B5217" t="str">
        <f>"01/11/2016 00:00"</f>
        <v>01/11/2016 00:00</v>
      </c>
      <c r="C5217">
        <v>0</v>
      </c>
      <c r="D5217" t="s">
        <v>7</v>
      </c>
      <c r="E5217" s="2" t="s">
        <v>12</v>
      </c>
      <c r="F5217">
        <f t="shared" si="81"/>
        <v>0</v>
      </c>
      <c r="G5217" t="s">
        <v>16</v>
      </c>
      <c r="J5217" t="str">
        <f>"01/11/2016 23:45"</f>
        <v>01/11/2016 23:45</v>
      </c>
    </row>
    <row r="5218" spans="1:10" x14ac:dyDescent="0.3">
      <c r="A5218" t="s">
        <v>6</v>
      </c>
      <c r="B5218" t="str">
        <f>"01/12/2016 00:00"</f>
        <v>01/12/2016 00:00</v>
      </c>
      <c r="C5218">
        <v>1.7000000000000001E-2</v>
      </c>
      <c r="D5218" t="s">
        <v>7</v>
      </c>
      <c r="E5218" s="2" t="s">
        <v>12</v>
      </c>
      <c r="F5218">
        <f t="shared" si="81"/>
        <v>3.3711000000000005E-2</v>
      </c>
      <c r="G5218" t="s">
        <v>16</v>
      </c>
      <c r="J5218" t="str">
        <f>"01/12/2016 23:45"</f>
        <v>01/12/2016 23:45</v>
      </c>
    </row>
    <row r="5219" spans="1:10" x14ac:dyDescent="0.3">
      <c r="A5219" t="s">
        <v>6</v>
      </c>
      <c r="B5219" t="str">
        <f>"01/13/2016 00:00"</f>
        <v>01/13/2016 00:00</v>
      </c>
      <c r="C5219">
        <v>8.5000000000000006E-3</v>
      </c>
      <c r="D5219" t="s">
        <v>7</v>
      </c>
      <c r="E5219" s="2" t="s">
        <v>12</v>
      </c>
      <c r="F5219">
        <f t="shared" si="81"/>
        <v>1.6855500000000002E-2</v>
      </c>
      <c r="G5219" t="s">
        <v>16</v>
      </c>
      <c r="J5219" t="str">
        <f>"01/13/2016 23:45"</f>
        <v>01/13/2016 23:45</v>
      </c>
    </row>
    <row r="5220" spans="1:10" x14ac:dyDescent="0.3">
      <c r="A5220" t="s">
        <v>6</v>
      </c>
      <c r="B5220" t="str">
        <f>"01/14/2016 00:00"</f>
        <v>01/14/2016 00:00</v>
      </c>
      <c r="C5220">
        <v>0</v>
      </c>
      <c r="D5220" t="s">
        <v>7</v>
      </c>
      <c r="E5220" s="2" t="s">
        <v>12</v>
      </c>
      <c r="F5220">
        <f t="shared" si="81"/>
        <v>0</v>
      </c>
      <c r="G5220" t="s">
        <v>16</v>
      </c>
      <c r="J5220" t="str">
        <f>"01/14/2016 23:45"</f>
        <v>01/14/2016 23:45</v>
      </c>
    </row>
    <row r="5221" spans="1:10" x14ac:dyDescent="0.3">
      <c r="A5221" t="s">
        <v>6</v>
      </c>
      <c r="B5221" t="str">
        <f>"01/15/2016 00:00"</f>
        <v>01/15/2016 00:00</v>
      </c>
      <c r="C5221">
        <v>0</v>
      </c>
      <c r="D5221" t="s">
        <v>7</v>
      </c>
      <c r="E5221" s="2" t="s">
        <v>12</v>
      </c>
      <c r="F5221">
        <f t="shared" si="81"/>
        <v>0</v>
      </c>
      <c r="G5221" t="s">
        <v>16</v>
      </c>
      <c r="J5221" t="str">
        <f>"01/15/2016 23:45"</f>
        <v>01/15/2016 23:45</v>
      </c>
    </row>
    <row r="5222" spans="1:10" x14ac:dyDescent="0.3">
      <c r="A5222" t="s">
        <v>6</v>
      </c>
      <c r="B5222" t="str">
        <f>"01/16/2016 00:00"</f>
        <v>01/16/2016 00:00</v>
      </c>
      <c r="C5222">
        <v>0</v>
      </c>
      <c r="D5222" t="s">
        <v>7</v>
      </c>
      <c r="E5222" s="2" t="s">
        <v>12</v>
      </c>
      <c r="F5222">
        <f t="shared" si="81"/>
        <v>0</v>
      </c>
      <c r="G5222" t="s">
        <v>16</v>
      </c>
      <c r="J5222" t="str">
        <f>"01/16/2016 23:45"</f>
        <v>01/16/2016 23:45</v>
      </c>
    </row>
    <row r="5223" spans="1:10" x14ac:dyDescent="0.3">
      <c r="A5223" t="s">
        <v>6</v>
      </c>
      <c r="B5223" t="str">
        <f>"01/17/2016 00:00"</f>
        <v>01/17/2016 00:00</v>
      </c>
      <c r="C5223">
        <v>0</v>
      </c>
      <c r="D5223" t="s">
        <v>7</v>
      </c>
      <c r="E5223" s="2" t="s">
        <v>12</v>
      </c>
      <c r="F5223">
        <f t="shared" si="81"/>
        <v>0</v>
      </c>
      <c r="G5223" t="s">
        <v>16</v>
      </c>
      <c r="J5223" t="str">
        <f>"01/17/2016 23:45"</f>
        <v>01/17/2016 23:45</v>
      </c>
    </row>
    <row r="5224" spans="1:10" x14ac:dyDescent="0.3">
      <c r="A5224" t="s">
        <v>6</v>
      </c>
      <c r="B5224" t="str">
        <f>"01/18/2016 00:00"</f>
        <v>01/18/2016 00:00</v>
      </c>
      <c r="C5224">
        <v>5.0000000000000001E-3</v>
      </c>
      <c r="D5224" t="s">
        <v>7</v>
      </c>
      <c r="E5224" s="2" t="s">
        <v>12</v>
      </c>
      <c r="F5224">
        <f t="shared" si="81"/>
        <v>9.9150000000000002E-3</v>
      </c>
      <c r="G5224" t="s">
        <v>16</v>
      </c>
      <c r="J5224" t="str">
        <f>"01/18/2016 23:45"</f>
        <v>01/18/2016 23:45</v>
      </c>
    </row>
    <row r="5225" spans="1:10" x14ac:dyDescent="0.3">
      <c r="A5225" t="s">
        <v>6</v>
      </c>
      <c r="B5225" t="str">
        <f>"01/19/2016 00:00"</f>
        <v>01/19/2016 00:00</v>
      </c>
      <c r="C5225">
        <v>4.8000000000000001E-2</v>
      </c>
      <c r="D5225" t="s">
        <v>7</v>
      </c>
      <c r="E5225" s="2" t="s">
        <v>12</v>
      </c>
      <c r="F5225">
        <f t="shared" si="81"/>
        <v>9.5184000000000005E-2</v>
      </c>
      <c r="G5225" t="s">
        <v>16</v>
      </c>
      <c r="J5225" t="str">
        <f>"01/19/2016 23:45"</f>
        <v>01/19/2016 23:45</v>
      </c>
    </row>
    <row r="5226" spans="1:10" x14ac:dyDescent="0.3">
      <c r="A5226" t="s">
        <v>6</v>
      </c>
      <c r="B5226" t="str">
        <f>"01/20/2016 00:00"</f>
        <v>01/20/2016 00:00</v>
      </c>
      <c r="C5226">
        <v>4.8000000000000001E-2</v>
      </c>
      <c r="D5226" t="s">
        <v>7</v>
      </c>
      <c r="E5226" s="2" t="s">
        <v>12</v>
      </c>
      <c r="F5226">
        <f t="shared" si="81"/>
        <v>9.5184000000000005E-2</v>
      </c>
      <c r="G5226" t="s">
        <v>16</v>
      </c>
      <c r="J5226" t="str">
        <f>"01/20/2016 23:45"</f>
        <v>01/20/2016 23:45</v>
      </c>
    </row>
    <row r="5227" spans="1:10" x14ac:dyDescent="0.3">
      <c r="A5227" t="s">
        <v>6</v>
      </c>
      <c r="B5227" t="str">
        <f>"01/21/2016 00:00"</f>
        <v>01/21/2016 00:00</v>
      </c>
      <c r="C5227">
        <v>4.8000000000000001E-2</v>
      </c>
      <c r="D5227" t="s">
        <v>7</v>
      </c>
      <c r="E5227" s="2" t="s">
        <v>12</v>
      </c>
      <c r="F5227">
        <f t="shared" si="81"/>
        <v>9.5184000000000005E-2</v>
      </c>
      <c r="G5227" t="s">
        <v>16</v>
      </c>
      <c r="J5227" t="str">
        <f>"01/21/2016 23:45"</f>
        <v>01/21/2016 23:45</v>
      </c>
    </row>
    <row r="5228" spans="1:10" x14ac:dyDescent="0.3">
      <c r="A5228" t="s">
        <v>6</v>
      </c>
      <c r="B5228" t="str">
        <f>"01/22/2016 00:00"</f>
        <v>01/22/2016 00:00</v>
      </c>
      <c r="C5228">
        <v>4.8000000000000001E-2</v>
      </c>
      <c r="D5228" t="s">
        <v>7</v>
      </c>
      <c r="E5228" s="2" t="s">
        <v>12</v>
      </c>
      <c r="F5228">
        <f t="shared" si="81"/>
        <v>9.5184000000000005E-2</v>
      </c>
      <c r="G5228" t="s">
        <v>16</v>
      </c>
      <c r="J5228" t="str">
        <f>"01/22/2016 23:45"</f>
        <v>01/22/2016 23:45</v>
      </c>
    </row>
    <row r="5229" spans="1:10" x14ac:dyDescent="0.3">
      <c r="A5229" t="s">
        <v>6</v>
      </c>
      <c r="B5229" t="str">
        <f>"01/23/2016 00:00"</f>
        <v>01/23/2016 00:00</v>
      </c>
      <c r="C5229">
        <v>6.54E-2</v>
      </c>
      <c r="D5229" t="s">
        <v>7</v>
      </c>
      <c r="E5229" s="2" t="s">
        <v>12</v>
      </c>
      <c r="F5229">
        <f t="shared" si="81"/>
        <v>0.1296882</v>
      </c>
      <c r="G5229" t="s">
        <v>16</v>
      </c>
      <c r="J5229" t="str">
        <f>"01/23/2016 23:45"</f>
        <v>01/23/2016 23:45</v>
      </c>
    </row>
    <row r="5230" spans="1:10" x14ac:dyDescent="0.3">
      <c r="A5230" t="s">
        <v>6</v>
      </c>
      <c r="B5230" t="str">
        <f>"01/24/2016 00:00"</f>
        <v>01/24/2016 00:00</v>
      </c>
      <c r="C5230">
        <v>0.14599999999999999</v>
      </c>
      <c r="D5230" t="s">
        <v>7</v>
      </c>
      <c r="E5230" s="2" t="s">
        <v>12</v>
      </c>
      <c r="F5230">
        <f t="shared" si="81"/>
        <v>0.289518</v>
      </c>
      <c r="G5230" t="s">
        <v>16</v>
      </c>
      <c r="J5230" t="str">
        <f>"01/24/2016 23:45"</f>
        <v>01/24/2016 23:45</v>
      </c>
    </row>
    <row r="5231" spans="1:10" x14ac:dyDescent="0.3">
      <c r="A5231" t="s">
        <v>6</v>
      </c>
      <c r="B5231" t="str">
        <f>"01/25/2016 00:00"</f>
        <v>01/25/2016 00:00</v>
      </c>
      <c r="C5231">
        <v>0.14599999999999999</v>
      </c>
      <c r="D5231" t="s">
        <v>7</v>
      </c>
      <c r="E5231" s="2" t="s">
        <v>12</v>
      </c>
      <c r="F5231">
        <f t="shared" si="81"/>
        <v>0.289518</v>
      </c>
      <c r="G5231" t="s">
        <v>16</v>
      </c>
      <c r="J5231" t="str">
        <f>"01/25/2016 23:45"</f>
        <v>01/25/2016 23:45</v>
      </c>
    </row>
    <row r="5232" spans="1:10" x14ac:dyDescent="0.3">
      <c r="A5232" t="s">
        <v>6</v>
      </c>
      <c r="B5232" t="str">
        <f>"01/26/2016 00:00"</f>
        <v>01/26/2016 00:00</v>
      </c>
      <c r="C5232">
        <v>0.14599999999999999</v>
      </c>
      <c r="D5232" t="s">
        <v>7</v>
      </c>
      <c r="E5232" s="2" t="s">
        <v>12</v>
      </c>
      <c r="F5232">
        <f t="shared" si="81"/>
        <v>0.289518</v>
      </c>
      <c r="G5232" t="s">
        <v>16</v>
      </c>
      <c r="J5232" t="str">
        <f>"01/26/2016 23:45"</f>
        <v>01/26/2016 23:45</v>
      </c>
    </row>
    <row r="5233" spans="1:10" x14ac:dyDescent="0.3">
      <c r="A5233" t="s">
        <v>6</v>
      </c>
      <c r="B5233" t="str">
        <f>"01/27/2016 00:00"</f>
        <v>01/27/2016 00:00</v>
      </c>
      <c r="C5233">
        <v>0.14599999999999999</v>
      </c>
      <c r="D5233" t="s">
        <v>7</v>
      </c>
      <c r="E5233" s="2" t="s">
        <v>12</v>
      </c>
      <c r="F5233">
        <f t="shared" si="81"/>
        <v>0.289518</v>
      </c>
      <c r="G5233" t="s">
        <v>16</v>
      </c>
      <c r="J5233" t="str">
        <f>"01/27/2016 23:45"</f>
        <v>01/27/2016 23:45</v>
      </c>
    </row>
    <row r="5234" spans="1:10" x14ac:dyDescent="0.3">
      <c r="A5234" t="s">
        <v>6</v>
      </c>
      <c r="B5234" t="str">
        <f>"01/28/2016 00:00"</f>
        <v>01/28/2016 00:00</v>
      </c>
      <c r="C5234">
        <v>0.14599999999999999</v>
      </c>
      <c r="D5234" t="s">
        <v>7</v>
      </c>
      <c r="E5234" s="2" t="s">
        <v>12</v>
      </c>
      <c r="F5234">
        <f t="shared" si="81"/>
        <v>0.289518</v>
      </c>
      <c r="G5234" t="s">
        <v>16</v>
      </c>
      <c r="J5234" t="str">
        <f>"01/28/2016 23:45"</f>
        <v>01/28/2016 23:45</v>
      </c>
    </row>
    <row r="5235" spans="1:10" x14ac:dyDescent="0.3">
      <c r="A5235" t="s">
        <v>6</v>
      </c>
      <c r="B5235" t="str">
        <f>"01/29/2016 00:00"</f>
        <v>01/29/2016 00:00</v>
      </c>
      <c r="C5235">
        <v>0.14599999999999999</v>
      </c>
      <c r="D5235" t="s">
        <v>7</v>
      </c>
      <c r="E5235" s="2" t="s">
        <v>12</v>
      </c>
      <c r="F5235">
        <f t="shared" si="81"/>
        <v>0.289518</v>
      </c>
      <c r="G5235" t="s">
        <v>16</v>
      </c>
      <c r="J5235" t="str">
        <f>"01/29/2016 23:45"</f>
        <v>01/29/2016 23:45</v>
      </c>
    </row>
    <row r="5236" spans="1:10" x14ac:dyDescent="0.3">
      <c r="A5236" t="s">
        <v>6</v>
      </c>
      <c r="B5236" t="str">
        <f>"01/30/2016 00:00"</f>
        <v>01/30/2016 00:00</v>
      </c>
      <c r="C5236">
        <v>0.14599999999999999</v>
      </c>
      <c r="D5236" t="s">
        <v>7</v>
      </c>
      <c r="E5236" s="2" t="s">
        <v>12</v>
      </c>
      <c r="F5236">
        <f t="shared" si="81"/>
        <v>0.289518</v>
      </c>
      <c r="G5236" t="s">
        <v>16</v>
      </c>
      <c r="J5236" t="str">
        <f>"01/30/2016 23:45"</f>
        <v>01/30/2016 23:45</v>
      </c>
    </row>
    <row r="5237" spans="1:10" x14ac:dyDescent="0.3">
      <c r="A5237" t="s">
        <v>6</v>
      </c>
      <c r="B5237" t="str">
        <f>"01/31/2016 00:00"</f>
        <v>01/31/2016 00:00</v>
      </c>
      <c r="C5237">
        <v>0.14599999999999999</v>
      </c>
      <c r="D5237" t="s">
        <v>7</v>
      </c>
      <c r="E5237" s="2" t="s">
        <v>12</v>
      </c>
      <c r="F5237">
        <f t="shared" si="81"/>
        <v>0.289518</v>
      </c>
      <c r="G5237" t="s">
        <v>16</v>
      </c>
      <c r="J5237" t="str">
        <f>"01/31/2016 23:45"</f>
        <v>01/31/2016 23:45</v>
      </c>
    </row>
    <row r="5238" spans="1:10" x14ac:dyDescent="0.3">
      <c r="A5238" t="s">
        <v>6</v>
      </c>
      <c r="B5238" t="str">
        <f>"02/01/2016 00:00"</f>
        <v>02/01/2016 00:00</v>
      </c>
      <c r="C5238">
        <v>0.14599999999999999</v>
      </c>
      <c r="D5238" t="s">
        <v>7</v>
      </c>
      <c r="E5238" s="2" t="s">
        <v>12</v>
      </c>
      <c r="F5238">
        <f t="shared" si="81"/>
        <v>0.289518</v>
      </c>
      <c r="G5238" t="s">
        <v>16</v>
      </c>
      <c r="J5238" t="str">
        <f>"02/01/2016 23:45"</f>
        <v>02/01/2016 23:45</v>
      </c>
    </row>
    <row r="5239" spans="1:10" x14ac:dyDescent="0.3">
      <c r="A5239" t="s">
        <v>6</v>
      </c>
      <c r="B5239" t="str">
        <f>"02/02/2016 00:00"</f>
        <v>02/02/2016 00:00</v>
      </c>
      <c r="C5239">
        <v>0.14599999999999999</v>
      </c>
      <c r="D5239" t="s">
        <v>7</v>
      </c>
      <c r="E5239" s="2" t="s">
        <v>12</v>
      </c>
      <c r="F5239">
        <f t="shared" si="81"/>
        <v>0.289518</v>
      </c>
      <c r="G5239" t="s">
        <v>16</v>
      </c>
      <c r="J5239" t="str">
        <f>"02/02/2016 23:45"</f>
        <v>02/02/2016 23:45</v>
      </c>
    </row>
    <row r="5240" spans="1:10" x14ac:dyDescent="0.3">
      <c r="A5240" t="s">
        <v>6</v>
      </c>
      <c r="B5240" t="str">
        <f>"02/03/2016 00:00"</f>
        <v>02/03/2016 00:00</v>
      </c>
      <c r="C5240">
        <v>0.14599999999999999</v>
      </c>
      <c r="D5240" t="s">
        <v>7</v>
      </c>
      <c r="E5240" s="2" t="s">
        <v>12</v>
      </c>
      <c r="F5240">
        <f t="shared" si="81"/>
        <v>0.289518</v>
      </c>
      <c r="G5240" t="s">
        <v>16</v>
      </c>
      <c r="J5240" t="str">
        <f>"02/03/2016 23:45"</f>
        <v>02/03/2016 23:45</v>
      </c>
    </row>
    <row r="5241" spans="1:10" x14ac:dyDescent="0.3">
      <c r="A5241" t="s">
        <v>6</v>
      </c>
      <c r="B5241" t="str">
        <f>"02/04/2016 00:00"</f>
        <v>02/04/2016 00:00</v>
      </c>
      <c r="C5241">
        <v>0.14599999999999999</v>
      </c>
      <c r="D5241" t="s">
        <v>7</v>
      </c>
      <c r="E5241" s="2" t="s">
        <v>12</v>
      </c>
      <c r="F5241">
        <f t="shared" si="81"/>
        <v>0.289518</v>
      </c>
      <c r="G5241" t="s">
        <v>16</v>
      </c>
      <c r="J5241" t="str">
        <f>"02/04/2016 23:45"</f>
        <v>02/04/2016 23:45</v>
      </c>
    </row>
    <row r="5242" spans="1:10" x14ac:dyDescent="0.3">
      <c r="A5242" t="s">
        <v>6</v>
      </c>
      <c r="B5242" t="str">
        <f>"02/05/2016 00:00"</f>
        <v>02/05/2016 00:00</v>
      </c>
      <c r="C5242">
        <v>9.6000000000000002E-2</v>
      </c>
      <c r="D5242" t="s">
        <v>7</v>
      </c>
      <c r="E5242" s="2" t="s">
        <v>12</v>
      </c>
      <c r="F5242">
        <f t="shared" si="81"/>
        <v>0.19036800000000001</v>
      </c>
      <c r="G5242" t="s">
        <v>16</v>
      </c>
      <c r="J5242" t="str">
        <f>"02/05/2016 23:45"</f>
        <v>02/05/2016 23:45</v>
      </c>
    </row>
    <row r="5243" spans="1:10" x14ac:dyDescent="0.3">
      <c r="A5243" t="s">
        <v>6</v>
      </c>
      <c r="B5243" t="str">
        <f>"02/06/2016 00:00"</f>
        <v>02/06/2016 00:00</v>
      </c>
      <c r="C5243">
        <v>4.8000000000000001E-2</v>
      </c>
      <c r="D5243" t="s">
        <v>7</v>
      </c>
      <c r="E5243" s="2" t="s">
        <v>12</v>
      </c>
      <c r="F5243">
        <f t="shared" si="81"/>
        <v>9.5184000000000005E-2</v>
      </c>
      <c r="G5243" t="s">
        <v>16</v>
      </c>
      <c r="J5243" t="str">
        <f>"02/06/2016 23:45"</f>
        <v>02/06/2016 23:45</v>
      </c>
    </row>
    <row r="5244" spans="1:10" x14ac:dyDescent="0.3">
      <c r="A5244" t="s">
        <v>6</v>
      </c>
      <c r="B5244" t="str">
        <f>"02/07/2016 00:00"</f>
        <v>02/07/2016 00:00</v>
      </c>
      <c r="C5244">
        <v>6.2300000000000001E-2</v>
      </c>
      <c r="D5244" t="s">
        <v>7</v>
      </c>
      <c r="E5244" s="2" t="s">
        <v>12</v>
      </c>
      <c r="F5244">
        <f t="shared" si="81"/>
        <v>0.12354090000000001</v>
      </c>
      <c r="G5244" t="s">
        <v>16</v>
      </c>
      <c r="J5244" t="str">
        <f>"02/07/2016 23:45"</f>
        <v>02/07/2016 23:45</v>
      </c>
    </row>
    <row r="5245" spans="1:10" x14ac:dyDescent="0.3">
      <c r="A5245" t="s">
        <v>6</v>
      </c>
      <c r="B5245" t="str">
        <f>"02/08/2016 00:00"</f>
        <v>02/08/2016 00:00</v>
      </c>
      <c r="C5245">
        <v>0.14599999999999999</v>
      </c>
      <c r="D5245" t="s">
        <v>7</v>
      </c>
      <c r="E5245" s="2" t="s">
        <v>12</v>
      </c>
      <c r="F5245">
        <f t="shared" si="81"/>
        <v>0.289518</v>
      </c>
      <c r="G5245" t="s">
        <v>16</v>
      </c>
      <c r="J5245" t="str">
        <f>"02/08/2016 23:45"</f>
        <v>02/08/2016 23:45</v>
      </c>
    </row>
    <row r="5246" spans="1:10" x14ac:dyDescent="0.3">
      <c r="A5246" t="s">
        <v>6</v>
      </c>
      <c r="B5246" t="str">
        <f>"02/09/2016 00:00"</f>
        <v>02/09/2016 00:00</v>
      </c>
      <c r="C5246">
        <v>0.14599999999999999</v>
      </c>
      <c r="D5246" t="s">
        <v>7</v>
      </c>
      <c r="E5246" s="2" t="s">
        <v>12</v>
      </c>
      <c r="F5246">
        <f t="shared" si="81"/>
        <v>0.289518</v>
      </c>
      <c r="G5246" t="s">
        <v>16</v>
      </c>
      <c r="J5246" t="str">
        <f>"02/09/2016 23:45"</f>
        <v>02/09/2016 23:45</v>
      </c>
    </row>
    <row r="5247" spans="1:10" x14ac:dyDescent="0.3">
      <c r="A5247" t="s">
        <v>6</v>
      </c>
      <c r="B5247" t="str">
        <f>"02/10/2016 00:00"</f>
        <v>02/10/2016 00:00</v>
      </c>
      <c r="C5247">
        <v>0.14599999999999999</v>
      </c>
      <c r="D5247" t="s">
        <v>7</v>
      </c>
      <c r="E5247" s="2" t="s">
        <v>12</v>
      </c>
      <c r="F5247">
        <f t="shared" si="81"/>
        <v>0.289518</v>
      </c>
      <c r="G5247" t="s">
        <v>16</v>
      </c>
      <c r="J5247" t="str">
        <f>"02/10/2016 23:45"</f>
        <v>02/10/2016 23:45</v>
      </c>
    </row>
    <row r="5248" spans="1:10" x14ac:dyDescent="0.3">
      <c r="A5248" t="s">
        <v>6</v>
      </c>
      <c r="B5248" t="str">
        <f>"02/11/2016 00:00"</f>
        <v>02/11/2016 00:00</v>
      </c>
      <c r="C5248">
        <v>0.16500000000000001</v>
      </c>
      <c r="D5248" t="s">
        <v>7</v>
      </c>
      <c r="E5248" s="2" t="s">
        <v>12</v>
      </c>
      <c r="F5248">
        <f t="shared" si="81"/>
        <v>0.32719500000000001</v>
      </c>
      <c r="G5248" t="s">
        <v>16</v>
      </c>
      <c r="J5248" t="str">
        <f>"02/11/2016 23:45"</f>
        <v>02/11/2016 23:45</v>
      </c>
    </row>
    <row r="5249" spans="1:10" x14ac:dyDescent="0.3">
      <c r="A5249" t="s">
        <v>6</v>
      </c>
      <c r="B5249" t="str">
        <f>"02/12/2016 00:00"</f>
        <v>02/12/2016 00:00</v>
      </c>
      <c r="C5249">
        <v>0.25800000000000001</v>
      </c>
      <c r="D5249" t="s">
        <v>7</v>
      </c>
      <c r="E5249" s="2" t="s">
        <v>12</v>
      </c>
      <c r="F5249">
        <f t="shared" si="81"/>
        <v>0.51161400000000001</v>
      </c>
      <c r="G5249" t="s">
        <v>16</v>
      </c>
      <c r="J5249" t="str">
        <f>"02/12/2016 23:45"</f>
        <v>02/12/2016 23:45</v>
      </c>
    </row>
    <row r="5250" spans="1:10" x14ac:dyDescent="0.3">
      <c r="A5250" t="s">
        <v>6</v>
      </c>
      <c r="B5250" t="str">
        <f>"02/13/2016 00:00"</f>
        <v>02/13/2016 00:00</v>
      </c>
      <c r="C5250">
        <v>0.27900000000000003</v>
      </c>
      <c r="D5250" t="s">
        <v>7</v>
      </c>
      <c r="E5250" s="2" t="s">
        <v>12</v>
      </c>
      <c r="F5250">
        <f t="shared" si="81"/>
        <v>0.55325700000000011</v>
      </c>
      <c r="G5250" t="s">
        <v>16</v>
      </c>
      <c r="J5250" t="str">
        <f>"02/13/2016 23:45"</f>
        <v>02/13/2016 23:45</v>
      </c>
    </row>
    <row r="5251" spans="1:10" x14ac:dyDescent="0.3">
      <c r="A5251" t="s">
        <v>6</v>
      </c>
      <c r="B5251" t="str">
        <f>"02/14/2016 00:00"</f>
        <v>02/14/2016 00:00</v>
      </c>
      <c r="C5251">
        <v>0.27900000000000003</v>
      </c>
      <c r="D5251" t="s">
        <v>7</v>
      </c>
      <c r="E5251" s="2" t="s">
        <v>12</v>
      </c>
      <c r="F5251">
        <f t="shared" si="81"/>
        <v>0.55325700000000011</v>
      </c>
      <c r="G5251" t="s">
        <v>16</v>
      </c>
      <c r="J5251" t="str">
        <f>"02/14/2016 23:45"</f>
        <v>02/14/2016 23:45</v>
      </c>
    </row>
    <row r="5252" spans="1:10" x14ac:dyDescent="0.3">
      <c r="A5252" t="s">
        <v>6</v>
      </c>
      <c r="B5252" t="str">
        <f>"02/15/2016 00:00"</f>
        <v>02/15/2016 00:00</v>
      </c>
      <c r="C5252">
        <v>0.247</v>
      </c>
      <c r="D5252" t="s">
        <v>7</v>
      </c>
      <c r="E5252" s="2" t="s">
        <v>12</v>
      </c>
      <c r="F5252">
        <f t="shared" ref="F5252:F5315" si="82">C5252*1.983</f>
        <v>0.48980100000000004</v>
      </c>
      <c r="G5252" t="s">
        <v>16</v>
      </c>
      <c r="J5252" t="str">
        <f>"02/15/2016 23:45"</f>
        <v>02/15/2016 23:45</v>
      </c>
    </row>
    <row r="5253" spans="1:10" x14ac:dyDescent="0.3">
      <c r="A5253" t="s">
        <v>6</v>
      </c>
      <c r="B5253" t="str">
        <f>"02/16/2016 00:00"</f>
        <v>02/16/2016 00:00</v>
      </c>
      <c r="C5253">
        <v>0.14599999999999999</v>
      </c>
      <c r="D5253" t="s">
        <v>7</v>
      </c>
      <c r="E5253" s="2" t="s">
        <v>12</v>
      </c>
      <c r="F5253">
        <f t="shared" si="82"/>
        <v>0.289518</v>
      </c>
      <c r="G5253" t="s">
        <v>16</v>
      </c>
      <c r="J5253" t="str">
        <f>"02/16/2016 23:45"</f>
        <v>02/16/2016 23:45</v>
      </c>
    </row>
    <row r="5254" spans="1:10" x14ac:dyDescent="0.3">
      <c r="A5254" t="s">
        <v>6</v>
      </c>
      <c r="B5254" t="str">
        <f>"02/17/2016 00:00"</f>
        <v>02/17/2016 00:00</v>
      </c>
      <c r="C5254">
        <v>0.14599999999999999</v>
      </c>
      <c r="D5254" t="s">
        <v>7</v>
      </c>
      <c r="E5254" s="2" t="s">
        <v>12</v>
      </c>
      <c r="F5254">
        <f t="shared" si="82"/>
        <v>0.289518</v>
      </c>
      <c r="G5254" t="s">
        <v>16</v>
      </c>
      <c r="J5254" t="str">
        <f>"02/17/2016 23:45"</f>
        <v>02/17/2016 23:45</v>
      </c>
    </row>
    <row r="5255" spans="1:10" x14ac:dyDescent="0.3">
      <c r="A5255" t="s">
        <v>6</v>
      </c>
      <c r="B5255" t="str">
        <f>"02/18/2016 00:00"</f>
        <v>02/18/2016 00:00</v>
      </c>
      <c r="C5255">
        <v>0.14599999999999999</v>
      </c>
      <c r="D5255" t="s">
        <v>7</v>
      </c>
      <c r="E5255" s="2" t="s">
        <v>12</v>
      </c>
      <c r="F5255">
        <f t="shared" si="82"/>
        <v>0.289518</v>
      </c>
      <c r="G5255" t="s">
        <v>16</v>
      </c>
      <c r="J5255" t="str">
        <f>"02/18/2016 23:45"</f>
        <v>02/18/2016 23:45</v>
      </c>
    </row>
    <row r="5256" spans="1:10" x14ac:dyDescent="0.3">
      <c r="A5256" t="s">
        <v>6</v>
      </c>
      <c r="B5256" t="str">
        <f>"02/19/2016 00:00"</f>
        <v>02/19/2016 00:00</v>
      </c>
      <c r="C5256">
        <v>0.14599999999999999</v>
      </c>
      <c r="D5256" t="s">
        <v>7</v>
      </c>
      <c r="E5256" s="2" t="s">
        <v>12</v>
      </c>
      <c r="F5256">
        <f t="shared" si="82"/>
        <v>0.289518</v>
      </c>
      <c r="G5256" t="s">
        <v>16</v>
      </c>
      <c r="J5256" t="str">
        <f>"02/19/2016 23:45"</f>
        <v>02/19/2016 23:45</v>
      </c>
    </row>
    <row r="5257" spans="1:10" x14ac:dyDescent="0.3">
      <c r="A5257" t="s">
        <v>6</v>
      </c>
      <c r="B5257" t="str">
        <f>"02/20/2016 00:00"</f>
        <v>02/20/2016 00:00</v>
      </c>
      <c r="C5257">
        <v>0.14599999999999999</v>
      </c>
      <c r="D5257" t="s">
        <v>7</v>
      </c>
      <c r="E5257" s="2" t="s">
        <v>12</v>
      </c>
      <c r="F5257">
        <f t="shared" si="82"/>
        <v>0.289518</v>
      </c>
      <c r="G5257" t="s">
        <v>16</v>
      </c>
      <c r="J5257" t="str">
        <f>"02/20/2016 23:45"</f>
        <v>02/20/2016 23:45</v>
      </c>
    </row>
    <row r="5258" spans="1:10" x14ac:dyDescent="0.3">
      <c r="A5258" t="s">
        <v>6</v>
      </c>
      <c r="B5258" t="str">
        <f>"02/21/2016 00:00"</f>
        <v>02/21/2016 00:00</v>
      </c>
      <c r="C5258">
        <v>0.14599999999999999</v>
      </c>
      <c r="D5258" t="s">
        <v>7</v>
      </c>
      <c r="E5258" s="2" t="s">
        <v>12</v>
      </c>
      <c r="F5258">
        <f t="shared" si="82"/>
        <v>0.289518</v>
      </c>
      <c r="G5258" t="s">
        <v>16</v>
      </c>
      <c r="J5258" t="str">
        <f>"02/21/2016 23:45"</f>
        <v>02/21/2016 23:45</v>
      </c>
    </row>
    <row r="5259" spans="1:10" x14ac:dyDescent="0.3">
      <c r="A5259" t="s">
        <v>6</v>
      </c>
      <c r="B5259" t="str">
        <f>"02/22/2016 00:00"</f>
        <v>02/22/2016 00:00</v>
      </c>
      <c r="C5259">
        <v>0.14599999999999999</v>
      </c>
      <c r="D5259" t="s">
        <v>7</v>
      </c>
      <c r="E5259" s="2" t="s">
        <v>12</v>
      </c>
      <c r="F5259">
        <f t="shared" si="82"/>
        <v>0.289518</v>
      </c>
      <c r="G5259" t="s">
        <v>16</v>
      </c>
      <c r="J5259" t="str">
        <f>"02/22/2016 23:45"</f>
        <v>02/22/2016 23:45</v>
      </c>
    </row>
    <row r="5260" spans="1:10" x14ac:dyDescent="0.3">
      <c r="A5260" t="s">
        <v>6</v>
      </c>
      <c r="B5260" t="str">
        <f>"02/23/2016 00:00"</f>
        <v>02/23/2016 00:00</v>
      </c>
      <c r="C5260">
        <v>0.313</v>
      </c>
      <c r="D5260" t="s">
        <v>7</v>
      </c>
      <c r="E5260" s="2" t="s">
        <v>12</v>
      </c>
      <c r="F5260">
        <f t="shared" si="82"/>
        <v>0.62067899999999998</v>
      </c>
      <c r="G5260" t="s">
        <v>16</v>
      </c>
      <c r="J5260" t="str">
        <f>"02/23/2016 23:45"</f>
        <v>02/23/2016 23:45</v>
      </c>
    </row>
    <row r="5261" spans="1:10" x14ac:dyDescent="0.3">
      <c r="A5261" t="s">
        <v>6</v>
      </c>
      <c r="B5261" t="str">
        <f>"02/24/2016 00:00"</f>
        <v>02/24/2016 00:00</v>
      </c>
      <c r="C5261">
        <v>0.40500000000000003</v>
      </c>
      <c r="D5261" t="s">
        <v>7</v>
      </c>
      <c r="E5261" s="2" t="s">
        <v>12</v>
      </c>
      <c r="F5261">
        <f t="shared" si="82"/>
        <v>0.80311500000000013</v>
      </c>
      <c r="G5261" t="s">
        <v>16</v>
      </c>
      <c r="J5261" t="str">
        <f>"02/24/2016 23:45"</f>
        <v>02/24/2016 23:45</v>
      </c>
    </row>
    <row r="5262" spans="1:10" x14ac:dyDescent="0.3">
      <c r="A5262" t="s">
        <v>6</v>
      </c>
      <c r="B5262" t="str">
        <f>"02/25/2016 00:00"</f>
        <v>02/25/2016 00:00</v>
      </c>
      <c r="C5262">
        <v>0.27900000000000003</v>
      </c>
      <c r="D5262" t="s">
        <v>7</v>
      </c>
      <c r="E5262" s="2" t="s">
        <v>12</v>
      </c>
      <c r="F5262">
        <f t="shared" si="82"/>
        <v>0.55325700000000011</v>
      </c>
      <c r="G5262" t="s">
        <v>16</v>
      </c>
      <c r="J5262" t="str">
        <f>"02/25/2016 23:45"</f>
        <v>02/25/2016 23:45</v>
      </c>
    </row>
    <row r="5263" spans="1:10" x14ac:dyDescent="0.3">
      <c r="A5263" t="s">
        <v>6</v>
      </c>
      <c r="B5263" t="str">
        <f>"02/26/2016 00:00"</f>
        <v>02/26/2016 00:00</v>
      </c>
      <c r="C5263">
        <v>0.247</v>
      </c>
      <c r="D5263" t="s">
        <v>7</v>
      </c>
      <c r="E5263" s="2" t="s">
        <v>12</v>
      </c>
      <c r="F5263">
        <f t="shared" si="82"/>
        <v>0.48980100000000004</v>
      </c>
      <c r="G5263" t="s">
        <v>16</v>
      </c>
      <c r="J5263" t="str">
        <f>"02/26/2016 23:45"</f>
        <v>02/26/2016 23:45</v>
      </c>
    </row>
    <row r="5264" spans="1:10" x14ac:dyDescent="0.3">
      <c r="A5264" t="s">
        <v>6</v>
      </c>
      <c r="B5264" t="str">
        <f>"02/27/2016 00:00"</f>
        <v>02/27/2016 00:00</v>
      </c>
      <c r="C5264">
        <v>0.14599999999999999</v>
      </c>
      <c r="D5264" t="s">
        <v>7</v>
      </c>
      <c r="E5264" s="2" t="s">
        <v>12</v>
      </c>
      <c r="F5264">
        <f t="shared" si="82"/>
        <v>0.289518</v>
      </c>
      <c r="G5264" t="s">
        <v>16</v>
      </c>
      <c r="J5264" t="str">
        <f>"02/27/2016 23:45"</f>
        <v>02/27/2016 23:45</v>
      </c>
    </row>
    <row r="5265" spans="1:10" x14ac:dyDescent="0.3">
      <c r="A5265" t="s">
        <v>6</v>
      </c>
      <c r="B5265" t="str">
        <f>"02/28/2016 00:00"</f>
        <v>02/28/2016 00:00</v>
      </c>
      <c r="C5265">
        <v>0.14599999999999999</v>
      </c>
      <c r="D5265" t="s">
        <v>7</v>
      </c>
      <c r="E5265" s="2" t="s">
        <v>12</v>
      </c>
      <c r="F5265">
        <f t="shared" si="82"/>
        <v>0.289518</v>
      </c>
      <c r="G5265" t="s">
        <v>16</v>
      </c>
      <c r="J5265" t="str">
        <f>"02/28/2016 23:45"</f>
        <v>02/28/2016 23:45</v>
      </c>
    </row>
    <row r="5266" spans="1:10" x14ac:dyDescent="0.3">
      <c r="A5266" t="s">
        <v>6</v>
      </c>
      <c r="B5266" t="str">
        <f>"02/29/2016 00:00"</f>
        <v>02/29/2016 00:00</v>
      </c>
      <c r="C5266">
        <v>0.14599999999999999</v>
      </c>
      <c r="D5266" t="s">
        <v>7</v>
      </c>
      <c r="E5266" s="2" t="s">
        <v>12</v>
      </c>
      <c r="F5266">
        <f t="shared" si="82"/>
        <v>0.289518</v>
      </c>
      <c r="G5266" t="s">
        <v>16</v>
      </c>
      <c r="J5266" t="str">
        <f>"02/29/2016 23:45"</f>
        <v>02/29/2016 23:45</v>
      </c>
    </row>
    <row r="5267" spans="1:10" x14ac:dyDescent="0.3">
      <c r="A5267" t="s">
        <v>6</v>
      </c>
      <c r="B5267" t="str">
        <f>"03/01/2016 00:00"</f>
        <v>03/01/2016 00:00</v>
      </c>
      <c r="C5267">
        <v>0.14599999999999999</v>
      </c>
      <c r="D5267" t="s">
        <v>7</v>
      </c>
      <c r="E5267" s="2" t="s">
        <v>12</v>
      </c>
      <c r="F5267">
        <f t="shared" si="82"/>
        <v>0.289518</v>
      </c>
      <c r="G5267" t="s">
        <v>16</v>
      </c>
      <c r="J5267" t="str">
        <f>"03/01/2016 23:45"</f>
        <v>03/01/2016 23:45</v>
      </c>
    </row>
    <row r="5268" spans="1:10" x14ac:dyDescent="0.3">
      <c r="A5268" t="s">
        <v>6</v>
      </c>
      <c r="B5268" t="str">
        <f>"03/02/2016 00:00"</f>
        <v>03/02/2016 00:00</v>
      </c>
      <c r="C5268">
        <v>0.14599999999999999</v>
      </c>
      <c r="D5268" t="s">
        <v>7</v>
      </c>
      <c r="E5268" s="2" t="s">
        <v>12</v>
      </c>
      <c r="F5268">
        <f t="shared" si="82"/>
        <v>0.289518</v>
      </c>
      <c r="G5268" t="s">
        <v>16</v>
      </c>
      <c r="J5268" t="str">
        <f>"03/02/2016 23:45"</f>
        <v>03/02/2016 23:45</v>
      </c>
    </row>
    <row r="5269" spans="1:10" x14ac:dyDescent="0.3">
      <c r="A5269" t="s">
        <v>6</v>
      </c>
      <c r="B5269" t="str">
        <f>"03/03/2016 00:00"</f>
        <v>03/03/2016 00:00</v>
      </c>
      <c r="C5269">
        <v>0.14599999999999999</v>
      </c>
      <c r="D5269" t="s">
        <v>7</v>
      </c>
      <c r="E5269" s="2" t="s">
        <v>12</v>
      </c>
      <c r="F5269">
        <f t="shared" si="82"/>
        <v>0.289518</v>
      </c>
      <c r="G5269" t="s">
        <v>16</v>
      </c>
      <c r="J5269" t="str">
        <f>"03/03/2016 23:45"</f>
        <v>03/03/2016 23:45</v>
      </c>
    </row>
    <row r="5270" spans="1:10" x14ac:dyDescent="0.3">
      <c r="A5270" t="s">
        <v>6</v>
      </c>
      <c r="B5270" t="str">
        <f>"03/04/2016 00:00"</f>
        <v>03/04/2016 00:00</v>
      </c>
      <c r="C5270">
        <v>0.14599999999999999</v>
      </c>
      <c r="D5270" t="s">
        <v>7</v>
      </c>
      <c r="E5270" s="2" t="s">
        <v>12</v>
      </c>
      <c r="F5270">
        <f t="shared" si="82"/>
        <v>0.289518</v>
      </c>
      <c r="G5270" t="s">
        <v>16</v>
      </c>
      <c r="J5270" t="str">
        <f>"03/04/2016 23:45"</f>
        <v>03/04/2016 23:45</v>
      </c>
    </row>
    <row r="5271" spans="1:10" x14ac:dyDescent="0.3">
      <c r="A5271" t="s">
        <v>6</v>
      </c>
      <c r="B5271" t="str">
        <f>"03/05/2016 00:00"</f>
        <v>03/05/2016 00:00</v>
      </c>
      <c r="C5271">
        <v>0.14599999999999999</v>
      </c>
      <c r="D5271" t="s">
        <v>7</v>
      </c>
      <c r="E5271" s="2" t="s">
        <v>12</v>
      </c>
      <c r="F5271">
        <f t="shared" si="82"/>
        <v>0.289518</v>
      </c>
      <c r="G5271" t="s">
        <v>16</v>
      </c>
      <c r="J5271" t="str">
        <f>"03/05/2016 23:45"</f>
        <v>03/05/2016 23:45</v>
      </c>
    </row>
    <row r="5272" spans="1:10" x14ac:dyDescent="0.3">
      <c r="A5272" t="s">
        <v>6</v>
      </c>
      <c r="B5272" t="str">
        <f>"03/06/2016 00:00"</f>
        <v>03/06/2016 00:00</v>
      </c>
      <c r="C5272">
        <v>0.14599999999999999</v>
      </c>
      <c r="D5272" t="s">
        <v>7</v>
      </c>
      <c r="E5272" s="2" t="s">
        <v>12</v>
      </c>
      <c r="F5272">
        <f t="shared" si="82"/>
        <v>0.289518</v>
      </c>
      <c r="G5272" t="s">
        <v>16</v>
      </c>
      <c r="J5272" t="str">
        <f>"03/06/2016 23:45"</f>
        <v>03/06/2016 23:45</v>
      </c>
    </row>
    <row r="5273" spans="1:10" x14ac:dyDescent="0.3">
      <c r="A5273" t="s">
        <v>6</v>
      </c>
      <c r="B5273" t="str">
        <f>"03/07/2016 00:00"</f>
        <v>03/07/2016 00:00</v>
      </c>
      <c r="C5273">
        <v>0.14599999999999999</v>
      </c>
      <c r="D5273" t="s">
        <v>7</v>
      </c>
      <c r="E5273" s="2" t="s">
        <v>12</v>
      </c>
      <c r="F5273">
        <f t="shared" si="82"/>
        <v>0.289518</v>
      </c>
      <c r="G5273" t="s">
        <v>16</v>
      </c>
      <c r="J5273" t="str">
        <f>"03/07/2016 23:45"</f>
        <v>03/07/2016 23:45</v>
      </c>
    </row>
    <row r="5274" spans="1:10" x14ac:dyDescent="0.3">
      <c r="A5274" t="s">
        <v>6</v>
      </c>
      <c r="B5274" t="str">
        <f>"03/08/2016 00:00"</f>
        <v>03/08/2016 00:00</v>
      </c>
      <c r="C5274">
        <v>9.1899999999999996E-2</v>
      </c>
      <c r="D5274" t="s">
        <v>7</v>
      </c>
      <c r="E5274" s="2" t="s">
        <v>12</v>
      </c>
      <c r="F5274">
        <f t="shared" si="82"/>
        <v>0.1822377</v>
      </c>
      <c r="G5274" t="s">
        <v>16</v>
      </c>
      <c r="J5274" t="str">
        <f>"03/08/2016 23:45"</f>
        <v>03/08/2016 23:45</v>
      </c>
    </row>
    <row r="5275" spans="1:10" x14ac:dyDescent="0.3">
      <c r="A5275" t="s">
        <v>6</v>
      </c>
      <c r="B5275" t="str">
        <f>"03/09/2016 00:00"</f>
        <v>03/09/2016 00:00</v>
      </c>
      <c r="C5275">
        <v>4.8000000000000001E-2</v>
      </c>
      <c r="D5275" t="s">
        <v>7</v>
      </c>
      <c r="E5275" s="2" t="s">
        <v>12</v>
      </c>
      <c r="F5275">
        <f t="shared" si="82"/>
        <v>9.5184000000000005E-2</v>
      </c>
      <c r="G5275" t="s">
        <v>16</v>
      </c>
      <c r="J5275" t="str">
        <f>"03/09/2016 23:45"</f>
        <v>03/09/2016 23:45</v>
      </c>
    </row>
    <row r="5276" spans="1:10" x14ac:dyDescent="0.3">
      <c r="A5276" t="s">
        <v>6</v>
      </c>
      <c r="B5276" t="str">
        <f>"03/10/2016 00:00"</f>
        <v>03/10/2016 00:00</v>
      </c>
      <c r="C5276">
        <v>4.8000000000000001E-2</v>
      </c>
      <c r="D5276" t="s">
        <v>7</v>
      </c>
      <c r="E5276" s="2" t="s">
        <v>12</v>
      </c>
      <c r="F5276">
        <f t="shared" si="82"/>
        <v>9.5184000000000005E-2</v>
      </c>
      <c r="G5276" t="s">
        <v>16</v>
      </c>
      <c r="J5276" t="str">
        <f>"03/10/2016 23:45"</f>
        <v>03/10/2016 23:45</v>
      </c>
    </row>
    <row r="5277" spans="1:10" x14ac:dyDescent="0.3">
      <c r="A5277" t="s">
        <v>6</v>
      </c>
      <c r="B5277" t="str">
        <f>"03/11/2016 00:00"</f>
        <v>03/11/2016 00:00</v>
      </c>
      <c r="C5277">
        <v>4.8000000000000001E-2</v>
      </c>
      <c r="D5277" t="s">
        <v>7</v>
      </c>
      <c r="E5277" s="2" t="s">
        <v>12</v>
      </c>
      <c r="F5277">
        <f t="shared" si="82"/>
        <v>9.5184000000000005E-2</v>
      </c>
      <c r="G5277" t="s">
        <v>16</v>
      </c>
      <c r="J5277" t="str">
        <f>"03/11/2016 23:45"</f>
        <v>03/11/2016 23:45</v>
      </c>
    </row>
    <row r="5278" spans="1:10" x14ac:dyDescent="0.3">
      <c r="A5278" t="s">
        <v>6</v>
      </c>
      <c r="B5278" t="str">
        <f>"03/12/2016 00:00"</f>
        <v>03/12/2016 00:00</v>
      </c>
      <c r="C5278">
        <v>4.8000000000000001E-2</v>
      </c>
      <c r="D5278" t="s">
        <v>7</v>
      </c>
      <c r="E5278" s="2" t="s">
        <v>12</v>
      </c>
      <c r="F5278">
        <f t="shared" si="82"/>
        <v>9.5184000000000005E-2</v>
      </c>
      <c r="G5278" t="s">
        <v>16</v>
      </c>
      <c r="J5278" t="str">
        <f>"03/12/2016 23:45"</f>
        <v>03/12/2016 23:45</v>
      </c>
    </row>
    <row r="5279" spans="1:10" x14ac:dyDescent="0.3">
      <c r="A5279" t="s">
        <v>6</v>
      </c>
      <c r="B5279" t="str">
        <f>"03/13/2016 00:00"</f>
        <v>03/13/2016 00:00</v>
      </c>
      <c r="C5279">
        <v>4.8000000000000001E-2</v>
      </c>
      <c r="D5279" t="s">
        <v>7</v>
      </c>
      <c r="E5279" s="2" t="s">
        <v>12</v>
      </c>
      <c r="F5279">
        <f t="shared" si="82"/>
        <v>9.5184000000000005E-2</v>
      </c>
      <c r="G5279" t="s">
        <v>16</v>
      </c>
      <c r="J5279" t="str">
        <f>"03/13/2016 23:45"</f>
        <v>03/13/2016 23:45</v>
      </c>
    </row>
    <row r="5280" spans="1:10" x14ac:dyDescent="0.3">
      <c r="A5280" t="s">
        <v>6</v>
      </c>
      <c r="B5280" t="str">
        <f>"03/14/2016 00:00"</f>
        <v>03/14/2016 00:00</v>
      </c>
      <c r="C5280">
        <v>4.8000000000000001E-2</v>
      </c>
      <c r="D5280" t="s">
        <v>7</v>
      </c>
      <c r="E5280" s="2" t="s">
        <v>12</v>
      </c>
      <c r="F5280">
        <f t="shared" si="82"/>
        <v>9.5184000000000005E-2</v>
      </c>
      <c r="G5280" t="s">
        <v>16</v>
      </c>
      <c r="J5280" t="str">
        <f>"03/14/2016 23:45"</f>
        <v>03/14/2016 23:45</v>
      </c>
    </row>
    <row r="5281" spans="1:10" x14ac:dyDescent="0.3">
      <c r="A5281" t="s">
        <v>6</v>
      </c>
      <c r="B5281" t="str">
        <f>"03/15/2016 00:00"</f>
        <v>03/15/2016 00:00</v>
      </c>
      <c r="C5281">
        <v>4.8000000000000001E-2</v>
      </c>
      <c r="D5281" t="s">
        <v>7</v>
      </c>
      <c r="E5281" s="2" t="s">
        <v>12</v>
      </c>
      <c r="F5281">
        <f t="shared" si="82"/>
        <v>9.5184000000000005E-2</v>
      </c>
      <c r="G5281" t="s">
        <v>16</v>
      </c>
      <c r="J5281" t="str">
        <f>"03/15/2016 23:45"</f>
        <v>03/15/2016 23:45</v>
      </c>
    </row>
    <row r="5282" spans="1:10" x14ac:dyDescent="0.3">
      <c r="A5282" t="s">
        <v>6</v>
      </c>
      <c r="B5282" t="str">
        <f>"03/16/2016 00:00"</f>
        <v>03/16/2016 00:00</v>
      </c>
      <c r="C5282">
        <v>4.8000000000000001E-2</v>
      </c>
      <c r="D5282" t="s">
        <v>7</v>
      </c>
      <c r="E5282" s="2" t="s">
        <v>12</v>
      </c>
      <c r="F5282">
        <f t="shared" si="82"/>
        <v>9.5184000000000005E-2</v>
      </c>
      <c r="G5282" t="s">
        <v>16</v>
      </c>
      <c r="J5282" t="str">
        <f>"03/16/2016 23:45"</f>
        <v>03/16/2016 23:45</v>
      </c>
    </row>
    <row r="5283" spans="1:10" x14ac:dyDescent="0.3">
      <c r="A5283" t="s">
        <v>6</v>
      </c>
      <c r="B5283" t="str">
        <f>"03/17/2016 00:00"</f>
        <v>03/17/2016 00:00</v>
      </c>
      <c r="C5283">
        <v>4.8000000000000001E-2</v>
      </c>
      <c r="D5283" t="s">
        <v>7</v>
      </c>
      <c r="E5283" s="2" t="s">
        <v>12</v>
      </c>
      <c r="F5283">
        <f t="shared" si="82"/>
        <v>9.5184000000000005E-2</v>
      </c>
      <c r="G5283" t="s">
        <v>16</v>
      </c>
      <c r="J5283" t="str">
        <f>"03/17/2016 23:45"</f>
        <v>03/17/2016 23:45</v>
      </c>
    </row>
    <row r="5284" spans="1:10" x14ac:dyDescent="0.3">
      <c r="A5284" t="s">
        <v>6</v>
      </c>
      <c r="B5284" t="str">
        <f>"03/18/2016 00:00"</f>
        <v>03/18/2016 00:00</v>
      </c>
      <c r="C5284">
        <v>4.8000000000000001E-2</v>
      </c>
      <c r="D5284" t="s">
        <v>7</v>
      </c>
      <c r="E5284" s="2" t="s">
        <v>12</v>
      </c>
      <c r="F5284">
        <f t="shared" si="82"/>
        <v>9.5184000000000005E-2</v>
      </c>
      <c r="G5284" t="s">
        <v>16</v>
      </c>
      <c r="J5284" t="str">
        <f>"03/18/2016 23:45"</f>
        <v>03/18/2016 23:45</v>
      </c>
    </row>
    <row r="5285" spans="1:10" x14ac:dyDescent="0.3">
      <c r="A5285" t="s">
        <v>6</v>
      </c>
      <c r="B5285" t="str">
        <f>"03/19/2016 00:00"</f>
        <v>03/19/2016 00:00</v>
      </c>
      <c r="C5285">
        <v>4.8000000000000001E-2</v>
      </c>
      <c r="D5285" t="s">
        <v>7</v>
      </c>
      <c r="E5285" s="2" t="s">
        <v>12</v>
      </c>
      <c r="F5285">
        <f t="shared" si="82"/>
        <v>9.5184000000000005E-2</v>
      </c>
      <c r="G5285" t="s">
        <v>16</v>
      </c>
      <c r="J5285" t="str">
        <f>"03/19/2016 23:45"</f>
        <v>03/19/2016 23:45</v>
      </c>
    </row>
    <row r="5286" spans="1:10" x14ac:dyDescent="0.3">
      <c r="A5286" t="s">
        <v>6</v>
      </c>
      <c r="B5286" t="str">
        <f>"03/20/2016 00:00"</f>
        <v>03/20/2016 00:00</v>
      </c>
      <c r="C5286">
        <v>4.8000000000000001E-2</v>
      </c>
      <c r="D5286" t="s">
        <v>7</v>
      </c>
      <c r="E5286" s="2" t="s">
        <v>12</v>
      </c>
      <c r="F5286">
        <f t="shared" si="82"/>
        <v>9.5184000000000005E-2</v>
      </c>
      <c r="G5286" t="s">
        <v>16</v>
      </c>
      <c r="J5286" t="str">
        <f>"03/20/2016 23:45"</f>
        <v>03/20/2016 23:45</v>
      </c>
    </row>
    <row r="5287" spans="1:10" x14ac:dyDescent="0.3">
      <c r="A5287" t="s">
        <v>6</v>
      </c>
      <c r="B5287" t="str">
        <f>"03/21/2016 00:00"</f>
        <v>03/21/2016 00:00</v>
      </c>
      <c r="C5287">
        <v>4.8000000000000001E-2</v>
      </c>
      <c r="D5287" t="s">
        <v>7</v>
      </c>
      <c r="E5287" s="2" t="s">
        <v>12</v>
      </c>
      <c r="F5287">
        <f t="shared" si="82"/>
        <v>9.5184000000000005E-2</v>
      </c>
      <c r="G5287" t="s">
        <v>16</v>
      </c>
      <c r="J5287" t="str">
        <f>"03/21/2016 23:45"</f>
        <v>03/21/2016 23:45</v>
      </c>
    </row>
    <row r="5288" spans="1:10" x14ac:dyDescent="0.3">
      <c r="A5288" t="s">
        <v>6</v>
      </c>
      <c r="B5288" t="str">
        <f>"03/22/2016 00:00"</f>
        <v>03/22/2016 00:00</v>
      </c>
      <c r="C5288">
        <v>4.8000000000000001E-2</v>
      </c>
      <c r="D5288" t="s">
        <v>7</v>
      </c>
      <c r="E5288" s="2" t="s">
        <v>12</v>
      </c>
      <c r="F5288">
        <f t="shared" si="82"/>
        <v>9.5184000000000005E-2</v>
      </c>
      <c r="G5288" t="s">
        <v>16</v>
      </c>
      <c r="J5288" t="str">
        <f>"03/22/2016 23:45"</f>
        <v>03/22/2016 23:45</v>
      </c>
    </row>
    <row r="5289" spans="1:10" x14ac:dyDescent="0.3">
      <c r="A5289" t="s">
        <v>6</v>
      </c>
      <c r="B5289" t="str">
        <f>"03/23/2016 00:00"</f>
        <v>03/23/2016 00:00</v>
      </c>
      <c r="C5289">
        <v>4.8000000000000001E-2</v>
      </c>
      <c r="D5289" t="s">
        <v>7</v>
      </c>
      <c r="E5289" s="2" t="s">
        <v>12</v>
      </c>
      <c r="F5289">
        <f t="shared" si="82"/>
        <v>9.5184000000000005E-2</v>
      </c>
      <c r="G5289" t="s">
        <v>16</v>
      </c>
      <c r="J5289" t="str">
        <f>"03/23/2016 23:45"</f>
        <v>03/23/2016 23:45</v>
      </c>
    </row>
    <row r="5290" spans="1:10" x14ac:dyDescent="0.3">
      <c r="A5290" t="s">
        <v>6</v>
      </c>
      <c r="B5290" t="str">
        <f>"03/24/2016 00:00"</f>
        <v>03/24/2016 00:00</v>
      </c>
      <c r="C5290">
        <v>4.8000000000000001E-2</v>
      </c>
      <c r="D5290" t="s">
        <v>7</v>
      </c>
      <c r="E5290" s="2" t="s">
        <v>12</v>
      </c>
      <c r="F5290">
        <f t="shared" si="82"/>
        <v>9.5184000000000005E-2</v>
      </c>
      <c r="G5290" t="s">
        <v>16</v>
      </c>
      <c r="J5290" t="str">
        <f>"03/24/2016 23:45"</f>
        <v>03/24/2016 23:45</v>
      </c>
    </row>
    <row r="5291" spans="1:10" x14ac:dyDescent="0.3">
      <c r="A5291" t="s">
        <v>6</v>
      </c>
      <c r="B5291" t="str">
        <f>"03/25/2016 00:00"</f>
        <v>03/25/2016 00:00</v>
      </c>
      <c r="C5291">
        <v>4.8000000000000001E-2</v>
      </c>
      <c r="D5291" t="s">
        <v>7</v>
      </c>
      <c r="E5291" s="2" t="s">
        <v>12</v>
      </c>
      <c r="F5291">
        <f t="shared" si="82"/>
        <v>9.5184000000000005E-2</v>
      </c>
      <c r="G5291" t="s">
        <v>16</v>
      </c>
      <c r="J5291" t="str">
        <f>"03/25/2016 23:45"</f>
        <v>03/25/2016 23:45</v>
      </c>
    </row>
    <row r="5292" spans="1:10" x14ac:dyDescent="0.3">
      <c r="A5292" t="s">
        <v>6</v>
      </c>
      <c r="B5292" t="str">
        <f>"03/26/2016 00:00"</f>
        <v>03/26/2016 00:00</v>
      </c>
      <c r="C5292">
        <v>4.8000000000000001E-2</v>
      </c>
      <c r="D5292" t="s">
        <v>7</v>
      </c>
      <c r="E5292" s="2" t="s">
        <v>12</v>
      </c>
      <c r="F5292">
        <f t="shared" si="82"/>
        <v>9.5184000000000005E-2</v>
      </c>
      <c r="G5292" t="s">
        <v>16</v>
      </c>
      <c r="J5292" t="str">
        <f>"03/26/2016 23:45"</f>
        <v>03/26/2016 23:45</v>
      </c>
    </row>
    <row r="5293" spans="1:10" x14ac:dyDescent="0.3">
      <c r="A5293" t="s">
        <v>6</v>
      </c>
      <c r="B5293" t="str">
        <f>"03/27/2016 00:00"</f>
        <v>03/27/2016 00:00</v>
      </c>
      <c r="C5293">
        <v>4.8000000000000001E-2</v>
      </c>
      <c r="D5293" t="s">
        <v>7</v>
      </c>
      <c r="E5293" s="2" t="s">
        <v>12</v>
      </c>
      <c r="F5293">
        <f t="shared" si="82"/>
        <v>9.5184000000000005E-2</v>
      </c>
      <c r="G5293" t="s">
        <v>16</v>
      </c>
      <c r="J5293" t="str">
        <f>"03/27/2016 23:45"</f>
        <v>03/27/2016 23:45</v>
      </c>
    </row>
    <row r="5294" spans="1:10" x14ac:dyDescent="0.3">
      <c r="A5294" t="s">
        <v>6</v>
      </c>
      <c r="B5294" t="str">
        <f>"03/28/2016 00:00"</f>
        <v>03/28/2016 00:00</v>
      </c>
      <c r="C5294">
        <v>4.8000000000000001E-2</v>
      </c>
      <c r="D5294" t="s">
        <v>7</v>
      </c>
      <c r="E5294" s="2" t="s">
        <v>12</v>
      </c>
      <c r="F5294">
        <f t="shared" si="82"/>
        <v>9.5184000000000005E-2</v>
      </c>
      <c r="G5294" t="s">
        <v>16</v>
      </c>
      <c r="J5294" t="str">
        <f>"03/28/2016 23:45"</f>
        <v>03/28/2016 23:45</v>
      </c>
    </row>
    <row r="5295" spans="1:10" x14ac:dyDescent="0.3">
      <c r="A5295" t="s">
        <v>6</v>
      </c>
      <c r="B5295" t="str">
        <f>"03/29/2016 00:00"</f>
        <v>03/29/2016 00:00</v>
      </c>
      <c r="C5295">
        <v>4.8000000000000001E-2</v>
      </c>
      <c r="D5295" t="s">
        <v>7</v>
      </c>
      <c r="E5295" s="2" t="s">
        <v>12</v>
      </c>
      <c r="F5295">
        <f t="shared" si="82"/>
        <v>9.5184000000000005E-2</v>
      </c>
      <c r="G5295" t="s">
        <v>16</v>
      </c>
      <c r="J5295" t="str">
        <f>"03/29/2016 23:45"</f>
        <v>03/29/2016 23:45</v>
      </c>
    </row>
    <row r="5296" spans="1:10" x14ac:dyDescent="0.3">
      <c r="A5296" t="s">
        <v>6</v>
      </c>
      <c r="B5296" t="str">
        <f>"03/30/2016 00:00"</f>
        <v>03/30/2016 00:00</v>
      </c>
      <c r="C5296">
        <v>4.8000000000000001E-2</v>
      </c>
      <c r="D5296" t="s">
        <v>7</v>
      </c>
      <c r="E5296" s="2" t="s">
        <v>12</v>
      </c>
      <c r="F5296">
        <f t="shared" si="82"/>
        <v>9.5184000000000005E-2</v>
      </c>
      <c r="G5296" t="s">
        <v>16</v>
      </c>
      <c r="J5296" t="str">
        <f>"03/30/2016 23:45"</f>
        <v>03/30/2016 23:45</v>
      </c>
    </row>
    <row r="5297" spans="1:10" x14ac:dyDescent="0.3">
      <c r="A5297" t="s">
        <v>6</v>
      </c>
      <c r="B5297" t="str">
        <f>"03/31/2016 00:00"</f>
        <v>03/31/2016 00:00</v>
      </c>
      <c r="C5297">
        <v>4.8000000000000001E-2</v>
      </c>
      <c r="D5297" t="s">
        <v>7</v>
      </c>
      <c r="E5297" s="2" t="s">
        <v>12</v>
      </c>
      <c r="F5297">
        <f t="shared" si="82"/>
        <v>9.5184000000000005E-2</v>
      </c>
      <c r="G5297" t="s">
        <v>16</v>
      </c>
      <c r="J5297" t="str">
        <f>"03/31/2016 23:45"</f>
        <v>03/31/2016 23:45</v>
      </c>
    </row>
    <row r="5298" spans="1:10" x14ac:dyDescent="0.3">
      <c r="A5298" t="s">
        <v>6</v>
      </c>
      <c r="B5298" t="str">
        <f>"04/01/2016 00:00"</f>
        <v>04/01/2016 00:00</v>
      </c>
      <c r="C5298">
        <v>4.8000000000000001E-2</v>
      </c>
      <c r="D5298" t="s">
        <v>7</v>
      </c>
      <c r="E5298" s="2" t="s">
        <v>12</v>
      </c>
      <c r="F5298">
        <f t="shared" si="82"/>
        <v>9.5184000000000005E-2</v>
      </c>
      <c r="G5298" t="s">
        <v>16</v>
      </c>
      <c r="J5298" t="str">
        <f>"04/01/2016 23:45"</f>
        <v>04/01/2016 23:45</v>
      </c>
    </row>
    <row r="5299" spans="1:10" x14ac:dyDescent="0.3">
      <c r="A5299" t="s">
        <v>6</v>
      </c>
      <c r="B5299" t="str">
        <f>"04/02/2016 00:00"</f>
        <v>04/02/2016 00:00</v>
      </c>
      <c r="C5299">
        <v>4.8000000000000001E-2</v>
      </c>
      <c r="D5299" t="s">
        <v>7</v>
      </c>
      <c r="E5299" s="2" t="s">
        <v>12</v>
      </c>
      <c r="F5299">
        <f t="shared" si="82"/>
        <v>9.5184000000000005E-2</v>
      </c>
      <c r="G5299" t="s">
        <v>16</v>
      </c>
      <c r="J5299" t="str">
        <f>"04/02/2016 23:45"</f>
        <v>04/02/2016 23:45</v>
      </c>
    </row>
    <row r="5300" spans="1:10" x14ac:dyDescent="0.3">
      <c r="A5300" t="s">
        <v>6</v>
      </c>
      <c r="B5300" t="str">
        <f>"04/03/2016 00:00"</f>
        <v>04/03/2016 00:00</v>
      </c>
      <c r="C5300">
        <v>4.8000000000000001E-2</v>
      </c>
      <c r="D5300" t="s">
        <v>7</v>
      </c>
      <c r="E5300" s="2" t="s">
        <v>12</v>
      </c>
      <c r="F5300">
        <f t="shared" si="82"/>
        <v>9.5184000000000005E-2</v>
      </c>
      <c r="G5300" t="s">
        <v>16</v>
      </c>
      <c r="J5300" t="str">
        <f>"04/03/2016 23:45"</f>
        <v>04/03/2016 23:45</v>
      </c>
    </row>
    <row r="5301" spans="1:10" x14ac:dyDescent="0.3">
      <c r="A5301" t="s">
        <v>6</v>
      </c>
      <c r="B5301" t="str">
        <f>"04/04/2016 00:00"</f>
        <v>04/04/2016 00:00</v>
      </c>
      <c r="C5301">
        <v>4.8000000000000001E-2</v>
      </c>
      <c r="D5301" t="s">
        <v>7</v>
      </c>
      <c r="E5301" s="2" t="s">
        <v>12</v>
      </c>
      <c r="F5301">
        <f t="shared" si="82"/>
        <v>9.5184000000000005E-2</v>
      </c>
      <c r="G5301" t="s">
        <v>16</v>
      </c>
      <c r="J5301" t="str">
        <f>"04/04/2016 23:45"</f>
        <v>04/04/2016 23:45</v>
      </c>
    </row>
    <row r="5302" spans="1:10" x14ac:dyDescent="0.3">
      <c r="A5302" t="s">
        <v>6</v>
      </c>
      <c r="B5302" t="str">
        <f>"04/05/2016 00:00"</f>
        <v>04/05/2016 00:00</v>
      </c>
      <c r="C5302">
        <v>4.8000000000000001E-2</v>
      </c>
      <c r="D5302" t="s">
        <v>7</v>
      </c>
      <c r="E5302" s="2" t="s">
        <v>12</v>
      </c>
      <c r="F5302">
        <f t="shared" si="82"/>
        <v>9.5184000000000005E-2</v>
      </c>
      <c r="G5302" t="s">
        <v>16</v>
      </c>
      <c r="J5302" t="str">
        <f>"04/05/2016 23:45"</f>
        <v>04/05/2016 23:45</v>
      </c>
    </row>
    <row r="5303" spans="1:10" x14ac:dyDescent="0.3">
      <c r="A5303" t="s">
        <v>6</v>
      </c>
      <c r="B5303" t="str">
        <f>"04/06/2016 00:00"</f>
        <v>04/06/2016 00:00</v>
      </c>
      <c r="C5303">
        <v>4.8000000000000001E-2</v>
      </c>
      <c r="D5303" t="s">
        <v>7</v>
      </c>
      <c r="E5303" s="2" t="s">
        <v>12</v>
      </c>
      <c r="F5303">
        <f t="shared" si="82"/>
        <v>9.5184000000000005E-2</v>
      </c>
      <c r="G5303" t="s">
        <v>16</v>
      </c>
      <c r="J5303" t="str">
        <f>"04/06/2016 23:45"</f>
        <v>04/06/2016 23:45</v>
      </c>
    </row>
    <row r="5304" spans="1:10" x14ac:dyDescent="0.3">
      <c r="A5304" t="s">
        <v>6</v>
      </c>
      <c r="B5304" t="str">
        <f>"04/07/2016 00:00"</f>
        <v>04/07/2016 00:00</v>
      </c>
      <c r="C5304">
        <v>4.8000000000000001E-2</v>
      </c>
      <c r="D5304" t="s">
        <v>7</v>
      </c>
      <c r="E5304" s="2" t="s">
        <v>12</v>
      </c>
      <c r="F5304">
        <f t="shared" si="82"/>
        <v>9.5184000000000005E-2</v>
      </c>
      <c r="G5304" t="s">
        <v>16</v>
      </c>
      <c r="J5304" t="str">
        <f>"04/07/2016 23:45"</f>
        <v>04/07/2016 23:45</v>
      </c>
    </row>
    <row r="5305" spans="1:10" x14ac:dyDescent="0.3">
      <c r="A5305" t="s">
        <v>6</v>
      </c>
      <c r="B5305" t="str">
        <f>"04/08/2016 00:00"</f>
        <v>04/08/2016 00:00</v>
      </c>
      <c r="C5305">
        <v>4.8000000000000001E-2</v>
      </c>
      <c r="D5305" t="s">
        <v>7</v>
      </c>
      <c r="E5305" s="2" t="s">
        <v>12</v>
      </c>
      <c r="F5305">
        <f t="shared" si="82"/>
        <v>9.5184000000000005E-2</v>
      </c>
      <c r="G5305" t="s">
        <v>16</v>
      </c>
      <c r="J5305" t="str">
        <f>"04/08/2016 23:45"</f>
        <v>04/08/2016 23:45</v>
      </c>
    </row>
    <row r="5306" spans="1:10" x14ac:dyDescent="0.3">
      <c r="A5306" t="s">
        <v>6</v>
      </c>
      <c r="B5306" t="str">
        <f>"04/09/2016 00:00"</f>
        <v>04/09/2016 00:00</v>
      </c>
      <c r="C5306">
        <v>4.8000000000000001E-2</v>
      </c>
      <c r="D5306" t="s">
        <v>7</v>
      </c>
      <c r="E5306" s="2" t="s">
        <v>12</v>
      </c>
      <c r="F5306">
        <f t="shared" si="82"/>
        <v>9.5184000000000005E-2</v>
      </c>
      <c r="G5306" t="s">
        <v>16</v>
      </c>
      <c r="J5306" t="str">
        <f>"04/09/2016 23:45"</f>
        <v>04/09/2016 23:45</v>
      </c>
    </row>
    <row r="5307" spans="1:10" x14ac:dyDescent="0.3">
      <c r="A5307" t="s">
        <v>6</v>
      </c>
      <c r="B5307" t="str">
        <f>"04/10/2016 00:00"</f>
        <v>04/10/2016 00:00</v>
      </c>
      <c r="C5307">
        <v>4.8000000000000001E-2</v>
      </c>
      <c r="D5307" t="s">
        <v>7</v>
      </c>
      <c r="E5307" s="2" t="s">
        <v>12</v>
      </c>
      <c r="F5307">
        <f t="shared" si="82"/>
        <v>9.5184000000000005E-2</v>
      </c>
      <c r="G5307" t="s">
        <v>16</v>
      </c>
      <c r="J5307" t="str">
        <f>"04/10/2016 23:45"</f>
        <v>04/10/2016 23:45</v>
      </c>
    </row>
    <row r="5308" spans="1:10" x14ac:dyDescent="0.3">
      <c r="A5308" t="s">
        <v>6</v>
      </c>
      <c r="B5308" t="str">
        <f>"04/11/2016 00:00"</f>
        <v>04/11/2016 00:00</v>
      </c>
      <c r="C5308">
        <v>4.8000000000000001E-2</v>
      </c>
      <c r="D5308" t="s">
        <v>7</v>
      </c>
      <c r="E5308" s="2" t="s">
        <v>12</v>
      </c>
      <c r="F5308">
        <f t="shared" si="82"/>
        <v>9.5184000000000005E-2</v>
      </c>
      <c r="G5308" t="s">
        <v>16</v>
      </c>
      <c r="I5308" t="s">
        <v>8</v>
      </c>
      <c r="J5308" t="str">
        <f>"04/11/2016 23:45"</f>
        <v>04/11/2016 23:45</v>
      </c>
    </row>
    <row r="5309" spans="1:10" x14ac:dyDescent="0.3">
      <c r="A5309" t="s">
        <v>6</v>
      </c>
      <c r="B5309" t="str">
        <f>"04/12/2016 00:00"</f>
        <v>04/12/2016 00:00</v>
      </c>
      <c r="C5309">
        <v>4.8000000000000001E-2</v>
      </c>
      <c r="D5309" t="s">
        <v>7</v>
      </c>
      <c r="E5309" s="2" t="s">
        <v>12</v>
      </c>
      <c r="F5309">
        <f t="shared" si="82"/>
        <v>9.5184000000000005E-2</v>
      </c>
      <c r="G5309" t="s">
        <v>16</v>
      </c>
      <c r="J5309" t="str">
        <f>"04/12/2016 23:45"</f>
        <v>04/12/2016 23:45</v>
      </c>
    </row>
    <row r="5310" spans="1:10" x14ac:dyDescent="0.3">
      <c r="A5310" t="s">
        <v>6</v>
      </c>
      <c r="B5310" t="str">
        <f>"04/13/2016 00:00"</f>
        <v>04/13/2016 00:00</v>
      </c>
      <c r="C5310">
        <v>4.8000000000000001E-2</v>
      </c>
      <c r="D5310" t="s">
        <v>7</v>
      </c>
      <c r="E5310" s="2" t="s">
        <v>12</v>
      </c>
      <c r="F5310">
        <f t="shared" si="82"/>
        <v>9.5184000000000005E-2</v>
      </c>
      <c r="G5310" t="s">
        <v>16</v>
      </c>
      <c r="J5310" t="str">
        <f>"04/13/2016 23:45"</f>
        <v>04/13/2016 23:45</v>
      </c>
    </row>
    <row r="5311" spans="1:10" x14ac:dyDescent="0.3">
      <c r="A5311" t="s">
        <v>6</v>
      </c>
      <c r="B5311" t="str">
        <f>"04/14/2016 00:00"</f>
        <v>04/14/2016 00:00</v>
      </c>
      <c r="C5311">
        <v>4.8000000000000001E-2</v>
      </c>
      <c r="D5311" t="s">
        <v>7</v>
      </c>
      <c r="E5311" s="2" t="s">
        <v>12</v>
      </c>
      <c r="F5311">
        <f t="shared" si="82"/>
        <v>9.5184000000000005E-2</v>
      </c>
      <c r="G5311" t="s">
        <v>16</v>
      </c>
      <c r="J5311" t="str">
        <f>"04/14/2016 23:45"</f>
        <v>04/14/2016 23:45</v>
      </c>
    </row>
    <row r="5312" spans="1:10" x14ac:dyDescent="0.3">
      <c r="A5312" t="s">
        <v>6</v>
      </c>
      <c r="B5312" t="str">
        <f>"04/15/2016 00:00"</f>
        <v>04/15/2016 00:00</v>
      </c>
      <c r="C5312">
        <v>4.8000000000000001E-2</v>
      </c>
      <c r="D5312" t="s">
        <v>7</v>
      </c>
      <c r="E5312" s="2" t="s">
        <v>12</v>
      </c>
      <c r="F5312">
        <f t="shared" si="82"/>
        <v>9.5184000000000005E-2</v>
      </c>
      <c r="G5312" t="s">
        <v>16</v>
      </c>
      <c r="J5312" t="str">
        <f>"04/15/2016 23:45"</f>
        <v>04/15/2016 23:45</v>
      </c>
    </row>
    <row r="5313" spans="1:10" x14ac:dyDescent="0.3">
      <c r="A5313" t="s">
        <v>6</v>
      </c>
      <c r="B5313" t="str">
        <f>"04/16/2016 00:00"</f>
        <v>04/16/2016 00:00</v>
      </c>
      <c r="C5313">
        <v>4.8000000000000001E-2</v>
      </c>
      <c r="D5313" t="s">
        <v>7</v>
      </c>
      <c r="E5313" s="2" t="s">
        <v>12</v>
      </c>
      <c r="F5313">
        <f t="shared" si="82"/>
        <v>9.5184000000000005E-2</v>
      </c>
      <c r="G5313" t="s">
        <v>16</v>
      </c>
      <c r="J5313" t="str">
        <f>"04/16/2016 23:45"</f>
        <v>04/16/2016 23:45</v>
      </c>
    </row>
    <row r="5314" spans="1:10" x14ac:dyDescent="0.3">
      <c r="A5314" t="s">
        <v>6</v>
      </c>
      <c r="B5314" t="str">
        <f>"04/17/2016 00:00"</f>
        <v>04/17/2016 00:00</v>
      </c>
      <c r="C5314">
        <v>0.105</v>
      </c>
      <c r="D5314" t="s">
        <v>7</v>
      </c>
      <c r="E5314" s="2" t="s">
        <v>12</v>
      </c>
      <c r="F5314">
        <f t="shared" si="82"/>
        <v>0.20821500000000001</v>
      </c>
      <c r="G5314" t="s">
        <v>16</v>
      </c>
      <c r="J5314" t="str">
        <f>"04/17/2016 23:45"</f>
        <v>04/17/2016 23:45</v>
      </c>
    </row>
    <row r="5315" spans="1:10" x14ac:dyDescent="0.3">
      <c r="A5315" t="s">
        <v>6</v>
      </c>
      <c r="B5315" t="str">
        <f>"04/18/2016 00:00"</f>
        <v>04/18/2016 00:00</v>
      </c>
      <c r="C5315">
        <v>0.14599999999999999</v>
      </c>
      <c r="D5315" t="s">
        <v>7</v>
      </c>
      <c r="E5315" s="2" t="s">
        <v>12</v>
      </c>
      <c r="F5315">
        <f t="shared" si="82"/>
        <v>0.289518</v>
      </c>
      <c r="G5315" t="s">
        <v>16</v>
      </c>
      <c r="J5315" t="str">
        <f>"04/18/2016 23:45"</f>
        <v>04/18/2016 23:45</v>
      </c>
    </row>
    <row r="5316" spans="1:10" x14ac:dyDescent="0.3">
      <c r="A5316" t="s">
        <v>6</v>
      </c>
      <c r="B5316" t="str">
        <f>"04/19/2016 00:00"</f>
        <v>04/19/2016 00:00</v>
      </c>
      <c r="C5316">
        <v>0.14599999999999999</v>
      </c>
      <c r="D5316" t="s">
        <v>7</v>
      </c>
      <c r="E5316" s="2" t="s">
        <v>12</v>
      </c>
      <c r="F5316">
        <f t="shared" ref="F5316:F5379" si="83">C5316*1.983</f>
        <v>0.289518</v>
      </c>
      <c r="G5316" t="s">
        <v>16</v>
      </c>
      <c r="J5316" t="str">
        <f>"04/19/2016 23:45"</f>
        <v>04/19/2016 23:45</v>
      </c>
    </row>
    <row r="5317" spans="1:10" x14ac:dyDescent="0.3">
      <c r="A5317" t="s">
        <v>6</v>
      </c>
      <c r="B5317" t="str">
        <f>"04/20/2016 00:00"</f>
        <v>04/20/2016 00:00</v>
      </c>
      <c r="C5317">
        <v>0.14599999999999999</v>
      </c>
      <c r="D5317" t="s">
        <v>7</v>
      </c>
      <c r="E5317" s="2" t="s">
        <v>12</v>
      </c>
      <c r="F5317">
        <f t="shared" si="83"/>
        <v>0.289518</v>
      </c>
      <c r="G5317" t="s">
        <v>16</v>
      </c>
      <c r="J5317" t="str">
        <f>"04/20/2016 23:45"</f>
        <v>04/20/2016 23:45</v>
      </c>
    </row>
    <row r="5318" spans="1:10" x14ac:dyDescent="0.3">
      <c r="A5318" t="s">
        <v>6</v>
      </c>
      <c r="B5318" t="str">
        <f>"04/21/2016 00:00"</f>
        <v>04/21/2016 00:00</v>
      </c>
      <c r="C5318">
        <v>0.14599999999999999</v>
      </c>
      <c r="D5318" t="s">
        <v>7</v>
      </c>
      <c r="E5318" s="2" t="s">
        <v>12</v>
      </c>
      <c r="F5318">
        <f t="shared" si="83"/>
        <v>0.289518</v>
      </c>
      <c r="G5318" t="s">
        <v>16</v>
      </c>
      <c r="J5318" t="str">
        <f>"04/21/2016 23:45"</f>
        <v>04/21/2016 23:45</v>
      </c>
    </row>
    <row r="5319" spans="1:10" x14ac:dyDescent="0.3">
      <c r="A5319" t="s">
        <v>6</v>
      </c>
      <c r="B5319" t="str">
        <f>"04/22/2016 00:00"</f>
        <v>04/22/2016 00:00</v>
      </c>
      <c r="C5319">
        <v>0.14599999999999999</v>
      </c>
      <c r="D5319" t="s">
        <v>7</v>
      </c>
      <c r="E5319" s="2" t="s">
        <v>12</v>
      </c>
      <c r="F5319">
        <f t="shared" si="83"/>
        <v>0.289518</v>
      </c>
      <c r="G5319" t="s">
        <v>16</v>
      </c>
      <c r="J5319" t="str">
        <f>"04/22/2016 23:45"</f>
        <v>04/22/2016 23:45</v>
      </c>
    </row>
    <row r="5320" spans="1:10" x14ac:dyDescent="0.3">
      <c r="A5320" t="s">
        <v>6</v>
      </c>
      <c r="B5320" t="str">
        <f>"04/23/2016 00:00"</f>
        <v>04/23/2016 00:00</v>
      </c>
      <c r="C5320">
        <v>0.14599999999999999</v>
      </c>
      <c r="D5320" t="s">
        <v>7</v>
      </c>
      <c r="E5320" s="2" t="s">
        <v>12</v>
      </c>
      <c r="F5320">
        <f t="shared" si="83"/>
        <v>0.289518</v>
      </c>
      <c r="G5320" t="s">
        <v>16</v>
      </c>
      <c r="J5320" t="str">
        <f>"04/23/2016 23:45"</f>
        <v>04/23/2016 23:45</v>
      </c>
    </row>
    <row r="5321" spans="1:10" x14ac:dyDescent="0.3">
      <c r="A5321" t="s">
        <v>6</v>
      </c>
      <c r="B5321" t="str">
        <f>"04/24/2016 00:00"</f>
        <v>04/24/2016 00:00</v>
      </c>
      <c r="C5321">
        <v>0.14599999999999999</v>
      </c>
      <c r="D5321" t="s">
        <v>7</v>
      </c>
      <c r="E5321" s="2" t="s">
        <v>12</v>
      </c>
      <c r="F5321">
        <f t="shared" si="83"/>
        <v>0.289518</v>
      </c>
      <c r="G5321" t="s">
        <v>16</v>
      </c>
      <c r="J5321" t="str">
        <f>"04/24/2016 23:45"</f>
        <v>04/24/2016 23:45</v>
      </c>
    </row>
    <row r="5322" spans="1:10" x14ac:dyDescent="0.3">
      <c r="A5322" t="s">
        <v>6</v>
      </c>
      <c r="B5322" t="str">
        <f>"04/25/2016 00:00"</f>
        <v>04/25/2016 00:00</v>
      </c>
      <c r="C5322">
        <v>0.14599999999999999</v>
      </c>
      <c r="D5322" t="s">
        <v>7</v>
      </c>
      <c r="E5322" s="2" t="s">
        <v>12</v>
      </c>
      <c r="F5322">
        <f t="shared" si="83"/>
        <v>0.289518</v>
      </c>
      <c r="G5322" t="s">
        <v>16</v>
      </c>
      <c r="J5322" t="str">
        <f>"04/25/2016 23:45"</f>
        <v>04/25/2016 23:45</v>
      </c>
    </row>
    <row r="5323" spans="1:10" x14ac:dyDescent="0.3">
      <c r="A5323" t="s">
        <v>6</v>
      </c>
      <c r="B5323" t="str">
        <f>"04/26/2016 00:00"</f>
        <v>04/26/2016 00:00</v>
      </c>
      <c r="C5323">
        <v>0.14599999999999999</v>
      </c>
      <c r="D5323" t="s">
        <v>7</v>
      </c>
      <c r="E5323" s="2" t="s">
        <v>12</v>
      </c>
      <c r="F5323">
        <f t="shared" si="83"/>
        <v>0.289518</v>
      </c>
      <c r="G5323" t="s">
        <v>16</v>
      </c>
      <c r="J5323" t="str">
        <f>"04/26/2016 23:45"</f>
        <v>04/26/2016 23:45</v>
      </c>
    </row>
    <row r="5324" spans="1:10" x14ac:dyDescent="0.3">
      <c r="A5324" t="s">
        <v>6</v>
      </c>
      <c r="B5324" t="str">
        <f>"04/27/2016 00:00"</f>
        <v>04/27/2016 00:00</v>
      </c>
      <c r="C5324">
        <v>0.14599999999999999</v>
      </c>
      <c r="D5324" t="s">
        <v>7</v>
      </c>
      <c r="E5324" s="2" t="s">
        <v>12</v>
      </c>
      <c r="F5324">
        <f t="shared" si="83"/>
        <v>0.289518</v>
      </c>
      <c r="G5324" t="s">
        <v>16</v>
      </c>
      <c r="J5324" t="str">
        <f>"04/27/2016 23:45"</f>
        <v>04/27/2016 23:45</v>
      </c>
    </row>
    <row r="5325" spans="1:10" x14ac:dyDescent="0.3">
      <c r="A5325" t="s">
        <v>6</v>
      </c>
      <c r="B5325" t="str">
        <f>"04/28/2016 00:00"</f>
        <v>04/28/2016 00:00</v>
      </c>
      <c r="C5325">
        <v>0.14599999999999999</v>
      </c>
      <c r="D5325" t="s">
        <v>7</v>
      </c>
      <c r="E5325" s="2" t="s">
        <v>12</v>
      </c>
      <c r="F5325">
        <f t="shared" si="83"/>
        <v>0.289518</v>
      </c>
      <c r="G5325" t="s">
        <v>16</v>
      </c>
      <c r="J5325" t="str">
        <f>"04/28/2016 23:45"</f>
        <v>04/28/2016 23:45</v>
      </c>
    </row>
    <row r="5326" spans="1:10" x14ac:dyDescent="0.3">
      <c r="A5326" t="s">
        <v>6</v>
      </c>
      <c r="B5326" t="str">
        <f>"04/29/2016 00:00"</f>
        <v>04/29/2016 00:00</v>
      </c>
      <c r="C5326">
        <v>0.13300000000000001</v>
      </c>
      <c r="D5326" t="s">
        <v>7</v>
      </c>
      <c r="E5326" s="2" t="s">
        <v>12</v>
      </c>
      <c r="F5326">
        <f t="shared" si="83"/>
        <v>0.263739</v>
      </c>
      <c r="G5326" t="s">
        <v>16</v>
      </c>
      <c r="J5326" t="str">
        <f>"04/29/2016 23:45"</f>
        <v>04/29/2016 23:45</v>
      </c>
    </row>
    <row r="5327" spans="1:10" x14ac:dyDescent="0.3">
      <c r="A5327" t="s">
        <v>6</v>
      </c>
      <c r="B5327" t="str">
        <f>"04/30/2016 00:00"</f>
        <v>04/30/2016 00:00</v>
      </c>
      <c r="C5327">
        <v>0.14599999999999999</v>
      </c>
      <c r="D5327" t="s">
        <v>7</v>
      </c>
      <c r="E5327" s="2" t="s">
        <v>12</v>
      </c>
      <c r="F5327">
        <f t="shared" si="83"/>
        <v>0.289518</v>
      </c>
      <c r="G5327" t="s">
        <v>16</v>
      </c>
      <c r="J5327" t="str">
        <f>"04/30/2016 23:45"</f>
        <v>04/30/2016 23:45</v>
      </c>
    </row>
    <row r="5328" spans="1:10" x14ac:dyDescent="0.3">
      <c r="A5328" t="s">
        <v>6</v>
      </c>
      <c r="B5328" t="str">
        <f>"05/01/2016 00:00"</f>
        <v>05/01/2016 00:00</v>
      </c>
      <c r="C5328">
        <v>0.14599999999999999</v>
      </c>
      <c r="D5328" t="s">
        <v>7</v>
      </c>
      <c r="E5328" s="2" t="s">
        <v>12</v>
      </c>
      <c r="F5328">
        <f t="shared" si="83"/>
        <v>0.289518</v>
      </c>
      <c r="G5328" t="s">
        <v>16</v>
      </c>
      <c r="J5328" t="str">
        <f>"05/01/2016 23:45"</f>
        <v>05/01/2016 23:45</v>
      </c>
    </row>
    <row r="5329" spans="1:10" x14ac:dyDescent="0.3">
      <c r="A5329" t="s">
        <v>6</v>
      </c>
      <c r="B5329" t="str">
        <f>"05/02/2016 00:00"</f>
        <v>05/02/2016 00:00</v>
      </c>
      <c r="C5329">
        <v>0.14599999999999999</v>
      </c>
      <c r="D5329" t="s">
        <v>7</v>
      </c>
      <c r="E5329" s="2" t="s">
        <v>12</v>
      </c>
      <c r="F5329">
        <f t="shared" si="83"/>
        <v>0.289518</v>
      </c>
      <c r="G5329" t="s">
        <v>16</v>
      </c>
      <c r="J5329" t="str">
        <f>"05/02/2016 23:45"</f>
        <v>05/02/2016 23:45</v>
      </c>
    </row>
    <row r="5330" spans="1:10" x14ac:dyDescent="0.3">
      <c r="A5330" t="s">
        <v>6</v>
      </c>
      <c r="B5330" t="str">
        <f>"05/03/2016 00:00"</f>
        <v>05/03/2016 00:00</v>
      </c>
      <c r="C5330">
        <v>0.14599999999999999</v>
      </c>
      <c r="D5330" t="s">
        <v>7</v>
      </c>
      <c r="E5330" s="2" t="s">
        <v>12</v>
      </c>
      <c r="F5330">
        <f t="shared" si="83"/>
        <v>0.289518</v>
      </c>
      <c r="G5330" t="s">
        <v>16</v>
      </c>
      <c r="J5330" t="str">
        <f>"05/03/2016 23:45"</f>
        <v>05/03/2016 23:45</v>
      </c>
    </row>
    <row r="5331" spans="1:10" x14ac:dyDescent="0.3">
      <c r="A5331" t="s">
        <v>6</v>
      </c>
      <c r="B5331" t="str">
        <f>"05/04/2016 00:00"</f>
        <v>05/04/2016 00:00</v>
      </c>
      <c r="C5331">
        <v>0.14599999999999999</v>
      </c>
      <c r="D5331" t="s">
        <v>7</v>
      </c>
      <c r="E5331" s="2" t="s">
        <v>12</v>
      </c>
      <c r="F5331">
        <f t="shared" si="83"/>
        <v>0.289518</v>
      </c>
      <c r="G5331" t="s">
        <v>16</v>
      </c>
      <c r="J5331" t="str">
        <f>"05/04/2016 23:45"</f>
        <v>05/04/2016 23:45</v>
      </c>
    </row>
    <row r="5332" spans="1:10" x14ac:dyDescent="0.3">
      <c r="A5332" t="s">
        <v>6</v>
      </c>
      <c r="B5332" t="str">
        <f>"05/05/2016 00:00"</f>
        <v>05/05/2016 00:00</v>
      </c>
      <c r="C5332">
        <v>0.14599999999999999</v>
      </c>
      <c r="D5332" t="s">
        <v>7</v>
      </c>
      <c r="E5332" s="2" t="s">
        <v>12</v>
      </c>
      <c r="F5332">
        <f t="shared" si="83"/>
        <v>0.289518</v>
      </c>
      <c r="G5332" t="s">
        <v>16</v>
      </c>
      <c r="J5332" t="str">
        <f>"05/05/2016 23:45"</f>
        <v>05/05/2016 23:45</v>
      </c>
    </row>
    <row r="5333" spans="1:10" x14ac:dyDescent="0.3">
      <c r="A5333" t="s">
        <v>6</v>
      </c>
      <c r="B5333" t="str">
        <f>"05/06/2016 00:00"</f>
        <v>05/06/2016 00:00</v>
      </c>
      <c r="C5333">
        <v>0.14599999999999999</v>
      </c>
      <c r="D5333" t="s">
        <v>7</v>
      </c>
      <c r="E5333" s="2" t="s">
        <v>12</v>
      </c>
      <c r="F5333">
        <f t="shared" si="83"/>
        <v>0.289518</v>
      </c>
      <c r="G5333" t="s">
        <v>16</v>
      </c>
      <c r="J5333" t="str">
        <f>"05/06/2016 23:45"</f>
        <v>05/06/2016 23:45</v>
      </c>
    </row>
    <row r="5334" spans="1:10" x14ac:dyDescent="0.3">
      <c r="A5334" t="s">
        <v>6</v>
      </c>
      <c r="B5334" t="str">
        <f>"05/07/2016 00:00"</f>
        <v>05/07/2016 00:00</v>
      </c>
      <c r="C5334">
        <v>0.14599999999999999</v>
      </c>
      <c r="D5334" t="s">
        <v>7</v>
      </c>
      <c r="E5334" s="2" t="s">
        <v>12</v>
      </c>
      <c r="F5334">
        <f t="shared" si="83"/>
        <v>0.289518</v>
      </c>
      <c r="G5334" t="s">
        <v>16</v>
      </c>
      <c r="J5334" t="str">
        <f>"05/07/2016 23:45"</f>
        <v>05/07/2016 23:45</v>
      </c>
    </row>
    <row r="5335" spans="1:10" x14ac:dyDescent="0.3">
      <c r="A5335" t="s">
        <v>6</v>
      </c>
      <c r="B5335" t="str">
        <f>"05/08/2016 00:00"</f>
        <v>05/08/2016 00:00</v>
      </c>
      <c r="C5335">
        <v>0.14599999999999999</v>
      </c>
      <c r="D5335" t="s">
        <v>7</v>
      </c>
      <c r="E5335" s="2" t="s">
        <v>12</v>
      </c>
      <c r="F5335">
        <f t="shared" si="83"/>
        <v>0.289518</v>
      </c>
      <c r="G5335" t="s">
        <v>16</v>
      </c>
      <c r="J5335" t="str">
        <f>"05/08/2016 23:45"</f>
        <v>05/08/2016 23:45</v>
      </c>
    </row>
    <row r="5336" spans="1:10" x14ac:dyDescent="0.3">
      <c r="A5336" t="s">
        <v>6</v>
      </c>
      <c r="B5336" t="str">
        <f>"05/09/2016 00:00"</f>
        <v>05/09/2016 00:00</v>
      </c>
      <c r="C5336">
        <v>0.14599999999999999</v>
      </c>
      <c r="D5336" t="s">
        <v>7</v>
      </c>
      <c r="E5336" s="2" t="s">
        <v>12</v>
      </c>
      <c r="F5336">
        <f t="shared" si="83"/>
        <v>0.289518</v>
      </c>
      <c r="G5336" t="s">
        <v>16</v>
      </c>
      <c r="J5336" t="str">
        <f>"05/09/2016 23:45"</f>
        <v>05/09/2016 23:45</v>
      </c>
    </row>
    <row r="5337" spans="1:10" x14ac:dyDescent="0.3">
      <c r="A5337" t="s">
        <v>6</v>
      </c>
      <c r="B5337" t="str">
        <f>"05/10/2016 00:00"</f>
        <v>05/10/2016 00:00</v>
      </c>
      <c r="C5337">
        <v>0.14599999999999999</v>
      </c>
      <c r="D5337" t="s">
        <v>7</v>
      </c>
      <c r="E5337" s="2" t="s">
        <v>12</v>
      </c>
      <c r="F5337">
        <f t="shared" si="83"/>
        <v>0.289518</v>
      </c>
      <c r="G5337" t="s">
        <v>16</v>
      </c>
      <c r="J5337" t="str">
        <f>"05/10/2016 23:45"</f>
        <v>05/10/2016 23:45</v>
      </c>
    </row>
    <row r="5338" spans="1:10" x14ac:dyDescent="0.3">
      <c r="A5338" t="s">
        <v>6</v>
      </c>
      <c r="B5338" t="str">
        <f>"05/11/2016 00:00"</f>
        <v>05/11/2016 00:00</v>
      </c>
      <c r="C5338">
        <v>0.14599999999999999</v>
      </c>
      <c r="D5338" t="s">
        <v>7</v>
      </c>
      <c r="E5338" s="2" t="s">
        <v>12</v>
      </c>
      <c r="F5338">
        <f t="shared" si="83"/>
        <v>0.289518</v>
      </c>
      <c r="G5338" t="s">
        <v>16</v>
      </c>
      <c r="J5338" t="str">
        <f>"05/11/2016 23:45"</f>
        <v>05/11/2016 23:45</v>
      </c>
    </row>
    <row r="5339" spans="1:10" x14ac:dyDescent="0.3">
      <c r="A5339" t="s">
        <v>6</v>
      </c>
      <c r="B5339" t="str">
        <f>"05/12/2016 00:00"</f>
        <v>05/12/2016 00:00</v>
      </c>
      <c r="C5339">
        <v>0.14599999999999999</v>
      </c>
      <c r="D5339" t="s">
        <v>7</v>
      </c>
      <c r="E5339" s="2" t="s">
        <v>12</v>
      </c>
      <c r="F5339">
        <f t="shared" si="83"/>
        <v>0.289518</v>
      </c>
      <c r="G5339" t="s">
        <v>16</v>
      </c>
      <c r="J5339" t="str">
        <f>"05/12/2016 23:45"</f>
        <v>05/12/2016 23:45</v>
      </c>
    </row>
    <row r="5340" spans="1:10" x14ac:dyDescent="0.3">
      <c r="A5340" t="s">
        <v>6</v>
      </c>
      <c r="B5340" t="str">
        <f>"05/13/2016 00:00"</f>
        <v>05/13/2016 00:00</v>
      </c>
      <c r="C5340">
        <v>0.14599999999999999</v>
      </c>
      <c r="D5340" t="s">
        <v>7</v>
      </c>
      <c r="E5340" s="2" t="s">
        <v>12</v>
      </c>
      <c r="F5340">
        <f t="shared" si="83"/>
        <v>0.289518</v>
      </c>
      <c r="G5340" t="s">
        <v>16</v>
      </c>
      <c r="J5340" t="str">
        <f>"05/13/2016 23:45"</f>
        <v>05/13/2016 23:45</v>
      </c>
    </row>
    <row r="5341" spans="1:10" x14ac:dyDescent="0.3">
      <c r="A5341" t="s">
        <v>6</v>
      </c>
      <c r="B5341" t="str">
        <f>"05/14/2016 00:00"</f>
        <v>05/14/2016 00:00</v>
      </c>
      <c r="C5341">
        <v>0.14599999999999999</v>
      </c>
      <c r="D5341" t="s">
        <v>7</v>
      </c>
      <c r="E5341" s="2" t="s">
        <v>12</v>
      </c>
      <c r="F5341">
        <f t="shared" si="83"/>
        <v>0.289518</v>
      </c>
      <c r="G5341" t="s">
        <v>16</v>
      </c>
      <c r="J5341" t="str">
        <f>"05/14/2016 23:45"</f>
        <v>05/14/2016 23:45</v>
      </c>
    </row>
    <row r="5342" spans="1:10" x14ac:dyDescent="0.3">
      <c r="A5342" t="s">
        <v>6</v>
      </c>
      <c r="B5342" t="str">
        <f>"05/15/2016 00:00"</f>
        <v>05/15/2016 00:00</v>
      </c>
      <c r="C5342">
        <v>0.108</v>
      </c>
      <c r="D5342" t="s">
        <v>7</v>
      </c>
      <c r="E5342" s="2" t="s">
        <v>12</v>
      </c>
      <c r="F5342">
        <f t="shared" si="83"/>
        <v>0.21416400000000002</v>
      </c>
      <c r="G5342" t="s">
        <v>16</v>
      </c>
      <c r="J5342" t="str">
        <f>"05/15/2016 23:45"</f>
        <v>05/15/2016 23:45</v>
      </c>
    </row>
    <row r="5343" spans="1:10" x14ac:dyDescent="0.3">
      <c r="A5343" t="s">
        <v>6</v>
      </c>
      <c r="B5343" t="str">
        <f>"05/16/2016 00:00"</f>
        <v>05/16/2016 00:00</v>
      </c>
      <c r="C5343">
        <v>9.3899999999999997E-2</v>
      </c>
      <c r="D5343" t="s">
        <v>7</v>
      </c>
      <c r="E5343" s="2" t="s">
        <v>12</v>
      </c>
      <c r="F5343">
        <f t="shared" si="83"/>
        <v>0.1862037</v>
      </c>
      <c r="G5343" t="s">
        <v>16</v>
      </c>
      <c r="J5343" t="str">
        <f>"05/16/2016 23:45"</f>
        <v>05/16/2016 23:45</v>
      </c>
    </row>
    <row r="5344" spans="1:10" x14ac:dyDescent="0.3">
      <c r="A5344" t="s">
        <v>6</v>
      </c>
      <c r="B5344" t="str">
        <f>"05/17/2016 00:00"</f>
        <v>05/17/2016 00:00</v>
      </c>
      <c r="C5344">
        <v>0.14599999999999999</v>
      </c>
      <c r="D5344" t="s">
        <v>7</v>
      </c>
      <c r="E5344" s="2" t="s">
        <v>12</v>
      </c>
      <c r="F5344">
        <f t="shared" si="83"/>
        <v>0.289518</v>
      </c>
      <c r="G5344" t="s">
        <v>16</v>
      </c>
      <c r="J5344" t="str">
        <f>"05/17/2016 23:45"</f>
        <v>05/17/2016 23:45</v>
      </c>
    </row>
    <row r="5345" spans="1:10" x14ac:dyDescent="0.3">
      <c r="A5345" t="s">
        <v>6</v>
      </c>
      <c r="B5345" t="str">
        <f>"05/18/2016 00:00"</f>
        <v>05/18/2016 00:00</v>
      </c>
      <c r="C5345">
        <v>0.14599999999999999</v>
      </c>
      <c r="D5345" t="s">
        <v>7</v>
      </c>
      <c r="E5345" s="2" t="s">
        <v>12</v>
      </c>
      <c r="F5345">
        <f t="shared" si="83"/>
        <v>0.289518</v>
      </c>
      <c r="G5345" t="s">
        <v>16</v>
      </c>
      <c r="J5345" t="str">
        <f>"05/18/2016 23:45"</f>
        <v>05/18/2016 23:45</v>
      </c>
    </row>
    <row r="5346" spans="1:10" x14ac:dyDescent="0.3">
      <c r="A5346" t="s">
        <v>6</v>
      </c>
      <c r="B5346" t="str">
        <f>"05/19/2016 00:00"</f>
        <v>05/19/2016 00:00</v>
      </c>
      <c r="C5346">
        <v>0.14599999999999999</v>
      </c>
      <c r="D5346" t="s">
        <v>7</v>
      </c>
      <c r="E5346" s="2" t="s">
        <v>12</v>
      </c>
      <c r="F5346">
        <f t="shared" si="83"/>
        <v>0.289518</v>
      </c>
      <c r="G5346" t="s">
        <v>16</v>
      </c>
      <c r="J5346" t="str">
        <f>"05/19/2016 23:45"</f>
        <v>05/19/2016 23:45</v>
      </c>
    </row>
    <row r="5347" spans="1:10" x14ac:dyDescent="0.3">
      <c r="A5347" t="s">
        <v>6</v>
      </c>
      <c r="B5347" t="str">
        <f>"05/20/2016 00:00"</f>
        <v>05/20/2016 00:00</v>
      </c>
      <c r="C5347">
        <v>0.14599999999999999</v>
      </c>
      <c r="D5347" t="s">
        <v>7</v>
      </c>
      <c r="E5347" s="2" t="s">
        <v>12</v>
      </c>
      <c r="F5347">
        <f t="shared" si="83"/>
        <v>0.289518</v>
      </c>
      <c r="G5347" t="s">
        <v>16</v>
      </c>
      <c r="J5347" t="str">
        <f>"05/20/2016 23:45"</f>
        <v>05/20/2016 23:45</v>
      </c>
    </row>
    <row r="5348" spans="1:10" x14ac:dyDescent="0.3">
      <c r="A5348" t="s">
        <v>6</v>
      </c>
      <c r="B5348" t="str">
        <f>"05/21/2016 00:00"</f>
        <v>05/21/2016 00:00</v>
      </c>
      <c r="C5348">
        <v>0.14599999999999999</v>
      </c>
      <c r="D5348" t="s">
        <v>7</v>
      </c>
      <c r="E5348" s="2" t="s">
        <v>12</v>
      </c>
      <c r="F5348">
        <f t="shared" si="83"/>
        <v>0.289518</v>
      </c>
      <c r="G5348" t="s">
        <v>16</v>
      </c>
      <c r="J5348" t="str">
        <f>"05/21/2016 23:45"</f>
        <v>05/21/2016 23:45</v>
      </c>
    </row>
    <row r="5349" spans="1:10" x14ac:dyDescent="0.3">
      <c r="A5349" t="s">
        <v>6</v>
      </c>
      <c r="B5349" t="str">
        <f>"05/22/2016 00:00"</f>
        <v>05/22/2016 00:00</v>
      </c>
      <c r="C5349">
        <v>0.14599999999999999</v>
      </c>
      <c r="D5349" t="s">
        <v>7</v>
      </c>
      <c r="E5349" s="2" t="s">
        <v>12</v>
      </c>
      <c r="F5349">
        <f t="shared" si="83"/>
        <v>0.289518</v>
      </c>
      <c r="G5349" t="s">
        <v>16</v>
      </c>
      <c r="J5349" t="str">
        <f>"05/22/2016 23:45"</f>
        <v>05/22/2016 23:45</v>
      </c>
    </row>
    <row r="5350" spans="1:10" x14ac:dyDescent="0.3">
      <c r="A5350" t="s">
        <v>6</v>
      </c>
      <c r="B5350" t="str">
        <f>"05/23/2016 00:00"</f>
        <v>05/23/2016 00:00</v>
      </c>
      <c r="C5350">
        <v>0.14599999999999999</v>
      </c>
      <c r="D5350" t="s">
        <v>7</v>
      </c>
      <c r="E5350" s="2" t="s">
        <v>12</v>
      </c>
      <c r="F5350">
        <f t="shared" si="83"/>
        <v>0.289518</v>
      </c>
      <c r="G5350" t="s">
        <v>16</v>
      </c>
      <c r="J5350" t="str">
        <f>"05/23/2016 23:45"</f>
        <v>05/23/2016 23:45</v>
      </c>
    </row>
    <row r="5351" spans="1:10" x14ac:dyDescent="0.3">
      <c r="A5351" t="s">
        <v>6</v>
      </c>
      <c r="B5351" t="str">
        <f>"05/24/2016 00:00"</f>
        <v>05/24/2016 00:00</v>
      </c>
      <c r="C5351">
        <v>0.14599999999999999</v>
      </c>
      <c r="D5351" t="s">
        <v>7</v>
      </c>
      <c r="E5351" s="2" t="s">
        <v>12</v>
      </c>
      <c r="F5351">
        <f t="shared" si="83"/>
        <v>0.289518</v>
      </c>
      <c r="G5351" t="s">
        <v>16</v>
      </c>
      <c r="J5351" t="str">
        <f>"05/24/2016 23:45"</f>
        <v>05/24/2016 23:45</v>
      </c>
    </row>
    <row r="5352" spans="1:10" x14ac:dyDescent="0.3">
      <c r="A5352" t="s">
        <v>6</v>
      </c>
      <c r="B5352" t="str">
        <f>"05/25/2016 00:00"</f>
        <v>05/25/2016 00:00</v>
      </c>
      <c r="C5352">
        <v>0.14599999999999999</v>
      </c>
      <c r="D5352" t="s">
        <v>7</v>
      </c>
      <c r="E5352" s="2" t="s">
        <v>12</v>
      </c>
      <c r="F5352">
        <f t="shared" si="83"/>
        <v>0.289518</v>
      </c>
      <c r="G5352" t="s">
        <v>16</v>
      </c>
      <c r="J5352" t="str">
        <f>"05/25/2016 23:45"</f>
        <v>05/25/2016 23:45</v>
      </c>
    </row>
    <row r="5353" spans="1:10" x14ac:dyDescent="0.3">
      <c r="A5353" t="s">
        <v>6</v>
      </c>
      <c r="B5353" t="str">
        <f>"05/26/2016 00:00"</f>
        <v>05/26/2016 00:00</v>
      </c>
      <c r="C5353">
        <v>0.14599999999999999</v>
      </c>
      <c r="D5353" t="s">
        <v>7</v>
      </c>
      <c r="E5353" s="2" t="s">
        <v>12</v>
      </c>
      <c r="F5353">
        <f t="shared" si="83"/>
        <v>0.289518</v>
      </c>
      <c r="G5353" t="s">
        <v>16</v>
      </c>
      <c r="J5353" t="str">
        <f>"05/26/2016 23:45"</f>
        <v>05/26/2016 23:45</v>
      </c>
    </row>
    <row r="5354" spans="1:10" x14ac:dyDescent="0.3">
      <c r="A5354" t="s">
        <v>6</v>
      </c>
      <c r="B5354" t="str">
        <f>"05/27/2016 00:00"</f>
        <v>05/27/2016 00:00</v>
      </c>
      <c r="C5354">
        <v>0.14599999999999999</v>
      </c>
      <c r="D5354" t="s">
        <v>7</v>
      </c>
      <c r="E5354" s="2" t="s">
        <v>12</v>
      </c>
      <c r="F5354">
        <f t="shared" si="83"/>
        <v>0.289518</v>
      </c>
      <c r="G5354" t="s">
        <v>16</v>
      </c>
      <c r="J5354" t="str">
        <f>"05/27/2016 23:45"</f>
        <v>05/27/2016 23:45</v>
      </c>
    </row>
    <row r="5355" spans="1:10" x14ac:dyDescent="0.3">
      <c r="A5355" t="s">
        <v>6</v>
      </c>
      <c r="B5355" t="str">
        <f>"05/28/2016 00:00"</f>
        <v>05/28/2016 00:00</v>
      </c>
      <c r="C5355">
        <v>0.14599999999999999</v>
      </c>
      <c r="D5355" t="s">
        <v>7</v>
      </c>
      <c r="E5355" s="2" t="s">
        <v>12</v>
      </c>
      <c r="F5355">
        <f t="shared" si="83"/>
        <v>0.289518</v>
      </c>
      <c r="G5355" t="s">
        <v>16</v>
      </c>
      <c r="J5355" t="str">
        <f>"05/28/2016 23:45"</f>
        <v>05/28/2016 23:45</v>
      </c>
    </row>
    <row r="5356" spans="1:10" x14ac:dyDescent="0.3">
      <c r="A5356" t="s">
        <v>6</v>
      </c>
      <c r="B5356" t="str">
        <f>"05/29/2016 00:00"</f>
        <v>05/29/2016 00:00</v>
      </c>
      <c r="C5356">
        <v>0.14599999999999999</v>
      </c>
      <c r="D5356" t="s">
        <v>7</v>
      </c>
      <c r="E5356" s="2" t="s">
        <v>12</v>
      </c>
      <c r="F5356">
        <f t="shared" si="83"/>
        <v>0.289518</v>
      </c>
      <c r="G5356" t="s">
        <v>16</v>
      </c>
      <c r="J5356" t="str">
        <f>"05/29/2016 23:45"</f>
        <v>05/29/2016 23:45</v>
      </c>
    </row>
    <row r="5357" spans="1:10" x14ac:dyDescent="0.3">
      <c r="A5357" t="s">
        <v>6</v>
      </c>
      <c r="B5357" t="str">
        <f>"05/30/2016 00:00"</f>
        <v>05/30/2016 00:00</v>
      </c>
      <c r="C5357">
        <v>0.14599999999999999</v>
      </c>
      <c r="D5357" t="s">
        <v>7</v>
      </c>
      <c r="E5357" s="2" t="s">
        <v>12</v>
      </c>
      <c r="F5357">
        <f t="shared" si="83"/>
        <v>0.289518</v>
      </c>
      <c r="G5357" t="s">
        <v>16</v>
      </c>
      <c r="J5357" t="str">
        <f>"05/30/2016 23:45"</f>
        <v>05/30/2016 23:45</v>
      </c>
    </row>
    <row r="5358" spans="1:10" x14ac:dyDescent="0.3">
      <c r="A5358" t="s">
        <v>6</v>
      </c>
      <c r="B5358" t="str">
        <f>"05/31/2016 00:00"</f>
        <v>05/31/2016 00:00</v>
      </c>
      <c r="C5358">
        <v>7.36</v>
      </c>
      <c r="D5358" t="s">
        <v>7</v>
      </c>
      <c r="E5358" s="2" t="s">
        <v>12</v>
      </c>
      <c r="F5358">
        <f t="shared" si="83"/>
        <v>14.594880000000002</v>
      </c>
      <c r="G5358" t="s">
        <v>16</v>
      </c>
      <c r="J5358" t="str">
        <f>"05/31/2016 23:45"</f>
        <v>05/31/2016 23:45</v>
      </c>
    </row>
    <row r="5359" spans="1:10" x14ac:dyDescent="0.3">
      <c r="A5359" t="s">
        <v>6</v>
      </c>
      <c r="B5359" t="str">
        <f>"06/01/2016 00:00"</f>
        <v>06/01/2016 00:00</v>
      </c>
      <c r="C5359">
        <v>18</v>
      </c>
      <c r="D5359" t="s">
        <v>7</v>
      </c>
      <c r="E5359" s="2" t="s">
        <v>12</v>
      </c>
      <c r="F5359">
        <f t="shared" si="83"/>
        <v>35.694000000000003</v>
      </c>
      <c r="G5359" t="s">
        <v>16</v>
      </c>
      <c r="J5359" t="str">
        <f>"06/01/2016 23:45"</f>
        <v>06/01/2016 23:45</v>
      </c>
    </row>
    <row r="5360" spans="1:10" x14ac:dyDescent="0.3">
      <c r="A5360" t="s">
        <v>6</v>
      </c>
      <c r="B5360" t="str">
        <f>"06/02/2016 00:00"</f>
        <v>06/02/2016 00:00</v>
      </c>
      <c r="C5360">
        <v>23.9</v>
      </c>
      <c r="D5360" t="s">
        <v>7</v>
      </c>
      <c r="E5360" s="2" t="s">
        <v>12</v>
      </c>
      <c r="F5360">
        <f t="shared" si="83"/>
        <v>47.393700000000003</v>
      </c>
      <c r="G5360" t="s">
        <v>16</v>
      </c>
      <c r="J5360" t="str">
        <f>"06/02/2016 23:45"</f>
        <v>06/02/2016 23:45</v>
      </c>
    </row>
    <row r="5361" spans="1:10" x14ac:dyDescent="0.3">
      <c r="A5361" t="s">
        <v>6</v>
      </c>
      <c r="B5361" t="str">
        <f>"06/03/2016 00:00"</f>
        <v>06/03/2016 00:00</v>
      </c>
      <c r="C5361">
        <v>12</v>
      </c>
      <c r="D5361" t="s">
        <v>7</v>
      </c>
      <c r="E5361" s="2" t="s">
        <v>12</v>
      </c>
      <c r="F5361">
        <f t="shared" si="83"/>
        <v>23.795999999999999</v>
      </c>
      <c r="G5361" t="s">
        <v>16</v>
      </c>
      <c r="J5361" t="str">
        <f>"06/03/2016 23:45"</f>
        <v>06/03/2016 23:45</v>
      </c>
    </row>
    <row r="5362" spans="1:10" x14ac:dyDescent="0.3">
      <c r="A5362" t="s">
        <v>6</v>
      </c>
      <c r="B5362" t="str">
        <f>"06/04/2016 00:00"</f>
        <v>06/04/2016 00:00</v>
      </c>
      <c r="C5362">
        <v>9.9499999999999993</v>
      </c>
      <c r="D5362" t="s">
        <v>7</v>
      </c>
      <c r="E5362" s="2" t="s">
        <v>12</v>
      </c>
      <c r="F5362">
        <f t="shared" si="83"/>
        <v>19.73085</v>
      </c>
      <c r="G5362" t="s">
        <v>16</v>
      </c>
      <c r="J5362" t="str">
        <f>"06/04/2016 23:45"</f>
        <v>06/04/2016 23:45</v>
      </c>
    </row>
    <row r="5363" spans="1:10" x14ac:dyDescent="0.3">
      <c r="A5363" t="s">
        <v>6</v>
      </c>
      <c r="B5363" t="str">
        <f>"06/05/2016 00:00"</f>
        <v>06/05/2016 00:00</v>
      </c>
      <c r="C5363">
        <v>9.9499999999999993</v>
      </c>
      <c r="D5363" t="s">
        <v>7</v>
      </c>
      <c r="E5363" s="2" t="s">
        <v>12</v>
      </c>
      <c r="F5363">
        <f t="shared" si="83"/>
        <v>19.73085</v>
      </c>
      <c r="G5363" t="s">
        <v>16</v>
      </c>
      <c r="J5363" t="str">
        <f>"06/05/2016 23:45"</f>
        <v>06/05/2016 23:45</v>
      </c>
    </row>
    <row r="5364" spans="1:10" x14ac:dyDescent="0.3">
      <c r="A5364" t="s">
        <v>6</v>
      </c>
      <c r="B5364" t="str">
        <f>"06/06/2016 00:00"</f>
        <v>06/06/2016 00:00</v>
      </c>
      <c r="C5364">
        <v>9.9</v>
      </c>
      <c r="D5364" t="s">
        <v>7</v>
      </c>
      <c r="E5364" s="2" t="s">
        <v>12</v>
      </c>
      <c r="F5364">
        <f t="shared" si="83"/>
        <v>19.631700000000002</v>
      </c>
      <c r="G5364" t="s">
        <v>16</v>
      </c>
      <c r="J5364" t="str">
        <f>"06/06/2016 23:45"</f>
        <v>06/06/2016 23:45</v>
      </c>
    </row>
    <row r="5365" spans="1:10" x14ac:dyDescent="0.3">
      <c r="A5365" t="s">
        <v>6</v>
      </c>
      <c r="B5365" t="str">
        <f>"06/07/2016 00:00"</f>
        <v>06/07/2016 00:00</v>
      </c>
      <c r="C5365">
        <v>9.6199999999999992</v>
      </c>
      <c r="D5365" t="s">
        <v>7</v>
      </c>
      <c r="E5365" s="2" t="s">
        <v>12</v>
      </c>
      <c r="F5365">
        <f t="shared" si="83"/>
        <v>19.076460000000001</v>
      </c>
      <c r="G5365" t="s">
        <v>16</v>
      </c>
      <c r="J5365" t="str">
        <f>"06/07/2016 23:45"</f>
        <v>06/07/2016 23:45</v>
      </c>
    </row>
    <row r="5366" spans="1:10" x14ac:dyDescent="0.3">
      <c r="A5366" t="s">
        <v>6</v>
      </c>
      <c r="B5366" t="str">
        <f>"06/08/2016 00:00"</f>
        <v>06/08/2016 00:00</v>
      </c>
      <c r="C5366">
        <v>8.9</v>
      </c>
      <c r="D5366" t="s">
        <v>7</v>
      </c>
      <c r="E5366" s="2" t="s">
        <v>12</v>
      </c>
      <c r="F5366">
        <f t="shared" si="83"/>
        <v>17.648700000000002</v>
      </c>
      <c r="G5366" t="s">
        <v>16</v>
      </c>
      <c r="J5366" t="str">
        <f>"06/08/2016 23:45"</f>
        <v>06/08/2016 23:45</v>
      </c>
    </row>
    <row r="5367" spans="1:10" x14ac:dyDescent="0.3">
      <c r="A5367" t="s">
        <v>6</v>
      </c>
      <c r="B5367" t="str">
        <f>"06/09/2016 00:00"</f>
        <v>06/09/2016 00:00</v>
      </c>
      <c r="C5367">
        <v>8.3000000000000007</v>
      </c>
      <c r="D5367" t="s">
        <v>7</v>
      </c>
      <c r="E5367" s="2" t="s">
        <v>12</v>
      </c>
      <c r="F5367">
        <f t="shared" si="83"/>
        <v>16.458900000000003</v>
      </c>
      <c r="G5367" t="s">
        <v>16</v>
      </c>
      <c r="J5367" t="str">
        <f>"06/09/2016 23:45"</f>
        <v>06/09/2016 23:45</v>
      </c>
    </row>
    <row r="5368" spans="1:10" x14ac:dyDescent="0.3">
      <c r="A5368" t="s">
        <v>6</v>
      </c>
      <c r="B5368" t="str">
        <f>"06/10/2016 00:00"</f>
        <v>06/10/2016 00:00</v>
      </c>
      <c r="C5368">
        <v>3.36</v>
      </c>
      <c r="D5368" t="s">
        <v>7</v>
      </c>
      <c r="E5368" s="2" t="s">
        <v>12</v>
      </c>
      <c r="F5368">
        <f t="shared" si="83"/>
        <v>6.6628800000000004</v>
      </c>
      <c r="G5368" t="s">
        <v>16</v>
      </c>
      <c r="J5368" t="str">
        <f>"06/10/2016 23:45"</f>
        <v>06/10/2016 23:45</v>
      </c>
    </row>
    <row r="5369" spans="1:10" x14ac:dyDescent="0.3">
      <c r="A5369" t="s">
        <v>6</v>
      </c>
      <c r="B5369" t="str">
        <f>"06/11/2016 00:00"</f>
        <v>06/11/2016 00:00</v>
      </c>
      <c r="C5369">
        <v>0.53100000000000003</v>
      </c>
      <c r="D5369" t="s">
        <v>7</v>
      </c>
      <c r="E5369" s="2" t="s">
        <v>12</v>
      </c>
      <c r="F5369">
        <f t="shared" si="83"/>
        <v>1.0529730000000002</v>
      </c>
      <c r="G5369" t="s">
        <v>16</v>
      </c>
      <c r="J5369" t="str">
        <f>"06/11/2016 23:45"</f>
        <v>06/11/2016 23:45</v>
      </c>
    </row>
    <row r="5370" spans="1:10" x14ac:dyDescent="0.3">
      <c r="A5370" t="s">
        <v>6</v>
      </c>
      <c r="B5370" t="str">
        <f>"06/12/2016 00:00"</f>
        <v>06/12/2016 00:00</v>
      </c>
      <c r="C5370">
        <v>0.442</v>
      </c>
      <c r="D5370" t="s">
        <v>7</v>
      </c>
      <c r="E5370" s="2" t="s">
        <v>12</v>
      </c>
      <c r="F5370">
        <f t="shared" si="83"/>
        <v>0.8764860000000001</v>
      </c>
      <c r="G5370" t="s">
        <v>16</v>
      </c>
      <c r="J5370" t="str">
        <f>"06/12/2016 23:45"</f>
        <v>06/12/2016 23:45</v>
      </c>
    </row>
    <row r="5371" spans="1:10" x14ac:dyDescent="0.3">
      <c r="A5371" t="s">
        <v>6</v>
      </c>
      <c r="B5371" t="str">
        <f>"06/13/2016 00:00"</f>
        <v>06/13/2016 00:00</v>
      </c>
      <c r="C5371">
        <v>0.442</v>
      </c>
      <c r="D5371" t="s">
        <v>7</v>
      </c>
      <c r="E5371" s="2" t="s">
        <v>12</v>
      </c>
      <c r="F5371">
        <f t="shared" si="83"/>
        <v>0.8764860000000001</v>
      </c>
      <c r="G5371" t="s">
        <v>16</v>
      </c>
      <c r="J5371" t="str">
        <f>"06/13/2016 23:45"</f>
        <v>06/13/2016 23:45</v>
      </c>
    </row>
    <row r="5372" spans="1:10" x14ac:dyDescent="0.3">
      <c r="A5372" t="s">
        <v>6</v>
      </c>
      <c r="B5372" t="str">
        <f>"06/14/2016 00:00"</f>
        <v>06/14/2016 00:00</v>
      </c>
      <c r="C5372">
        <v>0.43</v>
      </c>
      <c r="D5372" t="s">
        <v>7</v>
      </c>
      <c r="E5372" s="2" t="s">
        <v>12</v>
      </c>
      <c r="F5372">
        <f t="shared" si="83"/>
        <v>0.85269000000000006</v>
      </c>
      <c r="G5372" t="s">
        <v>16</v>
      </c>
      <c r="J5372" t="str">
        <f>"06/14/2016 23:45"</f>
        <v>06/14/2016 23:45</v>
      </c>
    </row>
    <row r="5373" spans="1:10" x14ac:dyDescent="0.3">
      <c r="A5373" t="s">
        <v>6</v>
      </c>
      <c r="B5373" t="str">
        <f>"06/15/2016 00:00"</f>
        <v>06/15/2016 00:00</v>
      </c>
      <c r="C5373">
        <v>0.27900000000000003</v>
      </c>
      <c r="D5373" t="s">
        <v>7</v>
      </c>
      <c r="E5373" s="2" t="s">
        <v>12</v>
      </c>
      <c r="F5373">
        <f t="shared" si="83"/>
        <v>0.55325700000000011</v>
      </c>
      <c r="G5373" t="s">
        <v>16</v>
      </c>
      <c r="J5373" t="str">
        <f>"06/15/2016 23:45"</f>
        <v>06/15/2016 23:45</v>
      </c>
    </row>
    <row r="5374" spans="1:10" x14ac:dyDescent="0.3">
      <c r="A5374" t="s">
        <v>6</v>
      </c>
      <c r="B5374" t="str">
        <f>"06/16/2016 00:00"</f>
        <v>06/16/2016 00:00</v>
      </c>
      <c r="C5374">
        <v>0.27900000000000003</v>
      </c>
      <c r="D5374" t="s">
        <v>7</v>
      </c>
      <c r="E5374" s="2" t="s">
        <v>12</v>
      </c>
      <c r="F5374">
        <f t="shared" si="83"/>
        <v>0.55325700000000011</v>
      </c>
      <c r="G5374" t="s">
        <v>16</v>
      </c>
      <c r="J5374" t="str">
        <f>"06/16/2016 23:45"</f>
        <v>06/16/2016 23:45</v>
      </c>
    </row>
    <row r="5375" spans="1:10" x14ac:dyDescent="0.3">
      <c r="A5375" t="s">
        <v>6</v>
      </c>
      <c r="B5375" t="str">
        <f>"06/17/2016 00:00"</f>
        <v>06/17/2016 00:00</v>
      </c>
      <c r="C5375">
        <v>0.27900000000000003</v>
      </c>
      <c r="D5375" t="s">
        <v>7</v>
      </c>
      <c r="E5375" s="2" t="s">
        <v>12</v>
      </c>
      <c r="F5375">
        <f t="shared" si="83"/>
        <v>0.55325700000000011</v>
      </c>
      <c r="G5375" t="s">
        <v>16</v>
      </c>
      <c r="J5375" t="str">
        <f>"06/17/2016 23:45"</f>
        <v>06/17/2016 23:45</v>
      </c>
    </row>
    <row r="5376" spans="1:10" x14ac:dyDescent="0.3">
      <c r="A5376" t="s">
        <v>6</v>
      </c>
      <c r="B5376" t="str">
        <f>"06/18/2016 00:00"</f>
        <v>06/18/2016 00:00</v>
      </c>
      <c r="C5376">
        <v>0.27900000000000003</v>
      </c>
      <c r="D5376" t="s">
        <v>7</v>
      </c>
      <c r="E5376" s="2" t="s">
        <v>12</v>
      </c>
      <c r="F5376">
        <f t="shared" si="83"/>
        <v>0.55325700000000011</v>
      </c>
      <c r="G5376" t="s">
        <v>16</v>
      </c>
      <c r="J5376" t="str">
        <f>"06/18/2016 23:45"</f>
        <v>06/18/2016 23:45</v>
      </c>
    </row>
    <row r="5377" spans="1:10" x14ac:dyDescent="0.3">
      <c r="A5377" t="s">
        <v>6</v>
      </c>
      <c r="B5377" t="str">
        <f>"06/19/2016 00:00"</f>
        <v>06/19/2016 00:00</v>
      </c>
      <c r="C5377">
        <v>0.27900000000000003</v>
      </c>
      <c r="D5377" t="s">
        <v>7</v>
      </c>
      <c r="E5377" s="2" t="s">
        <v>12</v>
      </c>
      <c r="F5377">
        <f t="shared" si="83"/>
        <v>0.55325700000000011</v>
      </c>
      <c r="G5377" t="s">
        <v>16</v>
      </c>
      <c r="J5377" t="str">
        <f>"06/19/2016 23:45"</f>
        <v>06/19/2016 23:45</v>
      </c>
    </row>
    <row r="5378" spans="1:10" x14ac:dyDescent="0.3">
      <c r="A5378" t="s">
        <v>6</v>
      </c>
      <c r="B5378" t="str">
        <f>"06/20/2016 00:00"</f>
        <v>06/20/2016 00:00</v>
      </c>
      <c r="C5378">
        <v>0.27900000000000003</v>
      </c>
      <c r="D5378" t="s">
        <v>7</v>
      </c>
      <c r="E5378" s="2" t="s">
        <v>12</v>
      </c>
      <c r="F5378">
        <f t="shared" si="83"/>
        <v>0.55325700000000011</v>
      </c>
      <c r="G5378" t="s">
        <v>16</v>
      </c>
      <c r="J5378" t="str">
        <f>"06/20/2016 23:45"</f>
        <v>06/20/2016 23:45</v>
      </c>
    </row>
    <row r="5379" spans="1:10" x14ac:dyDescent="0.3">
      <c r="A5379" t="s">
        <v>6</v>
      </c>
      <c r="B5379" t="str">
        <f>"06/21/2016 00:00"</f>
        <v>06/21/2016 00:00</v>
      </c>
      <c r="C5379">
        <v>0.27900000000000003</v>
      </c>
      <c r="D5379" t="s">
        <v>7</v>
      </c>
      <c r="E5379" s="2" t="s">
        <v>12</v>
      </c>
      <c r="F5379">
        <f t="shared" si="83"/>
        <v>0.55325700000000011</v>
      </c>
      <c r="G5379" t="s">
        <v>16</v>
      </c>
      <c r="J5379" t="str">
        <f>"06/21/2016 23:45"</f>
        <v>06/21/2016 23:45</v>
      </c>
    </row>
    <row r="5380" spans="1:10" x14ac:dyDescent="0.3">
      <c r="A5380" t="s">
        <v>6</v>
      </c>
      <c r="B5380" t="str">
        <f>"06/22/2016 00:00"</f>
        <v>06/22/2016 00:00</v>
      </c>
      <c r="C5380">
        <v>0.27900000000000003</v>
      </c>
      <c r="D5380" t="s">
        <v>7</v>
      </c>
      <c r="E5380" s="2" t="s">
        <v>12</v>
      </c>
      <c r="F5380">
        <f t="shared" ref="F5380:F5443" si="84">C5380*1.983</f>
        <v>0.55325700000000011</v>
      </c>
      <c r="G5380" t="s">
        <v>16</v>
      </c>
      <c r="J5380" t="str">
        <f>"06/22/2016 23:45"</f>
        <v>06/22/2016 23:45</v>
      </c>
    </row>
    <row r="5381" spans="1:10" x14ac:dyDescent="0.3">
      <c r="A5381" t="s">
        <v>6</v>
      </c>
      <c r="B5381" t="str">
        <f>"06/23/2016 00:00"</f>
        <v>06/23/2016 00:00</v>
      </c>
      <c r="C5381">
        <v>0.27900000000000003</v>
      </c>
      <c r="D5381" t="s">
        <v>7</v>
      </c>
      <c r="E5381" s="2" t="s">
        <v>12</v>
      </c>
      <c r="F5381">
        <f t="shared" si="84"/>
        <v>0.55325700000000011</v>
      </c>
      <c r="G5381" t="s">
        <v>16</v>
      </c>
      <c r="J5381" t="str">
        <f>"06/23/2016 23:45"</f>
        <v>06/23/2016 23:45</v>
      </c>
    </row>
    <row r="5382" spans="1:10" x14ac:dyDescent="0.3">
      <c r="A5382" t="s">
        <v>6</v>
      </c>
      <c r="B5382" t="str">
        <f>"06/24/2016 00:00"</f>
        <v>06/24/2016 00:00</v>
      </c>
      <c r="C5382">
        <v>0.27900000000000003</v>
      </c>
      <c r="D5382" t="s">
        <v>7</v>
      </c>
      <c r="E5382" s="2" t="s">
        <v>12</v>
      </c>
      <c r="F5382">
        <f t="shared" si="84"/>
        <v>0.55325700000000011</v>
      </c>
      <c r="G5382" t="s">
        <v>16</v>
      </c>
      <c r="J5382" t="str">
        <f>"06/24/2016 23:45"</f>
        <v>06/24/2016 23:45</v>
      </c>
    </row>
    <row r="5383" spans="1:10" x14ac:dyDescent="0.3">
      <c r="A5383" t="s">
        <v>6</v>
      </c>
      <c r="B5383" t="str">
        <f>"06/25/2016 00:00"</f>
        <v>06/25/2016 00:00</v>
      </c>
      <c r="C5383">
        <v>0.23100000000000001</v>
      </c>
      <c r="D5383" t="s">
        <v>7</v>
      </c>
      <c r="E5383" s="2" t="s">
        <v>12</v>
      </c>
      <c r="F5383">
        <f t="shared" si="84"/>
        <v>0.45807300000000006</v>
      </c>
      <c r="G5383" t="s">
        <v>16</v>
      </c>
      <c r="J5383" t="str">
        <f>"06/25/2016 23:45"</f>
        <v>06/25/2016 23:45</v>
      </c>
    </row>
    <row r="5384" spans="1:10" x14ac:dyDescent="0.3">
      <c r="A5384" t="s">
        <v>6</v>
      </c>
      <c r="B5384" t="str">
        <f>"06/26/2016 00:00"</f>
        <v>06/26/2016 00:00</v>
      </c>
      <c r="C5384">
        <v>0.14599999999999999</v>
      </c>
      <c r="D5384" t="s">
        <v>7</v>
      </c>
      <c r="E5384" s="2" t="s">
        <v>12</v>
      </c>
      <c r="F5384">
        <f t="shared" si="84"/>
        <v>0.289518</v>
      </c>
      <c r="G5384" t="s">
        <v>16</v>
      </c>
      <c r="J5384" t="str">
        <f>"06/26/2016 23:45"</f>
        <v>06/26/2016 23:45</v>
      </c>
    </row>
    <row r="5385" spans="1:10" x14ac:dyDescent="0.3">
      <c r="A5385" t="s">
        <v>6</v>
      </c>
      <c r="B5385" t="str">
        <f>"06/27/2016 00:00"</f>
        <v>06/27/2016 00:00</v>
      </c>
      <c r="C5385">
        <v>0.14599999999999999</v>
      </c>
      <c r="D5385" t="s">
        <v>7</v>
      </c>
      <c r="E5385" s="2" t="s">
        <v>12</v>
      </c>
      <c r="F5385">
        <f t="shared" si="84"/>
        <v>0.289518</v>
      </c>
      <c r="G5385" t="s">
        <v>16</v>
      </c>
      <c r="J5385" t="str">
        <f>"06/27/2016 23:45"</f>
        <v>06/27/2016 23:45</v>
      </c>
    </row>
    <row r="5386" spans="1:10" x14ac:dyDescent="0.3">
      <c r="A5386" t="s">
        <v>6</v>
      </c>
      <c r="B5386" t="str">
        <f>"06/28/2016 00:00"</f>
        <v>06/28/2016 00:00</v>
      </c>
      <c r="C5386">
        <v>0.14599999999999999</v>
      </c>
      <c r="D5386" t="s">
        <v>7</v>
      </c>
      <c r="E5386" s="2" t="s">
        <v>12</v>
      </c>
      <c r="F5386">
        <f t="shared" si="84"/>
        <v>0.289518</v>
      </c>
      <c r="G5386" t="s">
        <v>16</v>
      </c>
      <c r="J5386" t="str">
        <f>"06/28/2016 23:45"</f>
        <v>06/28/2016 23:45</v>
      </c>
    </row>
    <row r="5387" spans="1:10" x14ac:dyDescent="0.3">
      <c r="A5387" t="s">
        <v>6</v>
      </c>
      <c r="B5387" t="str">
        <f>"06/29/2016 00:00"</f>
        <v>06/29/2016 00:00</v>
      </c>
      <c r="C5387">
        <v>0.14599999999999999</v>
      </c>
      <c r="D5387" t="s">
        <v>7</v>
      </c>
      <c r="E5387" s="2" t="s">
        <v>12</v>
      </c>
      <c r="F5387">
        <f t="shared" si="84"/>
        <v>0.289518</v>
      </c>
      <c r="G5387" t="s">
        <v>16</v>
      </c>
      <c r="J5387" t="str">
        <f>"06/29/2016 23:45"</f>
        <v>06/29/2016 23:45</v>
      </c>
    </row>
    <row r="5388" spans="1:10" x14ac:dyDescent="0.3">
      <c r="A5388" t="s">
        <v>6</v>
      </c>
      <c r="B5388" t="str">
        <f>"06/30/2016 00:00"</f>
        <v>06/30/2016 00:00</v>
      </c>
      <c r="C5388">
        <v>0.14599999999999999</v>
      </c>
      <c r="D5388" t="s">
        <v>7</v>
      </c>
      <c r="E5388" s="2" t="s">
        <v>12</v>
      </c>
      <c r="F5388">
        <f t="shared" si="84"/>
        <v>0.289518</v>
      </c>
      <c r="G5388" t="s">
        <v>16</v>
      </c>
      <c r="J5388" t="str">
        <f>"06/30/2016 23:45"</f>
        <v>06/30/2016 23:45</v>
      </c>
    </row>
    <row r="5389" spans="1:10" x14ac:dyDescent="0.3">
      <c r="A5389" t="s">
        <v>6</v>
      </c>
      <c r="B5389" t="str">
        <f>"07/01/2016 00:00"</f>
        <v>07/01/2016 00:00</v>
      </c>
      <c r="C5389">
        <v>0.14599999999999999</v>
      </c>
      <c r="D5389" t="s">
        <v>7</v>
      </c>
      <c r="E5389" s="2" t="s">
        <v>12</v>
      </c>
      <c r="F5389">
        <f t="shared" si="84"/>
        <v>0.289518</v>
      </c>
      <c r="G5389" t="s">
        <v>16</v>
      </c>
      <c r="J5389" t="str">
        <f>"07/01/2016 23:45"</f>
        <v>07/01/2016 23:45</v>
      </c>
    </row>
    <row r="5390" spans="1:10" x14ac:dyDescent="0.3">
      <c r="A5390" t="s">
        <v>6</v>
      </c>
      <c r="B5390" t="str">
        <f>"07/02/2016 00:00"</f>
        <v>07/02/2016 00:00</v>
      </c>
      <c r="C5390">
        <v>0.14599999999999999</v>
      </c>
      <c r="D5390" t="s">
        <v>7</v>
      </c>
      <c r="E5390" s="2" t="s">
        <v>12</v>
      </c>
      <c r="F5390">
        <f t="shared" si="84"/>
        <v>0.289518</v>
      </c>
      <c r="G5390" t="s">
        <v>16</v>
      </c>
      <c r="J5390" t="str">
        <f>"07/02/2016 23:45"</f>
        <v>07/02/2016 23:45</v>
      </c>
    </row>
    <row r="5391" spans="1:10" x14ac:dyDescent="0.3">
      <c r="A5391" t="s">
        <v>6</v>
      </c>
      <c r="B5391" t="str">
        <f>"07/03/2016 00:00"</f>
        <v>07/03/2016 00:00</v>
      </c>
      <c r="C5391">
        <v>0.14599999999999999</v>
      </c>
      <c r="D5391" t="s">
        <v>7</v>
      </c>
      <c r="E5391" s="2" t="s">
        <v>12</v>
      </c>
      <c r="F5391">
        <f t="shared" si="84"/>
        <v>0.289518</v>
      </c>
      <c r="G5391" t="s">
        <v>16</v>
      </c>
      <c r="J5391" t="str">
        <f>"07/03/2016 23:45"</f>
        <v>07/03/2016 23:45</v>
      </c>
    </row>
    <row r="5392" spans="1:10" x14ac:dyDescent="0.3">
      <c r="A5392" t="s">
        <v>6</v>
      </c>
      <c r="B5392" t="str">
        <f>"07/04/2016 00:00"</f>
        <v>07/04/2016 00:00</v>
      </c>
      <c r="C5392">
        <v>0.14599999999999999</v>
      </c>
      <c r="D5392" t="s">
        <v>7</v>
      </c>
      <c r="E5392" s="2" t="s">
        <v>12</v>
      </c>
      <c r="F5392">
        <f t="shared" si="84"/>
        <v>0.289518</v>
      </c>
      <c r="G5392" t="s">
        <v>16</v>
      </c>
      <c r="J5392" t="str">
        <f>"07/04/2016 23:45"</f>
        <v>07/04/2016 23:45</v>
      </c>
    </row>
    <row r="5393" spans="1:10" x14ac:dyDescent="0.3">
      <c r="A5393" t="s">
        <v>6</v>
      </c>
      <c r="B5393" t="str">
        <f>"07/05/2016 00:00"</f>
        <v>07/05/2016 00:00</v>
      </c>
      <c r="C5393">
        <v>0.14599999999999999</v>
      </c>
      <c r="D5393" t="s">
        <v>7</v>
      </c>
      <c r="E5393" s="2" t="s">
        <v>12</v>
      </c>
      <c r="F5393">
        <f t="shared" si="84"/>
        <v>0.289518</v>
      </c>
      <c r="G5393" t="s">
        <v>16</v>
      </c>
      <c r="J5393" t="str">
        <f>"07/05/2016 23:45"</f>
        <v>07/05/2016 23:45</v>
      </c>
    </row>
    <row r="5394" spans="1:10" x14ac:dyDescent="0.3">
      <c r="A5394" t="s">
        <v>6</v>
      </c>
      <c r="B5394" t="str">
        <f>"07/06/2016 00:00"</f>
        <v>07/06/2016 00:00</v>
      </c>
      <c r="C5394">
        <v>0.14599999999999999</v>
      </c>
      <c r="D5394" t="s">
        <v>7</v>
      </c>
      <c r="E5394" s="2" t="s">
        <v>12</v>
      </c>
      <c r="F5394">
        <f t="shared" si="84"/>
        <v>0.289518</v>
      </c>
      <c r="G5394" t="s">
        <v>16</v>
      </c>
      <c r="J5394" t="str">
        <f>"07/06/2016 23:45"</f>
        <v>07/06/2016 23:45</v>
      </c>
    </row>
    <row r="5395" spans="1:10" x14ac:dyDescent="0.3">
      <c r="A5395" t="s">
        <v>6</v>
      </c>
      <c r="B5395" t="str">
        <f>"07/07/2016 00:00"</f>
        <v>07/07/2016 00:00</v>
      </c>
      <c r="C5395">
        <v>0.14599999999999999</v>
      </c>
      <c r="D5395" t="s">
        <v>7</v>
      </c>
      <c r="E5395" s="2" t="s">
        <v>12</v>
      </c>
      <c r="F5395">
        <f t="shared" si="84"/>
        <v>0.289518</v>
      </c>
      <c r="G5395" t="s">
        <v>16</v>
      </c>
      <c r="J5395" t="str">
        <f>"07/07/2016 23:45"</f>
        <v>07/07/2016 23:45</v>
      </c>
    </row>
    <row r="5396" spans="1:10" x14ac:dyDescent="0.3">
      <c r="A5396" t="s">
        <v>6</v>
      </c>
      <c r="B5396" t="str">
        <f>"07/08/2016 00:00"</f>
        <v>07/08/2016 00:00</v>
      </c>
      <c r="C5396">
        <v>68.400000000000006</v>
      </c>
      <c r="D5396" t="s">
        <v>7</v>
      </c>
      <c r="E5396" s="2" t="s">
        <v>12</v>
      </c>
      <c r="F5396">
        <f t="shared" si="84"/>
        <v>135.63720000000001</v>
      </c>
      <c r="G5396" t="s">
        <v>16</v>
      </c>
      <c r="J5396" t="str">
        <f>"07/08/2016 23:45"</f>
        <v>07/08/2016 23:45</v>
      </c>
    </row>
    <row r="5397" spans="1:10" x14ac:dyDescent="0.3">
      <c r="A5397" t="s">
        <v>6</v>
      </c>
      <c r="B5397" t="str">
        <f>"07/09/2016 00:00"</f>
        <v>07/09/2016 00:00</v>
      </c>
      <c r="C5397">
        <v>103</v>
      </c>
      <c r="D5397" t="s">
        <v>7</v>
      </c>
      <c r="E5397" s="2" t="s">
        <v>12</v>
      </c>
      <c r="F5397">
        <f t="shared" si="84"/>
        <v>204.24900000000002</v>
      </c>
      <c r="G5397" t="s">
        <v>16</v>
      </c>
      <c r="J5397" t="str">
        <f>"07/09/2016 23:45"</f>
        <v>07/09/2016 23:45</v>
      </c>
    </row>
    <row r="5398" spans="1:10" x14ac:dyDescent="0.3">
      <c r="A5398" t="s">
        <v>6</v>
      </c>
      <c r="B5398" t="str">
        <f>"07/10/2016 00:00"</f>
        <v>07/10/2016 00:00</v>
      </c>
      <c r="C5398">
        <v>99.2</v>
      </c>
      <c r="D5398" t="s">
        <v>7</v>
      </c>
      <c r="E5398" s="2" t="s">
        <v>12</v>
      </c>
      <c r="F5398">
        <f t="shared" si="84"/>
        <v>196.71360000000001</v>
      </c>
      <c r="G5398" t="s">
        <v>16</v>
      </c>
      <c r="J5398" t="str">
        <f>"07/10/2016 23:45"</f>
        <v>07/10/2016 23:45</v>
      </c>
    </row>
    <row r="5399" spans="1:10" x14ac:dyDescent="0.3">
      <c r="A5399" t="s">
        <v>6</v>
      </c>
      <c r="B5399" t="str">
        <f>"07/11/2016 00:00"</f>
        <v>07/11/2016 00:00</v>
      </c>
      <c r="C5399">
        <v>126</v>
      </c>
      <c r="D5399" t="s">
        <v>7</v>
      </c>
      <c r="E5399" s="2" t="s">
        <v>12</v>
      </c>
      <c r="F5399">
        <f t="shared" si="84"/>
        <v>249.858</v>
      </c>
      <c r="G5399" t="s">
        <v>16</v>
      </c>
      <c r="J5399" t="str">
        <f>"07/11/2016 23:45"</f>
        <v>07/11/2016 23:45</v>
      </c>
    </row>
    <row r="5400" spans="1:10" x14ac:dyDescent="0.3">
      <c r="A5400" t="s">
        <v>6</v>
      </c>
      <c r="B5400" t="str">
        <f>"07/12/2016 00:00"</f>
        <v>07/12/2016 00:00</v>
      </c>
      <c r="C5400">
        <v>200</v>
      </c>
      <c r="D5400" t="s">
        <v>7</v>
      </c>
      <c r="E5400" s="2" t="s">
        <v>12</v>
      </c>
      <c r="F5400">
        <f t="shared" si="84"/>
        <v>396.6</v>
      </c>
      <c r="G5400" t="s">
        <v>16</v>
      </c>
      <c r="J5400" t="str">
        <f>"07/12/2016 23:45"</f>
        <v>07/12/2016 23:45</v>
      </c>
    </row>
    <row r="5401" spans="1:10" x14ac:dyDescent="0.3">
      <c r="A5401" t="s">
        <v>6</v>
      </c>
      <c r="B5401" t="str">
        <f>"07/13/2016 00:00"</f>
        <v>07/13/2016 00:00</v>
      </c>
      <c r="C5401">
        <v>250</v>
      </c>
      <c r="D5401" t="s">
        <v>7</v>
      </c>
      <c r="E5401" s="2" t="s">
        <v>12</v>
      </c>
      <c r="F5401">
        <f t="shared" si="84"/>
        <v>495.75</v>
      </c>
      <c r="G5401" t="s">
        <v>16</v>
      </c>
      <c r="J5401" t="str">
        <f>"07/13/2016 23:45"</f>
        <v>07/13/2016 23:45</v>
      </c>
    </row>
    <row r="5402" spans="1:10" x14ac:dyDescent="0.3">
      <c r="A5402" t="s">
        <v>6</v>
      </c>
      <c r="B5402" t="str">
        <f>"07/14/2016 00:00"</f>
        <v>07/14/2016 00:00</v>
      </c>
      <c r="C5402">
        <v>311</v>
      </c>
      <c r="D5402" t="s">
        <v>7</v>
      </c>
      <c r="E5402" s="2" t="s">
        <v>12</v>
      </c>
      <c r="F5402">
        <f t="shared" si="84"/>
        <v>616.71300000000008</v>
      </c>
      <c r="G5402" t="s">
        <v>16</v>
      </c>
      <c r="J5402" t="str">
        <f>"07/14/2016 23:45"</f>
        <v>07/14/2016 23:45</v>
      </c>
    </row>
    <row r="5403" spans="1:10" x14ac:dyDescent="0.3">
      <c r="A5403" t="s">
        <v>6</v>
      </c>
      <c r="B5403" t="str">
        <f>"07/15/2016 00:00"</f>
        <v>07/15/2016 00:00</v>
      </c>
      <c r="C5403">
        <v>273</v>
      </c>
      <c r="D5403" t="s">
        <v>7</v>
      </c>
      <c r="E5403" s="2" t="s">
        <v>12</v>
      </c>
      <c r="F5403">
        <f t="shared" si="84"/>
        <v>541.35900000000004</v>
      </c>
      <c r="G5403" t="s">
        <v>16</v>
      </c>
      <c r="J5403" t="str">
        <f>"07/15/2016 23:45"</f>
        <v>07/15/2016 23:45</v>
      </c>
    </row>
    <row r="5404" spans="1:10" x14ac:dyDescent="0.3">
      <c r="A5404" t="s">
        <v>6</v>
      </c>
      <c r="B5404" t="str">
        <f>"07/16/2016 00:00"</f>
        <v>07/16/2016 00:00</v>
      </c>
      <c r="C5404">
        <v>151</v>
      </c>
      <c r="D5404" t="s">
        <v>7</v>
      </c>
      <c r="E5404" s="2" t="s">
        <v>12</v>
      </c>
      <c r="F5404">
        <f t="shared" si="84"/>
        <v>299.43299999999999</v>
      </c>
      <c r="G5404" t="s">
        <v>16</v>
      </c>
      <c r="J5404" t="str">
        <f>"07/16/2016 23:45"</f>
        <v>07/16/2016 23:45</v>
      </c>
    </row>
    <row r="5405" spans="1:10" x14ac:dyDescent="0.3">
      <c r="A5405" t="s">
        <v>6</v>
      </c>
      <c r="B5405" t="str">
        <f>"07/17/2016 00:00"</f>
        <v>07/17/2016 00:00</v>
      </c>
      <c r="C5405">
        <v>267</v>
      </c>
      <c r="D5405" t="s">
        <v>7</v>
      </c>
      <c r="E5405" s="2" t="s">
        <v>12</v>
      </c>
      <c r="F5405">
        <f t="shared" si="84"/>
        <v>529.46100000000001</v>
      </c>
      <c r="G5405" t="s">
        <v>16</v>
      </c>
      <c r="J5405" t="str">
        <f>"07/17/2016 23:45"</f>
        <v>07/17/2016 23:45</v>
      </c>
    </row>
    <row r="5406" spans="1:10" x14ac:dyDescent="0.3">
      <c r="A5406" t="s">
        <v>6</v>
      </c>
      <c r="B5406" t="str">
        <f>"07/18/2016 00:00"</f>
        <v>07/18/2016 00:00</v>
      </c>
      <c r="C5406">
        <v>357</v>
      </c>
      <c r="D5406" t="s">
        <v>7</v>
      </c>
      <c r="E5406" s="2" t="s">
        <v>12</v>
      </c>
      <c r="F5406">
        <f t="shared" si="84"/>
        <v>707.93100000000004</v>
      </c>
      <c r="G5406" t="s">
        <v>16</v>
      </c>
      <c r="J5406" t="str">
        <f>"07/18/2016 23:45"</f>
        <v>07/18/2016 23:45</v>
      </c>
    </row>
    <row r="5407" spans="1:10" x14ac:dyDescent="0.3">
      <c r="A5407" t="s">
        <v>6</v>
      </c>
      <c r="B5407" t="str">
        <f>"07/19/2016 00:00"</f>
        <v>07/19/2016 00:00</v>
      </c>
      <c r="C5407">
        <v>294</v>
      </c>
      <c r="D5407" t="s">
        <v>7</v>
      </c>
      <c r="E5407" s="2" t="s">
        <v>12</v>
      </c>
      <c r="F5407">
        <f t="shared" si="84"/>
        <v>583.00200000000007</v>
      </c>
      <c r="G5407" t="s">
        <v>16</v>
      </c>
      <c r="J5407" t="str">
        <f>"07/19/2016 23:45"</f>
        <v>07/19/2016 23:45</v>
      </c>
    </row>
    <row r="5408" spans="1:10" x14ac:dyDescent="0.3">
      <c r="A5408" t="s">
        <v>6</v>
      </c>
      <c r="B5408" t="str">
        <f>"07/20/2016 00:00"</f>
        <v>07/20/2016 00:00</v>
      </c>
      <c r="C5408">
        <v>253</v>
      </c>
      <c r="D5408" t="s">
        <v>7</v>
      </c>
      <c r="E5408" s="2" t="s">
        <v>12</v>
      </c>
      <c r="F5408">
        <f t="shared" si="84"/>
        <v>501.69900000000001</v>
      </c>
      <c r="G5408" t="s">
        <v>16</v>
      </c>
      <c r="J5408" t="str">
        <f>"07/20/2016 23:45"</f>
        <v>07/20/2016 23:45</v>
      </c>
    </row>
    <row r="5409" spans="1:10" x14ac:dyDescent="0.3">
      <c r="A5409" t="s">
        <v>6</v>
      </c>
      <c r="B5409" t="str">
        <f>"07/21/2016 00:00"</f>
        <v>07/21/2016 00:00</v>
      </c>
      <c r="C5409">
        <v>253</v>
      </c>
      <c r="D5409" t="s">
        <v>7</v>
      </c>
      <c r="E5409" s="2" t="s">
        <v>12</v>
      </c>
      <c r="F5409">
        <f t="shared" si="84"/>
        <v>501.69900000000001</v>
      </c>
      <c r="G5409" t="s">
        <v>16</v>
      </c>
      <c r="J5409" t="str">
        <f>"07/21/2016 23:45"</f>
        <v>07/21/2016 23:45</v>
      </c>
    </row>
    <row r="5410" spans="1:10" x14ac:dyDescent="0.3">
      <c r="A5410" t="s">
        <v>6</v>
      </c>
      <c r="B5410" t="str">
        <f>"07/22/2016 00:00"</f>
        <v>07/22/2016 00:00</v>
      </c>
      <c r="C5410">
        <v>252</v>
      </c>
      <c r="D5410" t="s">
        <v>7</v>
      </c>
      <c r="E5410" s="2" t="s">
        <v>12</v>
      </c>
      <c r="F5410">
        <f t="shared" si="84"/>
        <v>499.71600000000001</v>
      </c>
      <c r="G5410" t="s">
        <v>16</v>
      </c>
      <c r="J5410" t="str">
        <f>"07/22/2016 23:45"</f>
        <v>07/22/2016 23:45</v>
      </c>
    </row>
    <row r="5411" spans="1:10" x14ac:dyDescent="0.3">
      <c r="A5411" t="s">
        <v>6</v>
      </c>
      <c r="B5411" t="str">
        <f>"07/23/2016 00:00"</f>
        <v>07/23/2016 00:00</v>
      </c>
      <c r="C5411">
        <v>250</v>
      </c>
      <c r="D5411" t="s">
        <v>7</v>
      </c>
      <c r="E5411" s="2" t="s">
        <v>12</v>
      </c>
      <c r="F5411">
        <f t="shared" si="84"/>
        <v>495.75</v>
      </c>
      <c r="G5411" t="s">
        <v>16</v>
      </c>
      <c r="J5411" t="str">
        <f>"07/23/2016 23:45"</f>
        <v>07/23/2016 23:45</v>
      </c>
    </row>
    <row r="5412" spans="1:10" x14ac:dyDescent="0.3">
      <c r="A5412" t="s">
        <v>6</v>
      </c>
      <c r="B5412" t="str">
        <f>"07/24/2016 00:00"</f>
        <v>07/24/2016 00:00</v>
      </c>
      <c r="C5412">
        <v>251</v>
      </c>
      <c r="D5412" t="s">
        <v>7</v>
      </c>
      <c r="E5412" s="2" t="s">
        <v>12</v>
      </c>
      <c r="F5412">
        <f t="shared" si="84"/>
        <v>497.733</v>
      </c>
      <c r="G5412" t="s">
        <v>16</v>
      </c>
      <c r="J5412" t="str">
        <f>"07/24/2016 23:45"</f>
        <v>07/24/2016 23:45</v>
      </c>
    </row>
    <row r="5413" spans="1:10" x14ac:dyDescent="0.3">
      <c r="A5413" t="s">
        <v>6</v>
      </c>
      <c r="B5413" t="str">
        <f>"07/25/2016 00:00"</f>
        <v>07/25/2016 00:00</v>
      </c>
      <c r="C5413">
        <v>250</v>
      </c>
      <c r="D5413" t="s">
        <v>7</v>
      </c>
      <c r="E5413" s="2" t="s">
        <v>12</v>
      </c>
      <c r="F5413">
        <f t="shared" si="84"/>
        <v>495.75</v>
      </c>
      <c r="G5413" t="s">
        <v>16</v>
      </c>
      <c r="J5413" t="str">
        <f>"07/25/2016 23:45"</f>
        <v>07/25/2016 23:45</v>
      </c>
    </row>
    <row r="5414" spans="1:10" x14ac:dyDescent="0.3">
      <c r="A5414" t="s">
        <v>6</v>
      </c>
      <c r="B5414" t="str">
        <f>"07/26/2016 00:00"</f>
        <v>07/26/2016 00:00</v>
      </c>
      <c r="C5414">
        <v>251</v>
      </c>
      <c r="D5414" t="s">
        <v>7</v>
      </c>
      <c r="E5414" s="2" t="s">
        <v>12</v>
      </c>
      <c r="F5414">
        <f t="shared" si="84"/>
        <v>497.733</v>
      </c>
      <c r="G5414" t="s">
        <v>16</v>
      </c>
      <c r="J5414" t="str">
        <f>"07/26/2016 23:45"</f>
        <v>07/26/2016 23:45</v>
      </c>
    </row>
    <row r="5415" spans="1:10" x14ac:dyDescent="0.3">
      <c r="A5415" t="s">
        <v>6</v>
      </c>
      <c r="B5415" t="str">
        <f>"07/27/2016 00:00"</f>
        <v>07/27/2016 00:00</v>
      </c>
      <c r="C5415">
        <v>225</v>
      </c>
      <c r="D5415" t="s">
        <v>7</v>
      </c>
      <c r="E5415" s="2" t="s">
        <v>12</v>
      </c>
      <c r="F5415">
        <f t="shared" si="84"/>
        <v>446.17500000000001</v>
      </c>
      <c r="G5415" t="s">
        <v>16</v>
      </c>
      <c r="J5415" t="str">
        <f>"07/27/2016 23:45"</f>
        <v>07/27/2016 23:45</v>
      </c>
    </row>
    <row r="5416" spans="1:10" x14ac:dyDescent="0.3">
      <c r="A5416" t="s">
        <v>6</v>
      </c>
      <c r="B5416" t="str">
        <f>"07/28/2016 00:00"</f>
        <v>07/28/2016 00:00</v>
      </c>
      <c r="C5416">
        <v>200</v>
      </c>
      <c r="D5416" t="s">
        <v>7</v>
      </c>
      <c r="E5416" s="2" t="s">
        <v>12</v>
      </c>
      <c r="F5416">
        <f t="shared" si="84"/>
        <v>396.6</v>
      </c>
      <c r="G5416" t="s">
        <v>16</v>
      </c>
      <c r="J5416" t="str">
        <f>"07/28/2016 23:45"</f>
        <v>07/28/2016 23:45</v>
      </c>
    </row>
    <row r="5417" spans="1:10" x14ac:dyDescent="0.3">
      <c r="A5417" t="s">
        <v>6</v>
      </c>
      <c r="B5417" t="str">
        <f>"07/29/2016 00:00"</f>
        <v>07/29/2016 00:00</v>
      </c>
      <c r="C5417">
        <v>184</v>
      </c>
      <c r="D5417" t="s">
        <v>7</v>
      </c>
      <c r="E5417" s="2" t="s">
        <v>12</v>
      </c>
      <c r="F5417">
        <f t="shared" si="84"/>
        <v>364.87200000000001</v>
      </c>
      <c r="G5417" t="s">
        <v>16</v>
      </c>
      <c r="J5417" t="str">
        <f>"07/29/2016 23:45"</f>
        <v>07/29/2016 23:45</v>
      </c>
    </row>
    <row r="5418" spans="1:10" x14ac:dyDescent="0.3">
      <c r="A5418" t="s">
        <v>6</v>
      </c>
      <c r="B5418" t="str">
        <f>"07/30/2016 00:00"</f>
        <v>07/30/2016 00:00</v>
      </c>
      <c r="C5418">
        <v>172</v>
      </c>
      <c r="D5418" t="s">
        <v>7</v>
      </c>
      <c r="E5418" s="2" t="s">
        <v>12</v>
      </c>
      <c r="F5418">
        <f t="shared" si="84"/>
        <v>341.07600000000002</v>
      </c>
      <c r="G5418" t="s">
        <v>16</v>
      </c>
      <c r="J5418" t="str">
        <f>"07/30/2016 23:45"</f>
        <v>07/30/2016 23:45</v>
      </c>
    </row>
    <row r="5419" spans="1:10" x14ac:dyDescent="0.3">
      <c r="A5419" t="s">
        <v>6</v>
      </c>
      <c r="B5419" t="str">
        <f>"07/31/2016 00:00"</f>
        <v>07/31/2016 00:00</v>
      </c>
      <c r="C5419">
        <v>175</v>
      </c>
      <c r="D5419" t="s">
        <v>7</v>
      </c>
      <c r="E5419" s="2" t="s">
        <v>12</v>
      </c>
      <c r="F5419">
        <f t="shared" si="84"/>
        <v>347.02500000000003</v>
      </c>
      <c r="G5419" t="s">
        <v>16</v>
      </c>
      <c r="J5419" t="str">
        <f>"07/31/2016 23:45"</f>
        <v>07/31/2016 23:45</v>
      </c>
    </row>
    <row r="5420" spans="1:10" x14ac:dyDescent="0.3">
      <c r="A5420" t="s">
        <v>6</v>
      </c>
      <c r="B5420" t="str">
        <f>"08/01/2016 00:00"</f>
        <v>08/01/2016 00:00</v>
      </c>
      <c r="C5420">
        <v>225</v>
      </c>
      <c r="D5420" t="s">
        <v>7</v>
      </c>
      <c r="E5420" s="2" t="s">
        <v>12</v>
      </c>
      <c r="F5420">
        <f t="shared" si="84"/>
        <v>446.17500000000001</v>
      </c>
      <c r="G5420" t="s">
        <v>16</v>
      </c>
      <c r="J5420" t="str">
        <f>"08/01/2016 23:45"</f>
        <v>08/01/2016 23:45</v>
      </c>
    </row>
    <row r="5421" spans="1:10" x14ac:dyDescent="0.3">
      <c r="A5421" t="s">
        <v>6</v>
      </c>
      <c r="B5421" t="str">
        <f>"08/02/2016 00:00"</f>
        <v>08/02/2016 00:00</v>
      </c>
      <c r="C5421">
        <v>251</v>
      </c>
      <c r="D5421" t="s">
        <v>7</v>
      </c>
      <c r="E5421" s="2" t="s">
        <v>12</v>
      </c>
      <c r="F5421">
        <f t="shared" si="84"/>
        <v>497.733</v>
      </c>
      <c r="G5421" t="s">
        <v>16</v>
      </c>
      <c r="J5421" t="str">
        <f>"08/02/2016 23:45"</f>
        <v>08/02/2016 23:45</v>
      </c>
    </row>
    <row r="5422" spans="1:10" x14ac:dyDescent="0.3">
      <c r="A5422" t="s">
        <v>6</v>
      </c>
      <c r="B5422" t="str">
        <f>"08/03/2016 00:00"</f>
        <v>08/03/2016 00:00</v>
      </c>
      <c r="C5422">
        <v>251</v>
      </c>
      <c r="D5422" t="s">
        <v>7</v>
      </c>
      <c r="E5422" s="2" t="s">
        <v>12</v>
      </c>
      <c r="F5422">
        <f t="shared" si="84"/>
        <v>497.733</v>
      </c>
      <c r="G5422" t="s">
        <v>16</v>
      </c>
      <c r="J5422" t="str">
        <f>"08/03/2016 23:45"</f>
        <v>08/03/2016 23:45</v>
      </c>
    </row>
    <row r="5423" spans="1:10" x14ac:dyDescent="0.3">
      <c r="A5423" t="s">
        <v>6</v>
      </c>
      <c r="B5423" t="str">
        <f>"08/04/2016 00:00"</f>
        <v>08/04/2016 00:00</v>
      </c>
      <c r="C5423">
        <v>251</v>
      </c>
      <c r="D5423" t="s">
        <v>7</v>
      </c>
      <c r="E5423" s="2" t="s">
        <v>12</v>
      </c>
      <c r="F5423">
        <f t="shared" si="84"/>
        <v>497.733</v>
      </c>
      <c r="G5423" t="s">
        <v>16</v>
      </c>
      <c r="J5423" t="str">
        <f>"08/04/2016 23:45"</f>
        <v>08/04/2016 23:45</v>
      </c>
    </row>
    <row r="5424" spans="1:10" x14ac:dyDescent="0.3">
      <c r="A5424" t="s">
        <v>6</v>
      </c>
      <c r="B5424" t="str">
        <f>"08/05/2016 00:00"</f>
        <v>08/05/2016 00:00</v>
      </c>
      <c r="C5424">
        <v>188</v>
      </c>
      <c r="D5424" t="s">
        <v>7</v>
      </c>
      <c r="E5424" s="2" t="s">
        <v>12</v>
      </c>
      <c r="F5424">
        <f t="shared" si="84"/>
        <v>372.80400000000003</v>
      </c>
      <c r="G5424" t="s">
        <v>16</v>
      </c>
      <c r="J5424" t="str">
        <f>"08/05/2016 23:45"</f>
        <v>08/05/2016 23:45</v>
      </c>
    </row>
    <row r="5425" spans="1:10" x14ac:dyDescent="0.3">
      <c r="A5425" t="s">
        <v>6</v>
      </c>
      <c r="B5425" t="str">
        <f>"08/06/2016 00:00"</f>
        <v>08/06/2016 00:00</v>
      </c>
      <c r="C5425">
        <v>115</v>
      </c>
      <c r="D5425" t="s">
        <v>7</v>
      </c>
      <c r="E5425" s="2" t="s">
        <v>12</v>
      </c>
      <c r="F5425">
        <f t="shared" si="84"/>
        <v>228.04500000000002</v>
      </c>
      <c r="G5425" t="s">
        <v>16</v>
      </c>
      <c r="J5425" t="str">
        <f>"08/06/2016 23:45"</f>
        <v>08/06/2016 23:45</v>
      </c>
    </row>
    <row r="5426" spans="1:10" x14ac:dyDescent="0.3">
      <c r="A5426" t="s">
        <v>6</v>
      </c>
      <c r="B5426" t="str">
        <f>"08/07/2016 00:00"</f>
        <v>08/07/2016 00:00</v>
      </c>
      <c r="C5426">
        <v>98.1</v>
      </c>
      <c r="D5426" t="s">
        <v>7</v>
      </c>
      <c r="E5426" s="2" t="s">
        <v>12</v>
      </c>
      <c r="F5426">
        <f t="shared" si="84"/>
        <v>194.53229999999999</v>
      </c>
      <c r="G5426" t="s">
        <v>16</v>
      </c>
      <c r="J5426" t="str">
        <f>"08/07/2016 23:45"</f>
        <v>08/07/2016 23:45</v>
      </c>
    </row>
    <row r="5427" spans="1:10" x14ac:dyDescent="0.3">
      <c r="A5427" t="s">
        <v>6</v>
      </c>
      <c r="B5427" t="str">
        <f>"08/08/2016 00:00"</f>
        <v>08/08/2016 00:00</v>
      </c>
      <c r="C5427">
        <v>155</v>
      </c>
      <c r="D5427" t="s">
        <v>7</v>
      </c>
      <c r="E5427" s="2" t="s">
        <v>12</v>
      </c>
      <c r="F5427">
        <f t="shared" si="84"/>
        <v>307.36500000000001</v>
      </c>
      <c r="G5427" t="s">
        <v>16</v>
      </c>
      <c r="J5427" t="str">
        <f>"08/08/2016 23:45"</f>
        <v>08/08/2016 23:45</v>
      </c>
    </row>
    <row r="5428" spans="1:10" x14ac:dyDescent="0.3">
      <c r="A5428" t="s">
        <v>6</v>
      </c>
      <c r="B5428" t="str">
        <f>"08/09/2016 00:00"</f>
        <v>08/09/2016 00:00</v>
      </c>
      <c r="C5428">
        <v>202</v>
      </c>
      <c r="D5428" t="s">
        <v>7</v>
      </c>
      <c r="E5428" s="2" t="s">
        <v>12</v>
      </c>
      <c r="F5428">
        <f t="shared" si="84"/>
        <v>400.56600000000003</v>
      </c>
      <c r="G5428" t="s">
        <v>16</v>
      </c>
      <c r="J5428" t="str">
        <f>"08/09/2016 23:45"</f>
        <v>08/09/2016 23:45</v>
      </c>
    </row>
    <row r="5429" spans="1:10" x14ac:dyDescent="0.3">
      <c r="A5429" t="s">
        <v>6</v>
      </c>
      <c r="B5429" t="str">
        <f>"08/10/2016 00:00"</f>
        <v>08/10/2016 00:00</v>
      </c>
      <c r="C5429">
        <v>200</v>
      </c>
      <c r="D5429" t="s">
        <v>7</v>
      </c>
      <c r="E5429" s="2" t="s">
        <v>12</v>
      </c>
      <c r="F5429">
        <f t="shared" si="84"/>
        <v>396.6</v>
      </c>
      <c r="G5429" t="s">
        <v>16</v>
      </c>
      <c r="J5429" t="str">
        <f>"08/10/2016 23:45"</f>
        <v>08/10/2016 23:45</v>
      </c>
    </row>
    <row r="5430" spans="1:10" x14ac:dyDescent="0.3">
      <c r="A5430" t="s">
        <v>6</v>
      </c>
      <c r="B5430" t="str">
        <f>"08/11/2016 00:00"</f>
        <v>08/11/2016 00:00</v>
      </c>
      <c r="C5430">
        <v>256</v>
      </c>
      <c r="D5430" t="s">
        <v>7</v>
      </c>
      <c r="E5430" s="2" t="s">
        <v>12</v>
      </c>
      <c r="F5430">
        <f t="shared" si="84"/>
        <v>507.64800000000002</v>
      </c>
      <c r="G5430" t="s">
        <v>16</v>
      </c>
      <c r="J5430" t="str">
        <f>"08/11/2016 23:45"</f>
        <v>08/11/2016 23:45</v>
      </c>
    </row>
    <row r="5431" spans="1:10" x14ac:dyDescent="0.3">
      <c r="A5431" t="s">
        <v>6</v>
      </c>
      <c r="B5431" t="str">
        <f>"08/12/2016 00:00"</f>
        <v>08/12/2016 00:00</v>
      </c>
      <c r="C5431">
        <v>349</v>
      </c>
      <c r="D5431" t="s">
        <v>7</v>
      </c>
      <c r="E5431" s="2" t="s">
        <v>12</v>
      </c>
      <c r="F5431">
        <f t="shared" si="84"/>
        <v>692.06700000000001</v>
      </c>
      <c r="G5431" t="s">
        <v>16</v>
      </c>
      <c r="J5431" t="str">
        <f>"08/12/2016 23:45"</f>
        <v>08/12/2016 23:45</v>
      </c>
    </row>
    <row r="5432" spans="1:10" x14ac:dyDescent="0.3">
      <c r="A5432" t="s">
        <v>6</v>
      </c>
      <c r="B5432" t="str">
        <f>"08/13/2016 00:00"</f>
        <v>08/13/2016 00:00</v>
      </c>
      <c r="C5432">
        <v>350</v>
      </c>
      <c r="D5432" t="s">
        <v>7</v>
      </c>
      <c r="E5432" s="2" t="s">
        <v>12</v>
      </c>
      <c r="F5432">
        <f t="shared" si="84"/>
        <v>694.05000000000007</v>
      </c>
      <c r="G5432" t="s">
        <v>16</v>
      </c>
      <c r="J5432" t="str">
        <f>"08/13/2016 23:45"</f>
        <v>08/13/2016 23:45</v>
      </c>
    </row>
    <row r="5433" spans="1:10" x14ac:dyDescent="0.3">
      <c r="A5433" t="s">
        <v>6</v>
      </c>
      <c r="B5433" t="str">
        <f>"08/14/2016 00:00"</f>
        <v>08/14/2016 00:00</v>
      </c>
      <c r="C5433">
        <v>311</v>
      </c>
      <c r="D5433" t="s">
        <v>7</v>
      </c>
      <c r="E5433" s="2" t="s">
        <v>12</v>
      </c>
      <c r="F5433">
        <f t="shared" si="84"/>
        <v>616.71300000000008</v>
      </c>
      <c r="G5433" t="s">
        <v>16</v>
      </c>
      <c r="J5433" t="str">
        <f>"08/14/2016 23:45"</f>
        <v>08/14/2016 23:45</v>
      </c>
    </row>
    <row r="5434" spans="1:10" x14ac:dyDescent="0.3">
      <c r="A5434" t="s">
        <v>6</v>
      </c>
      <c r="B5434" t="str">
        <f>"08/15/2016 00:00"</f>
        <v>08/15/2016 00:00</v>
      </c>
      <c r="C5434">
        <v>215</v>
      </c>
      <c r="D5434" t="s">
        <v>7</v>
      </c>
      <c r="E5434" s="2" t="s">
        <v>12</v>
      </c>
      <c r="F5434">
        <f t="shared" si="84"/>
        <v>426.34500000000003</v>
      </c>
      <c r="G5434" t="s">
        <v>16</v>
      </c>
      <c r="J5434" t="str">
        <f>"08/15/2016 23:45"</f>
        <v>08/15/2016 23:45</v>
      </c>
    </row>
    <row r="5435" spans="1:10" x14ac:dyDescent="0.3">
      <c r="A5435" t="s">
        <v>6</v>
      </c>
      <c r="B5435" t="str">
        <f>"08/16/2016 00:00"</f>
        <v>08/16/2016 00:00</v>
      </c>
      <c r="C5435">
        <v>193</v>
      </c>
      <c r="D5435" t="s">
        <v>7</v>
      </c>
      <c r="E5435" s="2" t="s">
        <v>12</v>
      </c>
      <c r="F5435">
        <f t="shared" si="84"/>
        <v>382.71899999999999</v>
      </c>
      <c r="G5435" t="s">
        <v>16</v>
      </c>
      <c r="J5435" t="str">
        <f>"08/16/2016 23:45"</f>
        <v>08/16/2016 23:45</v>
      </c>
    </row>
    <row r="5436" spans="1:10" x14ac:dyDescent="0.3">
      <c r="A5436" t="s">
        <v>6</v>
      </c>
      <c r="B5436" t="str">
        <f>"08/17/2016 00:00"</f>
        <v>08/17/2016 00:00</v>
      </c>
      <c r="C5436">
        <v>194</v>
      </c>
      <c r="D5436" t="s">
        <v>7</v>
      </c>
      <c r="E5436" s="2" t="s">
        <v>12</v>
      </c>
      <c r="F5436">
        <f t="shared" si="84"/>
        <v>384.702</v>
      </c>
      <c r="G5436" t="s">
        <v>16</v>
      </c>
      <c r="J5436" t="str">
        <f>"08/17/2016 23:45"</f>
        <v>08/17/2016 23:45</v>
      </c>
    </row>
    <row r="5437" spans="1:10" x14ac:dyDescent="0.3">
      <c r="A5437" t="s">
        <v>6</v>
      </c>
      <c r="B5437" t="str">
        <f>"08/18/2016 00:00"</f>
        <v>08/18/2016 00:00</v>
      </c>
      <c r="C5437">
        <v>198</v>
      </c>
      <c r="D5437" t="s">
        <v>7</v>
      </c>
      <c r="E5437" s="2" t="s">
        <v>12</v>
      </c>
      <c r="F5437">
        <f t="shared" si="84"/>
        <v>392.63400000000001</v>
      </c>
      <c r="G5437" t="s">
        <v>16</v>
      </c>
      <c r="J5437" t="str">
        <f>"08/18/2016 23:45"</f>
        <v>08/18/2016 23:45</v>
      </c>
    </row>
    <row r="5438" spans="1:10" x14ac:dyDescent="0.3">
      <c r="A5438" t="s">
        <v>6</v>
      </c>
      <c r="B5438" t="str">
        <f>"08/19/2016 00:00"</f>
        <v>08/19/2016 00:00</v>
      </c>
      <c r="C5438">
        <v>201</v>
      </c>
      <c r="D5438" t="s">
        <v>7</v>
      </c>
      <c r="E5438" s="2" t="s">
        <v>12</v>
      </c>
      <c r="F5438">
        <f t="shared" si="84"/>
        <v>398.58300000000003</v>
      </c>
      <c r="G5438" t="s">
        <v>16</v>
      </c>
      <c r="J5438" t="str">
        <f>"08/19/2016 23:45"</f>
        <v>08/19/2016 23:45</v>
      </c>
    </row>
    <row r="5439" spans="1:10" x14ac:dyDescent="0.3">
      <c r="A5439" t="s">
        <v>6</v>
      </c>
      <c r="B5439" t="str">
        <f>"08/20/2016 00:00"</f>
        <v>08/20/2016 00:00</v>
      </c>
      <c r="C5439">
        <v>201</v>
      </c>
      <c r="D5439" t="s">
        <v>7</v>
      </c>
      <c r="E5439" s="2" t="s">
        <v>12</v>
      </c>
      <c r="F5439">
        <f t="shared" si="84"/>
        <v>398.58300000000003</v>
      </c>
      <c r="G5439" t="s">
        <v>16</v>
      </c>
      <c r="J5439" t="str">
        <f>"08/20/2016 23:45"</f>
        <v>08/20/2016 23:45</v>
      </c>
    </row>
    <row r="5440" spans="1:10" x14ac:dyDescent="0.3">
      <c r="A5440" t="s">
        <v>6</v>
      </c>
      <c r="B5440" t="str">
        <f>"08/21/2016 00:00"</f>
        <v>08/21/2016 00:00</v>
      </c>
      <c r="C5440">
        <v>201</v>
      </c>
      <c r="D5440" t="s">
        <v>7</v>
      </c>
      <c r="E5440" s="2" t="s">
        <v>12</v>
      </c>
      <c r="F5440">
        <f t="shared" si="84"/>
        <v>398.58300000000003</v>
      </c>
      <c r="G5440" t="s">
        <v>16</v>
      </c>
      <c r="J5440" t="str">
        <f>"08/21/2016 23:45"</f>
        <v>08/21/2016 23:45</v>
      </c>
    </row>
    <row r="5441" spans="1:10" x14ac:dyDescent="0.3">
      <c r="A5441" t="s">
        <v>6</v>
      </c>
      <c r="B5441" t="str">
        <f>"08/22/2016 00:00"</f>
        <v>08/22/2016 00:00</v>
      </c>
      <c r="C5441">
        <v>201</v>
      </c>
      <c r="D5441" t="s">
        <v>7</v>
      </c>
      <c r="E5441" s="2" t="s">
        <v>12</v>
      </c>
      <c r="F5441">
        <f t="shared" si="84"/>
        <v>398.58300000000003</v>
      </c>
      <c r="G5441" t="s">
        <v>16</v>
      </c>
      <c r="J5441" t="str">
        <f>"08/22/2016 23:45"</f>
        <v>08/22/2016 23:45</v>
      </c>
    </row>
    <row r="5442" spans="1:10" x14ac:dyDescent="0.3">
      <c r="A5442" t="s">
        <v>6</v>
      </c>
      <c r="B5442" t="str">
        <f>"08/23/2016 00:00"</f>
        <v>08/23/2016 00:00</v>
      </c>
      <c r="C5442">
        <v>201</v>
      </c>
      <c r="D5442" t="s">
        <v>7</v>
      </c>
      <c r="E5442" s="2" t="s">
        <v>12</v>
      </c>
      <c r="F5442">
        <f t="shared" si="84"/>
        <v>398.58300000000003</v>
      </c>
      <c r="G5442" t="s">
        <v>16</v>
      </c>
      <c r="J5442" t="str">
        <f>"08/23/2016 23:45"</f>
        <v>08/23/2016 23:45</v>
      </c>
    </row>
    <row r="5443" spans="1:10" x14ac:dyDescent="0.3">
      <c r="A5443" t="s">
        <v>6</v>
      </c>
      <c r="B5443" t="str">
        <f>"08/24/2016 00:00"</f>
        <v>08/24/2016 00:00</v>
      </c>
      <c r="C5443">
        <v>201</v>
      </c>
      <c r="D5443" t="s">
        <v>7</v>
      </c>
      <c r="E5443" s="2" t="s">
        <v>12</v>
      </c>
      <c r="F5443">
        <f t="shared" si="84"/>
        <v>398.58300000000003</v>
      </c>
      <c r="G5443" t="s">
        <v>16</v>
      </c>
      <c r="J5443" t="str">
        <f>"08/24/2016 23:45"</f>
        <v>08/24/2016 23:45</v>
      </c>
    </row>
    <row r="5444" spans="1:10" x14ac:dyDescent="0.3">
      <c r="A5444" t="s">
        <v>6</v>
      </c>
      <c r="B5444" t="str">
        <f>"08/25/2016 00:00"</f>
        <v>08/25/2016 00:00</v>
      </c>
      <c r="C5444">
        <v>201</v>
      </c>
      <c r="D5444" t="s">
        <v>7</v>
      </c>
      <c r="E5444" s="2" t="s">
        <v>12</v>
      </c>
      <c r="F5444">
        <f t="shared" ref="F5444:F5507" si="85">C5444*1.983</f>
        <v>398.58300000000003</v>
      </c>
      <c r="G5444" t="s">
        <v>16</v>
      </c>
      <c r="J5444" t="str">
        <f>"08/25/2016 23:45"</f>
        <v>08/25/2016 23:45</v>
      </c>
    </row>
    <row r="5445" spans="1:10" x14ac:dyDescent="0.3">
      <c r="A5445" t="s">
        <v>6</v>
      </c>
      <c r="B5445" t="str">
        <f>"08/26/2016 00:00"</f>
        <v>08/26/2016 00:00</v>
      </c>
      <c r="C5445">
        <v>201</v>
      </c>
      <c r="D5445" t="s">
        <v>7</v>
      </c>
      <c r="E5445" s="2" t="s">
        <v>12</v>
      </c>
      <c r="F5445">
        <f t="shared" si="85"/>
        <v>398.58300000000003</v>
      </c>
      <c r="G5445" t="s">
        <v>16</v>
      </c>
      <c r="J5445" t="str">
        <f>"08/26/2016 23:45"</f>
        <v>08/26/2016 23:45</v>
      </c>
    </row>
    <row r="5446" spans="1:10" x14ac:dyDescent="0.3">
      <c r="A5446" t="s">
        <v>6</v>
      </c>
      <c r="B5446" t="str">
        <f>"08/27/2016 00:00"</f>
        <v>08/27/2016 00:00</v>
      </c>
      <c r="C5446">
        <v>201</v>
      </c>
      <c r="D5446" t="s">
        <v>7</v>
      </c>
      <c r="E5446" s="2" t="s">
        <v>12</v>
      </c>
      <c r="F5446">
        <f t="shared" si="85"/>
        <v>398.58300000000003</v>
      </c>
      <c r="G5446" t="s">
        <v>16</v>
      </c>
      <c r="J5446" t="str">
        <f>"08/27/2016 23:45"</f>
        <v>08/27/2016 23:45</v>
      </c>
    </row>
    <row r="5447" spans="1:10" x14ac:dyDescent="0.3">
      <c r="A5447" t="s">
        <v>6</v>
      </c>
      <c r="B5447" t="str">
        <f>"08/28/2016 00:00"</f>
        <v>08/28/2016 00:00</v>
      </c>
      <c r="C5447">
        <v>201</v>
      </c>
      <c r="D5447" t="s">
        <v>7</v>
      </c>
      <c r="E5447" s="2" t="s">
        <v>12</v>
      </c>
      <c r="F5447">
        <f t="shared" si="85"/>
        <v>398.58300000000003</v>
      </c>
      <c r="G5447" t="s">
        <v>16</v>
      </c>
      <c r="J5447" t="str">
        <f>"08/28/2016 23:45"</f>
        <v>08/28/2016 23:45</v>
      </c>
    </row>
    <row r="5448" spans="1:10" x14ac:dyDescent="0.3">
      <c r="A5448" t="s">
        <v>6</v>
      </c>
      <c r="B5448" t="str">
        <f>"08/29/2016 00:00"</f>
        <v>08/29/2016 00:00</v>
      </c>
      <c r="C5448">
        <v>201</v>
      </c>
      <c r="D5448" t="s">
        <v>7</v>
      </c>
      <c r="E5448" s="2" t="s">
        <v>12</v>
      </c>
      <c r="F5448">
        <f t="shared" si="85"/>
        <v>398.58300000000003</v>
      </c>
      <c r="G5448" t="s">
        <v>16</v>
      </c>
      <c r="J5448" t="str">
        <f>"08/29/2016 23:45"</f>
        <v>08/29/2016 23:45</v>
      </c>
    </row>
    <row r="5449" spans="1:10" x14ac:dyDescent="0.3">
      <c r="A5449" t="s">
        <v>6</v>
      </c>
      <c r="B5449" t="str">
        <f>"08/30/2016 00:00"</f>
        <v>08/30/2016 00:00</v>
      </c>
      <c r="C5449">
        <v>224</v>
      </c>
      <c r="D5449" t="s">
        <v>7</v>
      </c>
      <c r="E5449" s="2" t="s">
        <v>12</v>
      </c>
      <c r="F5449">
        <f t="shared" si="85"/>
        <v>444.19200000000001</v>
      </c>
      <c r="G5449" t="s">
        <v>16</v>
      </c>
      <c r="J5449" t="str">
        <f>"08/30/2016 23:45"</f>
        <v>08/30/2016 23:45</v>
      </c>
    </row>
    <row r="5450" spans="1:10" x14ac:dyDescent="0.3">
      <c r="A5450" t="s">
        <v>6</v>
      </c>
      <c r="B5450" t="str">
        <f>"08/31/2016 00:00"</f>
        <v>08/31/2016 00:00</v>
      </c>
      <c r="C5450">
        <v>245</v>
      </c>
      <c r="D5450" t="s">
        <v>7</v>
      </c>
      <c r="E5450" s="2" t="s">
        <v>12</v>
      </c>
      <c r="F5450">
        <f t="shared" si="85"/>
        <v>485.83500000000004</v>
      </c>
      <c r="G5450" t="s">
        <v>16</v>
      </c>
      <c r="J5450" t="str">
        <f>"08/31/2016 23:45"</f>
        <v>08/31/2016 23:45</v>
      </c>
    </row>
    <row r="5451" spans="1:10" x14ac:dyDescent="0.3">
      <c r="A5451" t="s">
        <v>6</v>
      </c>
      <c r="B5451" t="str">
        <f>"09/01/2016 00:00"</f>
        <v>09/01/2016 00:00</v>
      </c>
      <c r="C5451">
        <v>248</v>
      </c>
      <c r="D5451" t="s">
        <v>7</v>
      </c>
      <c r="E5451" s="2" t="s">
        <v>12</v>
      </c>
      <c r="F5451">
        <f t="shared" si="85"/>
        <v>491.78400000000005</v>
      </c>
      <c r="G5451" t="s">
        <v>16</v>
      </c>
      <c r="J5451" t="str">
        <f>"09/01/2016 23:45"</f>
        <v>09/01/2016 23:45</v>
      </c>
    </row>
    <row r="5452" spans="1:10" x14ac:dyDescent="0.3">
      <c r="A5452" t="s">
        <v>6</v>
      </c>
      <c r="B5452" t="str">
        <f>"09/02/2016 00:00"</f>
        <v>09/02/2016 00:00</v>
      </c>
      <c r="C5452">
        <v>249</v>
      </c>
      <c r="D5452" t="s">
        <v>7</v>
      </c>
      <c r="E5452" s="2" t="s">
        <v>12</v>
      </c>
      <c r="F5452">
        <f t="shared" si="85"/>
        <v>493.767</v>
      </c>
      <c r="G5452" t="s">
        <v>16</v>
      </c>
      <c r="J5452" t="str">
        <f>"09/02/2016 23:45"</f>
        <v>09/02/2016 23:45</v>
      </c>
    </row>
    <row r="5453" spans="1:10" x14ac:dyDescent="0.3">
      <c r="A5453" t="s">
        <v>6</v>
      </c>
      <c r="B5453" t="str">
        <f>"09/03/2016 00:00"</f>
        <v>09/03/2016 00:00</v>
      </c>
      <c r="C5453">
        <v>248</v>
      </c>
      <c r="D5453" t="s">
        <v>7</v>
      </c>
      <c r="E5453" s="2" t="s">
        <v>12</v>
      </c>
      <c r="F5453">
        <f t="shared" si="85"/>
        <v>491.78400000000005</v>
      </c>
      <c r="G5453" t="s">
        <v>16</v>
      </c>
      <c r="J5453" t="str">
        <f>"09/03/2016 23:45"</f>
        <v>09/03/2016 23:45</v>
      </c>
    </row>
    <row r="5454" spans="1:10" x14ac:dyDescent="0.3">
      <c r="A5454" t="s">
        <v>6</v>
      </c>
      <c r="B5454" t="str">
        <f>"09/04/2016 00:00"</f>
        <v>09/04/2016 00:00</v>
      </c>
      <c r="C5454">
        <v>188</v>
      </c>
      <c r="D5454" t="s">
        <v>7</v>
      </c>
      <c r="E5454" s="2" t="s">
        <v>12</v>
      </c>
      <c r="F5454">
        <f t="shared" si="85"/>
        <v>372.80400000000003</v>
      </c>
      <c r="G5454" t="s">
        <v>16</v>
      </c>
      <c r="J5454" t="str">
        <f>"09/04/2016 23:45"</f>
        <v>09/04/2016 23:45</v>
      </c>
    </row>
    <row r="5455" spans="1:10" x14ac:dyDescent="0.3">
      <c r="A5455" t="s">
        <v>6</v>
      </c>
      <c r="B5455" t="str">
        <f>"09/05/2016 00:00"</f>
        <v>09/05/2016 00:00</v>
      </c>
      <c r="C5455">
        <v>104</v>
      </c>
      <c r="D5455" t="s">
        <v>7</v>
      </c>
      <c r="E5455" s="2" t="s">
        <v>12</v>
      </c>
      <c r="F5455">
        <f t="shared" si="85"/>
        <v>206.232</v>
      </c>
      <c r="G5455" t="s">
        <v>16</v>
      </c>
      <c r="J5455" t="str">
        <f>"09/05/2016 23:45"</f>
        <v>09/05/2016 23:45</v>
      </c>
    </row>
    <row r="5456" spans="1:10" x14ac:dyDescent="0.3">
      <c r="A5456" t="s">
        <v>6</v>
      </c>
      <c r="B5456" t="str">
        <f>"09/06/2016 00:00"</f>
        <v>09/06/2016 00:00</v>
      </c>
      <c r="C5456">
        <v>71.900000000000006</v>
      </c>
      <c r="D5456" t="s">
        <v>7</v>
      </c>
      <c r="E5456" s="2" t="s">
        <v>12</v>
      </c>
      <c r="F5456">
        <f t="shared" si="85"/>
        <v>142.57770000000002</v>
      </c>
      <c r="G5456" t="s">
        <v>16</v>
      </c>
      <c r="J5456" t="str">
        <f>"09/06/2016 23:45"</f>
        <v>09/06/2016 23:45</v>
      </c>
    </row>
    <row r="5457" spans="1:10" x14ac:dyDescent="0.3">
      <c r="A5457" t="s">
        <v>6</v>
      </c>
      <c r="B5457" t="str">
        <f>"09/07/2016 00:00"</f>
        <v>09/07/2016 00:00</v>
      </c>
      <c r="C5457">
        <v>96.7</v>
      </c>
      <c r="D5457" t="s">
        <v>7</v>
      </c>
      <c r="E5457" s="2" t="s">
        <v>12</v>
      </c>
      <c r="F5457">
        <f t="shared" si="85"/>
        <v>191.7561</v>
      </c>
      <c r="G5457" t="s">
        <v>16</v>
      </c>
      <c r="J5457" t="str">
        <f>"09/07/2016 23:45"</f>
        <v>09/07/2016 23:45</v>
      </c>
    </row>
    <row r="5458" spans="1:10" x14ac:dyDescent="0.3">
      <c r="A5458" t="s">
        <v>6</v>
      </c>
      <c r="B5458" t="str">
        <f>"09/08/2016 00:00"</f>
        <v>09/08/2016 00:00</v>
      </c>
      <c r="C5458">
        <v>16.8</v>
      </c>
      <c r="D5458" t="s">
        <v>7</v>
      </c>
      <c r="E5458" s="2" t="s">
        <v>12</v>
      </c>
      <c r="F5458">
        <f t="shared" si="85"/>
        <v>33.314400000000006</v>
      </c>
      <c r="G5458" t="s">
        <v>16</v>
      </c>
      <c r="J5458" t="str">
        <f>"09/08/2016 23:45"</f>
        <v>09/08/2016 23:45</v>
      </c>
    </row>
    <row r="5459" spans="1:10" x14ac:dyDescent="0.3">
      <c r="A5459" t="s">
        <v>6</v>
      </c>
      <c r="B5459" t="str">
        <f>"09/09/2016 00:00"</f>
        <v>09/09/2016 00:00</v>
      </c>
      <c r="C5459">
        <v>7.68</v>
      </c>
      <c r="D5459" t="s">
        <v>7</v>
      </c>
      <c r="E5459" s="2" t="s">
        <v>12</v>
      </c>
      <c r="F5459">
        <f t="shared" si="85"/>
        <v>15.22944</v>
      </c>
      <c r="G5459" t="s">
        <v>16</v>
      </c>
      <c r="J5459" t="str">
        <f>"09/09/2016 23:45"</f>
        <v>09/09/2016 23:45</v>
      </c>
    </row>
    <row r="5460" spans="1:10" x14ac:dyDescent="0.3">
      <c r="A5460" t="s">
        <v>6</v>
      </c>
      <c r="B5460" t="str">
        <f>"09/10/2016 00:00"</f>
        <v>09/10/2016 00:00</v>
      </c>
      <c r="C5460">
        <v>7.4</v>
      </c>
      <c r="D5460" t="s">
        <v>7</v>
      </c>
      <c r="E5460" s="2" t="s">
        <v>12</v>
      </c>
      <c r="F5460">
        <f t="shared" si="85"/>
        <v>14.674200000000001</v>
      </c>
      <c r="G5460" t="s">
        <v>16</v>
      </c>
      <c r="J5460" t="str">
        <f>"09/10/2016 23:45"</f>
        <v>09/10/2016 23:45</v>
      </c>
    </row>
    <row r="5461" spans="1:10" x14ac:dyDescent="0.3">
      <c r="A5461" t="s">
        <v>6</v>
      </c>
      <c r="B5461" t="str">
        <f>"09/11/2016 00:00"</f>
        <v>09/11/2016 00:00</v>
      </c>
      <c r="C5461">
        <v>8.4600000000000009</v>
      </c>
      <c r="D5461" t="s">
        <v>7</v>
      </c>
      <c r="E5461" s="2" t="s">
        <v>12</v>
      </c>
      <c r="F5461">
        <f t="shared" si="85"/>
        <v>16.776180000000004</v>
      </c>
      <c r="G5461" t="s">
        <v>16</v>
      </c>
      <c r="J5461" t="str">
        <f>"09/11/2016 23:45"</f>
        <v>09/11/2016 23:45</v>
      </c>
    </row>
    <row r="5462" spans="1:10" x14ac:dyDescent="0.3">
      <c r="A5462" t="s">
        <v>6</v>
      </c>
      <c r="B5462" t="str">
        <f>"09/12/2016 00:00"</f>
        <v>09/12/2016 00:00</v>
      </c>
      <c r="C5462">
        <v>8.85</v>
      </c>
      <c r="D5462" t="s">
        <v>7</v>
      </c>
      <c r="E5462" s="2" t="s">
        <v>12</v>
      </c>
      <c r="F5462">
        <f t="shared" si="85"/>
        <v>17.54955</v>
      </c>
      <c r="G5462" t="s">
        <v>16</v>
      </c>
      <c r="J5462" t="str">
        <f>"09/12/2016 23:45"</f>
        <v>09/12/2016 23:45</v>
      </c>
    </row>
    <row r="5463" spans="1:10" x14ac:dyDescent="0.3">
      <c r="A5463" t="s">
        <v>6</v>
      </c>
      <c r="B5463" t="str">
        <f>"09/13/2016 00:00"</f>
        <v>09/13/2016 00:00</v>
      </c>
      <c r="C5463">
        <v>8.83</v>
      </c>
      <c r="D5463" t="s">
        <v>7</v>
      </c>
      <c r="E5463" s="2" t="s">
        <v>12</v>
      </c>
      <c r="F5463">
        <f t="shared" si="85"/>
        <v>17.509890000000002</v>
      </c>
      <c r="G5463" t="s">
        <v>16</v>
      </c>
      <c r="J5463" t="str">
        <f>"09/13/2016 23:45"</f>
        <v>09/13/2016 23:45</v>
      </c>
    </row>
    <row r="5464" spans="1:10" x14ac:dyDescent="0.3">
      <c r="A5464" t="s">
        <v>6</v>
      </c>
      <c r="B5464" t="str">
        <f>"09/14/2016 00:00"</f>
        <v>09/14/2016 00:00</v>
      </c>
      <c r="C5464">
        <v>8.4499999999999993</v>
      </c>
      <c r="D5464" t="s">
        <v>7</v>
      </c>
      <c r="E5464" s="2" t="s">
        <v>12</v>
      </c>
      <c r="F5464">
        <f t="shared" si="85"/>
        <v>16.756349999999998</v>
      </c>
      <c r="G5464" t="s">
        <v>16</v>
      </c>
      <c r="J5464" t="str">
        <f>"09/14/2016 23:45"</f>
        <v>09/14/2016 23:45</v>
      </c>
    </row>
    <row r="5465" spans="1:10" x14ac:dyDescent="0.3">
      <c r="A5465" t="s">
        <v>6</v>
      </c>
      <c r="B5465" t="str">
        <f>"09/15/2016 00:00"</f>
        <v>09/15/2016 00:00</v>
      </c>
      <c r="C5465">
        <v>8.2799999999999994</v>
      </c>
      <c r="D5465" t="s">
        <v>7</v>
      </c>
      <c r="E5465" s="2" t="s">
        <v>12</v>
      </c>
      <c r="F5465">
        <f t="shared" si="85"/>
        <v>16.419239999999999</v>
      </c>
      <c r="G5465" t="s">
        <v>16</v>
      </c>
      <c r="J5465" t="str">
        <f>"09/15/2016 23:45"</f>
        <v>09/15/2016 23:45</v>
      </c>
    </row>
    <row r="5466" spans="1:10" x14ac:dyDescent="0.3">
      <c r="A5466" t="s">
        <v>6</v>
      </c>
      <c r="B5466" t="str">
        <f>"09/16/2016 00:00"</f>
        <v>09/16/2016 00:00</v>
      </c>
      <c r="C5466">
        <v>8.07</v>
      </c>
      <c r="D5466" t="s">
        <v>7</v>
      </c>
      <c r="E5466" s="2" t="s">
        <v>12</v>
      </c>
      <c r="F5466">
        <f t="shared" si="85"/>
        <v>16.00281</v>
      </c>
      <c r="G5466" t="s">
        <v>16</v>
      </c>
      <c r="J5466" t="str">
        <f>"09/16/2016 23:45"</f>
        <v>09/16/2016 23:45</v>
      </c>
    </row>
    <row r="5467" spans="1:10" x14ac:dyDescent="0.3">
      <c r="A5467" t="s">
        <v>6</v>
      </c>
      <c r="B5467" t="str">
        <f>"09/17/2016 00:00"</f>
        <v>09/17/2016 00:00</v>
      </c>
      <c r="C5467">
        <v>7.77</v>
      </c>
      <c r="D5467" t="s">
        <v>7</v>
      </c>
      <c r="E5467" s="2" t="s">
        <v>12</v>
      </c>
      <c r="F5467">
        <f t="shared" si="85"/>
        <v>15.407909999999999</v>
      </c>
      <c r="G5467" t="s">
        <v>16</v>
      </c>
      <c r="J5467" t="str">
        <f>"09/17/2016 23:45"</f>
        <v>09/17/2016 23:45</v>
      </c>
    </row>
    <row r="5468" spans="1:10" x14ac:dyDescent="0.3">
      <c r="A5468" t="s">
        <v>6</v>
      </c>
      <c r="B5468" t="str">
        <f>"09/18/2016 00:00"</f>
        <v>09/18/2016 00:00</v>
      </c>
      <c r="C5468">
        <v>7.77</v>
      </c>
      <c r="D5468" t="s">
        <v>7</v>
      </c>
      <c r="E5468" s="2" t="s">
        <v>12</v>
      </c>
      <c r="F5468">
        <f t="shared" si="85"/>
        <v>15.407909999999999</v>
      </c>
      <c r="G5468" t="s">
        <v>16</v>
      </c>
      <c r="J5468" t="str">
        <f>"09/18/2016 23:45"</f>
        <v>09/18/2016 23:45</v>
      </c>
    </row>
    <row r="5469" spans="1:10" x14ac:dyDescent="0.3">
      <c r="A5469" t="s">
        <v>6</v>
      </c>
      <c r="B5469" t="str">
        <f>"09/19/2016 00:00"</f>
        <v>09/19/2016 00:00</v>
      </c>
      <c r="C5469">
        <v>7.77</v>
      </c>
      <c r="D5469" t="s">
        <v>7</v>
      </c>
      <c r="E5469" s="2" t="s">
        <v>12</v>
      </c>
      <c r="F5469">
        <f t="shared" si="85"/>
        <v>15.407909999999999</v>
      </c>
      <c r="G5469" t="s">
        <v>16</v>
      </c>
      <c r="J5469" t="str">
        <f>"09/19/2016 23:45"</f>
        <v>09/19/2016 23:45</v>
      </c>
    </row>
    <row r="5470" spans="1:10" x14ac:dyDescent="0.3">
      <c r="A5470" t="s">
        <v>6</v>
      </c>
      <c r="B5470" t="str">
        <f>"09/20/2016 00:00"</f>
        <v>09/20/2016 00:00</v>
      </c>
      <c r="C5470">
        <v>5.93</v>
      </c>
      <c r="D5470" t="s">
        <v>7</v>
      </c>
      <c r="E5470" s="2" t="s">
        <v>12</v>
      </c>
      <c r="F5470">
        <f t="shared" si="85"/>
        <v>11.75919</v>
      </c>
      <c r="G5470" t="s">
        <v>16</v>
      </c>
      <c r="J5470" t="str">
        <f>"09/20/2016 23:45"</f>
        <v>09/20/2016 23:45</v>
      </c>
    </row>
    <row r="5471" spans="1:10" x14ac:dyDescent="0.3">
      <c r="A5471" t="s">
        <v>6</v>
      </c>
      <c r="B5471" t="str">
        <f>"09/21/2016 00:00"</f>
        <v>09/21/2016 00:00</v>
      </c>
      <c r="C5471">
        <v>4.96</v>
      </c>
      <c r="D5471" t="s">
        <v>7</v>
      </c>
      <c r="E5471" s="2" t="s">
        <v>12</v>
      </c>
      <c r="F5471">
        <f t="shared" si="85"/>
        <v>9.83568</v>
      </c>
      <c r="G5471" t="s">
        <v>16</v>
      </c>
      <c r="J5471" t="str">
        <f>"09/21/2016 23:45"</f>
        <v>09/21/2016 23:45</v>
      </c>
    </row>
    <row r="5472" spans="1:10" x14ac:dyDescent="0.3">
      <c r="A5472" t="s">
        <v>6</v>
      </c>
      <c r="B5472" t="str">
        <f>"09/22/2016 00:00"</f>
        <v>09/22/2016 00:00</v>
      </c>
      <c r="C5472">
        <v>4.91</v>
      </c>
      <c r="D5472" t="s">
        <v>7</v>
      </c>
      <c r="E5472" s="2" t="s">
        <v>12</v>
      </c>
      <c r="F5472">
        <f t="shared" si="85"/>
        <v>9.7365300000000001</v>
      </c>
      <c r="G5472" t="s">
        <v>16</v>
      </c>
      <c r="J5472" t="str">
        <f>"09/22/2016 23:45"</f>
        <v>09/22/2016 23:45</v>
      </c>
    </row>
    <row r="5473" spans="1:10" x14ac:dyDescent="0.3">
      <c r="A5473" t="s">
        <v>6</v>
      </c>
      <c r="B5473" t="str">
        <f>"09/23/2016 00:00"</f>
        <v>09/23/2016 00:00</v>
      </c>
      <c r="C5473">
        <v>5.26</v>
      </c>
      <c r="D5473" t="s">
        <v>7</v>
      </c>
      <c r="E5473" s="2" t="s">
        <v>12</v>
      </c>
      <c r="F5473">
        <f t="shared" si="85"/>
        <v>10.430580000000001</v>
      </c>
      <c r="G5473" t="s">
        <v>16</v>
      </c>
      <c r="J5473" t="str">
        <f>"09/23/2016 23:45"</f>
        <v>09/23/2016 23:45</v>
      </c>
    </row>
    <row r="5474" spans="1:10" x14ac:dyDescent="0.3">
      <c r="A5474" t="s">
        <v>6</v>
      </c>
      <c r="B5474" t="str">
        <f>"09/24/2016 00:00"</f>
        <v>09/24/2016 00:00</v>
      </c>
      <c r="C5474">
        <v>5.05</v>
      </c>
      <c r="D5474" t="s">
        <v>7</v>
      </c>
      <c r="E5474" s="2" t="s">
        <v>12</v>
      </c>
      <c r="F5474">
        <f t="shared" si="85"/>
        <v>10.014150000000001</v>
      </c>
      <c r="G5474" t="s">
        <v>16</v>
      </c>
      <c r="J5474" t="str">
        <f>"09/24/2016 23:45"</f>
        <v>09/24/2016 23:45</v>
      </c>
    </row>
    <row r="5475" spans="1:10" x14ac:dyDescent="0.3">
      <c r="A5475" t="s">
        <v>6</v>
      </c>
      <c r="B5475" t="str">
        <f>"09/25/2016 00:00"</f>
        <v>09/25/2016 00:00</v>
      </c>
      <c r="C5475">
        <v>4.91</v>
      </c>
      <c r="D5475" t="s">
        <v>7</v>
      </c>
      <c r="E5475" s="2" t="s">
        <v>12</v>
      </c>
      <c r="F5475">
        <f t="shared" si="85"/>
        <v>9.7365300000000001</v>
      </c>
      <c r="G5475" t="s">
        <v>16</v>
      </c>
      <c r="J5475" t="str">
        <f>"09/25/2016 23:45"</f>
        <v>09/25/2016 23:45</v>
      </c>
    </row>
    <row r="5476" spans="1:10" x14ac:dyDescent="0.3">
      <c r="A5476" t="s">
        <v>6</v>
      </c>
      <c r="B5476" t="str">
        <f>"09/26/2016 00:00"</f>
        <v>09/26/2016 00:00</v>
      </c>
      <c r="C5476">
        <v>4.91</v>
      </c>
      <c r="D5476" t="s">
        <v>7</v>
      </c>
      <c r="E5476" s="2" t="s">
        <v>12</v>
      </c>
      <c r="F5476">
        <f t="shared" si="85"/>
        <v>9.7365300000000001</v>
      </c>
      <c r="G5476" t="s">
        <v>16</v>
      </c>
      <c r="J5476" t="str">
        <f>"09/26/2016 23:45"</f>
        <v>09/26/2016 23:45</v>
      </c>
    </row>
    <row r="5477" spans="1:10" x14ac:dyDescent="0.3">
      <c r="A5477" t="s">
        <v>6</v>
      </c>
      <c r="B5477" t="str">
        <f>"09/27/2016 00:00"</f>
        <v>09/27/2016 00:00</v>
      </c>
      <c r="C5477">
        <v>4.68</v>
      </c>
      <c r="D5477" t="s">
        <v>7</v>
      </c>
      <c r="E5477" s="2" t="s">
        <v>12</v>
      </c>
      <c r="F5477">
        <f t="shared" si="85"/>
        <v>9.2804400000000005</v>
      </c>
      <c r="G5477" t="s">
        <v>16</v>
      </c>
      <c r="J5477" t="str">
        <f>"09/27/2016 23:45"</f>
        <v>09/27/2016 23:45</v>
      </c>
    </row>
    <row r="5478" spans="1:10" x14ac:dyDescent="0.3">
      <c r="A5478" t="s">
        <v>6</v>
      </c>
      <c r="B5478" t="str">
        <f>"09/28/2016 00:00"</f>
        <v>09/28/2016 00:00</v>
      </c>
      <c r="C5478">
        <v>4.4000000000000004</v>
      </c>
      <c r="D5478" t="s">
        <v>7</v>
      </c>
      <c r="E5478" s="2" t="s">
        <v>12</v>
      </c>
      <c r="F5478">
        <f t="shared" si="85"/>
        <v>8.725200000000001</v>
      </c>
      <c r="G5478" t="s">
        <v>16</v>
      </c>
      <c r="J5478" t="str">
        <f>"09/28/2016 23:45"</f>
        <v>09/28/2016 23:45</v>
      </c>
    </row>
    <row r="5479" spans="1:10" x14ac:dyDescent="0.3">
      <c r="A5479" t="s">
        <v>6</v>
      </c>
      <c r="B5479" t="str">
        <f>"09/29/2016 00:00"</f>
        <v>09/29/2016 00:00</v>
      </c>
      <c r="C5479">
        <v>3.32</v>
      </c>
      <c r="D5479" t="s">
        <v>7</v>
      </c>
      <c r="E5479" s="2" t="s">
        <v>12</v>
      </c>
      <c r="F5479">
        <f t="shared" si="85"/>
        <v>6.5835600000000003</v>
      </c>
      <c r="G5479" t="s">
        <v>16</v>
      </c>
      <c r="J5479" t="str">
        <f>"09/29/2016 23:45"</f>
        <v>09/29/2016 23:45</v>
      </c>
    </row>
    <row r="5480" spans="1:10" x14ac:dyDescent="0.3">
      <c r="A5480" t="s">
        <v>6</v>
      </c>
      <c r="B5480" t="str">
        <f>"09/30/2016 00:00"</f>
        <v>09/30/2016 00:00</v>
      </c>
      <c r="C5480">
        <v>2.25</v>
      </c>
      <c r="D5480" t="s">
        <v>7</v>
      </c>
      <c r="E5480" s="2" t="s">
        <v>12</v>
      </c>
      <c r="F5480">
        <f t="shared" si="85"/>
        <v>4.4617500000000003</v>
      </c>
      <c r="G5480" t="s">
        <v>16</v>
      </c>
      <c r="J5480" t="str">
        <f>"09/30/2016 23:45"</f>
        <v>09/30/2016 23:45</v>
      </c>
    </row>
    <row r="5481" spans="1:10" x14ac:dyDescent="0.3">
      <c r="A5481" t="s">
        <v>6</v>
      </c>
      <c r="B5481" t="str">
        <f>"10/01/2016 00:00"</f>
        <v>10/01/2016 00:00</v>
      </c>
      <c r="C5481">
        <v>0.27900000000000003</v>
      </c>
      <c r="D5481" t="s">
        <v>7</v>
      </c>
      <c r="E5481" s="2" t="s">
        <v>12</v>
      </c>
      <c r="F5481">
        <f t="shared" si="85"/>
        <v>0.55325700000000011</v>
      </c>
      <c r="G5481" t="s">
        <v>16</v>
      </c>
      <c r="J5481" t="str">
        <f>"10/01/2016 23:45"</f>
        <v>10/01/2016 23:45</v>
      </c>
    </row>
    <row r="5482" spans="1:10" x14ac:dyDescent="0.3">
      <c r="A5482" t="s">
        <v>6</v>
      </c>
      <c r="B5482" t="str">
        <f>"10/02/2016 00:00"</f>
        <v>10/02/2016 00:00</v>
      </c>
      <c r="C5482">
        <v>0.27900000000000003</v>
      </c>
      <c r="D5482" t="s">
        <v>7</v>
      </c>
      <c r="E5482" s="2" t="s">
        <v>12</v>
      </c>
      <c r="F5482">
        <f t="shared" si="85"/>
        <v>0.55325700000000011</v>
      </c>
      <c r="G5482" t="s">
        <v>16</v>
      </c>
      <c r="J5482" t="str">
        <f>"10/02/2016 23:45"</f>
        <v>10/02/2016 23:45</v>
      </c>
    </row>
    <row r="5483" spans="1:10" x14ac:dyDescent="0.3">
      <c r="A5483" t="s">
        <v>6</v>
      </c>
      <c r="B5483" t="str">
        <f>"10/03/2016 00:00"</f>
        <v>10/03/2016 00:00</v>
      </c>
      <c r="C5483">
        <v>0.27900000000000003</v>
      </c>
      <c r="D5483" t="s">
        <v>7</v>
      </c>
      <c r="E5483" s="2" t="s">
        <v>12</v>
      </c>
      <c r="F5483">
        <f t="shared" si="85"/>
        <v>0.55325700000000011</v>
      </c>
      <c r="G5483" t="s">
        <v>16</v>
      </c>
      <c r="J5483" t="str">
        <f>"10/03/2016 23:45"</f>
        <v>10/03/2016 23:45</v>
      </c>
    </row>
    <row r="5484" spans="1:10" x14ac:dyDescent="0.3">
      <c r="A5484" t="s">
        <v>6</v>
      </c>
      <c r="B5484" t="str">
        <f>"10/04/2016 00:00"</f>
        <v>10/04/2016 00:00</v>
      </c>
      <c r="C5484">
        <v>0.26100000000000001</v>
      </c>
      <c r="D5484" t="s">
        <v>7</v>
      </c>
      <c r="E5484" s="2" t="s">
        <v>12</v>
      </c>
      <c r="F5484">
        <f t="shared" si="85"/>
        <v>0.517563</v>
      </c>
      <c r="G5484" t="s">
        <v>16</v>
      </c>
      <c r="J5484" t="str">
        <f>"10/04/2016 23:45"</f>
        <v>10/04/2016 23:45</v>
      </c>
    </row>
    <row r="5485" spans="1:10" x14ac:dyDescent="0.3">
      <c r="A5485" t="s">
        <v>6</v>
      </c>
      <c r="B5485" t="str">
        <f>"10/05/2016 00:00"</f>
        <v>10/05/2016 00:00</v>
      </c>
      <c r="C5485">
        <v>0.14599999999999999</v>
      </c>
      <c r="D5485" t="s">
        <v>7</v>
      </c>
      <c r="E5485" s="2" t="s">
        <v>12</v>
      </c>
      <c r="F5485">
        <f t="shared" si="85"/>
        <v>0.289518</v>
      </c>
      <c r="G5485" t="s">
        <v>16</v>
      </c>
      <c r="J5485" t="str">
        <f>"10/05/2016 23:45"</f>
        <v>10/05/2016 23:45</v>
      </c>
    </row>
    <row r="5486" spans="1:10" x14ac:dyDescent="0.3">
      <c r="A5486" t="s">
        <v>6</v>
      </c>
      <c r="B5486" t="str">
        <f>"10/06/2016 00:00"</f>
        <v>10/06/2016 00:00</v>
      </c>
      <c r="C5486">
        <v>0.14599999999999999</v>
      </c>
      <c r="D5486" t="s">
        <v>7</v>
      </c>
      <c r="E5486" s="2" t="s">
        <v>12</v>
      </c>
      <c r="F5486">
        <f t="shared" si="85"/>
        <v>0.289518</v>
      </c>
      <c r="G5486" t="s">
        <v>16</v>
      </c>
      <c r="J5486" t="str">
        <f>"10/06/2016 23:45"</f>
        <v>10/06/2016 23:45</v>
      </c>
    </row>
    <row r="5487" spans="1:10" x14ac:dyDescent="0.3">
      <c r="A5487" t="s">
        <v>6</v>
      </c>
      <c r="B5487" t="str">
        <f>"10/07/2016 00:00"</f>
        <v>10/07/2016 00:00</v>
      </c>
      <c r="C5487">
        <v>0.14599999999999999</v>
      </c>
      <c r="D5487" t="s">
        <v>7</v>
      </c>
      <c r="E5487" s="2" t="s">
        <v>12</v>
      </c>
      <c r="F5487">
        <f t="shared" si="85"/>
        <v>0.289518</v>
      </c>
      <c r="G5487" t="s">
        <v>16</v>
      </c>
      <c r="J5487" t="str">
        <f>"10/07/2016 23:45"</f>
        <v>10/07/2016 23:45</v>
      </c>
    </row>
    <row r="5488" spans="1:10" x14ac:dyDescent="0.3">
      <c r="A5488" t="s">
        <v>6</v>
      </c>
      <c r="B5488" t="str">
        <f>"10/08/2016 00:00"</f>
        <v>10/08/2016 00:00</v>
      </c>
      <c r="C5488">
        <v>0.14599999999999999</v>
      </c>
      <c r="D5488" t="s">
        <v>7</v>
      </c>
      <c r="E5488" s="2" t="s">
        <v>12</v>
      </c>
      <c r="F5488">
        <f t="shared" si="85"/>
        <v>0.289518</v>
      </c>
      <c r="G5488" t="s">
        <v>16</v>
      </c>
      <c r="J5488" t="str">
        <f>"10/08/2016 23:45"</f>
        <v>10/08/2016 23:45</v>
      </c>
    </row>
    <row r="5489" spans="1:10" x14ac:dyDescent="0.3">
      <c r="A5489" t="s">
        <v>6</v>
      </c>
      <c r="B5489" t="str">
        <f>"10/09/2016 00:00"</f>
        <v>10/09/2016 00:00</v>
      </c>
      <c r="C5489">
        <v>0.14599999999999999</v>
      </c>
      <c r="D5489" t="s">
        <v>7</v>
      </c>
      <c r="E5489" s="2" t="s">
        <v>12</v>
      </c>
      <c r="F5489">
        <f t="shared" si="85"/>
        <v>0.289518</v>
      </c>
      <c r="G5489" t="s">
        <v>16</v>
      </c>
      <c r="J5489" t="str">
        <f>"10/09/2016 23:45"</f>
        <v>10/09/2016 23:45</v>
      </c>
    </row>
    <row r="5490" spans="1:10" x14ac:dyDescent="0.3">
      <c r="A5490" t="s">
        <v>6</v>
      </c>
      <c r="B5490" t="str">
        <f>"10/10/2016 00:00"</f>
        <v>10/10/2016 00:00</v>
      </c>
      <c r="C5490">
        <v>0.14599999999999999</v>
      </c>
      <c r="D5490" t="s">
        <v>7</v>
      </c>
      <c r="E5490" s="2" t="s">
        <v>12</v>
      </c>
      <c r="F5490">
        <f t="shared" si="85"/>
        <v>0.289518</v>
      </c>
      <c r="G5490" t="s">
        <v>16</v>
      </c>
      <c r="J5490" t="str">
        <f>"10/10/2016 23:45"</f>
        <v>10/10/2016 23:45</v>
      </c>
    </row>
    <row r="5491" spans="1:10" x14ac:dyDescent="0.3">
      <c r="A5491" t="s">
        <v>6</v>
      </c>
      <c r="B5491" t="str">
        <f>"10/11/2016 00:00"</f>
        <v>10/11/2016 00:00</v>
      </c>
      <c r="C5491">
        <v>0.14599999999999999</v>
      </c>
      <c r="D5491" t="s">
        <v>7</v>
      </c>
      <c r="E5491" s="2" t="s">
        <v>12</v>
      </c>
      <c r="F5491">
        <f t="shared" si="85"/>
        <v>0.289518</v>
      </c>
      <c r="G5491" t="s">
        <v>16</v>
      </c>
      <c r="J5491" t="str">
        <f>"10/11/2016 23:45"</f>
        <v>10/11/2016 23:45</v>
      </c>
    </row>
    <row r="5492" spans="1:10" x14ac:dyDescent="0.3">
      <c r="A5492" t="s">
        <v>6</v>
      </c>
      <c r="B5492" t="str">
        <f>"10/12/2016 00:00"</f>
        <v>10/12/2016 00:00</v>
      </c>
      <c r="C5492">
        <v>15.2</v>
      </c>
      <c r="D5492" t="s">
        <v>7</v>
      </c>
      <c r="E5492" s="2" t="s">
        <v>12</v>
      </c>
      <c r="F5492">
        <f t="shared" si="85"/>
        <v>30.1416</v>
      </c>
      <c r="G5492" t="s">
        <v>16</v>
      </c>
      <c r="J5492" t="str">
        <f>"10/12/2016 23:45"</f>
        <v>10/12/2016 23:45</v>
      </c>
    </row>
    <row r="5493" spans="1:10" x14ac:dyDescent="0.3">
      <c r="A5493" t="s">
        <v>6</v>
      </c>
      <c r="B5493" t="str">
        <f>"10/13/2016 00:00"</f>
        <v>10/13/2016 00:00</v>
      </c>
      <c r="C5493">
        <v>9.06</v>
      </c>
      <c r="D5493" t="s">
        <v>7</v>
      </c>
      <c r="E5493" s="2" t="s">
        <v>12</v>
      </c>
      <c r="F5493">
        <f t="shared" si="85"/>
        <v>17.965980000000002</v>
      </c>
      <c r="G5493" t="s">
        <v>16</v>
      </c>
      <c r="J5493" t="str">
        <f>"10/13/2016 23:45"</f>
        <v>10/13/2016 23:45</v>
      </c>
    </row>
    <row r="5494" spans="1:10" x14ac:dyDescent="0.3">
      <c r="A5494" t="s">
        <v>6</v>
      </c>
      <c r="B5494" t="str">
        <f>"10/14/2016 00:00"</f>
        <v>10/14/2016 00:00</v>
      </c>
      <c r="C5494">
        <v>88.6</v>
      </c>
      <c r="D5494" t="s">
        <v>7</v>
      </c>
      <c r="E5494" s="2" t="s">
        <v>12</v>
      </c>
      <c r="F5494">
        <f t="shared" si="85"/>
        <v>175.69380000000001</v>
      </c>
      <c r="G5494" t="s">
        <v>16</v>
      </c>
      <c r="J5494" t="str">
        <f>"10/14/2016 23:45"</f>
        <v>10/14/2016 23:45</v>
      </c>
    </row>
    <row r="5495" spans="1:10" x14ac:dyDescent="0.3">
      <c r="A5495" t="s">
        <v>6</v>
      </c>
      <c r="B5495" t="str">
        <f>"10/15/2016 00:00"</f>
        <v>10/15/2016 00:00</v>
      </c>
      <c r="C5495">
        <v>201</v>
      </c>
      <c r="D5495" t="s">
        <v>7</v>
      </c>
      <c r="E5495" s="2" t="s">
        <v>12</v>
      </c>
      <c r="F5495">
        <f t="shared" si="85"/>
        <v>398.58300000000003</v>
      </c>
      <c r="G5495" t="s">
        <v>16</v>
      </c>
      <c r="J5495" t="str">
        <f>"10/15/2016 23:45"</f>
        <v>10/15/2016 23:45</v>
      </c>
    </row>
    <row r="5496" spans="1:10" x14ac:dyDescent="0.3">
      <c r="A5496" t="s">
        <v>6</v>
      </c>
      <c r="B5496" t="str">
        <f>"10/16/2016 00:00"</f>
        <v>10/16/2016 00:00</v>
      </c>
      <c r="C5496">
        <v>231</v>
      </c>
      <c r="D5496" t="s">
        <v>7</v>
      </c>
      <c r="E5496" s="2" t="s">
        <v>12</v>
      </c>
      <c r="F5496">
        <f t="shared" si="85"/>
        <v>458.07300000000004</v>
      </c>
      <c r="G5496" t="s">
        <v>16</v>
      </c>
      <c r="J5496" t="str">
        <f>"10/16/2016 23:45"</f>
        <v>10/16/2016 23:45</v>
      </c>
    </row>
    <row r="5497" spans="1:10" x14ac:dyDescent="0.3">
      <c r="A5497" t="s">
        <v>6</v>
      </c>
      <c r="B5497" t="str">
        <f>"10/17/2016 00:00"</f>
        <v>10/17/2016 00:00</v>
      </c>
      <c r="C5497">
        <v>245</v>
      </c>
      <c r="D5497" t="s">
        <v>7</v>
      </c>
      <c r="E5497" s="2" t="s">
        <v>12</v>
      </c>
      <c r="F5497">
        <f t="shared" si="85"/>
        <v>485.83500000000004</v>
      </c>
      <c r="G5497" t="s">
        <v>16</v>
      </c>
      <c r="J5497" t="str">
        <f>"10/17/2016 23:45"</f>
        <v>10/17/2016 23:45</v>
      </c>
    </row>
    <row r="5498" spans="1:10" x14ac:dyDescent="0.3">
      <c r="A5498" t="s">
        <v>6</v>
      </c>
      <c r="B5498" t="str">
        <f>"10/18/2016 00:00"</f>
        <v>10/18/2016 00:00</v>
      </c>
      <c r="C5498">
        <v>242</v>
      </c>
      <c r="D5498" t="s">
        <v>7</v>
      </c>
      <c r="E5498" s="2" t="s">
        <v>12</v>
      </c>
      <c r="F5498">
        <f t="shared" si="85"/>
        <v>479.88600000000002</v>
      </c>
      <c r="G5498" t="s">
        <v>16</v>
      </c>
      <c r="J5498" t="str">
        <f>"10/18/2016 23:45"</f>
        <v>10/18/2016 23:45</v>
      </c>
    </row>
    <row r="5499" spans="1:10" x14ac:dyDescent="0.3">
      <c r="A5499" t="s">
        <v>6</v>
      </c>
      <c r="B5499" t="str">
        <f>"10/19/2016 00:00"</f>
        <v>10/19/2016 00:00</v>
      </c>
      <c r="C5499">
        <v>243</v>
      </c>
      <c r="D5499" t="s">
        <v>7</v>
      </c>
      <c r="E5499" s="2" t="s">
        <v>12</v>
      </c>
      <c r="F5499">
        <f t="shared" si="85"/>
        <v>481.86900000000003</v>
      </c>
      <c r="G5499" t="s">
        <v>16</v>
      </c>
      <c r="J5499" t="str">
        <f>"10/19/2016 23:45"</f>
        <v>10/19/2016 23:45</v>
      </c>
    </row>
    <row r="5500" spans="1:10" x14ac:dyDescent="0.3">
      <c r="A5500" t="s">
        <v>6</v>
      </c>
      <c r="B5500" t="str">
        <f>"10/20/2016 00:00"</f>
        <v>10/20/2016 00:00</v>
      </c>
      <c r="C5500">
        <v>217</v>
      </c>
      <c r="D5500" t="s">
        <v>7</v>
      </c>
      <c r="E5500" s="2" t="s">
        <v>12</v>
      </c>
      <c r="F5500">
        <f t="shared" si="85"/>
        <v>430.31100000000004</v>
      </c>
      <c r="G5500" t="s">
        <v>16</v>
      </c>
      <c r="J5500" t="str">
        <f>"10/20/2016 23:45"</f>
        <v>10/20/2016 23:45</v>
      </c>
    </row>
    <row r="5501" spans="1:10" x14ac:dyDescent="0.3">
      <c r="A5501" t="s">
        <v>6</v>
      </c>
      <c r="B5501" t="str">
        <f>"10/21/2016 00:00"</f>
        <v>10/21/2016 00:00</v>
      </c>
      <c r="C5501">
        <v>121</v>
      </c>
      <c r="D5501" t="s">
        <v>7</v>
      </c>
      <c r="E5501" s="2" t="s">
        <v>12</v>
      </c>
      <c r="F5501">
        <f t="shared" si="85"/>
        <v>239.94300000000001</v>
      </c>
      <c r="G5501" t="s">
        <v>16</v>
      </c>
      <c r="J5501" t="str">
        <f>"10/21/2016 23:45"</f>
        <v>10/21/2016 23:45</v>
      </c>
    </row>
    <row r="5502" spans="1:10" x14ac:dyDescent="0.3">
      <c r="A5502" t="s">
        <v>6</v>
      </c>
      <c r="B5502" t="str">
        <f>"10/22/2016 00:00"</f>
        <v>10/22/2016 00:00</v>
      </c>
      <c r="C5502">
        <v>62.1</v>
      </c>
      <c r="D5502" t="s">
        <v>7</v>
      </c>
      <c r="E5502" s="2" t="s">
        <v>12</v>
      </c>
      <c r="F5502">
        <f t="shared" si="85"/>
        <v>123.14430000000002</v>
      </c>
      <c r="G5502" t="s">
        <v>16</v>
      </c>
      <c r="J5502" t="str">
        <f>"10/22/2016 23:45"</f>
        <v>10/22/2016 23:45</v>
      </c>
    </row>
    <row r="5503" spans="1:10" x14ac:dyDescent="0.3">
      <c r="A5503" t="s">
        <v>6</v>
      </c>
      <c r="B5503" t="str">
        <f>"10/23/2016 00:00"</f>
        <v>10/23/2016 00:00</v>
      </c>
      <c r="C5503">
        <v>61.8</v>
      </c>
      <c r="D5503" t="s">
        <v>7</v>
      </c>
      <c r="E5503" s="2" t="s">
        <v>12</v>
      </c>
      <c r="F5503">
        <f t="shared" si="85"/>
        <v>122.54940000000001</v>
      </c>
      <c r="G5503" t="s">
        <v>16</v>
      </c>
      <c r="J5503" t="str">
        <f>"10/23/2016 23:45"</f>
        <v>10/23/2016 23:45</v>
      </c>
    </row>
    <row r="5504" spans="1:10" x14ac:dyDescent="0.3">
      <c r="A5504" t="s">
        <v>6</v>
      </c>
      <c r="B5504" t="str">
        <f>"10/24/2016 00:00"</f>
        <v>10/24/2016 00:00</v>
      </c>
      <c r="C5504">
        <v>152</v>
      </c>
      <c r="D5504" t="s">
        <v>7</v>
      </c>
      <c r="E5504" s="2" t="s">
        <v>12</v>
      </c>
      <c r="F5504">
        <f t="shared" si="85"/>
        <v>301.416</v>
      </c>
      <c r="G5504" t="s">
        <v>16</v>
      </c>
      <c r="J5504" t="str">
        <f>"10/24/2016 23:45"</f>
        <v>10/24/2016 23:45</v>
      </c>
    </row>
    <row r="5505" spans="1:10" x14ac:dyDescent="0.3">
      <c r="A5505" t="s">
        <v>6</v>
      </c>
      <c r="B5505" t="str">
        <f>"10/25/2016 00:00"</f>
        <v>10/25/2016 00:00</v>
      </c>
      <c r="C5505">
        <v>208</v>
      </c>
      <c r="D5505" t="s">
        <v>7</v>
      </c>
      <c r="E5505" s="2" t="s">
        <v>12</v>
      </c>
      <c r="F5505">
        <f t="shared" si="85"/>
        <v>412.464</v>
      </c>
      <c r="G5505" t="s">
        <v>16</v>
      </c>
      <c r="J5505" t="str">
        <f>"10/25/2016 23:45"</f>
        <v>10/25/2016 23:45</v>
      </c>
    </row>
    <row r="5506" spans="1:10" x14ac:dyDescent="0.3">
      <c r="A5506" t="s">
        <v>6</v>
      </c>
      <c r="B5506" t="str">
        <f>"10/26/2016 00:00"</f>
        <v>10/26/2016 00:00</v>
      </c>
      <c r="C5506">
        <v>198</v>
      </c>
      <c r="D5506" t="s">
        <v>7</v>
      </c>
      <c r="E5506" s="2" t="s">
        <v>12</v>
      </c>
      <c r="F5506">
        <f t="shared" si="85"/>
        <v>392.63400000000001</v>
      </c>
      <c r="G5506" t="s">
        <v>16</v>
      </c>
      <c r="J5506" t="str">
        <f>"10/26/2016 23:45"</f>
        <v>10/26/2016 23:45</v>
      </c>
    </row>
    <row r="5507" spans="1:10" x14ac:dyDescent="0.3">
      <c r="A5507" t="s">
        <v>6</v>
      </c>
      <c r="B5507" t="str">
        <f>"10/27/2016 00:00"</f>
        <v>10/27/2016 00:00</v>
      </c>
      <c r="C5507">
        <v>199</v>
      </c>
      <c r="D5507" t="s">
        <v>7</v>
      </c>
      <c r="E5507" s="2" t="s">
        <v>12</v>
      </c>
      <c r="F5507">
        <f t="shared" si="85"/>
        <v>394.61700000000002</v>
      </c>
      <c r="G5507" t="s">
        <v>16</v>
      </c>
      <c r="J5507" t="str">
        <f>"10/27/2016 23:45"</f>
        <v>10/27/2016 23:45</v>
      </c>
    </row>
    <row r="5508" spans="1:10" x14ac:dyDescent="0.3">
      <c r="A5508" t="s">
        <v>6</v>
      </c>
      <c r="B5508" t="str">
        <f>"10/28/2016 00:00"</f>
        <v>10/28/2016 00:00</v>
      </c>
      <c r="C5508">
        <v>178</v>
      </c>
      <c r="D5508" t="s">
        <v>7</v>
      </c>
      <c r="E5508" s="2" t="s">
        <v>12</v>
      </c>
      <c r="F5508">
        <f t="shared" ref="F5508:F5571" si="86">C5508*1.983</f>
        <v>352.97399999999999</v>
      </c>
      <c r="G5508" t="s">
        <v>16</v>
      </c>
      <c r="J5508" t="str">
        <f>"10/28/2016 23:45"</f>
        <v>10/28/2016 23:45</v>
      </c>
    </row>
    <row r="5509" spans="1:10" x14ac:dyDescent="0.3">
      <c r="A5509" t="s">
        <v>6</v>
      </c>
      <c r="B5509" t="str">
        <f>"10/29/2016 00:00"</f>
        <v>10/29/2016 00:00</v>
      </c>
      <c r="C5509">
        <v>162</v>
      </c>
      <c r="D5509" t="s">
        <v>7</v>
      </c>
      <c r="E5509" s="2" t="s">
        <v>12</v>
      </c>
      <c r="F5509">
        <f t="shared" si="86"/>
        <v>321.24600000000004</v>
      </c>
      <c r="G5509" t="s">
        <v>16</v>
      </c>
      <c r="J5509" t="str">
        <f>"10/29/2016 23:45"</f>
        <v>10/29/2016 23:45</v>
      </c>
    </row>
    <row r="5510" spans="1:10" x14ac:dyDescent="0.3">
      <c r="A5510" t="s">
        <v>6</v>
      </c>
      <c r="B5510" t="str">
        <f>"10/30/2016 00:00"</f>
        <v>10/30/2016 00:00</v>
      </c>
      <c r="C5510">
        <v>162</v>
      </c>
      <c r="D5510" t="s">
        <v>7</v>
      </c>
      <c r="E5510" s="2" t="s">
        <v>12</v>
      </c>
      <c r="F5510">
        <f t="shared" si="86"/>
        <v>321.24600000000004</v>
      </c>
      <c r="G5510" t="s">
        <v>16</v>
      </c>
      <c r="J5510" t="str">
        <f>"10/30/2016 23:45"</f>
        <v>10/30/2016 23:45</v>
      </c>
    </row>
    <row r="5511" spans="1:10" x14ac:dyDescent="0.3">
      <c r="A5511" t="s">
        <v>6</v>
      </c>
      <c r="B5511" t="str">
        <f>"10/31/2016 00:00"</f>
        <v>10/31/2016 00:00</v>
      </c>
      <c r="C5511">
        <v>162</v>
      </c>
      <c r="D5511" t="s">
        <v>7</v>
      </c>
      <c r="E5511" s="2" t="s">
        <v>12</v>
      </c>
      <c r="F5511">
        <f t="shared" si="86"/>
        <v>321.24600000000004</v>
      </c>
      <c r="G5511" t="s">
        <v>16</v>
      </c>
      <c r="J5511" t="str">
        <f>"10/31/2016 23:45"</f>
        <v>10/31/2016 23:45</v>
      </c>
    </row>
    <row r="5512" spans="1:10" x14ac:dyDescent="0.3">
      <c r="A5512" t="s">
        <v>6</v>
      </c>
      <c r="B5512" t="str">
        <f>"11/01/2016 00:00"</f>
        <v>11/01/2016 00:00</v>
      </c>
      <c r="C5512">
        <v>162</v>
      </c>
      <c r="D5512" t="s">
        <v>7</v>
      </c>
      <c r="E5512" s="2" t="s">
        <v>12</v>
      </c>
      <c r="F5512">
        <f t="shared" si="86"/>
        <v>321.24600000000004</v>
      </c>
      <c r="G5512" t="s">
        <v>16</v>
      </c>
      <c r="J5512" t="str">
        <f>"11/01/2016 23:45"</f>
        <v>11/01/2016 23:45</v>
      </c>
    </row>
    <row r="5513" spans="1:10" x14ac:dyDescent="0.3">
      <c r="A5513" t="s">
        <v>6</v>
      </c>
      <c r="B5513" t="str">
        <f>"11/02/2016 00:00"</f>
        <v>11/02/2016 00:00</v>
      </c>
      <c r="C5513">
        <v>133</v>
      </c>
      <c r="D5513" t="s">
        <v>7</v>
      </c>
      <c r="E5513" s="2" t="s">
        <v>12</v>
      </c>
      <c r="F5513">
        <f t="shared" si="86"/>
        <v>263.73900000000003</v>
      </c>
      <c r="G5513" t="s">
        <v>16</v>
      </c>
      <c r="J5513" t="str">
        <f>"11/02/2016 23:45"</f>
        <v>11/02/2016 23:45</v>
      </c>
    </row>
    <row r="5514" spans="1:10" x14ac:dyDescent="0.3">
      <c r="A5514" t="s">
        <v>6</v>
      </c>
      <c r="B5514" t="str">
        <f>"11/03/2016 00:00"</f>
        <v>11/03/2016 00:00</v>
      </c>
      <c r="C5514">
        <v>89.6</v>
      </c>
      <c r="D5514" t="s">
        <v>7</v>
      </c>
      <c r="E5514" s="2" t="s">
        <v>12</v>
      </c>
      <c r="F5514">
        <f t="shared" si="86"/>
        <v>177.67679999999999</v>
      </c>
      <c r="G5514" t="s">
        <v>16</v>
      </c>
      <c r="J5514" t="str">
        <f>"11/03/2016 23:45"</f>
        <v>11/03/2016 23:45</v>
      </c>
    </row>
    <row r="5515" spans="1:10" x14ac:dyDescent="0.3">
      <c r="A5515" t="s">
        <v>6</v>
      </c>
      <c r="B5515" t="str">
        <f>"11/04/2016 00:00"</f>
        <v>11/04/2016 00:00</v>
      </c>
      <c r="C5515">
        <v>79</v>
      </c>
      <c r="D5515" t="s">
        <v>7</v>
      </c>
      <c r="E5515" s="2" t="s">
        <v>12</v>
      </c>
      <c r="F5515">
        <f t="shared" si="86"/>
        <v>156.65700000000001</v>
      </c>
      <c r="G5515" t="s">
        <v>16</v>
      </c>
      <c r="J5515" t="str">
        <f>"11/04/2016 23:45"</f>
        <v>11/04/2016 23:45</v>
      </c>
    </row>
    <row r="5516" spans="1:10" x14ac:dyDescent="0.3">
      <c r="A5516" t="s">
        <v>6</v>
      </c>
      <c r="B5516" t="str">
        <f>"11/05/2016 00:00"</f>
        <v>11/05/2016 00:00</v>
      </c>
      <c r="C5516">
        <v>78.900000000000006</v>
      </c>
      <c r="D5516" t="s">
        <v>7</v>
      </c>
      <c r="E5516" s="2" t="s">
        <v>12</v>
      </c>
      <c r="F5516">
        <f t="shared" si="86"/>
        <v>156.45870000000002</v>
      </c>
      <c r="G5516" t="s">
        <v>16</v>
      </c>
      <c r="J5516" t="str">
        <f>"11/05/2016 23:45"</f>
        <v>11/05/2016 23:45</v>
      </c>
    </row>
    <row r="5517" spans="1:10" x14ac:dyDescent="0.3">
      <c r="A5517" t="s">
        <v>6</v>
      </c>
      <c r="B5517" t="str">
        <f>"11/06/2016 00:00"</f>
        <v>11/06/2016 00:00</v>
      </c>
      <c r="C5517">
        <v>79.3</v>
      </c>
      <c r="D5517" t="s">
        <v>7</v>
      </c>
      <c r="E5517" s="2" t="s">
        <v>12</v>
      </c>
      <c r="F5517">
        <f t="shared" si="86"/>
        <v>157.25190000000001</v>
      </c>
      <c r="G5517" t="s">
        <v>16</v>
      </c>
      <c r="J5517" t="str">
        <f>"11/06/2016 23:45"</f>
        <v>11/06/2016 23:45</v>
      </c>
    </row>
    <row r="5518" spans="1:10" x14ac:dyDescent="0.3">
      <c r="A5518" t="s">
        <v>6</v>
      </c>
      <c r="B5518" t="str">
        <f>"11/07/2016 00:00"</f>
        <v>11/07/2016 00:00</v>
      </c>
      <c r="C5518">
        <v>117</v>
      </c>
      <c r="D5518" t="s">
        <v>7</v>
      </c>
      <c r="E5518" s="2" t="s">
        <v>12</v>
      </c>
      <c r="F5518">
        <f t="shared" si="86"/>
        <v>232.01100000000002</v>
      </c>
      <c r="G5518" t="s">
        <v>16</v>
      </c>
      <c r="J5518" t="str">
        <f>"11/07/2016 23:45"</f>
        <v>11/07/2016 23:45</v>
      </c>
    </row>
    <row r="5519" spans="1:10" x14ac:dyDescent="0.3">
      <c r="A5519" t="s">
        <v>6</v>
      </c>
      <c r="B5519" t="str">
        <f>"11/08/2016 00:00"</f>
        <v>11/08/2016 00:00</v>
      </c>
      <c r="C5519">
        <v>140</v>
      </c>
      <c r="D5519" t="s">
        <v>7</v>
      </c>
      <c r="E5519" s="2" t="s">
        <v>12</v>
      </c>
      <c r="F5519">
        <f t="shared" si="86"/>
        <v>277.62</v>
      </c>
      <c r="G5519" t="s">
        <v>16</v>
      </c>
      <c r="J5519" t="str">
        <f>"11/08/2016 23:45"</f>
        <v>11/08/2016 23:45</v>
      </c>
    </row>
    <row r="5520" spans="1:10" x14ac:dyDescent="0.3">
      <c r="A5520" t="s">
        <v>6</v>
      </c>
      <c r="B5520" t="str">
        <f>"11/09/2016 00:00"</f>
        <v>11/09/2016 00:00</v>
      </c>
      <c r="C5520">
        <v>115</v>
      </c>
      <c r="D5520" t="s">
        <v>7</v>
      </c>
      <c r="E5520" s="2" t="s">
        <v>12</v>
      </c>
      <c r="F5520">
        <f t="shared" si="86"/>
        <v>228.04500000000002</v>
      </c>
      <c r="G5520" t="s">
        <v>16</v>
      </c>
      <c r="J5520" t="str">
        <f>"11/09/2016 23:45"</f>
        <v>11/09/2016 23:45</v>
      </c>
    </row>
    <row r="5521" spans="1:10" x14ac:dyDescent="0.3">
      <c r="A5521" t="s">
        <v>6</v>
      </c>
      <c r="B5521" t="str">
        <f>"11/10/2016 00:00"</f>
        <v>11/10/2016 00:00</v>
      </c>
      <c r="C5521">
        <v>98.5</v>
      </c>
      <c r="D5521" t="s">
        <v>7</v>
      </c>
      <c r="E5521" s="2" t="s">
        <v>12</v>
      </c>
      <c r="F5521">
        <f t="shared" si="86"/>
        <v>195.32550000000001</v>
      </c>
      <c r="G5521" t="s">
        <v>16</v>
      </c>
      <c r="J5521" t="str">
        <f>"11/10/2016 23:45"</f>
        <v>11/10/2016 23:45</v>
      </c>
    </row>
    <row r="5522" spans="1:10" x14ac:dyDescent="0.3">
      <c r="A5522" t="s">
        <v>6</v>
      </c>
      <c r="B5522" t="str">
        <f>"11/11/2016 00:00"</f>
        <v>11/11/2016 00:00</v>
      </c>
      <c r="C5522">
        <v>98.8</v>
      </c>
      <c r="D5522" t="s">
        <v>7</v>
      </c>
      <c r="E5522" s="2" t="s">
        <v>12</v>
      </c>
      <c r="F5522">
        <f t="shared" si="86"/>
        <v>195.9204</v>
      </c>
      <c r="G5522" t="s">
        <v>16</v>
      </c>
      <c r="J5522" t="str">
        <f>"11/11/2016 23:45"</f>
        <v>11/11/2016 23:45</v>
      </c>
    </row>
    <row r="5523" spans="1:10" x14ac:dyDescent="0.3">
      <c r="A5523" t="s">
        <v>6</v>
      </c>
      <c r="B5523" t="str">
        <f>"11/12/2016 00:00"</f>
        <v>11/12/2016 00:00</v>
      </c>
      <c r="C5523">
        <v>98.7</v>
      </c>
      <c r="D5523" t="s">
        <v>7</v>
      </c>
      <c r="E5523" s="2" t="s">
        <v>12</v>
      </c>
      <c r="F5523">
        <f t="shared" si="86"/>
        <v>195.72210000000001</v>
      </c>
      <c r="G5523" t="s">
        <v>16</v>
      </c>
      <c r="J5523" t="str">
        <f>"11/12/2016 23:45"</f>
        <v>11/12/2016 23:45</v>
      </c>
    </row>
    <row r="5524" spans="1:10" x14ac:dyDescent="0.3">
      <c r="A5524" t="s">
        <v>6</v>
      </c>
      <c r="B5524" t="str">
        <f>"11/13/2016 00:00"</f>
        <v>11/13/2016 00:00</v>
      </c>
      <c r="C5524">
        <v>98.7</v>
      </c>
      <c r="D5524" t="s">
        <v>7</v>
      </c>
      <c r="E5524" s="2" t="s">
        <v>12</v>
      </c>
      <c r="F5524">
        <f t="shared" si="86"/>
        <v>195.72210000000001</v>
      </c>
      <c r="G5524" t="s">
        <v>16</v>
      </c>
      <c r="J5524" t="str">
        <f>"11/13/2016 23:45"</f>
        <v>11/13/2016 23:45</v>
      </c>
    </row>
    <row r="5525" spans="1:10" x14ac:dyDescent="0.3">
      <c r="A5525" t="s">
        <v>6</v>
      </c>
      <c r="B5525" t="str">
        <f>"11/14/2016 00:00"</f>
        <v>11/14/2016 00:00</v>
      </c>
      <c r="C5525">
        <v>100</v>
      </c>
      <c r="D5525" t="s">
        <v>7</v>
      </c>
      <c r="E5525" s="2" t="s">
        <v>12</v>
      </c>
      <c r="F5525">
        <f t="shared" si="86"/>
        <v>198.3</v>
      </c>
      <c r="G5525" t="s">
        <v>16</v>
      </c>
      <c r="J5525" t="str">
        <f>"11/14/2016 23:45"</f>
        <v>11/14/2016 23:45</v>
      </c>
    </row>
    <row r="5526" spans="1:10" x14ac:dyDescent="0.3">
      <c r="A5526" t="s">
        <v>6</v>
      </c>
      <c r="B5526" t="str">
        <f>"11/15/2016 00:00"</f>
        <v>11/15/2016 00:00</v>
      </c>
      <c r="C5526">
        <v>133</v>
      </c>
      <c r="D5526" t="s">
        <v>7</v>
      </c>
      <c r="E5526" s="2" t="s">
        <v>12</v>
      </c>
      <c r="F5526">
        <f t="shared" si="86"/>
        <v>263.73900000000003</v>
      </c>
      <c r="G5526" t="s">
        <v>16</v>
      </c>
      <c r="J5526" t="str">
        <f>"11/15/2016 23:45"</f>
        <v>11/15/2016 23:45</v>
      </c>
    </row>
    <row r="5527" spans="1:10" x14ac:dyDescent="0.3">
      <c r="A5527" t="s">
        <v>6</v>
      </c>
      <c r="B5527" t="str">
        <f>"11/16/2016 00:00"</f>
        <v>11/16/2016 00:00</v>
      </c>
      <c r="C5527">
        <v>150</v>
      </c>
      <c r="D5527" t="s">
        <v>7</v>
      </c>
      <c r="E5527" s="2" t="s">
        <v>12</v>
      </c>
      <c r="F5527">
        <f t="shared" si="86"/>
        <v>297.45</v>
      </c>
      <c r="G5527" t="s">
        <v>16</v>
      </c>
      <c r="J5527" t="str">
        <f>"11/16/2016 23:45"</f>
        <v>11/16/2016 23:45</v>
      </c>
    </row>
    <row r="5528" spans="1:10" x14ac:dyDescent="0.3">
      <c r="A5528" t="s">
        <v>6</v>
      </c>
      <c r="B5528" t="str">
        <f>"11/17/2016 00:00"</f>
        <v>11/17/2016 00:00</v>
      </c>
      <c r="C5528">
        <v>150</v>
      </c>
      <c r="D5528" t="s">
        <v>7</v>
      </c>
      <c r="E5528" s="2" t="s">
        <v>12</v>
      </c>
      <c r="F5528">
        <f t="shared" si="86"/>
        <v>297.45</v>
      </c>
      <c r="G5528" t="s">
        <v>16</v>
      </c>
      <c r="J5528" t="str">
        <f>"11/17/2016 23:45"</f>
        <v>11/17/2016 23:45</v>
      </c>
    </row>
    <row r="5529" spans="1:10" x14ac:dyDescent="0.3">
      <c r="A5529" t="s">
        <v>6</v>
      </c>
      <c r="B5529" t="str">
        <f>"11/18/2016 00:00"</f>
        <v>11/18/2016 00:00</v>
      </c>
      <c r="C5529">
        <v>111</v>
      </c>
      <c r="D5529" t="s">
        <v>7</v>
      </c>
      <c r="E5529" s="2" t="s">
        <v>12</v>
      </c>
      <c r="F5529">
        <f t="shared" si="86"/>
        <v>220.113</v>
      </c>
      <c r="G5529" t="s">
        <v>16</v>
      </c>
      <c r="J5529" t="str">
        <f>"11/18/2016 23:45"</f>
        <v>11/18/2016 23:45</v>
      </c>
    </row>
    <row r="5530" spans="1:10" x14ac:dyDescent="0.3">
      <c r="A5530" t="s">
        <v>6</v>
      </c>
      <c r="B5530" t="str">
        <f>"11/19/2016 00:00"</f>
        <v>11/19/2016 00:00</v>
      </c>
      <c r="C5530">
        <v>76</v>
      </c>
      <c r="D5530" t="s">
        <v>7</v>
      </c>
      <c r="E5530" s="2" t="s">
        <v>12</v>
      </c>
      <c r="F5530">
        <f t="shared" si="86"/>
        <v>150.708</v>
      </c>
      <c r="G5530" t="s">
        <v>16</v>
      </c>
      <c r="J5530" t="str">
        <f>"11/19/2016 23:45"</f>
        <v>11/19/2016 23:45</v>
      </c>
    </row>
    <row r="5531" spans="1:10" x14ac:dyDescent="0.3">
      <c r="A5531" t="s">
        <v>6</v>
      </c>
      <c r="B5531" t="str">
        <f>"11/20/2016 00:00"</f>
        <v>11/20/2016 00:00</v>
      </c>
      <c r="C5531">
        <v>75.5</v>
      </c>
      <c r="D5531" t="s">
        <v>7</v>
      </c>
      <c r="E5531" s="2" t="s">
        <v>12</v>
      </c>
      <c r="F5531">
        <f t="shared" si="86"/>
        <v>149.7165</v>
      </c>
      <c r="G5531" t="s">
        <v>16</v>
      </c>
      <c r="J5531" t="str">
        <f>"11/20/2016 23:45"</f>
        <v>11/20/2016 23:45</v>
      </c>
    </row>
    <row r="5532" spans="1:10" x14ac:dyDescent="0.3">
      <c r="A5532" t="s">
        <v>6</v>
      </c>
      <c r="B5532" t="str">
        <f>"11/21/2016 00:00"</f>
        <v>11/21/2016 00:00</v>
      </c>
      <c r="C5532">
        <v>74.900000000000006</v>
      </c>
      <c r="D5532" t="s">
        <v>7</v>
      </c>
      <c r="E5532" s="2" t="s">
        <v>12</v>
      </c>
      <c r="F5532">
        <f t="shared" si="86"/>
        <v>148.52670000000001</v>
      </c>
      <c r="G5532" t="s">
        <v>16</v>
      </c>
      <c r="J5532" t="str">
        <f>"11/21/2016 23:45"</f>
        <v>11/21/2016 23:45</v>
      </c>
    </row>
    <row r="5533" spans="1:10" x14ac:dyDescent="0.3">
      <c r="A5533" t="s">
        <v>6</v>
      </c>
      <c r="B5533" t="str">
        <f>"11/22/2016 00:00"</f>
        <v>11/22/2016 00:00</v>
      </c>
      <c r="C5533">
        <v>75</v>
      </c>
      <c r="D5533" t="s">
        <v>7</v>
      </c>
      <c r="E5533" s="2" t="s">
        <v>12</v>
      </c>
      <c r="F5533">
        <f t="shared" si="86"/>
        <v>148.72499999999999</v>
      </c>
      <c r="G5533" t="s">
        <v>16</v>
      </c>
      <c r="J5533" t="str">
        <f>"11/22/2016 23:45"</f>
        <v>11/22/2016 23:45</v>
      </c>
    </row>
    <row r="5534" spans="1:10" x14ac:dyDescent="0.3">
      <c r="A5534" t="s">
        <v>6</v>
      </c>
      <c r="B5534" t="str">
        <f>"11/23/2016 00:00"</f>
        <v>11/23/2016 00:00</v>
      </c>
      <c r="C5534">
        <v>75.2</v>
      </c>
      <c r="D5534" t="s">
        <v>7</v>
      </c>
      <c r="E5534" s="2" t="s">
        <v>12</v>
      </c>
      <c r="F5534">
        <f t="shared" si="86"/>
        <v>149.1216</v>
      </c>
      <c r="G5534" t="s">
        <v>16</v>
      </c>
      <c r="J5534" t="str">
        <f>"11/23/2016 23:45"</f>
        <v>11/23/2016 23:45</v>
      </c>
    </row>
    <row r="5535" spans="1:10" x14ac:dyDescent="0.3">
      <c r="A5535" t="s">
        <v>6</v>
      </c>
      <c r="B5535" t="str">
        <f>"11/24/2016 00:00"</f>
        <v>11/24/2016 00:00</v>
      </c>
      <c r="C5535">
        <v>75</v>
      </c>
      <c r="D5535" t="s">
        <v>7</v>
      </c>
      <c r="E5535" s="2" t="s">
        <v>12</v>
      </c>
      <c r="F5535">
        <f t="shared" si="86"/>
        <v>148.72499999999999</v>
      </c>
      <c r="G5535" t="s">
        <v>16</v>
      </c>
      <c r="J5535" t="str">
        <f>"11/24/2016 23:45"</f>
        <v>11/24/2016 23:45</v>
      </c>
    </row>
    <row r="5536" spans="1:10" x14ac:dyDescent="0.3">
      <c r="A5536" t="s">
        <v>6</v>
      </c>
      <c r="B5536" t="str">
        <f>"11/25/2016 00:00"</f>
        <v>11/25/2016 00:00</v>
      </c>
      <c r="C5536">
        <v>75.5</v>
      </c>
      <c r="D5536" t="s">
        <v>7</v>
      </c>
      <c r="E5536" s="2" t="s">
        <v>12</v>
      </c>
      <c r="F5536">
        <f t="shared" si="86"/>
        <v>149.7165</v>
      </c>
      <c r="G5536" t="s">
        <v>16</v>
      </c>
      <c r="J5536" t="str">
        <f>"11/25/2016 23:45"</f>
        <v>11/25/2016 23:45</v>
      </c>
    </row>
    <row r="5537" spans="1:10" x14ac:dyDescent="0.3">
      <c r="A5537" t="s">
        <v>6</v>
      </c>
      <c r="B5537" t="str">
        <f>"11/26/2016 00:00"</f>
        <v>11/26/2016 00:00</v>
      </c>
      <c r="C5537">
        <v>75.099999999999994</v>
      </c>
      <c r="D5537" t="s">
        <v>7</v>
      </c>
      <c r="E5537" s="2" t="s">
        <v>12</v>
      </c>
      <c r="F5537">
        <f t="shared" si="86"/>
        <v>148.92329999999998</v>
      </c>
      <c r="G5537" t="s">
        <v>16</v>
      </c>
      <c r="J5537" t="str">
        <f>"11/26/2016 23:45"</f>
        <v>11/26/2016 23:45</v>
      </c>
    </row>
    <row r="5538" spans="1:10" x14ac:dyDescent="0.3">
      <c r="A5538" t="s">
        <v>6</v>
      </c>
      <c r="B5538" t="str">
        <f>"11/27/2016 00:00"</f>
        <v>11/27/2016 00:00</v>
      </c>
      <c r="C5538">
        <v>74.8</v>
      </c>
      <c r="D5538" t="s">
        <v>7</v>
      </c>
      <c r="E5538" s="2" t="s">
        <v>12</v>
      </c>
      <c r="F5538">
        <f t="shared" si="86"/>
        <v>148.32839999999999</v>
      </c>
      <c r="G5538" t="s">
        <v>16</v>
      </c>
      <c r="J5538" t="str">
        <f>"11/27/2016 23:45"</f>
        <v>11/27/2016 23:45</v>
      </c>
    </row>
    <row r="5539" spans="1:10" x14ac:dyDescent="0.3">
      <c r="A5539" t="s">
        <v>6</v>
      </c>
      <c r="B5539" t="str">
        <f>"11/28/2016 00:00"</f>
        <v>11/28/2016 00:00</v>
      </c>
      <c r="C5539">
        <v>74.8</v>
      </c>
      <c r="D5539" t="s">
        <v>7</v>
      </c>
      <c r="E5539" s="2" t="s">
        <v>12</v>
      </c>
      <c r="F5539">
        <f t="shared" si="86"/>
        <v>148.32839999999999</v>
      </c>
      <c r="G5539" t="s">
        <v>16</v>
      </c>
      <c r="J5539" t="str">
        <f>"11/28/2016 23:45"</f>
        <v>11/28/2016 23:45</v>
      </c>
    </row>
    <row r="5540" spans="1:10" x14ac:dyDescent="0.3">
      <c r="A5540" t="s">
        <v>6</v>
      </c>
      <c r="B5540" t="str">
        <f>"11/29/2016 00:00"</f>
        <v>11/29/2016 00:00</v>
      </c>
      <c r="C5540">
        <v>74.8</v>
      </c>
      <c r="D5540" t="s">
        <v>7</v>
      </c>
      <c r="E5540" s="2" t="s">
        <v>12</v>
      </c>
      <c r="F5540">
        <f t="shared" si="86"/>
        <v>148.32839999999999</v>
      </c>
      <c r="G5540" t="s">
        <v>16</v>
      </c>
      <c r="J5540" t="str">
        <f>"11/29/2016 23:45"</f>
        <v>11/29/2016 23:45</v>
      </c>
    </row>
    <row r="5541" spans="1:10" x14ac:dyDescent="0.3">
      <c r="A5541" t="s">
        <v>6</v>
      </c>
      <c r="B5541" t="str">
        <f>"11/30/2016 00:00"</f>
        <v>11/30/2016 00:00</v>
      </c>
      <c r="C5541">
        <v>94.9</v>
      </c>
      <c r="D5541" t="s">
        <v>7</v>
      </c>
      <c r="E5541" s="2" t="s">
        <v>12</v>
      </c>
      <c r="F5541">
        <f t="shared" si="86"/>
        <v>188.18670000000003</v>
      </c>
      <c r="G5541" t="s">
        <v>16</v>
      </c>
      <c r="J5541" t="str">
        <f>"11/30/2016 23:45"</f>
        <v>11/30/2016 23:45</v>
      </c>
    </row>
    <row r="5542" spans="1:10" x14ac:dyDescent="0.3">
      <c r="A5542" t="s">
        <v>6</v>
      </c>
      <c r="B5542" t="str">
        <f>"12/01/2016 00:00"</f>
        <v>12/01/2016 00:00</v>
      </c>
      <c r="C5542">
        <v>108</v>
      </c>
      <c r="D5542" t="s">
        <v>7</v>
      </c>
      <c r="E5542" s="2" t="s">
        <v>12</v>
      </c>
      <c r="F5542">
        <f t="shared" si="86"/>
        <v>214.16400000000002</v>
      </c>
      <c r="G5542" t="s">
        <v>16</v>
      </c>
      <c r="J5542" t="str">
        <f>"12/01/2016 23:45"</f>
        <v>12/01/2016 23:45</v>
      </c>
    </row>
    <row r="5543" spans="1:10" x14ac:dyDescent="0.3">
      <c r="A5543" t="s">
        <v>6</v>
      </c>
      <c r="B5543" t="str">
        <f>"12/02/2016 00:00"</f>
        <v>12/02/2016 00:00</v>
      </c>
      <c r="C5543">
        <v>107</v>
      </c>
      <c r="D5543" t="s">
        <v>7</v>
      </c>
      <c r="E5543" s="2" t="s">
        <v>12</v>
      </c>
      <c r="F5543">
        <f t="shared" si="86"/>
        <v>212.18100000000001</v>
      </c>
      <c r="G5543" t="s">
        <v>16</v>
      </c>
      <c r="J5543" t="str">
        <f>"12/02/2016 23:45"</f>
        <v>12/02/2016 23:45</v>
      </c>
    </row>
    <row r="5544" spans="1:10" x14ac:dyDescent="0.3">
      <c r="A5544" t="s">
        <v>6</v>
      </c>
      <c r="B5544" t="str">
        <f>"12/03/2016 00:00"</f>
        <v>12/03/2016 00:00</v>
      </c>
      <c r="C5544">
        <v>107</v>
      </c>
      <c r="D5544" t="s">
        <v>7</v>
      </c>
      <c r="E5544" s="2" t="s">
        <v>12</v>
      </c>
      <c r="F5544">
        <f t="shared" si="86"/>
        <v>212.18100000000001</v>
      </c>
      <c r="G5544" t="s">
        <v>16</v>
      </c>
      <c r="J5544" t="str">
        <f>"12/03/2016 23:45"</f>
        <v>12/03/2016 23:45</v>
      </c>
    </row>
    <row r="5545" spans="1:10" x14ac:dyDescent="0.3">
      <c r="A5545" t="s">
        <v>6</v>
      </c>
      <c r="B5545" t="str">
        <f>"12/04/2016 00:00"</f>
        <v>12/04/2016 00:00</v>
      </c>
      <c r="C5545">
        <v>106</v>
      </c>
      <c r="D5545" t="s">
        <v>7</v>
      </c>
      <c r="E5545" s="2" t="s">
        <v>12</v>
      </c>
      <c r="F5545">
        <f t="shared" si="86"/>
        <v>210.19800000000001</v>
      </c>
      <c r="G5545" t="s">
        <v>16</v>
      </c>
      <c r="J5545" t="str">
        <f>"12/04/2016 23:45"</f>
        <v>12/04/2016 23:45</v>
      </c>
    </row>
    <row r="5546" spans="1:10" x14ac:dyDescent="0.3">
      <c r="A5546" t="s">
        <v>6</v>
      </c>
      <c r="B5546" t="str">
        <f>"12/05/2016 00:00"</f>
        <v>12/05/2016 00:00</v>
      </c>
      <c r="C5546">
        <v>107</v>
      </c>
      <c r="D5546" t="s">
        <v>7</v>
      </c>
      <c r="E5546" s="2" t="s">
        <v>12</v>
      </c>
      <c r="F5546">
        <f t="shared" si="86"/>
        <v>212.18100000000001</v>
      </c>
      <c r="G5546" t="s">
        <v>16</v>
      </c>
      <c r="J5546" t="str">
        <f>"12/05/2016 23:45"</f>
        <v>12/05/2016 23:45</v>
      </c>
    </row>
    <row r="5547" spans="1:10" x14ac:dyDescent="0.3">
      <c r="A5547" t="s">
        <v>6</v>
      </c>
      <c r="B5547" t="str">
        <f>"12/06/2016 00:00"</f>
        <v>12/06/2016 00:00</v>
      </c>
      <c r="C5547">
        <v>107</v>
      </c>
      <c r="D5547" t="s">
        <v>7</v>
      </c>
      <c r="E5547" s="2" t="s">
        <v>12</v>
      </c>
      <c r="F5547">
        <f t="shared" si="86"/>
        <v>212.18100000000001</v>
      </c>
      <c r="G5547" t="s">
        <v>16</v>
      </c>
      <c r="J5547" t="str">
        <f>"12/06/2016 23:45"</f>
        <v>12/06/2016 23:45</v>
      </c>
    </row>
    <row r="5548" spans="1:10" x14ac:dyDescent="0.3">
      <c r="A5548" t="s">
        <v>6</v>
      </c>
      <c r="B5548" t="str">
        <f>"12/07/2016 00:00"</f>
        <v>12/07/2016 00:00</v>
      </c>
      <c r="C5548">
        <v>106</v>
      </c>
      <c r="D5548" t="s">
        <v>7</v>
      </c>
      <c r="E5548" s="2" t="s">
        <v>12</v>
      </c>
      <c r="F5548">
        <f t="shared" si="86"/>
        <v>210.19800000000001</v>
      </c>
      <c r="G5548" t="s">
        <v>16</v>
      </c>
      <c r="J5548" t="str">
        <f>"12/07/2016 23:45"</f>
        <v>12/07/2016 23:45</v>
      </c>
    </row>
    <row r="5549" spans="1:10" x14ac:dyDescent="0.3">
      <c r="A5549" t="s">
        <v>6</v>
      </c>
      <c r="B5549" t="str">
        <f>"12/08/2016 00:00"</f>
        <v>12/08/2016 00:00</v>
      </c>
      <c r="C5549">
        <v>129</v>
      </c>
      <c r="D5549" t="s">
        <v>7</v>
      </c>
      <c r="E5549" s="2" t="s">
        <v>12</v>
      </c>
      <c r="F5549">
        <f t="shared" si="86"/>
        <v>255.80700000000002</v>
      </c>
      <c r="G5549" t="s">
        <v>16</v>
      </c>
      <c r="J5549" t="str">
        <f>"12/08/2016 23:45"</f>
        <v>12/08/2016 23:45</v>
      </c>
    </row>
    <row r="5550" spans="1:10" x14ac:dyDescent="0.3">
      <c r="A5550" t="s">
        <v>6</v>
      </c>
      <c r="B5550" t="str">
        <f>"12/09/2016 00:00"</f>
        <v>12/09/2016 00:00</v>
      </c>
      <c r="C5550">
        <v>144</v>
      </c>
      <c r="D5550" t="s">
        <v>7</v>
      </c>
      <c r="E5550" s="2" t="s">
        <v>12</v>
      </c>
      <c r="F5550">
        <f t="shared" si="86"/>
        <v>285.55200000000002</v>
      </c>
      <c r="G5550" t="s">
        <v>16</v>
      </c>
      <c r="J5550" t="str">
        <f>"12/09/2016 23:45"</f>
        <v>12/09/2016 23:45</v>
      </c>
    </row>
    <row r="5551" spans="1:10" x14ac:dyDescent="0.3">
      <c r="A5551" t="s">
        <v>6</v>
      </c>
      <c r="B5551" t="str">
        <f>"12/10/2016 00:00"</f>
        <v>12/10/2016 00:00</v>
      </c>
      <c r="C5551">
        <v>144</v>
      </c>
      <c r="D5551" t="s">
        <v>7</v>
      </c>
      <c r="E5551" s="2" t="s">
        <v>12</v>
      </c>
      <c r="F5551">
        <f t="shared" si="86"/>
        <v>285.55200000000002</v>
      </c>
      <c r="G5551" t="s">
        <v>16</v>
      </c>
      <c r="J5551" t="str">
        <f>"12/10/2016 23:45"</f>
        <v>12/10/2016 23:45</v>
      </c>
    </row>
    <row r="5552" spans="1:10" x14ac:dyDescent="0.3">
      <c r="A5552" t="s">
        <v>6</v>
      </c>
      <c r="B5552" t="str">
        <f>"12/11/2016 00:00"</f>
        <v>12/11/2016 00:00</v>
      </c>
      <c r="C5552">
        <v>119</v>
      </c>
      <c r="D5552" t="s">
        <v>7</v>
      </c>
      <c r="E5552" s="2" t="s">
        <v>12</v>
      </c>
      <c r="F5552">
        <f t="shared" si="86"/>
        <v>235.977</v>
      </c>
      <c r="G5552" t="s">
        <v>16</v>
      </c>
      <c r="J5552" t="str">
        <f>"12/11/2016 23:45"</f>
        <v>12/11/2016 23:45</v>
      </c>
    </row>
    <row r="5553" spans="1:10" x14ac:dyDescent="0.3">
      <c r="A5553" t="s">
        <v>6</v>
      </c>
      <c r="B5553" t="str">
        <f>"12/12/2016 00:00"</f>
        <v>12/12/2016 00:00</v>
      </c>
      <c r="C5553">
        <v>90.3</v>
      </c>
      <c r="D5553" t="s">
        <v>7</v>
      </c>
      <c r="E5553" s="2" t="s">
        <v>12</v>
      </c>
      <c r="F5553">
        <f t="shared" si="86"/>
        <v>179.06489999999999</v>
      </c>
      <c r="G5553" t="s">
        <v>16</v>
      </c>
      <c r="J5553" t="str">
        <f>"12/12/2016 23:45"</f>
        <v>12/12/2016 23:45</v>
      </c>
    </row>
    <row r="5554" spans="1:10" x14ac:dyDescent="0.3">
      <c r="A5554" t="s">
        <v>6</v>
      </c>
      <c r="B5554" t="str">
        <f>"12/13/2016 00:00"</f>
        <v>12/13/2016 00:00</v>
      </c>
      <c r="C5554">
        <v>79</v>
      </c>
      <c r="D5554" t="s">
        <v>7</v>
      </c>
      <c r="E5554" s="2" t="s">
        <v>12</v>
      </c>
      <c r="F5554">
        <f t="shared" si="86"/>
        <v>156.65700000000001</v>
      </c>
      <c r="G5554" t="s">
        <v>16</v>
      </c>
      <c r="J5554" t="str">
        <f>"12/13/2016 23:45"</f>
        <v>12/13/2016 23:45</v>
      </c>
    </row>
    <row r="5555" spans="1:10" x14ac:dyDescent="0.3">
      <c r="A5555" t="s">
        <v>6</v>
      </c>
      <c r="B5555" t="str">
        <f>"12/14/2016 00:00"</f>
        <v>12/14/2016 00:00</v>
      </c>
      <c r="C5555">
        <v>77.8</v>
      </c>
      <c r="D5555" t="s">
        <v>7</v>
      </c>
      <c r="E5555" s="2" t="s">
        <v>12</v>
      </c>
      <c r="F5555">
        <f t="shared" si="86"/>
        <v>154.2774</v>
      </c>
      <c r="G5555" t="s">
        <v>16</v>
      </c>
      <c r="J5555" t="str">
        <f>"12/14/2016 23:45"</f>
        <v>12/14/2016 23:45</v>
      </c>
    </row>
    <row r="5556" spans="1:10" x14ac:dyDescent="0.3">
      <c r="A5556" t="s">
        <v>6</v>
      </c>
      <c r="B5556" t="str">
        <f>"12/15/2016 00:00"</f>
        <v>12/15/2016 00:00</v>
      </c>
      <c r="C5556">
        <v>77.5</v>
      </c>
      <c r="D5556" t="s">
        <v>7</v>
      </c>
      <c r="E5556" s="2" t="s">
        <v>12</v>
      </c>
      <c r="F5556">
        <f t="shared" si="86"/>
        <v>153.6825</v>
      </c>
      <c r="G5556" t="s">
        <v>16</v>
      </c>
      <c r="J5556" t="str">
        <f>"12/15/2016 23:45"</f>
        <v>12/15/2016 23:45</v>
      </c>
    </row>
    <row r="5557" spans="1:10" x14ac:dyDescent="0.3">
      <c r="A5557" t="s">
        <v>6</v>
      </c>
      <c r="B5557" t="str">
        <f>"12/16/2016 00:00"</f>
        <v>12/16/2016 00:00</v>
      </c>
      <c r="C5557">
        <v>77.7</v>
      </c>
      <c r="D5557" t="s">
        <v>7</v>
      </c>
      <c r="E5557" s="2" t="s">
        <v>12</v>
      </c>
      <c r="F5557">
        <f t="shared" si="86"/>
        <v>154.07910000000001</v>
      </c>
      <c r="G5557" t="s">
        <v>16</v>
      </c>
      <c r="J5557" t="str">
        <f>"12/16/2016 23:45"</f>
        <v>12/16/2016 23:45</v>
      </c>
    </row>
    <row r="5558" spans="1:10" x14ac:dyDescent="0.3">
      <c r="A5558" t="s">
        <v>6</v>
      </c>
      <c r="B5558" t="str">
        <f>"12/17/2016 00:00"</f>
        <v>12/17/2016 00:00</v>
      </c>
      <c r="C5558">
        <v>78.2</v>
      </c>
      <c r="D5558" t="s">
        <v>7</v>
      </c>
      <c r="E5558" s="2" t="s">
        <v>12</v>
      </c>
      <c r="F5558">
        <f t="shared" si="86"/>
        <v>155.07060000000001</v>
      </c>
      <c r="G5558" t="s">
        <v>16</v>
      </c>
      <c r="J5558" t="str">
        <f>"12/17/2016 23:45"</f>
        <v>12/17/2016 23:45</v>
      </c>
    </row>
    <row r="5559" spans="1:10" x14ac:dyDescent="0.3">
      <c r="A5559" t="s">
        <v>6</v>
      </c>
      <c r="B5559" t="str">
        <f>"12/18/2016 00:00"</f>
        <v>12/18/2016 00:00</v>
      </c>
      <c r="C5559">
        <v>78.400000000000006</v>
      </c>
      <c r="D5559" t="s">
        <v>7</v>
      </c>
      <c r="E5559" s="2" t="s">
        <v>12</v>
      </c>
      <c r="F5559">
        <f t="shared" si="86"/>
        <v>155.46720000000002</v>
      </c>
      <c r="G5559" t="s">
        <v>16</v>
      </c>
      <c r="J5559" t="str">
        <f>"12/18/2016 23:45"</f>
        <v>12/18/2016 23:45</v>
      </c>
    </row>
    <row r="5560" spans="1:10" x14ac:dyDescent="0.3">
      <c r="A5560" t="s">
        <v>6</v>
      </c>
      <c r="B5560" t="str">
        <f>"12/19/2016 00:00"</f>
        <v>12/19/2016 00:00</v>
      </c>
      <c r="C5560">
        <v>77.900000000000006</v>
      </c>
      <c r="D5560" t="s">
        <v>7</v>
      </c>
      <c r="E5560" s="2" t="s">
        <v>12</v>
      </c>
      <c r="F5560">
        <f t="shared" si="86"/>
        <v>154.47570000000002</v>
      </c>
      <c r="G5560" t="s">
        <v>16</v>
      </c>
      <c r="J5560" t="str">
        <f>"12/19/2016 23:45"</f>
        <v>12/19/2016 23:45</v>
      </c>
    </row>
    <row r="5561" spans="1:10" x14ac:dyDescent="0.3">
      <c r="A5561" t="s">
        <v>6</v>
      </c>
      <c r="B5561" t="str">
        <f>"12/20/2016 00:00"</f>
        <v>12/20/2016 00:00</v>
      </c>
      <c r="C5561">
        <v>77.7</v>
      </c>
      <c r="D5561" t="s">
        <v>7</v>
      </c>
      <c r="E5561" s="2" t="s">
        <v>12</v>
      </c>
      <c r="F5561">
        <f t="shared" si="86"/>
        <v>154.07910000000001</v>
      </c>
      <c r="G5561" t="s">
        <v>16</v>
      </c>
      <c r="J5561" t="str">
        <f>"12/20/2016 23:45"</f>
        <v>12/20/2016 23:45</v>
      </c>
    </row>
    <row r="5562" spans="1:10" x14ac:dyDescent="0.3">
      <c r="A5562" t="s">
        <v>6</v>
      </c>
      <c r="B5562" t="str">
        <f>"12/21/2016 00:00"</f>
        <v>12/21/2016 00:00</v>
      </c>
      <c r="C5562">
        <v>78.2</v>
      </c>
      <c r="D5562" t="s">
        <v>7</v>
      </c>
      <c r="E5562" s="2" t="s">
        <v>12</v>
      </c>
      <c r="F5562">
        <f t="shared" si="86"/>
        <v>155.07060000000001</v>
      </c>
      <c r="G5562" t="s">
        <v>16</v>
      </c>
      <c r="J5562" t="str">
        <f>"12/21/2016 23:45"</f>
        <v>12/21/2016 23:45</v>
      </c>
    </row>
    <row r="5563" spans="1:10" x14ac:dyDescent="0.3">
      <c r="A5563" t="s">
        <v>6</v>
      </c>
      <c r="B5563" t="str">
        <f>"12/22/2016 00:00"</f>
        <v>12/22/2016 00:00</v>
      </c>
      <c r="C5563">
        <v>77.599999999999994</v>
      </c>
      <c r="D5563" t="s">
        <v>7</v>
      </c>
      <c r="E5563" s="2" t="s">
        <v>12</v>
      </c>
      <c r="F5563">
        <f t="shared" si="86"/>
        <v>153.88079999999999</v>
      </c>
      <c r="G5563" t="s">
        <v>16</v>
      </c>
      <c r="J5563" t="str">
        <f>"12/22/2016 23:45"</f>
        <v>12/22/2016 23:45</v>
      </c>
    </row>
    <row r="5564" spans="1:10" x14ac:dyDescent="0.3">
      <c r="A5564" t="s">
        <v>6</v>
      </c>
      <c r="B5564" t="str">
        <f>"12/23/2016 00:00"</f>
        <v>12/23/2016 00:00</v>
      </c>
      <c r="C5564">
        <v>77.900000000000006</v>
      </c>
      <c r="D5564" t="s">
        <v>7</v>
      </c>
      <c r="E5564" s="2" t="s">
        <v>12</v>
      </c>
      <c r="F5564">
        <f t="shared" si="86"/>
        <v>154.47570000000002</v>
      </c>
      <c r="G5564" t="s">
        <v>16</v>
      </c>
      <c r="J5564" t="str">
        <f>"12/23/2016 23:45"</f>
        <v>12/23/2016 23:45</v>
      </c>
    </row>
    <row r="5565" spans="1:10" x14ac:dyDescent="0.3">
      <c r="A5565" t="s">
        <v>6</v>
      </c>
      <c r="B5565" t="str">
        <f>"12/24/2016 00:00"</f>
        <v>12/24/2016 00:00</v>
      </c>
      <c r="C5565">
        <v>77.7</v>
      </c>
      <c r="D5565" t="s">
        <v>7</v>
      </c>
      <c r="E5565" s="2" t="s">
        <v>12</v>
      </c>
      <c r="F5565">
        <f t="shared" si="86"/>
        <v>154.07910000000001</v>
      </c>
      <c r="G5565" t="s">
        <v>16</v>
      </c>
      <c r="J5565" t="str">
        <f>"12/24/2016 23:45"</f>
        <v>12/24/2016 23:45</v>
      </c>
    </row>
    <row r="5566" spans="1:10" x14ac:dyDescent="0.3">
      <c r="A5566" t="s">
        <v>6</v>
      </c>
      <c r="B5566" t="str">
        <f>"12/25/2016 00:00"</f>
        <v>12/25/2016 00:00</v>
      </c>
      <c r="C5566">
        <v>77.900000000000006</v>
      </c>
      <c r="D5566" t="s">
        <v>7</v>
      </c>
      <c r="E5566" s="2" t="s">
        <v>12</v>
      </c>
      <c r="F5566">
        <f t="shared" si="86"/>
        <v>154.47570000000002</v>
      </c>
      <c r="G5566" t="s">
        <v>16</v>
      </c>
      <c r="J5566" t="str">
        <f>"12/25/2016 23:45"</f>
        <v>12/25/2016 23:45</v>
      </c>
    </row>
    <row r="5567" spans="1:10" x14ac:dyDescent="0.3">
      <c r="A5567" t="s">
        <v>6</v>
      </c>
      <c r="B5567" t="str">
        <f>"12/26/2016 00:00"</f>
        <v>12/26/2016 00:00</v>
      </c>
      <c r="C5567">
        <v>78.2</v>
      </c>
      <c r="D5567" t="s">
        <v>7</v>
      </c>
      <c r="E5567" s="2" t="s">
        <v>12</v>
      </c>
      <c r="F5567">
        <f t="shared" si="86"/>
        <v>155.07060000000001</v>
      </c>
      <c r="G5567" t="s">
        <v>16</v>
      </c>
      <c r="J5567" t="str">
        <f>"12/26/2016 23:45"</f>
        <v>12/26/2016 23:45</v>
      </c>
    </row>
    <row r="5568" spans="1:10" x14ac:dyDescent="0.3">
      <c r="A5568" t="s">
        <v>6</v>
      </c>
      <c r="B5568" t="str">
        <f>"12/27/2016 00:00"</f>
        <v>12/27/2016 00:00</v>
      </c>
      <c r="C5568">
        <v>78.2</v>
      </c>
      <c r="D5568" t="s">
        <v>7</v>
      </c>
      <c r="E5568" s="2" t="s">
        <v>12</v>
      </c>
      <c r="F5568">
        <f t="shared" si="86"/>
        <v>155.07060000000001</v>
      </c>
      <c r="G5568" t="s">
        <v>16</v>
      </c>
      <c r="J5568" t="str">
        <f>"12/27/2016 23:45"</f>
        <v>12/27/2016 23:45</v>
      </c>
    </row>
    <row r="5569" spans="1:10" x14ac:dyDescent="0.3">
      <c r="A5569" t="s">
        <v>6</v>
      </c>
      <c r="B5569" t="str">
        <f>"12/28/2016 00:00"</f>
        <v>12/28/2016 00:00</v>
      </c>
      <c r="C5569">
        <v>78.3</v>
      </c>
      <c r="D5569" t="s">
        <v>7</v>
      </c>
      <c r="E5569" s="2" t="s">
        <v>12</v>
      </c>
      <c r="F5569">
        <f t="shared" si="86"/>
        <v>155.2689</v>
      </c>
      <c r="G5569" t="s">
        <v>16</v>
      </c>
      <c r="J5569" t="str">
        <f>"12/28/2016 23:45"</f>
        <v>12/28/2016 23:45</v>
      </c>
    </row>
    <row r="5570" spans="1:10" x14ac:dyDescent="0.3">
      <c r="A5570" t="s">
        <v>6</v>
      </c>
      <c r="B5570" t="str">
        <f>"12/29/2016 00:00"</f>
        <v>12/29/2016 00:00</v>
      </c>
      <c r="C5570">
        <v>78.099999999999994</v>
      </c>
      <c r="D5570" t="s">
        <v>7</v>
      </c>
      <c r="E5570" s="2" t="s">
        <v>12</v>
      </c>
      <c r="F5570">
        <f t="shared" si="86"/>
        <v>154.8723</v>
      </c>
      <c r="G5570" t="s">
        <v>16</v>
      </c>
      <c r="J5570" t="str">
        <f>"12/29/2016 23:45"</f>
        <v>12/29/2016 23:45</v>
      </c>
    </row>
    <row r="5571" spans="1:10" x14ac:dyDescent="0.3">
      <c r="A5571" t="s">
        <v>6</v>
      </c>
      <c r="B5571" t="str">
        <f>"12/30/2016 00:00"</f>
        <v>12/30/2016 00:00</v>
      </c>
      <c r="C5571">
        <v>78.599999999999994</v>
      </c>
      <c r="D5571" t="s">
        <v>7</v>
      </c>
      <c r="E5571" s="2" t="s">
        <v>12</v>
      </c>
      <c r="F5571">
        <f t="shared" si="86"/>
        <v>155.8638</v>
      </c>
      <c r="G5571" t="s">
        <v>16</v>
      </c>
      <c r="J5571" t="str">
        <f>"12/30/2016 23:45"</f>
        <v>12/30/2016 23:45</v>
      </c>
    </row>
    <row r="5572" spans="1:10" x14ac:dyDescent="0.3">
      <c r="A5572" t="s">
        <v>6</v>
      </c>
      <c r="B5572" t="str">
        <f>"12/31/2016 00:00"</f>
        <v>12/31/2016 00:00</v>
      </c>
      <c r="C5572">
        <v>80</v>
      </c>
      <c r="D5572" t="s">
        <v>7</v>
      </c>
      <c r="E5572" s="2" t="s">
        <v>12</v>
      </c>
      <c r="F5572">
        <f t="shared" ref="F5572:F5635" si="87">C5572*1.983</f>
        <v>158.64000000000001</v>
      </c>
      <c r="G5572" t="s">
        <v>16</v>
      </c>
      <c r="J5572" t="str">
        <f>"12/31/2016 23:45"</f>
        <v>12/31/2016 23:45</v>
      </c>
    </row>
    <row r="5573" spans="1:10" x14ac:dyDescent="0.3">
      <c r="A5573" t="s">
        <v>6</v>
      </c>
      <c r="B5573" t="str">
        <f>"01/01/2017 00:00"</f>
        <v>01/01/2017 00:00</v>
      </c>
      <c r="C5573">
        <v>80.099999999999994</v>
      </c>
      <c r="D5573" t="s">
        <v>7</v>
      </c>
      <c r="E5573" s="2" t="s">
        <v>12</v>
      </c>
      <c r="F5573">
        <f t="shared" si="87"/>
        <v>158.8383</v>
      </c>
      <c r="G5573" t="s">
        <v>16</v>
      </c>
      <c r="J5573" t="str">
        <f>"01/01/2017 23:45"</f>
        <v>01/01/2017 23:45</v>
      </c>
    </row>
    <row r="5574" spans="1:10" x14ac:dyDescent="0.3">
      <c r="A5574" t="s">
        <v>6</v>
      </c>
      <c r="B5574" t="str">
        <f>"01/02/2017 00:00"</f>
        <v>01/02/2017 00:00</v>
      </c>
      <c r="C5574">
        <v>80.2</v>
      </c>
      <c r="D5574" t="s">
        <v>7</v>
      </c>
      <c r="E5574" s="2" t="s">
        <v>12</v>
      </c>
      <c r="F5574">
        <f t="shared" si="87"/>
        <v>159.03660000000002</v>
      </c>
      <c r="G5574" t="s">
        <v>16</v>
      </c>
      <c r="J5574" t="str">
        <f>"01/02/2017 23:45"</f>
        <v>01/02/2017 23:45</v>
      </c>
    </row>
    <row r="5575" spans="1:10" x14ac:dyDescent="0.3">
      <c r="A5575" t="s">
        <v>6</v>
      </c>
      <c r="B5575" t="str">
        <f>"01/03/2017 00:00"</f>
        <v>01/03/2017 00:00</v>
      </c>
      <c r="C5575">
        <v>80.2</v>
      </c>
      <c r="D5575" t="s">
        <v>7</v>
      </c>
      <c r="E5575" s="2" t="s">
        <v>12</v>
      </c>
      <c r="F5575">
        <f t="shared" si="87"/>
        <v>159.03660000000002</v>
      </c>
      <c r="G5575" t="s">
        <v>16</v>
      </c>
      <c r="J5575" t="str">
        <f>"01/03/2017 23:45"</f>
        <v>01/03/2017 23:45</v>
      </c>
    </row>
    <row r="5576" spans="1:10" x14ac:dyDescent="0.3">
      <c r="A5576" t="s">
        <v>6</v>
      </c>
      <c r="B5576" t="str">
        <f>"01/04/2017 00:00"</f>
        <v>01/04/2017 00:00</v>
      </c>
      <c r="C5576">
        <v>80.5</v>
      </c>
      <c r="D5576" t="s">
        <v>7</v>
      </c>
      <c r="E5576" s="2" t="s">
        <v>12</v>
      </c>
      <c r="F5576">
        <f t="shared" si="87"/>
        <v>159.63150000000002</v>
      </c>
      <c r="G5576" t="s">
        <v>16</v>
      </c>
      <c r="J5576" t="str">
        <f>"01/04/2017 23:45"</f>
        <v>01/04/2017 23:45</v>
      </c>
    </row>
    <row r="5577" spans="1:10" x14ac:dyDescent="0.3">
      <c r="A5577" t="s">
        <v>6</v>
      </c>
      <c r="B5577" t="str">
        <f>"01/05/2017 00:00"</f>
        <v>01/05/2017 00:00</v>
      </c>
      <c r="C5577">
        <v>80.5</v>
      </c>
      <c r="D5577" t="s">
        <v>7</v>
      </c>
      <c r="E5577" s="2" t="s">
        <v>12</v>
      </c>
      <c r="F5577">
        <f t="shared" si="87"/>
        <v>159.63150000000002</v>
      </c>
      <c r="G5577" t="s">
        <v>16</v>
      </c>
      <c r="J5577" t="str">
        <f>"01/05/2017 23:45"</f>
        <v>01/05/2017 23:45</v>
      </c>
    </row>
    <row r="5578" spans="1:10" x14ac:dyDescent="0.3">
      <c r="A5578" t="s">
        <v>6</v>
      </c>
      <c r="B5578" t="str">
        <f>"01/06/2017 00:00"</f>
        <v>01/06/2017 00:00</v>
      </c>
      <c r="C5578">
        <v>80.5</v>
      </c>
      <c r="D5578" t="s">
        <v>7</v>
      </c>
      <c r="E5578" s="2" t="s">
        <v>12</v>
      </c>
      <c r="F5578">
        <f t="shared" si="87"/>
        <v>159.63150000000002</v>
      </c>
      <c r="G5578" t="s">
        <v>16</v>
      </c>
      <c r="J5578" t="str">
        <f>"01/06/2017 23:45"</f>
        <v>01/06/2017 23:45</v>
      </c>
    </row>
    <row r="5579" spans="1:10" x14ac:dyDescent="0.3">
      <c r="A5579" t="s">
        <v>6</v>
      </c>
      <c r="B5579" t="str">
        <f>"01/07/2017 00:00"</f>
        <v>01/07/2017 00:00</v>
      </c>
      <c r="C5579">
        <v>80.400000000000006</v>
      </c>
      <c r="D5579" t="s">
        <v>7</v>
      </c>
      <c r="E5579" s="2" t="s">
        <v>12</v>
      </c>
      <c r="F5579">
        <f t="shared" si="87"/>
        <v>159.43320000000003</v>
      </c>
      <c r="G5579" t="s">
        <v>16</v>
      </c>
      <c r="J5579" t="str">
        <f>"01/07/2017 23:45"</f>
        <v>01/07/2017 23:45</v>
      </c>
    </row>
    <row r="5580" spans="1:10" x14ac:dyDescent="0.3">
      <c r="A5580" t="s">
        <v>6</v>
      </c>
      <c r="B5580" t="str">
        <f>"01/08/2017 00:00"</f>
        <v>01/08/2017 00:00</v>
      </c>
      <c r="C5580">
        <v>80.3</v>
      </c>
      <c r="D5580" t="s">
        <v>7</v>
      </c>
      <c r="E5580" s="2" t="s">
        <v>12</v>
      </c>
      <c r="F5580">
        <f t="shared" si="87"/>
        <v>159.23490000000001</v>
      </c>
      <c r="G5580" t="s">
        <v>16</v>
      </c>
      <c r="J5580" t="str">
        <f>"01/08/2017 23:45"</f>
        <v>01/08/2017 23:45</v>
      </c>
    </row>
    <row r="5581" spans="1:10" x14ac:dyDescent="0.3">
      <c r="A5581" t="s">
        <v>6</v>
      </c>
      <c r="B5581" t="str">
        <f>"01/09/2017 00:00"</f>
        <v>01/09/2017 00:00</v>
      </c>
      <c r="C5581">
        <v>80</v>
      </c>
      <c r="D5581" t="s">
        <v>7</v>
      </c>
      <c r="E5581" s="2" t="s">
        <v>12</v>
      </c>
      <c r="F5581">
        <f t="shared" si="87"/>
        <v>158.64000000000001</v>
      </c>
      <c r="G5581" t="s">
        <v>16</v>
      </c>
      <c r="J5581" t="str">
        <f>"01/09/2017 23:45"</f>
        <v>01/09/2017 23:45</v>
      </c>
    </row>
    <row r="5582" spans="1:10" x14ac:dyDescent="0.3">
      <c r="A5582" t="s">
        <v>6</v>
      </c>
      <c r="B5582" t="str">
        <f>"01/10/2017 00:00"</f>
        <v>01/10/2017 00:00</v>
      </c>
      <c r="C5582">
        <v>79.2</v>
      </c>
      <c r="D5582" t="s">
        <v>7</v>
      </c>
      <c r="E5582" s="2" t="s">
        <v>12</v>
      </c>
      <c r="F5582">
        <f t="shared" si="87"/>
        <v>157.05360000000002</v>
      </c>
      <c r="G5582" t="s">
        <v>16</v>
      </c>
      <c r="J5582" t="str">
        <f>"01/10/2017 23:45"</f>
        <v>01/10/2017 23:45</v>
      </c>
    </row>
    <row r="5583" spans="1:10" x14ac:dyDescent="0.3">
      <c r="A5583" t="s">
        <v>6</v>
      </c>
      <c r="B5583" t="str">
        <f>"01/11/2017 00:00"</f>
        <v>01/11/2017 00:00</v>
      </c>
      <c r="C5583">
        <v>78.7</v>
      </c>
      <c r="D5583" t="s">
        <v>7</v>
      </c>
      <c r="E5583" s="2" t="s">
        <v>12</v>
      </c>
      <c r="F5583">
        <f t="shared" si="87"/>
        <v>156.06210000000002</v>
      </c>
      <c r="G5583" t="s">
        <v>16</v>
      </c>
      <c r="J5583" t="str">
        <f>"01/11/2017 23:45"</f>
        <v>01/11/2017 23:45</v>
      </c>
    </row>
    <row r="5584" spans="1:10" x14ac:dyDescent="0.3">
      <c r="A5584" t="s">
        <v>6</v>
      </c>
      <c r="B5584" t="str">
        <f>"01/12/2017 00:00"</f>
        <v>01/12/2017 00:00</v>
      </c>
      <c r="C5584">
        <v>79.599999999999994</v>
      </c>
      <c r="D5584" t="s">
        <v>7</v>
      </c>
      <c r="E5584" s="2" t="s">
        <v>12</v>
      </c>
      <c r="F5584">
        <f t="shared" si="87"/>
        <v>157.8468</v>
      </c>
      <c r="G5584" t="s">
        <v>16</v>
      </c>
      <c r="J5584" t="str">
        <f>"01/12/2017 23:45"</f>
        <v>01/12/2017 23:45</v>
      </c>
    </row>
    <row r="5585" spans="1:10" x14ac:dyDescent="0.3">
      <c r="A5585" t="s">
        <v>6</v>
      </c>
      <c r="B5585" t="str">
        <f>"01/13/2017 00:00"</f>
        <v>01/13/2017 00:00</v>
      </c>
      <c r="C5585">
        <v>79.099999999999994</v>
      </c>
      <c r="D5585" t="s">
        <v>7</v>
      </c>
      <c r="E5585" s="2" t="s">
        <v>12</v>
      </c>
      <c r="F5585">
        <f t="shared" si="87"/>
        <v>156.8553</v>
      </c>
      <c r="G5585" t="s">
        <v>16</v>
      </c>
      <c r="J5585" t="str">
        <f>"01/13/2017 23:45"</f>
        <v>01/13/2017 23:45</v>
      </c>
    </row>
    <row r="5586" spans="1:10" x14ac:dyDescent="0.3">
      <c r="A5586" t="s">
        <v>6</v>
      </c>
      <c r="B5586" t="str">
        <f>"01/14/2017 00:00"</f>
        <v>01/14/2017 00:00</v>
      </c>
      <c r="C5586">
        <v>78.2</v>
      </c>
      <c r="D5586" t="s">
        <v>7</v>
      </c>
      <c r="E5586" s="2" t="s">
        <v>12</v>
      </c>
      <c r="F5586">
        <f t="shared" si="87"/>
        <v>155.07060000000001</v>
      </c>
      <c r="G5586" t="s">
        <v>16</v>
      </c>
      <c r="J5586" t="str">
        <f>"01/14/2017 23:45"</f>
        <v>01/14/2017 23:45</v>
      </c>
    </row>
    <row r="5587" spans="1:10" x14ac:dyDescent="0.3">
      <c r="A5587" t="s">
        <v>6</v>
      </c>
      <c r="B5587" t="str">
        <f>"01/15/2017 00:00"</f>
        <v>01/15/2017 00:00</v>
      </c>
      <c r="C5587">
        <v>79</v>
      </c>
      <c r="D5587" t="s">
        <v>7</v>
      </c>
      <c r="E5587" s="2" t="s">
        <v>12</v>
      </c>
      <c r="F5587">
        <f t="shared" si="87"/>
        <v>156.65700000000001</v>
      </c>
      <c r="G5587" t="s">
        <v>16</v>
      </c>
      <c r="J5587" t="str">
        <f>"01/15/2017 23:45"</f>
        <v>01/15/2017 23:45</v>
      </c>
    </row>
    <row r="5588" spans="1:10" x14ac:dyDescent="0.3">
      <c r="A5588" t="s">
        <v>6</v>
      </c>
      <c r="B5588" t="str">
        <f>"01/16/2017 00:00"</f>
        <v>01/16/2017 00:00</v>
      </c>
      <c r="C5588">
        <v>80.400000000000006</v>
      </c>
      <c r="D5588" t="s">
        <v>7</v>
      </c>
      <c r="E5588" s="2" t="s">
        <v>12</v>
      </c>
      <c r="F5588">
        <f t="shared" si="87"/>
        <v>159.43320000000003</v>
      </c>
      <c r="G5588" t="s">
        <v>16</v>
      </c>
      <c r="J5588" t="str">
        <f>"01/16/2017 23:45"</f>
        <v>01/16/2017 23:45</v>
      </c>
    </row>
    <row r="5589" spans="1:10" x14ac:dyDescent="0.3">
      <c r="A5589" t="s">
        <v>6</v>
      </c>
      <c r="B5589" t="str">
        <f>"01/17/2017 00:00"</f>
        <v>01/17/2017 00:00</v>
      </c>
      <c r="C5589">
        <v>80.900000000000006</v>
      </c>
      <c r="D5589" t="s">
        <v>7</v>
      </c>
      <c r="E5589" s="2" t="s">
        <v>12</v>
      </c>
      <c r="F5589">
        <f t="shared" si="87"/>
        <v>160.42470000000003</v>
      </c>
      <c r="G5589" t="s">
        <v>16</v>
      </c>
      <c r="J5589" t="str">
        <f>"01/17/2017 23:45"</f>
        <v>01/17/2017 23:45</v>
      </c>
    </row>
    <row r="5590" spans="1:10" x14ac:dyDescent="0.3">
      <c r="A5590" t="s">
        <v>6</v>
      </c>
      <c r="B5590" t="str">
        <f>"01/18/2017 00:00"</f>
        <v>01/18/2017 00:00</v>
      </c>
      <c r="C5590">
        <v>81.2</v>
      </c>
      <c r="D5590" t="s">
        <v>7</v>
      </c>
      <c r="E5590" s="2" t="s">
        <v>12</v>
      </c>
      <c r="F5590">
        <f t="shared" si="87"/>
        <v>161.01960000000003</v>
      </c>
      <c r="G5590" t="s">
        <v>16</v>
      </c>
      <c r="J5590" t="str">
        <f>"01/18/2017 23:45"</f>
        <v>01/18/2017 23:45</v>
      </c>
    </row>
    <row r="5591" spans="1:10" x14ac:dyDescent="0.3">
      <c r="A5591" t="s">
        <v>6</v>
      </c>
      <c r="B5591" t="str">
        <f>"01/19/2017 00:00"</f>
        <v>01/19/2017 00:00</v>
      </c>
      <c r="C5591">
        <v>80.900000000000006</v>
      </c>
      <c r="D5591" t="s">
        <v>7</v>
      </c>
      <c r="E5591" s="2" t="s">
        <v>12</v>
      </c>
      <c r="F5591">
        <f t="shared" si="87"/>
        <v>160.42470000000003</v>
      </c>
      <c r="G5591" t="s">
        <v>16</v>
      </c>
      <c r="J5591" t="str">
        <f>"01/19/2017 23:45"</f>
        <v>01/19/2017 23:45</v>
      </c>
    </row>
    <row r="5592" spans="1:10" x14ac:dyDescent="0.3">
      <c r="A5592" t="s">
        <v>6</v>
      </c>
      <c r="B5592" t="str">
        <f>"01/20/2017 00:00"</f>
        <v>01/20/2017 00:00</v>
      </c>
      <c r="C5592">
        <v>81.2</v>
      </c>
      <c r="D5592" t="s">
        <v>7</v>
      </c>
      <c r="E5592" s="2" t="s">
        <v>12</v>
      </c>
      <c r="F5592">
        <f t="shared" si="87"/>
        <v>161.01960000000003</v>
      </c>
      <c r="G5592" t="s">
        <v>16</v>
      </c>
      <c r="J5592" t="str">
        <f>"01/20/2017 23:45"</f>
        <v>01/20/2017 23:45</v>
      </c>
    </row>
    <row r="5593" spans="1:10" x14ac:dyDescent="0.3">
      <c r="A5593" t="s">
        <v>6</v>
      </c>
      <c r="B5593" t="str">
        <f>"01/21/2017 00:00"</f>
        <v>01/21/2017 00:00</v>
      </c>
      <c r="C5593">
        <v>81.599999999999994</v>
      </c>
      <c r="D5593" t="s">
        <v>7</v>
      </c>
      <c r="E5593" s="2" t="s">
        <v>12</v>
      </c>
      <c r="F5593">
        <f t="shared" si="87"/>
        <v>161.81280000000001</v>
      </c>
      <c r="G5593" t="s">
        <v>16</v>
      </c>
      <c r="J5593" t="str">
        <f>"01/21/2017 23:45"</f>
        <v>01/21/2017 23:45</v>
      </c>
    </row>
    <row r="5594" spans="1:10" x14ac:dyDescent="0.3">
      <c r="A5594" t="s">
        <v>6</v>
      </c>
      <c r="B5594" t="str">
        <f>"01/22/2017 00:00"</f>
        <v>01/22/2017 00:00</v>
      </c>
      <c r="C5594">
        <v>81.599999999999994</v>
      </c>
      <c r="D5594" t="s">
        <v>7</v>
      </c>
      <c r="E5594" s="2" t="s">
        <v>12</v>
      </c>
      <c r="F5594">
        <f t="shared" si="87"/>
        <v>161.81280000000001</v>
      </c>
      <c r="G5594" t="s">
        <v>16</v>
      </c>
      <c r="J5594" t="str">
        <f>"01/22/2017 23:45"</f>
        <v>01/22/2017 23:45</v>
      </c>
    </row>
    <row r="5595" spans="1:10" x14ac:dyDescent="0.3">
      <c r="A5595" t="s">
        <v>6</v>
      </c>
      <c r="B5595" t="str">
        <f>"01/23/2017 00:00"</f>
        <v>01/23/2017 00:00</v>
      </c>
      <c r="C5595">
        <v>81.3</v>
      </c>
      <c r="D5595" t="s">
        <v>7</v>
      </c>
      <c r="E5595" s="2" t="s">
        <v>12</v>
      </c>
      <c r="F5595">
        <f t="shared" si="87"/>
        <v>161.21790000000001</v>
      </c>
      <c r="G5595" t="s">
        <v>16</v>
      </c>
      <c r="J5595" t="str">
        <f>"01/23/2017 23:45"</f>
        <v>01/23/2017 23:45</v>
      </c>
    </row>
    <row r="5596" spans="1:10" x14ac:dyDescent="0.3">
      <c r="A5596" t="s">
        <v>6</v>
      </c>
      <c r="B5596" t="str">
        <f>"01/24/2017 00:00"</f>
        <v>01/24/2017 00:00</v>
      </c>
      <c r="C5596">
        <v>81.3</v>
      </c>
      <c r="D5596" t="s">
        <v>7</v>
      </c>
      <c r="E5596" s="2" t="s">
        <v>12</v>
      </c>
      <c r="F5596">
        <f t="shared" si="87"/>
        <v>161.21790000000001</v>
      </c>
      <c r="G5596" t="s">
        <v>16</v>
      </c>
      <c r="J5596" t="str">
        <f>"01/24/2017 23:45"</f>
        <v>01/24/2017 23:45</v>
      </c>
    </row>
    <row r="5597" spans="1:10" x14ac:dyDescent="0.3">
      <c r="A5597" t="s">
        <v>6</v>
      </c>
      <c r="B5597" t="str">
        <f>"01/25/2017 00:00"</f>
        <v>01/25/2017 00:00</v>
      </c>
      <c r="C5597">
        <v>81.599999999999994</v>
      </c>
      <c r="D5597" t="s">
        <v>7</v>
      </c>
      <c r="E5597" s="2" t="s">
        <v>12</v>
      </c>
      <c r="F5597">
        <f t="shared" si="87"/>
        <v>161.81280000000001</v>
      </c>
      <c r="G5597" t="s">
        <v>16</v>
      </c>
      <c r="J5597" t="str">
        <f>"01/25/2017 23:45"</f>
        <v>01/25/2017 23:45</v>
      </c>
    </row>
    <row r="5598" spans="1:10" x14ac:dyDescent="0.3">
      <c r="A5598" t="s">
        <v>6</v>
      </c>
      <c r="B5598" t="str">
        <f>"01/26/2017 00:00"</f>
        <v>01/26/2017 00:00</v>
      </c>
      <c r="C5598">
        <v>81.8</v>
      </c>
      <c r="D5598" t="s">
        <v>7</v>
      </c>
      <c r="E5598" s="2" t="s">
        <v>12</v>
      </c>
      <c r="F5598">
        <f t="shared" si="87"/>
        <v>162.20939999999999</v>
      </c>
      <c r="G5598" t="s">
        <v>16</v>
      </c>
      <c r="J5598" t="str">
        <f>"01/26/2017 23:45"</f>
        <v>01/26/2017 23:45</v>
      </c>
    </row>
    <row r="5599" spans="1:10" x14ac:dyDescent="0.3">
      <c r="A5599" t="s">
        <v>6</v>
      </c>
      <c r="B5599" t="str">
        <f>"01/27/2017 00:00"</f>
        <v>01/27/2017 00:00</v>
      </c>
      <c r="C5599">
        <v>81.900000000000006</v>
      </c>
      <c r="D5599" t="s">
        <v>7</v>
      </c>
      <c r="E5599" s="2" t="s">
        <v>12</v>
      </c>
      <c r="F5599">
        <f t="shared" si="87"/>
        <v>162.40770000000001</v>
      </c>
      <c r="G5599" t="s">
        <v>16</v>
      </c>
      <c r="J5599" t="str">
        <f>"01/27/2017 23:45"</f>
        <v>01/27/2017 23:45</v>
      </c>
    </row>
    <row r="5600" spans="1:10" x14ac:dyDescent="0.3">
      <c r="A5600" t="s">
        <v>6</v>
      </c>
      <c r="B5600" t="str">
        <f>"01/28/2017 00:00"</f>
        <v>01/28/2017 00:00</v>
      </c>
      <c r="C5600">
        <v>81.5</v>
      </c>
      <c r="D5600" t="s">
        <v>7</v>
      </c>
      <c r="E5600" s="2" t="s">
        <v>12</v>
      </c>
      <c r="F5600">
        <f t="shared" si="87"/>
        <v>161.61450000000002</v>
      </c>
      <c r="G5600" t="s">
        <v>16</v>
      </c>
      <c r="J5600" t="str">
        <f>"01/28/2017 23:45"</f>
        <v>01/28/2017 23:45</v>
      </c>
    </row>
    <row r="5601" spans="1:10" x14ac:dyDescent="0.3">
      <c r="A5601" t="s">
        <v>6</v>
      </c>
      <c r="B5601" t="str">
        <f>"01/29/2017 00:00"</f>
        <v>01/29/2017 00:00</v>
      </c>
      <c r="C5601">
        <v>81.7</v>
      </c>
      <c r="D5601" t="s">
        <v>7</v>
      </c>
      <c r="E5601" s="2" t="s">
        <v>12</v>
      </c>
      <c r="F5601">
        <f t="shared" si="87"/>
        <v>162.01110000000003</v>
      </c>
      <c r="G5601" t="s">
        <v>16</v>
      </c>
      <c r="J5601" t="str">
        <f>"01/29/2017 23:45"</f>
        <v>01/29/2017 23:45</v>
      </c>
    </row>
    <row r="5602" spans="1:10" x14ac:dyDescent="0.3">
      <c r="A5602" t="s">
        <v>6</v>
      </c>
      <c r="B5602" t="str">
        <f>"01/30/2017 00:00"</f>
        <v>01/30/2017 00:00</v>
      </c>
      <c r="C5602">
        <v>81.400000000000006</v>
      </c>
      <c r="D5602" t="s">
        <v>7</v>
      </c>
      <c r="E5602" s="2" t="s">
        <v>12</v>
      </c>
      <c r="F5602">
        <f t="shared" si="87"/>
        <v>161.41620000000003</v>
      </c>
      <c r="G5602" t="s">
        <v>16</v>
      </c>
      <c r="J5602" t="str">
        <f>"01/30/2017 23:45"</f>
        <v>01/30/2017 23:45</v>
      </c>
    </row>
    <row r="5603" spans="1:10" x14ac:dyDescent="0.3">
      <c r="A5603" t="s">
        <v>6</v>
      </c>
      <c r="B5603" t="str">
        <f>"01/31/2017 00:00"</f>
        <v>01/31/2017 00:00</v>
      </c>
      <c r="C5603">
        <v>81.599999999999994</v>
      </c>
      <c r="D5603" t="s">
        <v>7</v>
      </c>
      <c r="E5603" s="2" t="s">
        <v>12</v>
      </c>
      <c r="F5603">
        <f t="shared" si="87"/>
        <v>161.81280000000001</v>
      </c>
      <c r="G5603" t="s">
        <v>16</v>
      </c>
      <c r="J5603" t="str">
        <f>"01/31/2017 23:45"</f>
        <v>01/31/2017 23:45</v>
      </c>
    </row>
    <row r="5604" spans="1:10" x14ac:dyDescent="0.3">
      <c r="A5604" t="s">
        <v>6</v>
      </c>
      <c r="B5604" t="str">
        <f>"02/01/2017 00:00"</f>
        <v>02/01/2017 00:00</v>
      </c>
      <c r="C5604">
        <v>81.5</v>
      </c>
      <c r="D5604" t="s">
        <v>7</v>
      </c>
      <c r="E5604" s="2" t="s">
        <v>12</v>
      </c>
      <c r="F5604">
        <f t="shared" si="87"/>
        <v>161.61450000000002</v>
      </c>
      <c r="G5604" t="s">
        <v>16</v>
      </c>
      <c r="J5604" t="str">
        <f>"02/01/2017 23:45"</f>
        <v>02/01/2017 23:45</v>
      </c>
    </row>
    <row r="5605" spans="1:10" x14ac:dyDescent="0.3">
      <c r="A5605" t="s">
        <v>6</v>
      </c>
      <c r="B5605" t="str">
        <f>"02/02/2017 00:00"</f>
        <v>02/02/2017 00:00</v>
      </c>
      <c r="C5605">
        <v>81.5</v>
      </c>
      <c r="D5605" t="s">
        <v>7</v>
      </c>
      <c r="E5605" s="2" t="s">
        <v>12</v>
      </c>
      <c r="F5605">
        <f t="shared" si="87"/>
        <v>161.61450000000002</v>
      </c>
      <c r="G5605" t="s">
        <v>16</v>
      </c>
      <c r="J5605" t="str">
        <f>"02/02/2017 23:45"</f>
        <v>02/02/2017 23:45</v>
      </c>
    </row>
    <row r="5606" spans="1:10" x14ac:dyDescent="0.3">
      <c r="A5606" t="s">
        <v>6</v>
      </c>
      <c r="B5606" t="str">
        <f>"02/03/2017 00:00"</f>
        <v>02/03/2017 00:00</v>
      </c>
      <c r="C5606">
        <v>79.8</v>
      </c>
      <c r="D5606" t="s">
        <v>7</v>
      </c>
      <c r="E5606" s="2" t="s">
        <v>12</v>
      </c>
      <c r="F5606">
        <f t="shared" si="87"/>
        <v>158.24340000000001</v>
      </c>
      <c r="G5606" t="s">
        <v>16</v>
      </c>
      <c r="J5606" t="str">
        <f>"02/03/2017 23:45"</f>
        <v>02/03/2017 23:45</v>
      </c>
    </row>
    <row r="5607" spans="1:10" x14ac:dyDescent="0.3">
      <c r="A5607" t="s">
        <v>6</v>
      </c>
      <c r="B5607" t="str">
        <f>"02/04/2017 00:00"</f>
        <v>02/04/2017 00:00</v>
      </c>
      <c r="C5607">
        <v>82.2</v>
      </c>
      <c r="D5607" t="s">
        <v>7</v>
      </c>
      <c r="E5607" s="2" t="s">
        <v>12</v>
      </c>
      <c r="F5607">
        <f t="shared" si="87"/>
        <v>163.0026</v>
      </c>
      <c r="G5607" t="s">
        <v>16</v>
      </c>
      <c r="J5607" t="str">
        <f>"02/04/2017 23:45"</f>
        <v>02/04/2017 23:45</v>
      </c>
    </row>
    <row r="5608" spans="1:10" x14ac:dyDescent="0.3">
      <c r="A5608" t="s">
        <v>6</v>
      </c>
      <c r="B5608" t="str">
        <f>"02/05/2017 00:00"</f>
        <v>02/05/2017 00:00</v>
      </c>
      <c r="C5608">
        <v>81.599999999999994</v>
      </c>
      <c r="D5608" t="s">
        <v>7</v>
      </c>
      <c r="E5608" s="2" t="s">
        <v>12</v>
      </c>
      <c r="F5608">
        <f t="shared" si="87"/>
        <v>161.81280000000001</v>
      </c>
      <c r="G5608" t="s">
        <v>16</v>
      </c>
      <c r="J5608" t="str">
        <f>"02/05/2017 23:45"</f>
        <v>02/05/2017 23:45</v>
      </c>
    </row>
    <row r="5609" spans="1:10" x14ac:dyDescent="0.3">
      <c r="A5609" t="s">
        <v>6</v>
      </c>
      <c r="B5609" t="str">
        <f>"02/06/2017 00:00"</f>
        <v>02/06/2017 00:00</v>
      </c>
      <c r="C5609">
        <v>81.2</v>
      </c>
      <c r="D5609" t="s">
        <v>7</v>
      </c>
      <c r="E5609" s="2" t="s">
        <v>12</v>
      </c>
      <c r="F5609">
        <f t="shared" si="87"/>
        <v>161.01960000000003</v>
      </c>
      <c r="G5609" t="s">
        <v>16</v>
      </c>
      <c r="J5609" t="str">
        <f>"02/06/2017 23:45"</f>
        <v>02/06/2017 23:45</v>
      </c>
    </row>
    <row r="5610" spans="1:10" x14ac:dyDescent="0.3">
      <c r="A5610" t="s">
        <v>6</v>
      </c>
      <c r="B5610" t="str">
        <f>"02/07/2017 00:00"</f>
        <v>02/07/2017 00:00</v>
      </c>
      <c r="C5610">
        <v>80.7</v>
      </c>
      <c r="D5610" t="s">
        <v>7</v>
      </c>
      <c r="E5610" s="2" t="s">
        <v>12</v>
      </c>
      <c r="F5610">
        <f t="shared" si="87"/>
        <v>160.02810000000002</v>
      </c>
      <c r="G5610" t="s">
        <v>16</v>
      </c>
      <c r="J5610" t="str">
        <f>"02/07/2017 23:45"</f>
        <v>02/07/2017 23:45</v>
      </c>
    </row>
    <row r="5611" spans="1:10" x14ac:dyDescent="0.3">
      <c r="A5611" t="s">
        <v>6</v>
      </c>
      <c r="B5611" t="str">
        <f>"02/08/2017 00:00"</f>
        <v>02/08/2017 00:00</v>
      </c>
      <c r="C5611">
        <v>80.7</v>
      </c>
      <c r="D5611" t="s">
        <v>7</v>
      </c>
      <c r="E5611" s="2" t="s">
        <v>12</v>
      </c>
      <c r="F5611">
        <f t="shared" si="87"/>
        <v>160.02810000000002</v>
      </c>
      <c r="G5611" t="s">
        <v>16</v>
      </c>
      <c r="J5611" t="str">
        <f>"02/08/2017 23:45"</f>
        <v>02/08/2017 23:45</v>
      </c>
    </row>
    <row r="5612" spans="1:10" x14ac:dyDescent="0.3">
      <c r="A5612" t="s">
        <v>6</v>
      </c>
      <c r="B5612" t="str">
        <f>"02/09/2017 00:00"</f>
        <v>02/09/2017 00:00</v>
      </c>
      <c r="C5612">
        <v>80.7</v>
      </c>
      <c r="D5612" t="s">
        <v>7</v>
      </c>
      <c r="E5612" s="2" t="s">
        <v>12</v>
      </c>
      <c r="F5612">
        <f t="shared" si="87"/>
        <v>160.02810000000002</v>
      </c>
      <c r="G5612" t="s">
        <v>16</v>
      </c>
      <c r="J5612" t="str">
        <f>"02/09/2017 23:45"</f>
        <v>02/09/2017 23:45</v>
      </c>
    </row>
    <row r="5613" spans="1:10" x14ac:dyDescent="0.3">
      <c r="A5613" t="s">
        <v>6</v>
      </c>
      <c r="B5613" t="str">
        <f>"02/10/2017 00:00"</f>
        <v>02/10/2017 00:00</v>
      </c>
      <c r="C5613">
        <v>80.3</v>
      </c>
      <c r="D5613" t="s">
        <v>7</v>
      </c>
      <c r="E5613" s="2" t="s">
        <v>12</v>
      </c>
      <c r="F5613">
        <f t="shared" si="87"/>
        <v>159.23490000000001</v>
      </c>
      <c r="G5613" t="s">
        <v>16</v>
      </c>
      <c r="J5613" t="str">
        <f>"02/10/2017 23:45"</f>
        <v>02/10/2017 23:45</v>
      </c>
    </row>
    <row r="5614" spans="1:10" x14ac:dyDescent="0.3">
      <c r="A5614" t="s">
        <v>6</v>
      </c>
      <c r="B5614" t="str">
        <f>"02/11/2017 00:00"</f>
        <v>02/11/2017 00:00</v>
      </c>
      <c r="C5614">
        <v>80.599999999999994</v>
      </c>
      <c r="D5614" t="s">
        <v>7</v>
      </c>
      <c r="E5614" s="2" t="s">
        <v>12</v>
      </c>
      <c r="F5614">
        <f t="shared" si="87"/>
        <v>159.82980000000001</v>
      </c>
      <c r="G5614" t="s">
        <v>16</v>
      </c>
      <c r="J5614" t="str">
        <f>"02/11/2017 23:45"</f>
        <v>02/11/2017 23:45</v>
      </c>
    </row>
    <row r="5615" spans="1:10" x14ac:dyDescent="0.3">
      <c r="A5615" t="s">
        <v>6</v>
      </c>
      <c r="B5615" t="str">
        <f>"02/12/2017 00:00"</f>
        <v>02/12/2017 00:00</v>
      </c>
      <c r="C5615">
        <v>80.8</v>
      </c>
      <c r="D5615" t="s">
        <v>7</v>
      </c>
      <c r="E5615" s="2" t="s">
        <v>12</v>
      </c>
      <c r="F5615">
        <f t="shared" si="87"/>
        <v>160.22640000000001</v>
      </c>
      <c r="G5615" t="s">
        <v>16</v>
      </c>
      <c r="J5615" t="str">
        <f>"02/12/2017 23:45"</f>
        <v>02/12/2017 23:45</v>
      </c>
    </row>
    <row r="5616" spans="1:10" x14ac:dyDescent="0.3">
      <c r="A5616" t="s">
        <v>6</v>
      </c>
      <c r="B5616" t="str">
        <f>"02/13/2017 00:00"</f>
        <v>02/13/2017 00:00</v>
      </c>
      <c r="C5616">
        <v>80.7</v>
      </c>
      <c r="D5616" t="s">
        <v>7</v>
      </c>
      <c r="E5616" s="2" t="s">
        <v>12</v>
      </c>
      <c r="F5616">
        <f t="shared" si="87"/>
        <v>160.02810000000002</v>
      </c>
      <c r="G5616" t="s">
        <v>16</v>
      </c>
      <c r="J5616" t="str">
        <f>"02/13/2017 23:45"</f>
        <v>02/13/2017 23:45</v>
      </c>
    </row>
    <row r="5617" spans="1:10" x14ac:dyDescent="0.3">
      <c r="A5617" t="s">
        <v>6</v>
      </c>
      <c r="B5617" t="str">
        <f>"02/14/2017 00:00"</f>
        <v>02/14/2017 00:00</v>
      </c>
      <c r="C5617">
        <v>81.099999999999994</v>
      </c>
      <c r="D5617" t="s">
        <v>7</v>
      </c>
      <c r="E5617" s="2" t="s">
        <v>12</v>
      </c>
      <c r="F5617">
        <f t="shared" si="87"/>
        <v>160.82130000000001</v>
      </c>
      <c r="G5617" t="s">
        <v>16</v>
      </c>
      <c r="J5617" t="str">
        <f>"02/14/2017 23:45"</f>
        <v>02/14/2017 23:45</v>
      </c>
    </row>
    <row r="5618" spans="1:10" x14ac:dyDescent="0.3">
      <c r="A5618" t="s">
        <v>6</v>
      </c>
      <c r="B5618" t="str">
        <f>"02/15/2017 00:00"</f>
        <v>02/15/2017 00:00</v>
      </c>
      <c r="C5618">
        <v>80.8</v>
      </c>
      <c r="D5618" t="s">
        <v>7</v>
      </c>
      <c r="E5618" s="2" t="s">
        <v>12</v>
      </c>
      <c r="F5618">
        <f t="shared" si="87"/>
        <v>160.22640000000001</v>
      </c>
      <c r="G5618" t="s">
        <v>16</v>
      </c>
      <c r="J5618" t="str">
        <f>"02/15/2017 23:45"</f>
        <v>02/15/2017 23:45</v>
      </c>
    </row>
    <row r="5619" spans="1:10" x14ac:dyDescent="0.3">
      <c r="A5619" t="s">
        <v>6</v>
      </c>
      <c r="B5619" t="str">
        <f>"02/16/2017 00:00"</f>
        <v>02/16/2017 00:00</v>
      </c>
      <c r="C5619">
        <v>86.3</v>
      </c>
      <c r="D5619" t="s">
        <v>7</v>
      </c>
      <c r="E5619" s="2" t="s">
        <v>12</v>
      </c>
      <c r="F5619">
        <f t="shared" si="87"/>
        <v>171.13290000000001</v>
      </c>
      <c r="G5619" t="s">
        <v>16</v>
      </c>
      <c r="J5619" t="str">
        <f>"02/16/2017 23:45"</f>
        <v>02/16/2017 23:45</v>
      </c>
    </row>
    <row r="5620" spans="1:10" x14ac:dyDescent="0.3">
      <c r="A5620" t="s">
        <v>6</v>
      </c>
      <c r="B5620" t="str">
        <f>"02/17/2017 00:00"</f>
        <v>02/17/2017 00:00</v>
      </c>
      <c r="C5620">
        <v>101</v>
      </c>
      <c r="D5620" t="s">
        <v>7</v>
      </c>
      <c r="E5620" s="2" t="s">
        <v>12</v>
      </c>
      <c r="F5620">
        <f t="shared" si="87"/>
        <v>200.28300000000002</v>
      </c>
      <c r="G5620" t="s">
        <v>16</v>
      </c>
      <c r="J5620" t="str">
        <f>"02/17/2017 23:45"</f>
        <v>02/17/2017 23:45</v>
      </c>
    </row>
    <row r="5621" spans="1:10" x14ac:dyDescent="0.3">
      <c r="A5621" t="s">
        <v>6</v>
      </c>
      <c r="B5621" t="str">
        <f>"02/18/2017 00:00"</f>
        <v>02/18/2017 00:00</v>
      </c>
      <c r="C5621">
        <v>105</v>
      </c>
      <c r="D5621" t="s">
        <v>7</v>
      </c>
      <c r="E5621" s="2" t="s">
        <v>12</v>
      </c>
      <c r="F5621">
        <f t="shared" si="87"/>
        <v>208.215</v>
      </c>
      <c r="G5621" t="s">
        <v>16</v>
      </c>
      <c r="J5621" t="str">
        <f>"02/18/2017 23:45"</f>
        <v>02/18/2017 23:45</v>
      </c>
    </row>
    <row r="5622" spans="1:10" x14ac:dyDescent="0.3">
      <c r="A5622" t="s">
        <v>6</v>
      </c>
      <c r="B5622" t="str">
        <f>"02/19/2017 00:00"</f>
        <v>02/19/2017 00:00</v>
      </c>
      <c r="C5622">
        <v>105</v>
      </c>
      <c r="D5622" t="s">
        <v>7</v>
      </c>
      <c r="E5622" s="2" t="s">
        <v>12</v>
      </c>
      <c r="F5622">
        <f t="shared" si="87"/>
        <v>208.215</v>
      </c>
      <c r="G5622" t="s">
        <v>16</v>
      </c>
      <c r="J5622" t="str">
        <f>"02/19/2017 23:45"</f>
        <v>02/19/2017 23:45</v>
      </c>
    </row>
    <row r="5623" spans="1:10" x14ac:dyDescent="0.3">
      <c r="A5623" t="s">
        <v>6</v>
      </c>
      <c r="B5623" t="str">
        <f>"02/20/2017 00:00"</f>
        <v>02/20/2017 00:00</v>
      </c>
      <c r="C5623">
        <v>105</v>
      </c>
      <c r="D5623" t="s">
        <v>7</v>
      </c>
      <c r="E5623" s="2" t="s">
        <v>12</v>
      </c>
      <c r="F5623">
        <f t="shared" si="87"/>
        <v>208.215</v>
      </c>
      <c r="G5623" t="s">
        <v>16</v>
      </c>
      <c r="J5623" t="str">
        <f>"02/20/2017 23:45"</f>
        <v>02/20/2017 23:45</v>
      </c>
    </row>
    <row r="5624" spans="1:10" x14ac:dyDescent="0.3">
      <c r="A5624" t="s">
        <v>6</v>
      </c>
      <c r="B5624" t="str">
        <f>"02/21/2017 00:00"</f>
        <v>02/21/2017 00:00</v>
      </c>
      <c r="C5624">
        <v>105</v>
      </c>
      <c r="D5624" t="s">
        <v>7</v>
      </c>
      <c r="E5624" s="2" t="s">
        <v>12</v>
      </c>
      <c r="F5624">
        <f t="shared" si="87"/>
        <v>208.215</v>
      </c>
      <c r="G5624" t="s">
        <v>16</v>
      </c>
      <c r="J5624" t="str">
        <f>"02/21/2017 23:45"</f>
        <v>02/21/2017 23:45</v>
      </c>
    </row>
    <row r="5625" spans="1:10" x14ac:dyDescent="0.3">
      <c r="A5625" t="s">
        <v>6</v>
      </c>
      <c r="B5625" t="str">
        <f>"02/22/2017 00:00"</f>
        <v>02/22/2017 00:00</v>
      </c>
      <c r="C5625">
        <v>105</v>
      </c>
      <c r="D5625" t="s">
        <v>7</v>
      </c>
      <c r="E5625" s="2" t="s">
        <v>12</v>
      </c>
      <c r="F5625">
        <f t="shared" si="87"/>
        <v>208.215</v>
      </c>
      <c r="G5625" t="s">
        <v>16</v>
      </c>
      <c r="J5625" t="str">
        <f>"02/22/2017 23:45"</f>
        <v>02/22/2017 23:45</v>
      </c>
    </row>
    <row r="5626" spans="1:10" x14ac:dyDescent="0.3">
      <c r="A5626" t="s">
        <v>6</v>
      </c>
      <c r="B5626" t="str">
        <f>"02/23/2017 00:00"</f>
        <v>02/23/2017 00:00</v>
      </c>
      <c r="C5626">
        <v>105</v>
      </c>
      <c r="D5626" t="s">
        <v>7</v>
      </c>
      <c r="E5626" s="2" t="s">
        <v>12</v>
      </c>
      <c r="F5626">
        <f t="shared" si="87"/>
        <v>208.215</v>
      </c>
      <c r="G5626" t="s">
        <v>16</v>
      </c>
      <c r="J5626" t="str">
        <f>"02/23/2017 23:45"</f>
        <v>02/23/2017 23:45</v>
      </c>
    </row>
    <row r="5627" spans="1:10" x14ac:dyDescent="0.3">
      <c r="A5627" t="s">
        <v>6</v>
      </c>
      <c r="B5627" t="str">
        <f>"02/24/2017 00:00"</f>
        <v>02/24/2017 00:00</v>
      </c>
      <c r="C5627">
        <v>105</v>
      </c>
      <c r="D5627" t="s">
        <v>7</v>
      </c>
      <c r="E5627" s="2" t="s">
        <v>12</v>
      </c>
      <c r="F5627">
        <f t="shared" si="87"/>
        <v>208.215</v>
      </c>
      <c r="G5627" t="s">
        <v>16</v>
      </c>
      <c r="J5627" t="str">
        <f>"02/24/2017 23:45"</f>
        <v>02/24/2017 23:45</v>
      </c>
    </row>
    <row r="5628" spans="1:10" x14ac:dyDescent="0.3">
      <c r="A5628" t="s">
        <v>6</v>
      </c>
      <c r="B5628" t="str">
        <f>"02/25/2017 00:00"</f>
        <v>02/25/2017 00:00</v>
      </c>
      <c r="C5628">
        <v>105</v>
      </c>
      <c r="D5628" t="s">
        <v>7</v>
      </c>
      <c r="E5628" s="2" t="s">
        <v>12</v>
      </c>
      <c r="F5628">
        <f t="shared" si="87"/>
        <v>208.215</v>
      </c>
      <c r="G5628" t="s">
        <v>16</v>
      </c>
      <c r="J5628" t="str">
        <f>"02/25/2017 23:45"</f>
        <v>02/25/2017 23:45</v>
      </c>
    </row>
    <row r="5629" spans="1:10" x14ac:dyDescent="0.3">
      <c r="A5629" t="s">
        <v>6</v>
      </c>
      <c r="B5629" t="str">
        <f>"02/26/2017 00:00"</f>
        <v>02/26/2017 00:00</v>
      </c>
      <c r="C5629">
        <v>105</v>
      </c>
      <c r="D5629" t="s">
        <v>7</v>
      </c>
      <c r="E5629" s="2" t="s">
        <v>12</v>
      </c>
      <c r="F5629">
        <f t="shared" si="87"/>
        <v>208.215</v>
      </c>
      <c r="G5629" t="s">
        <v>16</v>
      </c>
      <c r="J5629" t="str">
        <f>"02/26/2017 23:45"</f>
        <v>02/26/2017 23:45</v>
      </c>
    </row>
    <row r="5630" spans="1:10" x14ac:dyDescent="0.3">
      <c r="A5630" t="s">
        <v>6</v>
      </c>
      <c r="B5630" t="str">
        <f>"02/27/2017 00:00"</f>
        <v>02/27/2017 00:00</v>
      </c>
      <c r="C5630">
        <v>105</v>
      </c>
      <c r="D5630" t="s">
        <v>7</v>
      </c>
      <c r="E5630" s="2" t="s">
        <v>12</v>
      </c>
      <c r="F5630">
        <f t="shared" si="87"/>
        <v>208.215</v>
      </c>
      <c r="G5630" t="s">
        <v>16</v>
      </c>
      <c r="J5630" t="str">
        <f>"02/27/2017 23:45"</f>
        <v>02/27/2017 23:45</v>
      </c>
    </row>
    <row r="5631" spans="1:10" x14ac:dyDescent="0.3">
      <c r="A5631" t="s">
        <v>6</v>
      </c>
      <c r="B5631" t="str">
        <f>"02/28/2017 00:00"</f>
        <v>02/28/2017 00:00</v>
      </c>
      <c r="C5631">
        <v>105</v>
      </c>
      <c r="D5631" t="s">
        <v>7</v>
      </c>
      <c r="E5631" s="2" t="s">
        <v>12</v>
      </c>
      <c r="F5631">
        <f t="shared" si="87"/>
        <v>208.215</v>
      </c>
      <c r="G5631" t="s">
        <v>16</v>
      </c>
      <c r="J5631" t="str">
        <f>"02/28/2017 23:45"</f>
        <v>02/28/2017 23:45</v>
      </c>
    </row>
    <row r="5632" spans="1:10" x14ac:dyDescent="0.3">
      <c r="A5632" t="s">
        <v>6</v>
      </c>
      <c r="B5632" t="str">
        <f>"03/01/2017 00:00"</f>
        <v>03/01/2017 00:00</v>
      </c>
      <c r="C5632">
        <v>105</v>
      </c>
      <c r="D5632" t="s">
        <v>7</v>
      </c>
      <c r="E5632" s="2" t="s">
        <v>12</v>
      </c>
      <c r="F5632">
        <f t="shared" si="87"/>
        <v>208.215</v>
      </c>
      <c r="G5632" t="s">
        <v>16</v>
      </c>
      <c r="J5632" t="str">
        <f>"03/01/2017 23:45"</f>
        <v>03/01/2017 23:45</v>
      </c>
    </row>
    <row r="5633" spans="1:10" x14ac:dyDescent="0.3">
      <c r="A5633" t="s">
        <v>6</v>
      </c>
      <c r="B5633" t="str">
        <f>"03/02/2017 00:00"</f>
        <v>03/02/2017 00:00</v>
      </c>
      <c r="C5633">
        <v>105</v>
      </c>
      <c r="D5633" t="s">
        <v>7</v>
      </c>
      <c r="E5633" s="2" t="s">
        <v>12</v>
      </c>
      <c r="F5633">
        <f t="shared" si="87"/>
        <v>208.215</v>
      </c>
      <c r="G5633" t="s">
        <v>16</v>
      </c>
      <c r="J5633" t="str">
        <f>"03/02/2017 23:45"</f>
        <v>03/02/2017 23:45</v>
      </c>
    </row>
    <row r="5634" spans="1:10" x14ac:dyDescent="0.3">
      <c r="A5634" t="s">
        <v>6</v>
      </c>
      <c r="B5634" t="str">
        <f>"03/03/2017 00:00"</f>
        <v>03/03/2017 00:00</v>
      </c>
      <c r="C5634">
        <v>105</v>
      </c>
      <c r="D5634" t="s">
        <v>7</v>
      </c>
      <c r="E5634" s="2" t="s">
        <v>12</v>
      </c>
      <c r="F5634">
        <f t="shared" si="87"/>
        <v>208.215</v>
      </c>
      <c r="G5634" t="s">
        <v>16</v>
      </c>
      <c r="J5634" t="str">
        <f>"03/03/2017 23:45"</f>
        <v>03/03/2017 23:45</v>
      </c>
    </row>
    <row r="5635" spans="1:10" x14ac:dyDescent="0.3">
      <c r="A5635" t="s">
        <v>6</v>
      </c>
      <c r="B5635" t="str">
        <f>"03/04/2017 00:00"</f>
        <v>03/04/2017 00:00</v>
      </c>
      <c r="C5635">
        <v>105</v>
      </c>
      <c r="D5635" t="s">
        <v>7</v>
      </c>
      <c r="E5635" s="2" t="s">
        <v>12</v>
      </c>
      <c r="F5635">
        <f t="shared" si="87"/>
        <v>208.215</v>
      </c>
      <c r="G5635" t="s">
        <v>16</v>
      </c>
      <c r="J5635" t="str">
        <f>"03/04/2017 23:45"</f>
        <v>03/04/2017 23:45</v>
      </c>
    </row>
    <row r="5636" spans="1:10" x14ac:dyDescent="0.3">
      <c r="A5636" t="s">
        <v>6</v>
      </c>
      <c r="B5636" t="str">
        <f>"03/05/2017 00:00"</f>
        <v>03/05/2017 00:00</v>
      </c>
      <c r="C5636">
        <v>105</v>
      </c>
      <c r="D5636" t="s">
        <v>7</v>
      </c>
      <c r="E5636" s="2" t="s">
        <v>12</v>
      </c>
      <c r="F5636">
        <f t="shared" ref="F5636:F5699" si="88">C5636*1.983</f>
        <v>208.215</v>
      </c>
      <c r="G5636" t="s">
        <v>16</v>
      </c>
      <c r="J5636" t="str">
        <f>"03/05/2017 23:45"</f>
        <v>03/05/2017 23:45</v>
      </c>
    </row>
    <row r="5637" spans="1:10" x14ac:dyDescent="0.3">
      <c r="A5637" t="s">
        <v>6</v>
      </c>
      <c r="B5637" t="str">
        <f>"03/06/2017 00:00"</f>
        <v>03/06/2017 00:00</v>
      </c>
      <c r="C5637">
        <v>119</v>
      </c>
      <c r="D5637" t="s">
        <v>7</v>
      </c>
      <c r="E5637" s="2" t="s">
        <v>12</v>
      </c>
      <c r="F5637">
        <f t="shared" si="88"/>
        <v>235.977</v>
      </c>
      <c r="G5637" t="s">
        <v>16</v>
      </c>
      <c r="J5637" t="str">
        <f>"03/06/2017 23:45"</f>
        <v>03/06/2017 23:45</v>
      </c>
    </row>
    <row r="5638" spans="1:10" x14ac:dyDescent="0.3">
      <c r="A5638" t="s">
        <v>6</v>
      </c>
      <c r="B5638" t="str">
        <f>"03/07/2017 00:00"</f>
        <v>03/07/2017 00:00</v>
      </c>
      <c r="C5638">
        <v>126</v>
      </c>
      <c r="D5638" t="s">
        <v>7</v>
      </c>
      <c r="E5638" s="2" t="s">
        <v>12</v>
      </c>
      <c r="F5638">
        <f t="shared" si="88"/>
        <v>249.858</v>
      </c>
      <c r="G5638" t="s">
        <v>16</v>
      </c>
      <c r="J5638" t="str">
        <f>"03/07/2017 23:45"</f>
        <v>03/07/2017 23:45</v>
      </c>
    </row>
    <row r="5639" spans="1:10" x14ac:dyDescent="0.3">
      <c r="A5639" t="s">
        <v>6</v>
      </c>
      <c r="B5639" t="str">
        <f>"03/08/2017 00:00"</f>
        <v>03/08/2017 00:00</v>
      </c>
      <c r="C5639">
        <v>125</v>
      </c>
      <c r="D5639" t="s">
        <v>7</v>
      </c>
      <c r="E5639" s="2" t="s">
        <v>12</v>
      </c>
      <c r="F5639">
        <f t="shared" si="88"/>
        <v>247.875</v>
      </c>
      <c r="G5639" t="s">
        <v>16</v>
      </c>
      <c r="J5639" t="str">
        <f>"03/08/2017 23:45"</f>
        <v>03/08/2017 23:45</v>
      </c>
    </row>
    <row r="5640" spans="1:10" x14ac:dyDescent="0.3">
      <c r="A5640" t="s">
        <v>6</v>
      </c>
      <c r="B5640" t="str">
        <f>"03/09/2017 00:00"</f>
        <v>03/09/2017 00:00</v>
      </c>
      <c r="C5640">
        <v>125</v>
      </c>
      <c r="D5640" t="s">
        <v>7</v>
      </c>
      <c r="E5640" s="2" t="s">
        <v>12</v>
      </c>
      <c r="F5640">
        <f t="shared" si="88"/>
        <v>247.875</v>
      </c>
      <c r="G5640" t="s">
        <v>16</v>
      </c>
      <c r="J5640" t="str">
        <f>"03/09/2017 23:45"</f>
        <v>03/09/2017 23:45</v>
      </c>
    </row>
    <row r="5641" spans="1:10" x14ac:dyDescent="0.3">
      <c r="A5641" t="s">
        <v>6</v>
      </c>
      <c r="B5641" t="str">
        <f>"03/10/2017 00:00"</f>
        <v>03/10/2017 00:00</v>
      </c>
      <c r="C5641">
        <v>125</v>
      </c>
      <c r="D5641" t="s">
        <v>7</v>
      </c>
      <c r="E5641" s="2" t="s">
        <v>12</v>
      </c>
      <c r="F5641">
        <f t="shared" si="88"/>
        <v>247.875</v>
      </c>
      <c r="G5641" t="s">
        <v>16</v>
      </c>
      <c r="J5641" t="str">
        <f>"03/10/2017 23:45"</f>
        <v>03/10/2017 23:45</v>
      </c>
    </row>
    <row r="5642" spans="1:10" x14ac:dyDescent="0.3">
      <c r="A5642" t="s">
        <v>6</v>
      </c>
      <c r="B5642" t="str">
        <f>"03/11/2017 00:00"</f>
        <v>03/11/2017 00:00</v>
      </c>
      <c r="C5642">
        <v>125</v>
      </c>
      <c r="D5642" t="s">
        <v>7</v>
      </c>
      <c r="E5642" s="2" t="s">
        <v>12</v>
      </c>
      <c r="F5642">
        <f t="shared" si="88"/>
        <v>247.875</v>
      </c>
      <c r="G5642" t="s">
        <v>16</v>
      </c>
      <c r="J5642" t="str">
        <f>"03/11/2017 23:45"</f>
        <v>03/11/2017 23:45</v>
      </c>
    </row>
    <row r="5643" spans="1:10" x14ac:dyDescent="0.3">
      <c r="A5643" t="s">
        <v>6</v>
      </c>
      <c r="B5643" t="str">
        <f>"03/12/2017 00:00"</f>
        <v>03/12/2017 00:00</v>
      </c>
      <c r="C5643">
        <v>125</v>
      </c>
      <c r="D5643" t="s">
        <v>7</v>
      </c>
      <c r="E5643" s="2" t="s">
        <v>12</v>
      </c>
      <c r="F5643">
        <f t="shared" si="88"/>
        <v>247.875</v>
      </c>
      <c r="G5643" t="s">
        <v>16</v>
      </c>
      <c r="J5643" t="str">
        <f>"03/12/2017 23:45"</f>
        <v>03/12/2017 23:45</v>
      </c>
    </row>
    <row r="5644" spans="1:10" x14ac:dyDescent="0.3">
      <c r="A5644" t="s">
        <v>6</v>
      </c>
      <c r="B5644" t="str">
        <f>"03/13/2017 00:00"</f>
        <v>03/13/2017 00:00</v>
      </c>
      <c r="C5644">
        <v>125</v>
      </c>
      <c r="D5644" t="s">
        <v>7</v>
      </c>
      <c r="E5644" s="2" t="s">
        <v>12</v>
      </c>
      <c r="F5644">
        <f t="shared" si="88"/>
        <v>247.875</v>
      </c>
      <c r="G5644" t="s">
        <v>16</v>
      </c>
      <c r="J5644" t="str">
        <f>"03/13/2017 23:45"</f>
        <v>03/13/2017 23:45</v>
      </c>
    </row>
    <row r="5645" spans="1:10" x14ac:dyDescent="0.3">
      <c r="A5645" t="s">
        <v>6</v>
      </c>
      <c r="B5645" t="str">
        <f>"03/14/2017 00:00"</f>
        <v>03/14/2017 00:00</v>
      </c>
      <c r="C5645">
        <v>125</v>
      </c>
      <c r="D5645" t="s">
        <v>7</v>
      </c>
      <c r="E5645" s="2" t="s">
        <v>12</v>
      </c>
      <c r="F5645">
        <f t="shared" si="88"/>
        <v>247.875</v>
      </c>
      <c r="G5645" t="s">
        <v>16</v>
      </c>
      <c r="J5645" t="str">
        <f>"03/14/2017 23:45"</f>
        <v>03/14/2017 23:45</v>
      </c>
    </row>
    <row r="5646" spans="1:10" x14ac:dyDescent="0.3">
      <c r="A5646" t="s">
        <v>6</v>
      </c>
      <c r="B5646" t="str">
        <f>"03/15/2017 00:00"</f>
        <v>03/15/2017 00:00</v>
      </c>
      <c r="C5646">
        <v>125</v>
      </c>
      <c r="D5646" t="s">
        <v>7</v>
      </c>
      <c r="E5646" s="2" t="s">
        <v>12</v>
      </c>
      <c r="F5646">
        <f t="shared" si="88"/>
        <v>247.875</v>
      </c>
      <c r="G5646" t="s">
        <v>16</v>
      </c>
      <c r="J5646" t="str">
        <f>"03/15/2017 23:45"</f>
        <v>03/15/2017 23:45</v>
      </c>
    </row>
    <row r="5647" spans="1:10" x14ac:dyDescent="0.3">
      <c r="A5647" t="s">
        <v>6</v>
      </c>
      <c r="B5647" t="str">
        <f>"03/16/2017 00:00"</f>
        <v>03/16/2017 00:00</v>
      </c>
      <c r="C5647">
        <v>125</v>
      </c>
      <c r="D5647" t="s">
        <v>7</v>
      </c>
      <c r="E5647" s="2" t="s">
        <v>12</v>
      </c>
      <c r="F5647">
        <f t="shared" si="88"/>
        <v>247.875</v>
      </c>
      <c r="G5647" t="s">
        <v>16</v>
      </c>
      <c r="J5647" t="str">
        <f>"03/16/2017 23:45"</f>
        <v>03/16/2017 23:45</v>
      </c>
    </row>
    <row r="5648" spans="1:10" x14ac:dyDescent="0.3">
      <c r="A5648" t="s">
        <v>6</v>
      </c>
      <c r="B5648" t="str">
        <f>"03/17/2017 00:00"</f>
        <v>03/17/2017 00:00</v>
      </c>
      <c r="C5648">
        <v>125</v>
      </c>
      <c r="D5648" t="s">
        <v>7</v>
      </c>
      <c r="E5648" s="2" t="s">
        <v>12</v>
      </c>
      <c r="F5648">
        <f t="shared" si="88"/>
        <v>247.875</v>
      </c>
      <c r="G5648" t="s">
        <v>16</v>
      </c>
      <c r="J5648" t="str">
        <f>"03/17/2017 23:45"</f>
        <v>03/17/2017 23:45</v>
      </c>
    </row>
    <row r="5649" spans="1:10" x14ac:dyDescent="0.3">
      <c r="A5649" t="s">
        <v>6</v>
      </c>
      <c r="B5649" t="str">
        <f>"03/18/2017 00:00"</f>
        <v>03/18/2017 00:00</v>
      </c>
      <c r="C5649">
        <v>125</v>
      </c>
      <c r="D5649" t="s">
        <v>7</v>
      </c>
      <c r="E5649" s="2" t="s">
        <v>12</v>
      </c>
      <c r="F5649">
        <f t="shared" si="88"/>
        <v>247.875</v>
      </c>
      <c r="G5649" t="s">
        <v>16</v>
      </c>
      <c r="J5649" t="str">
        <f>"03/18/2017 23:45"</f>
        <v>03/18/2017 23:45</v>
      </c>
    </row>
    <row r="5650" spans="1:10" x14ac:dyDescent="0.3">
      <c r="A5650" t="s">
        <v>6</v>
      </c>
      <c r="B5650" t="str">
        <f>"03/19/2017 00:00"</f>
        <v>03/19/2017 00:00</v>
      </c>
      <c r="C5650">
        <v>125</v>
      </c>
      <c r="D5650" t="s">
        <v>7</v>
      </c>
      <c r="E5650" s="2" t="s">
        <v>12</v>
      </c>
      <c r="F5650">
        <f t="shared" si="88"/>
        <v>247.875</v>
      </c>
      <c r="G5650" t="s">
        <v>16</v>
      </c>
      <c r="J5650" t="str">
        <f>"03/19/2017 23:45"</f>
        <v>03/19/2017 23:45</v>
      </c>
    </row>
    <row r="5651" spans="1:10" x14ac:dyDescent="0.3">
      <c r="A5651" t="s">
        <v>6</v>
      </c>
      <c r="B5651" t="str">
        <f>"03/20/2017 00:00"</f>
        <v>03/20/2017 00:00</v>
      </c>
      <c r="C5651">
        <v>124</v>
      </c>
      <c r="D5651" t="s">
        <v>7</v>
      </c>
      <c r="E5651" s="2" t="s">
        <v>12</v>
      </c>
      <c r="F5651">
        <f t="shared" si="88"/>
        <v>245.89200000000002</v>
      </c>
      <c r="G5651" t="s">
        <v>16</v>
      </c>
      <c r="J5651" t="str">
        <f>"03/20/2017 23:45"</f>
        <v>03/20/2017 23:45</v>
      </c>
    </row>
    <row r="5652" spans="1:10" x14ac:dyDescent="0.3">
      <c r="A5652" t="s">
        <v>6</v>
      </c>
      <c r="B5652" t="str">
        <f>"03/21/2017 00:00"</f>
        <v>03/21/2017 00:00</v>
      </c>
      <c r="C5652">
        <v>124</v>
      </c>
      <c r="D5652" t="s">
        <v>7</v>
      </c>
      <c r="E5652" s="2" t="s">
        <v>12</v>
      </c>
      <c r="F5652">
        <f t="shared" si="88"/>
        <v>245.89200000000002</v>
      </c>
      <c r="G5652" t="s">
        <v>16</v>
      </c>
      <c r="J5652" t="str">
        <f>"03/21/2017 23:45"</f>
        <v>03/21/2017 23:45</v>
      </c>
    </row>
    <row r="5653" spans="1:10" x14ac:dyDescent="0.3">
      <c r="A5653" t="s">
        <v>6</v>
      </c>
      <c r="B5653" t="str">
        <f>"03/22/2017 00:00"</f>
        <v>03/22/2017 00:00</v>
      </c>
      <c r="C5653">
        <v>124</v>
      </c>
      <c r="D5653" t="s">
        <v>7</v>
      </c>
      <c r="E5653" s="2" t="s">
        <v>12</v>
      </c>
      <c r="F5653">
        <f t="shared" si="88"/>
        <v>245.89200000000002</v>
      </c>
      <c r="G5653" t="s">
        <v>16</v>
      </c>
      <c r="J5653" t="str">
        <f>"03/22/2017 23:45"</f>
        <v>03/22/2017 23:45</v>
      </c>
    </row>
    <row r="5654" spans="1:10" x14ac:dyDescent="0.3">
      <c r="A5654" t="s">
        <v>6</v>
      </c>
      <c r="B5654" t="str">
        <f>"03/23/2017 00:00"</f>
        <v>03/23/2017 00:00</v>
      </c>
      <c r="C5654">
        <v>124</v>
      </c>
      <c r="D5654" t="s">
        <v>7</v>
      </c>
      <c r="E5654" s="2" t="s">
        <v>12</v>
      </c>
      <c r="F5654">
        <f t="shared" si="88"/>
        <v>245.89200000000002</v>
      </c>
      <c r="G5654" t="s">
        <v>16</v>
      </c>
      <c r="J5654" t="str">
        <f>"03/23/2017 23:45"</f>
        <v>03/23/2017 23:45</v>
      </c>
    </row>
    <row r="5655" spans="1:10" x14ac:dyDescent="0.3">
      <c r="A5655" t="s">
        <v>6</v>
      </c>
      <c r="B5655" t="str">
        <f>"03/24/2017 00:00"</f>
        <v>03/24/2017 00:00</v>
      </c>
      <c r="C5655">
        <v>112</v>
      </c>
      <c r="D5655" t="s">
        <v>7</v>
      </c>
      <c r="E5655" s="2" t="s">
        <v>12</v>
      </c>
      <c r="F5655">
        <f t="shared" si="88"/>
        <v>222.096</v>
      </c>
      <c r="G5655" t="s">
        <v>16</v>
      </c>
      <c r="J5655" t="str">
        <f>"03/24/2017 23:45"</f>
        <v>03/24/2017 23:45</v>
      </c>
    </row>
    <row r="5656" spans="1:10" x14ac:dyDescent="0.3">
      <c r="A5656" t="s">
        <v>6</v>
      </c>
      <c r="B5656" t="str">
        <f>"03/25/2017 00:00"</f>
        <v>03/25/2017 00:00</v>
      </c>
      <c r="C5656">
        <v>102</v>
      </c>
      <c r="D5656" t="s">
        <v>7</v>
      </c>
      <c r="E5656" s="2" t="s">
        <v>12</v>
      </c>
      <c r="F5656">
        <f t="shared" si="88"/>
        <v>202.26600000000002</v>
      </c>
      <c r="G5656" t="s">
        <v>16</v>
      </c>
      <c r="J5656" t="str">
        <f>"03/25/2017 23:45"</f>
        <v>03/25/2017 23:45</v>
      </c>
    </row>
    <row r="5657" spans="1:10" x14ac:dyDescent="0.3">
      <c r="A5657" t="s">
        <v>6</v>
      </c>
      <c r="B5657" t="str">
        <f>"03/26/2017 00:00"</f>
        <v>03/26/2017 00:00</v>
      </c>
      <c r="C5657">
        <v>101</v>
      </c>
      <c r="D5657" t="s">
        <v>7</v>
      </c>
      <c r="E5657" s="2" t="s">
        <v>12</v>
      </c>
      <c r="F5657">
        <f t="shared" si="88"/>
        <v>200.28300000000002</v>
      </c>
      <c r="G5657" t="s">
        <v>16</v>
      </c>
      <c r="J5657" t="str">
        <f>"03/26/2017 23:45"</f>
        <v>03/26/2017 23:45</v>
      </c>
    </row>
    <row r="5658" spans="1:10" x14ac:dyDescent="0.3">
      <c r="A5658" t="s">
        <v>6</v>
      </c>
      <c r="B5658" t="str">
        <f>"03/27/2017 00:00"</f>
        <v>03/27/2017 00:00</v>
      </c>
      <c r="C5658">
        <v>101</v>
      </c>
      <c r="D5658" t="s">
        <v>7</v>
      </c>
      <c r="E5658" s="2" t="s">
        <v>12</v>
      </c>
      <c r="F5658">
        <f t="shared" si="88"/>
        <v>200.28300000000002</v>
      </c>
      <c r="G5658" t="s">
        <v>16</v>
      </c>
      <c r="J5658" t="str">
        <f>"03/27/2017 23:45"</f>
        <v>03/27/2017 23:45</v>
      </c>
    </row>
    <row r="5659" spans="1:10" x14ac:dyDescent="0.3">
      <c r="A5659" t="s">
        <v>6</v>
      </c>
      <c r="B5659" t="str">
        <f>"03/28/2017 00:00"</f>
        <v>03/28/2017 00:00</v>
      </c>
      <c r="C5659">
        <v>101</v>
      </c>
      <c r="D5659" t="s">
        <v>7</v>
      </c>
      <c r="E5659" s="2" t="s">
        <v>12</v>
      </c>
      <c r="F5659">
        <f t="shared" si="88"/>
        <v>200.28300000000002</v>
      </c>
      <c r="G5659" t="s">
        <v>16</v>
      </c>
      <c r="J5659" t="str">
        <f>"03/28/2017 23:45"</f>
        <v>03/28/2017 23:45</v>
      </c>
    </row>
    <row r="5660" spans="1:10" x14ac:dyDescent="0.3">
      <c r="A5660" t="s">
        <v>6</v>
      </c>
      <c r="B5660" t="str">
        <f>"03/29/2017 00:00"</f>
        <v>03/29/2017 00:00</v>
      </c>
      <c r="C5660">
        <v>101</v>
      </c>
      <c r="D5660" t="s">
        <v>7</v>
      </c>
      <c r="E5660" s="2" t="s">
        <v>12</v>
      </c>
      <c r="F5660">
        <f t="shared" si="88"/>
        <v>200.28300000000002</v>
      </c>
      <c r="G5660" t="s">
        <v>16</v>
      </c>
      <c r="J5660" t="str">
        <f>"03/29/2017 23:45"</f>
        <v>03/29/2017 23:45</v>
      </c>
    </row>
    <row r="5661" spans="1:10" x14ac:dyDescent="0.3">
      <c r="A5661" t="s">
        <v>6</v>
      </c>
      <c r="B5661" t="str">
        <f>"03/30/2017 00:00"</f>
        <v>03/30/2017 00:00</v>
      </c>
      <c r="C5661">
        <v>101</v>
      </c>
      <c r="D5661" t="s">
        <v>7</v>
      </c>
      <c r="E5661" s="2" t="s">
        <v>12</v>
      </c>
      <c r="F5661">
        <f t="shared" si="88"/>
        <v>200.28300000000002</v>
      </c>
      <c r="G5661" t="s">
        <v>16</v>
      </c>
      <c r="J5661" t="str">
        <f>"03/30/2017 23:45"</f>
        <v>03/30/2017 23:45</v>
      </c>
    </row>
    <row r="5662" spans="1:10" x14ac:dyDescent="0.3">
      <c r="A5662" t="s">
        <v>6</v>
      </c>
      <c r="B5662" t="str">
        <f>"03/31/2017 00:00"</f>
        <v>03/31/2017 00:00</v>
      </c>
      <c r="C5662">
        <v>101</v>
      </c>
      <c r="D5662" t="s">
        <v>7</v>
      </c>
      <c r="E5662" s="2" t="s">
        <v>12</v>
      </c>
      <c r="F5662">
        <f t="shared" si="88"/>
        <v>200.28300000000002</v>
      </c>
      <c r="G5662" t="s">
        <v>16</v>
      </c>
      <c r="J5662" t="str">
        <f>"03/31/2017 23:45"</f>
        <v>03/31/2017 23:45</v>
      </c>
    </row>
    <row r="5663" spans="1:10" x14ac:dyDescent="0.3">
      <c r="A5663" t="s">
        <v>6</v>
      </c>
      <c r="B5663" t="str">
        <f>"04/01/2017 00:00"</f>
        <v>04/01/2017 00:00</v>
      </c>
      <c r="C5663">
        <v>101</v>
      </c>
      <c r="D5663" t="s">
        <v>7</v>
      </c>
      <c r="E5663" s="2" t="s">
        <v>12</v>
      </c>
      <c r="F5663">
        <f t="shared" si="88"/>
        <v>200.28300000000002</v>
      </c>
      <c r="G5663" t="s">
        <v>16</v>
      </c>
      <c r="J5663" t="str">
        <f>"04/01/2017 23:45"</f>
        <v>04/01/2017 23:45</v>
      </c>
    </row>
    <row r="5664" spans="1:10" x14ac:dyDescent="0.3">
      <c r="A5664" t="s">
        <v>6</v>
      </c>
      <c r="B5664" t="str">
        <f>"04/02/2017 00:00"</f>
        <v>04/02/2017 00:00</v>
      </c>
      <c r="C5664">
        <v>100</v>
      </c>
      <c r="D5664" t="s">
        <v>7</v>
      </c>
      <c r="E5664" s="2" t="s">
        <v>12</v>
      </c>
      <c r="F5664">
        <f t="shared" si="88"/>
        <v>198.3</v>
      </c>
      <c r="G5664" t="s">
        <v>16</v>
      </c>
      <c r="J5664" t="str">
        <f>"04/02/2017 23:45"</f>
        <v>04/02/2017 23:45</v>
      </c>
    </row>
    <row r="5665" spans="1:10" x14ac:dyDescent="0.3">
      <c r="A5665" t="s">
        <v>6</v>
      </c>
      <c r="B5665" t="str">
        <f>"04/03/2017 00:00"</f>
        <v>04/03/2017 00:00</v>
      </c>
      <c r="C5665">
        <v>100</v>
      </c>
      <c r="D5665" t="s">
        <v>7</v>
      </c>
      <c r="E5665" s="2" t="s">
        <v>12</v>
      </c>
      <c r="F5665">
        <f t="shared" si="88"/>
        <v>198.3</v>
      </c>
      <c r="G5665" t="s">
        <v>16</v>
      </c>
      <c r="J5665" t="str">
        <f>"04/03/2017 23:45"</f>
        <v>04/03/2017 23:45</v>
      </c>
    </row>
    <row r="5666" spans="1:10" x14ac:dyDescent="0.3">
      <c r="A5666" t="s">
        <v>6</v>
      </c>
      <c r="B5666" t="str">
        <f>"04/04/2017 00:00"</f>
        <v>04/04/2017 00:00</v>
      </c>
      <c r="C5666">
        <v>100</v>
      </c>
      <c r="D5666" t="s">
        <v>7</v>
      </c>
      <c r="E5666" s="2" t="s">
        <v>12</v>
      </c>
      <c r="F5666">
        <f t="shared" si="88"/>
        <v>198.3</v>
      </c>
      <c r="G5666" t="s">
        <v>16</v>
      </c>
      <c r="J5666" t="str">
        <f>"04/04/2017 23:45"</f>
        <v>04/04/2017 23:45</v>
      </c>
    </row>
    <row r="5667" spans="1:10" x14ac:dyDescent="0.3">
      <c r="A5667" t="s">
        <v>6</v>
      </c>
      <c r="B5667" t="str">
        <f>"04/05/2017 00:00"</f>
        <v>04/05/2017 00:00</v>
      </c>
      <c r="C5667">
        <v>100</v>
      </c>
      <c r="D5667" t="s">
        <v>7</v>
      </c>
      <c r="E5667" s="2" t="s">
        <v>12</v>
      </c>
      <c r="F5667">
        <f t="shared" si="88"/>
        <v>198.3</v>
      </c>
      <c r="G5667" t="s">
        <v>16</v>
      </c>
      <c r="J5667" t="str">
        <f>"04/05/2017 23:45"</f>
        <v>04/05/2017 23:45</v>
      </c>
    </row>
    <row r="5668" spans="1:10" x14ac:dyDescent="0.3">
      <c r="A5668" t="s">
        <v>6</v>
      </c>
      <c r="B5668" t="str">
        <f>"04/06/2017 00:00"</f>
        <v>04/06/2017 00:00</v>
      </c>
      <c r="C5668">
        <v>101</v>
      </c>
      <c r="D5668" t="s">
        <v>7</v>
      </c>
      <c r="E5668" s="2" t="s">
        <v>12</v>
      </c>
      <c r="F5668">
        <f t="shared" si="88"/>
        <v>200.28300000000002</v>
      </c>
      <c r="G5668" t="s">
        <v>16</v>
      </c>
      <c r="J5668" t="str">
        <f>"04/06/2017 23:45"</f>
        <v>04/06/2017 23:45</v>
      </c>
    </row>
    <row r="5669" spans="1:10" x14ac:dyDescent="0.3">
      <c r="A5669" t="s">
        <v>6</v>
      </c>
      <c r="B5669" t="str">
        <f>"04/07/2017 00:00"</f>
        <v>04/07/2017 00:00</v>
      </c>
      <c r="C5669">
        <v>100</v>
      </c>
      <c r="D5669" t="s">
        <v>7</v>
      </c>
      <c r="E5669" s="2" t="s">
        <v>12</v>
      </c>
      <c r="F5669">
        <f t="shared" si="88"/>
        <v>198.3</v>
      </c>
      <c r="G5669" t="s">
        <v>16</v>
      </c>
      <c r="J5669" t="str">
        <f>"04/07/2017 23:45"</f>
        <v>04/07/2017 23:45</v>
      </c>
    </row>
    <row r="5670" spans="1:10" x14ac:dyDescent="0.3">
      <c r="A5670" t="s">
        <v>6</v>
      </c>
      <c r="B5670" t="str">
        <f>"04/08/2017 00:00"</f>
        <v>04/08/2017 00:00</v>
      </c>
      <c r="C5670">
        <v>99.7</v>
      </c>
      <c r="D5670" t="s">
        <v>7</v>
      </c>
      <c r="E5670" s="2" t="s">
        <v>12</v>
      </c>
      <c r="F5670">
        <f t="shared" si="88"/>
        <v>197.70510000000002</v>
      </c>
      <c r="G5670" t="s">
        <v>16</v>
      </c>
      <c r="J5670" t="str">
        <f>"04/08/2017 23:45"</f>
        <v>04/08/2017 23:45</v>
      </c>
    </row>
    <row r="5671" spans="1:10" x14ac:dyDescent="0.3">
      <c r="A5671" t="s">
        <v>6</v>
      </c>
      <c r="B5671" t="str">
        <f>"04/09/2017 00:00"</f>
        <v>04/09/2017 00:00</v>
      </c>
      <c r="C5671">
        <v>100</v>
      </c>
      <c r="D5671" t="s">
        <v>7</v>
      </c>
      <c r="E5671" s="2" t="s">
        <v>12</v>
      </c>
      <c r="F5671">
        <f t="shared" si="88"/>
        <v>198.3</v>
      </c>
      <c r="G5671" t="s">
        <v>16</v>
      </c>
      <c r="J5671" t="str">
        <f>"04/09/2017 23:45"</f>
        <v>04/09/2017 23:45</v>
      </c>
    </row>
    <row r="5672" spans="1:10" x14ac:dyDescent="0.3">
      <c r="A5672" t="s">
        <v>6</v>
      </c>
      <c r="B5672" t="str">
        <f>"04/10/2017 00:00"</f>
        <v>04/10/2017 00:00</v>
      </c>
      <c r="C5672">
        <v>101</v>
      </c>
      <c r="D5672" t="s">
        <v>7</v>
      </c>
      <c r="E5672" s="2" t="s">
        <v>12</v>
      </c>
      <c r="F5672">
        <f t="shared" si="88"/>
        <v>200.28300000000002</v>
      </c>
      <c r="G5672" t="s">
        <v>16</v>
      </c>
      <c r="J5672" t="str">
        <f>"04/10/2017 23:45"</f>
        <v>04/10/2017 23:45</v>
      </c>
    </row>
    <row r="5673" spans="1:10" x14ac:dyDescent="0.3">
      <c r="A5673" t="s">
        <v>6</v>
      </c>
      <c r="B5673" t="str">
        <f>"04/11/2017 00:00"</f>
        <v>04/11/2017 00:00</v>
      </c>
      <c r="C5673">
        <v>114</v>
      </c>
      <c r="D5673" t="s">
        <v>7</v>
      </c>
      <c r="E5673" s="2" t="s">
        <v>12</v>
      </c>
      <c r="F5673">
        <f t="shared" si="88"/>
        <v>226.06200000000001</v>
      </c>
      <c r="G5673" t="s">
        <v>16</v>
      </c>
      <c r="J5673" t="str">
        <f>"04/11/2017 23:45"</f>
        <v>04/11/2017 23:45</v>
      </c>
    </row>
    <row r="5674" spans="1:10" x14ac:dyDescent="0.3">
      <c r="A5674" t="s">
        <v>6</v>
      </c>
      <c r="B5674" t="str">
        <f>"04/12/2017 00:00"</f>
        <v>04/12/2017 00:00</v>
      </c>
      <c r="C5674">
        <v>125</v>
      </c>
      <c r="D5674" t="s">
        <v>7</v>
      </c>
      <c r="E5674" s="2" t="s">
        <v>12</v>
      </c>
      <c r="F5674">
        <f t="shared" si="88"/>
        <v>247.875</v>
      </c>
      <c r="G5674" t="s">
        <v>16</v>
      </c>
      <c r="J5674" t="str">
        <f>"04/12/2017 23:45"</f>
        <v>04/12/2017 23:45</v>
      </c>
    </row>
    <row r="5675" spans="1:10" x14ac:dyDescent="0.3">
      <c r="A5675" t="s">
        <v>6</v>
      </c>
      <c r="B5675" t="str">
        <f>"04/13/2017 00:00"</f>
        <v>04/13/2017 00:00</v>
      </c>
      <c r="C5675">
        <v>125</v>
      </c>
      <c r="D5675" t="s">
        <v>7</v>
      </c>
      <c r="E5675" s="2" t="s">
        <v>12</v>
      </c>
      <c r="F5675">
        <f t="shared" si="88"/>
        <v>247.875</v>
      </c>
      <c r="G5675" t="s">
        <v>16</v>
      </c>
      <c r="J5675" t="str">
        <f>"04/13/2017 23:45"</f>
        <v>04/13/2017 23:45</v>
      </c>
    </row>
    <row r="5676" spans="1:10" x14ac:dyDescent="0.3">
      <c r="A5676" t="s">
        <v>6</v>
      </c>
      <c r="B5676" t="str">
        <f>"04/14/2017 00:00"</f>
        <v>04/14/2017 00:00</v>
      </c>
      <c r="C5676">
        <v>134</v>
      </c>
      <c r="D5676" t="s">
        <v>7</v>
      </c>
      <c r="E5676" s="2" t="s">
        <v>12</v>
      </c>
      <c r="F5676">
        <f t="shared" si="88"/>
        <v>265.72200000000004</v>
      </c>
      <c r="G5676" t="s">
        <v>16</v>
      </c>
      <c r="J5676" t="str">
        <f>"04/14/2017 23:45"</f>
        <v>04/14/2017 23:45</v>
      </c>
    </row>
    <row r="5677" spans="1:10" x14ac:dyDescent="0.3">
      <c r="A5677" t="s">
        <v>6</v>
      </c>
      <c r="B5677" t="str">
        <f>"04/15/2017 00:00"</f>
        <v>04/15/2017 00:00</v>
      </c>
      <c r="C5677">
        <v>140</v>
      </c>
      <c r="D5677" t="s">
        <v>7</v>
      </c>
      <c r="E5677" s="2" t="s">
        <v>12</v>
      </c>
      <c r="F5677">
        <f t="shared" si="88"/>
        <v>277.62</v>
      </c>
      <c r="G5677" t="s">
        <v>16</v>
      </c>
      <c r="J5677" t="str">
        <f>"04/15/2017 23:45"</f>
        <v>04/15/2017 23:45</v>
      </c>
    </row>
    <row r="5678" spans="1:10" x14ac:dyDescent="0.3">
      <c r="A5678" t="s">
        <v>6</v>
      </c>
      <c r="B5678" t="str">
        <f>"04/16/2017 00:00"</f>
        <v>04/16/2017 00:00</v>
      </c>
      <c r="C5678">
        <v>140</v>
      </c>
      <c r="D5678" t="s">
        <v>7</v>
      </c>
      <c r="E5678" s="2" t="s">
        <v>12</v>
      </c>
      <c r="F5678">
        <f t="shared" si="88"/>
        <v>277.62</v>
      </c>
      <c r="G5678" t="s">
        <v>16</v>
      </c>
      <c r="J5678" t="str">
        <f>"04/16/2017 23:45"</f>
        <v>04/16/2017 23:45</v>
      </c>
    </row>
    <row r="5679" spans="1:10" x14ac:dyDescent="0.3">
      <c r="A5679" t="s">
        <v>6</v>
      </c>
      <c r="B5679" t="str">
        <f>"04/17/2017 00:00"</f>
        <v>04/17/2017 00:00</v>
      </c>
      <c r="C5679">
        <v>150</v>
      </c>
      <c r="D5679" t="s">
        <v>7</v>
      </c>
      <c r="E5679" s="2" t="s">
        <v>12</v>
      </c>
      <c r="F5679">
        <f t="shared" si="88"/>
        <v>297.45</v>
      </c>
      <c r="G5679" t="s">
        <v>16</v>
      </c>
      <c r="J5679" t="str">
        <f>"04/17/2017 23:45"</f>
        <v>04/17/2017 23:45</v>
      </c>
    </row>
    <row r="5680" spans="1:10" x14ac:dyDescent="0.3">
      <c r="A5680" t="s">
        <v>6</v>
      </c>
      <c r="B5680" t="str">
        <f>"04/18/2017 00:00"</f>
        <v>04/18/2017 00:00</v>
      </c>
      <c r="C5680">
        <v>155</v>
      </c>
      <c r="D5680" t="s">
        <v>7</v>
      </c>
      <c r="E5680" s="2" t="s">
        <v>12</v>
      </c>
      <c r="F5680">
        <f t="shared" si="88"/>
        <v>307.36500000000001</v>
      </c>
      <c r="G5680" t="s">
        <v>16</v>
      </c>
      <c r="J5680" t="str">
        <f>"04/18/2017 23:45"</f>
        <v>04/18/2017 23:45</v>
      </c>
    </row>
    <row r="5681" spans="1:10" x14ac:dyDescent="0.3">
      <c r="A5681" t="s">
        <v>6</v>
      </c>
      <c r="B5681" t="str">
        <f>"04/19/2017 00:00"</f>
        <v>04/19/2017 00:00</v>
      </c>
      <c r="C5681">
        <v>165</v>
      </c>
      <c r="D5681" t="s">
        <v>7</v>
      </c>
      <c r="E5681" s="2" t="s">
        <v>12</v>
      </c>
      <c r="F5681">
        <f t="shared" si="88"/>
        <v>327.19499999999999</v>
      </c>
      <c r="G5681" t="s">
        <v>16</v>
      </c>
      <c r="J5681" t="str">
        <f>"04/19/2017 23:45"</f>
        <v>04/19/2017 23:45</v>
      </c>
    </row>
    <row r="5682" spans="1:10" x14ac:dyDescent="0.3">
      <c r="A5682" t="s">
        <v>6</v>
      </c>
      <c r="B5682" t="str">
        <f>"04/20/2017 00:00"</f>
        <v>04/20/2017 00:00</v>
      </c>
      <c r="C5682">
        <v>169</v>
      </c>
      <c r="D5682" t="s">
        <v>7</v>
      </c>
      <c r="E5682" s="2" t="s">
        <v>12</v>
      </c>
      <c r="F5682">
        <f t="shared" si="88"/>
        <v>335.12700000000001</v>
      </c>
      <c r="G5682" t="s">
        <v>16</v>
      </c>
      <c r="J5682" t="str">
        <f>"04/20/2017 23:45"</f>
        <v>04/20/2017 23:45</v>
      </c>
    </row>
    <row r="5683" spans="1:10" x14ac:dyDescent="0.3">
      <c r="A5683" t="s">
        <v>6</v>
      </c>
      <c r="B5683" t="str">
        <f>"04/21/2017 00:00"</f>
        <v>04/21/2017 00:00</v>
      </c>
      <c r="C5683">
        <v>169</v>
      </c>
      <c r="D5683" t="s">
        <v>7</v>
      </c>
      <c r="E5683" s="2" t="s">
        <v>12</v>
      </c>
      <c r="F5683">
        <f t="shared" si="88"/>
        <v>335.12700000000001</v>
      </c>
      <c r="G5683" t="s">
        <v>16</v>
      </c>
      <c r="J5683" t="str">
        <f>"04/21/2017 23:45"</f>
        <v>04/21/2017 23:45</v>
      </c>
    </row>
    <row r="5684" spans="1:10" x14ac:dyDescent="0.3">
      <c r="A5684" t="s">
        <v>6</v>
      </c>
      <c r="B5684" t="str">
        <f>"04/22/2017 00:00"</f>
        <v>04/22/2017 00:00</v>
      </c>
      <c r="C5684">
        <v>169</v>
      </c>
      <c r="D5684" t="s">
        <v>7</v>
      </c>
      <c r="E5684" s="2" t="s">
        <v>12</v>
      </c>
      <c r="F5684">
        <f t="shared" si="88"/>
        <v>335.12700000000001</v>
      </c>
      <c r="G5684" t="s">
        <v>16</v>
      </c>
      <c r="J5684" t="str">
        <f>"04/22/2017 23:45"</f>
        <v>04/22/2017 23:45</v>
      </c>
    </row>
    <row r="5685" spans="1:10" x14ac:dyDescent="0.3">
      <c r="A5685" t="s">
        <v>6</v>
      </c>
      <c r="B5685" t="str">
        <f>"04/23/2017 00:00"</f>
        <v>04/23/2017 00:00</v>
      </c>
      <c r="C5685">
        <v>169</v>
      </c>
      <c r="D5685" t="s">
        <v>7</v>
      </c>
      <c r="E5685" s="2" t="s">
        <v>12</v>
      </c>
      <c r="F5685">
        <f t="shared" si="88"/>
        <v>335.12700000000001</v>
      </c>
      <c r="G5685" t="s">
        <v>16</v>
      </c>
      <c r="J5685" t="str">
        <f>"04/23/2017 23:45"</f>
        <v>04/23/2017 23:45</v>
      </c>
    </row>
    <row r="5686" spans="1:10" x14ac:dyDescent="0.3">
      <c r="A5686" t="s">
        <v>6</v>
      </c>
      <c r="B5686" t="str">
        <f>"04/24/2017 00:00"</f>
        <v>04/24/2017 00:00</v>
      </c>
      <c r="C5686">
        <v>169</v>
      </c>
      <c r="D5686" t="s">
        <v>7</v>
      </c>
      <c r="E5686" s="2" t="s">
        <v>12</v>
      </c>
      <c r="F5686">
        <f t="shared" si="88"/>
        <v>335.12700000000001</v>
      </c>
      <c r="G5686" t="s">
        <v>16</v>
      </c>
      <c r="J5686" t="str">
        <f>"04/24/2017 23:45"</f>
        <v>04/24/2017 23:45</v>
      </c>
    </row>
    <row r="5687" spans="1:10" x14ac:dyDescent="0.3">
      <c r="A5687" t="s">
        <v>6</v>
      </c>
      <c r="B5687" t="str">
        <f>"04/25/2017 00:00"</f>
        <v>04/25/2017 00:00</v>
      </c>
      <c r="C5687">
        <v>159</v>
      </c>
      <c r="D5687" t="s">
        <v>7</v>
      </c>
      <c r="E5687" s="2" t="s">
        <v>12</v>
      </c>
      <c r="F5687">
        <f t="shared" si="88"/>
        <v>315.29700000000003</v>
      </c>
      <c r="G5687" t="s">
        <v>16</v>
      </c>
      <c r="J5687" t="str">
        <f>"04/25/2017 23:45"</f>
        <v>04/25/2017 23:45</v>
      </c>
    </row>
    <row r="5688" spans="1:10" x14ac:dyDescent="0.3">
      <c r="A5688" t="s">
        <v>6</v>
      </c>
      <c r="B5688" t="str">
        <f>"04/26/2017 00:00"</f>
        <v>04/26/2017 00:00</v>
      </c>
      <c r="C5688">
        <v>137</v>
      </c>
      <c r="D5688" t="s">
        <v>7</v>
      </c>
      <c r="E5688" s="2" t="s">
        <v>12</v>
      </c>
      <c r="F5688">
        <f t="shared" si="88"/>
        <v>271.67099999999999</v>
      </c>
      <c r="G5688" t="s">
        <v>16</v>
      </c>
      <c r="J5688" t="str">
        <f>"04/26/2017 23:45"</f>
        <v>04/26/2017 23:45</v>
      </c>
    </row>
    <row r="5689" spans="1:10" x14ac:dyDescent="0.3">
      <c r="A5689" t="s">
        <v>6</v>
      </c>
      <c r="B5689" t="str">
        <f>"04/27/2017 00:00"</f>
        <v>04/27/2017 00:00</v>
      </c>
      <c r="C5689">
        <v>129</v>
      </c>
      <c r="D5689" t="s">
        <v>7</v>
      </c>
      <c r="E5689" s="2" t="s">
        <v>12</v>
      </c>
      <c r="F5689">
        <f t="shared" si="88"/>
        <v>255.80700000000002</v>
      </c>
      <c r="G5689" t="s">
        <v>16</v>
      </c>
      <c r="J5689" t="str">
        <f>"04/27/2017 23:45"</f>
        <v>04/27/2017 23:45</v>
      </c>
    </row>
    <row r="5690" spans="1:10" x14ac:dyDescent="0.3">
      <c r="A5690" t="s">
        <v>6</v>
      </c>
      <c r="B5690" t="str">
        <f>"04/28/2017 00:00"</f>
        <v>04/28/2017 00:00</v>
      </c>
      <c r="C5690">
        <v>129</v>
      </c>
      <c r="D5690" t="s">
        <v>7</v>
      </c>
      <c r="E5690" s="2" t="s">
        <v>12</v>
      </c>
      <c r="F5690">
        <f t="shared" si="88"/>
        <v>255.80700000000002</v>
      </c>
      <c r="G5690" t="s">
        <v>16</v>
      </c>
      <c r="J5690" t="str">
        <f>"04/28/2017 23:45"</f>
        <v>04/28/2017 23:45</v>
      </c>
    </row>
    <row r="5691" spans="1:10" x14ac:dyDescent="0.3">
      <c r="A5691" t="s">
        <v>6</v>
      </c>
      <c r="B5691" t="str">
        <f>"04/29/2017 00:00"</f>
        <v>04/29/2017 00:00</v>
      </c>
      <c r="C5691">
        <v>129</v>
      </c>
      <c r="D5691" t="s">
        <v>7</v>
      </c>
      <c r="E5691" s="2" t="s">
        <v>12</v>
      </c>
      <c r="F5691">
        <f t="shared" si="88"/>
        <v>255.80700000000002</v>
      </c>
      <c r="G5691" t="s">
        <v>16</v>
      </c>
      <c r="J5691" t="str">
        <f>"04/29/2017 23:45"</f>
        <v>04/29/2017 23:45</v>
      </c>
    </row>
    <row r="5692" spans="1:10" x14ac:dyDescent="0.3">
      <c r="A5692" t="s">
        <v>6</v>
      </c>
      <c r="B5692" t="str">
        <f>"04/30/2017 00:00"</f>
        <v>04/30/2017 00:00</v>
      </c>
      <c r="C5692">
        <v>128</v>
      </c>
      <c r="D5692" t="s">
        <v>7</v>
      </c>
      <c r="E5692" s="2" t="s">
        <v>12</v>
      </c>
      <c r="F5692">
        <f t="shared" si="88"/>
        <v>253.82400000000001</v>
      </c>
      <c r="G5692" t="s">
        <v>16</v>
      </c>
      <c r="J5692" t="str">
        <f>"04/30/2017 23:45"</f>
        <v>04/30/2017 23:45</v>
      </c>
    </row>
    <row r="5693" spans="1:10" x14ac:dyDescent="0.3">
      <c r="A5693" t="s">
        <v>6</v>
      </c>
      <c r="B5693" t="str">
        <f>"05/01/2017 00:00"</f>
        <v>05/01/2017 00:00</v>
      </c>
      <c r="C5693">
        <v>129</v>
      </c>
      <c r="D5693" t="s">
        <v>7</v>
      </c>
      <c r="E5693" s="2" t="s">
        <v>12</v>
      </c>
      <c r="F5693">
        <f t="shared" si="88"/>
        <v>255.80700000000002</v>
      </c>
      <c r="G5693" t="s">
        <v>16</v>
      </c>
      <c r="J5693" t="str">
        <f>"05/01/2017 23:45"</f>
        <v>05/01/2017 23:45</v>
      </c>
    </row>
    <row r="5694" spans="1:10" x14ac:dyDescent="0.3">
      <c r="A5694" t="s">
        <v>6</v>
      </c>
      <c r="B5694" t="str">
        <f>"05/02/2017 00:00"</f>
        <v>05/02/2017 00:00</v>
      </c>
      <c r="C5694">
        <v>126</v>
      </c>
      <c r="D5694" t="s">
        <v>7</v>
      </c>
      <c r="E5694" s="2" t="s">
        <v>12</v>
      </c>
      <c r="F5694">
        <f t="shared" si="88"/>
        <v>249.858</v>
      </c>
      <c r="G5694" t="s">
        <v>16</v>
      </c>
      <c r="J5694" t="str">
        <f>"05/02/2017 23:45"</f>
        <v>05/02/2017 23:45</v>
      </c>
    </row>
    <row r="5695" spans="1:10" x14ac:dyDescent="0.3">
      <c r="A5695" t="s">
        <v>6</v>
      </c>
      <c r="B5695" t="str">
        <f>"05/03/2017 00:00"</f>
        <v>05/03/2017 00:00</v>
      </c>
      <c r="C5695">
        <v>124</v>
      </c>
      <c r="D5695" t="s">
        <v>7</v>
      </c>
      <c r="E5695" s="2" t="s">
        <v>12</v>
      </c>
      <c r="F5695">
        <f t="shared" si="88"/>
        <v>245.89200000000002</v>
      </c>
      <c r="G5695" t="s">
        <v>16</v>
      </c>
      <c r="J5695" t="str">
        <f>"05/03/2017 23:45"</f>
        <v>05/03/2017 23:45</v>
      </c>
    </row>
    <row r="5696" spans="1:10" x14ac:dyDescent="0.3">
      <c r="A5696" t="s">
        <v>6</v>
      </c>
      <c r="B5696" t="str">
        <f>"05/04/2017 00:00"</f>
        <v>05/04/2017 00:00</v>
      </c>
      <c r="C5696">
        <v>128</v>
      </c>
      <c r="D5696" t="s">
        <v>7</v>
      </c>
      <c r="E5696" s="2" t="s">
        <v>12</v>
      </c>
      <c r="F5696">
        <f t="shared" si="88"/>
        <v>253.82400000000001</v>
      </c>
      <c r="G5696" t="s">
        <v>16</v>
      </c>
      <c r="J5696" t="str">
        <f>"05/04/2017 23:45"</f>
        <v>05/04/2017 23:45</v>
      </c>
    </row>
    <row r="5697" spans="1:10" x14ac:dyDescent="0.3">
      <c r="A5697" t="s">
        <v>6</v>
      </c>
      <c r="B5697" t="str">
        <f>"05/05/2017 00:00"</f>
        <v>05/05/2017 00:00</v>
      </c>
      <c r="C5697">
        <v>128</v>
      </c>
      <c r="D5697" t="s">
        <v>7</v>
      </c>
      <c r="E5697" s="2" t="s">
        <v>12</v>
      </c>
      <c r="F5697">
        <f t="shared" si="88"/>
        <v>253.82400000000001</v>
      </c>
      <c r="G5697" t="s">
        <v>16</v>
      </c>
      <c r="J5697" t="str">
        <f>"05/05/2017 23:45"</f>
        <v>05/05/2017 23:45</v>
      </c>
    </row>
    <row r="5698" spans="1:10" x14ac:dyDescent="0.3">
      <c r="A5698" t="s">
        <v>6</v>
      </c>
      <c r="B5698" t="str">
        <f>"05/06/2017 00:00"</f>
        <v>05/06/2017 00:00</v>
      </c>
      <c r="C5698">
        <v>128</v>
      </c>
      <c r="D5698" t="s">
        <v>7</v>
      </c>
      <c r="E5698" s="2" t="s">
        <v>12</v>
      </c>
      <c r="F5698">
        <f t="shared" si="88"/>
        <v>253.82400000000001</v>
      </c>
      <c r="G5698" t="s">
        <v>16</v>
      </c>
      <c r="J5698" t="str">
        <f>"05/06/2017 23:45"</f>
        <v>05/06/2017 23:45</v>
      </c>
    </row>
    <row r="5699" spans="1:10" x14ac:dyDescent="0.3">
      <c r="A5699" t="s">
        <v>6</v>
      </c>
      <c r="B5699" t="str">
        <f>"05/07/2017 00:00"</f>
        <v>05/07/2017 00:00</v>
      </c>
      <c r="C5699">
        <v>129</v>
      </c>
      <c r="D5699" t="s">
        <v>7</v>
      </c>
      <c r="E5699" s="2" t="s">
        <v>12</v>
      </c>
      <c r="F5699">
        <f t="shared" si="88"/>
        <v>255.80700000000002</v>
      </c>
      <c r="G5699" t="s">
        <v>16</v>
      </c>
      <c r="J5699" t="str">
        <f>"05/07/2017 23:45"</f>
        <v>05/07/2017 23:45</v>
      </c>
    </row>
    <row r="5700" spans="1:10" x14ac:dyDescent="0.3">
      <c r="A5700" t="s">
        <v>6</v>
      </c>
      <c r="B5700" t="str">
        <f>"05/08/2017 00:00"</f>
        <v>05/08/2017 00:00</v>
      </c>
      <c r="C5700">
        <v>129</v>
      </c>
      <c r="D5700" t="s">
        <v>7</v>
      </c>
      <c r="E5700" s="2" t="s">
        <v>12</v>
      </c>
      <c r="F5700">
        <f t="shared" ref="F5700:F5763" si="89">C5700*1.983</f>
        <v>255.80700000000002</v>
      </c>
      <c r="G5700" t="s">
        <v>16</v>
      </c>
      <c r="J5700" t="str">
        <f>"05/08/2017 23:45"</f>
        <v>05/08/2017 23:45</v>
      </c>
    </row>
    <row r="5701" spans="1:10" x14ac:dyDescent="0.3">
      <c r="A5701" t="s">
        <v>6</v>
      </c>
      <c r="B5701" t="str">
        <f>"05/09/2017 00:00"</f>
        <v>05/09/2017 00:00</v>
      </c>
      <c r="C5701">
        <v>83.5</v>
      </c>
      <c r="D5701" t="s">
        <v>7</v>
      </c>
      <c r="E5701" s="2" t="s">
        <v>12</v>
      </c>
      <c r="F5701">
        <f t="shared" si="89"/>
        <v>165.5805</v>
      </c>
      <c r="G5701" t="s">
        <v>16</v>
      </c>
      <c r="J5701" t="str">
        <f>"05/09/2017 23:45"</f>
        <v>05/09/2017 23:45</v>
      </c>
    </row>
    <row r="5702" spans="1:10" x14ac:dyDescent="0.3">
      <c r="A5702" t="s">
        <v>6</v>
      </c>
      <c r="B5702" t="str">
        <f>"05/10/2017 00:00"</f>
        <v>05/10/2017 00:00</v>
      </c>
      <c r="C5702">
        <v>94.8</v>
      </c>
      <c r="D5702" t="s">
        <v>7</v>
      </c>
      <c r="E5702" s="2" t="s">
        <v>12</v>
      </c>
      <c r="F5702">
        <f t="shared" si="89"/>
        <v>187.98840000000001</v>
      </c>
      <c r="G5702" t="s">
        <v>16</v>
      </c>
      <c r="J5702" t="str">
        <f>"05/10/2017 23:45"</f>
        <v>05/10/2017 23:45</v>
      </c>
    </row>
    <row r="5703" spans="1:10" x14ac:dyDescent="0.3">
      <c r="A5703" t="s">
        <v>6</v>
      </c>
      <c r="B5703" t="str">
        <f>"05/11/2017 00:00"</f>
        <v>05/11/2017 00:00</v>
      </c>
      <c r="C5703">
        <v>174</v>
      </c>
      <c r="D5703" t="s">
        <v>7</v>
      </c>
      <c r="E5703" s="2" t="s">
        <v>12</v>
      </c>
      <c r="F5703">
        <f t="shared" si="89"/>
        <v>345.04200000000003</v>
      </c>
      <c r="G5703" t="s">
        <v>16</v>
      </c>
      <c r="J5703" t="str">
        <f>"05/11/2017 23:45"</f>
        <v>05/11/2017 23:45</v>
      </c>
    </row>
    <row r="5704" spans="1:10" x14ac:dyDescent="0.3">
      <c r="A5704" t="s">
        <v>6</v>
      </c>
      <c r="B5704" t="str">
        <f>"05/12/2017 00:00"</f>
        <v>05/12/2017 00:00</v>
      </c>
      <c r="C5704">
        <v>174</v>
      </c>
      <c r="D5704" t="s">
        <v>7</v>
      </c>
      <c r="E5704" s="2" t="s">
        <v>12</v>
      </c>
      <c r="F5704">
        <f t="shared" si="89"/>
        <v>345.04200000000003</v>
      </c>
      <c r="G5704" t="s">
        <v>16</v>
      </c>
      <c r="J5704" t="str">
        <f>"05/12/2017 23:45"</f>
        <v>05/12/2017 23:45</v>
      </c>
    </row>
    <row r="5705" spans="1:10" x14ac:dyDescent="0.3">
      <c r="A5705" t="s">
        <v>6</v>
      </c>
      <c r="B5705" t="str">
        <f>"05/13/2017 00:00"</f>
        <v>05/13/2017 00:00</v>
      </c>
      <c r="C5705">
        <v>175</v>
      </c>
      <c r="D5705" t="s">
        <v>7</v>
      </c>
      <c r="E5705" s="2" t="s">
        <v>12</v>
      </c>
      <c r="F5705">
        <f t="shared" si="89"/>
        <v>347.02500000000003</v>
      </c>
      <c r="G5705" t="s">
        <v>16</v>
      </c>
      <c r="J5705" t="str">
        <f>"05/13/2017 23:45"</f>
        <v>05/13/2017 23:45</v>
      </c>
    </row>
    <row r="5706" spans="1:10" x14ac:dyDescent="0.3">
      <c r="A5706" t="s">
        <v>6</v>
      </c>
      <c r="B5706" t="str">
        <f>"05/14/2017 00:00"</f>
        <v>05/14/2017 00:00</v>
      </c>
      <c r="C5706">
        <v>176</v>
      </c>
      <c r="D5706" t="s">
        <v>7</v>
      </c>
      <c r="E5706" s="2" t="s">
        <v>12</v>
      </c>
      <c r="F5706">
        <f t="shared" si="89"/>
        <v>349.00800000000004</v>
      </c>
      <c r="G5706" t="s">
        <v>16</v>
      </c>
      <c r="J5706" t="str">
        <f>"05/14/2017 23:45"</f>
        <v>05/14/2017 23:45</v>
      </c>
    </row>
    <row r="5707" spans="1:10" x14ac:dyDescent="0.3">
      <c r="A5707" t="s">
        <v>6</v>
      </c>
      <c r="B5707" t="str">
        <f>"05/15/2017 00:00"</f>
        <v>05/15/2017 00:00</v>
      </c>
      <c r="C5707">
        <v>235</v>
      </c>
      <c r="D5707" t="s">
        <v>7</v>
      </c>
      <c r="E5707" s="2" t="s">
        <v>12</v>
      </c>
      <c r="F5707">
        <f t="shared" si="89"/>
        <v>466.005</v>
      </c>
      <c r="G5707" t="s">
        <v>16</v>
      </c>
      <c r="J5707" t="str">
        <f>"05/15/2017 23:45"</f>
        <v>05/15/2017 23:45</v>
      </c>
    </row>
    <row r="5708" spans="1:10" x14ac:dyDescent="0.3">
      <c r="A5708" t="s">
        <v>6</v>
      </c>
      <c r="B5708" t="str">
        <f>"05/16/2017 00:00"</f>
        <v>05/16/2017 00:00</v>
      </c>
      <c r="C5708">
        <v>274</v>
      </c>
      <c r="D5708" t="s">
        <v>7</v>
      </c>
      <c r="E5708" s="2" t="s">
        <v>12</v>
      </c>
      <c r="F5708">
        <f t="shared" si="89"/>
        <v>543.34199999999998</v>
      </c>
      <c r="G5708" t="s">
        <v>16</v>
      </c>
      <c r="J5708" t="str">
        <f>"05/16/2017 23:45"</f>
        <v>05/16/2017 23:45</v>
      </c>
    </row>
    <row r="5709" spans="1:10" x14ac:dyDescent="0.3">
      <c r="A5709" t="s">
        <v>6</v>
      </c>
      <c r="B5709" t="str">
        <f>"05/17/2017 00:00"</f>
        <v>05/17/2017 00:00</v>
      </c>
      <c r="C5709">
        <v>230</v>
      </c>
      <c r="D5709" t="s">
        <v>7</v>
      </c>
      <c r="E5709" s="2" t="s">
        <v>12</v>
      </c>
      <c r="F5709">
        <f t="shared" si="89"/>
        <v>456.09000000000003</v>
      </c>
      <c r="G5709" t="s">
        <v>16</v>
      </c>
      <c r="J5709" t="str">
        <f>"05/17/2017 23:45"</f>
        <v>05/17/2017 23:45</v>
      </c>
    </row>
    <row r="5710" spans="1:10" x14ac:dyDescent="0.3">
      <c r="A5710" t="s">
        <v>6</v>
      </c>
      <c r="B5710" t="str">
        <f>"05/18/2017 00:00"</f>
        <v>05/18/2017 00:00</v>
      </c>
      <c r="C5710">
        <v>165</v>
      </c>
      <c r="D5710" t="s">
        <v>7</v>
      </c>
      <c r="E5710" s="2" t="s">
        <v>12</v>
      </c>
      <c r="F5710">
        <f t="shared" si="89"/>
        <v>327.19499999999999</v>
      </c>
      <c r="G5710" t="s">
        <v>16</v>
      </c>
      <c r="J5710" t="str">
        <f>"05/18/2017 23:45"</f>
        <v>05/18/2017 23:45</v>
      </c>
    </row>
    <row r="5711" spans="1:10" x14ac:dyDescent="0.3">
      <c r="A5711" t="s">
        <v>6</v>
      </c>
      <c r="B5711" t="str">
        <f>"05/19/2017 00:00"</f>
        <v>05/19/2017 00:00</v>
      </c>
      <c r="C5711">
        <v>59.5</v>
      </c>
      <c r="D5711" t="s">
        <v>7</v>
      </c>
      <c r="E5711" s="2" t="s">
        <v>12</v>
      </c>
      <c r="F5711">
        <f t="shared" si="89"/>
        <v>117.9885</v>
      </c>
      <c r="G5711" t="s">
        <v>16</v>
      </c>
      <c r="J5711" t="str">
        <f>"05/19/2017 23:45"</f>
        <v>05/19/2017 23:45</v>
      </c>
    </row>
    <row r="5712" spans="1:10" x14ac:dyDescent="0.3">
      <c r="A5712" t="s">
        <v>6</v>
      </c>
      <c r="B5712" t="str">
        <f>"05/20/2017 00:00"</f>
        <v>05/20/2017 00:00</v>
      </c>
      <c r="C5712">
        <v>0.14199999999999999</v>
      </c>
      <c r="D5712" t="s">
        <v>7</v>
      </c>
      <c r="E5712" s="2" t="s">
        <v>12</v>
      </c>
      <c r="F5712">
        <f t="shared" si="89"/>
        <v>0.281586</v>
      </c>
      <c r="G5712" t="s">
        <v>16</v>
      </c>
      <c r="J5712" t="str">
        <f>"05/20/2017 23:45"</f>
        <v>05/20/2017 23:45</v>
      </c>
    </row>
    <row r="5713" spans="1:10" x14ac:dyDescent="0.3">
      <c r="A5713" t="s">
        <v>6</v>
      </c>
      <c r="B5713" t="str">
        <f>"05/21/2017 00:00"</f>
        <v>05/21/2017 00:00</v>
      </c>
      <c r="C5713">
        <v>4.8000000000000001E-2</v>
      </c>
      <c r="D5713" t="s">
        <v>7</v>
      </c>
      <c r="E5713" s="2" t="s">
        <v>12</v>
      </c>
      <c r="F5713">
        <f t="shared" si="89"/>
        <v>9.5184000000000005E-2</v>
      </c>
      <c r="G5713" t="s">
        <v>16</v>
      </c>
      <c r="J5713" t="str">
        <f>"05/21/2017 23:45"</f>
        <v>05/21/2017 23:45</v>
      </c>
    </row>
    <row r="5714" spans="1:10" x14ac:dyDescent="0.3">
      <c r="A5714" t="s">
        <v>6</v>
      </c>
      <c r="B5714" t="str">
        <f>"05/22/2017 00:00"</f>
        <v>05/22/2017 00:00</v>
      </c>
      <c r="C5714">
        <v>4.8000000000000001E-2</v>
      </c>
      <c r="D5714" t="s">
        <v>7</v>
      </c>
      <c r="E5714" s="2" t="s">
        <v>12</v>
      </c>
      <c r="F5714">
        <f t="shared" si="89"/>
        <v>9.5184000000000005E-2</v>
      </c>
      <c r="G5714" t="s">
        <v>16</v>
      </c>
      <c r="J5714" t="str">
        <f>"05/22/2017 23:45"</f>
        <v>05/22/2017 23:45</v>
      </c>
    </row>
    <row r="5715" spans="1:10" x14ac:dyDescent="0.3">
      <c r="A5715" t="s">
        <v>6</v>
      </c>
      <c r="B5715" t="str">
        <f>"05/23/2017 00:00"</f>
        <v>05/23/2017 00:00</v>
      </c>
      <c r="C5715">
        <v>4.8000000000000001E-2</v>
      </c>
      <c r="D5715" t="s">
        <v>7</v>
      </c>
      <c r="E5715" s="2" t="s">
        <v>12</v>
      </c>
      <c r="F5715">
        <f t="shared" si="89"/>
        <v>9.5184000000000005E-2</v>
      </c>
      <c r="G5715" t="s">
        <v>16</v>
      </c>
      <c r="J5715" t="str">
        <f>"05/23/2017 23:45"</f>
        <v>05/23/2017 23:45</v>
      </c>
    </row>
    <row r="5716" spans="1:10" x14ac:dyDescent="0.3">
      <c r="A5716" t="s">
        <v>6</v>
      </c>
      <c r="B5716" t="str">
        <f>"05/24/2017 00:00"</f>
        <v>05/24/2017 00:00</v>
      </c>
      <c r="C5716">
        <v>4.8000000000000001E-2</v>
      </c>
      <c r="D5716" t="s">
        <v>7</v>
      </c>
      <c r="E5716" s="2" t="s">
        <v>12</v>
      </c>
      <c r="F5716">
        <f t="shared" si="89"/>
        <v>9.5184000000000005E-2</v>
      </c>
      <c r="G5716" t="s">
        <v>16</v>
      </c>
      <c r="J5716" t="str">
        <f>"05/24/2017 23:45"</f>
        <v>05/24/2017 23:45</v>
      </c>
    </row>
    <row r="5717" spans="1:10" x14ac:dyDescent="0.3">
      <c r="A5717" t="s">
        <v>6</v>
      </c>
      <c r="B5717" t="str">
        <f>"05/25/2017 00:00"</f>
        <v>05/25/2017 00:00</v>
      </c>
      <c r="C5717">
        <v>4.8000000000000001E-2</v>
      </c>
      <c r="D5717" t="s">
        <v>7</v>
      </c>
      <c r="E5717" s="2" t="s">
        <v>12</v>
      </c>
      <c r="F5717">
        <f t="shared" si="89"/>
        <v>9.5184000000000005E-2</v>
      </c>
      <c r="G5717" t="s">
        <v>16</v>
      </c>
      <c r="J5717" t="str">
        <f>"05/25/2017 23:45"</f>
        <v>05/25/2017 23:45</v>
      </c>
    </row>
    <row r="5718" spans="1:10" x14ac:dyDescent="0.3">
      <c r="A5718" t="s">
        <v>6</v>
      </c>
      <c r="B5718" t="str">
        <f>"05/26/2017 00:00"</f>
        <v>05/26/2017 00:00</v>
      </c>
      <c r="C5718">
        <v>4.8000000000000001E-2</v>
      </c>
      <c r="D5718" t="s">
        <v>7</v>
      </c>
      <c r="E5718" s="2" t="s">
        <v>12</v>
      </c>
      <c r="F5718">
        <f t="shared" si="89"/>
        <v>9.5184000000000005E-2</v>
      </c>
      <c r="G5718" t="s">
        <v>16</v>
      </c>
      <c r="J5718" t="str">
        <f>"05/26/2017 23:45"</f>
        <v>05/26/2017 23:45</v>
      </c>
    </row>
    <row r="5719" spans="1:10" x14ac:dyDescent="0.3">
      <c r="A5719" t="s">
        <v>6</v>
      </c>
      <c r="B5719" t="str">
        <f>"05/27/2017 00:00"</f>
        <v>05/27/2017 00:00</v>
      </c>
      <c r="C5719">
        <v>4.8000000000000001E-2</v>
      </c>
      <c r="D5719" t="s">
        <v>7</v>
      </c>
      <c r="E5719" s="2" t="s">
        <v>12</v>
      </c>
      <c r="F5719">
        <f t="shared" si="89"/>
        <v>9.5184000000000005E-2</v>
      </c>
      <c r="G5719" t="s">
        <v>16</v>
      </c>
      <c r="J5719" t="str">
        <f>"05/27/2017 23:45"</f>
        <v>05/27/2017 23:45</v>
      </c>
    </row>
    <row r="5720" spans="1:10" x14ac:dyDescent="0.3">
      <c r="A5720" t="s">
        <v>6</v>
      </c>
      <c r="B5720" t="str">
        <f>"05/28/2017 00:00"</f>
        <v>05/28/2017 00:00</v>
      </c>
      <c r="C5720">
        <v>4.8000000000000001E-2</v>
      </c>
      <c r="D5720" t="s">
        <v>7</v>
      </c>
      <c r="E5720" s="2" t="s">
        <v>12</v>
      </c>
      <c r="F5720">
        <f t="shared" si="89"/>
        <v>9.5184000000000005E-2</v>
      </c>
      <c r="G5720" t="s">
        <v>16</v>
      </c>
      <c r="J5720" t="str">
        <f>"05/28/2017 23:45"</f>
        <v>05/28/2017 23:45</v>
      </c>
    </row>
    <row r="5721" spans="1:10" x14ac:dyDescent="0.3">
      <c r="A5721" t="s">
        <v>6</v>
      </c>
      <c r="B5721" t="str">
        <f>"05/29/2017 00:00"</f>
        <v>05/29/2017 00:00</v>
      </c>
      <c r="C5721">
        <v>4.8000000000000001E-2</v>
      </c>
      <c r="D5721" t="s">
        <v>7</v>
      </c>
      <c r="E5721" s="2" t="s">
        <v>12</v>
      </c>
      <c r="F5721">
        <f t="shared" si="89"/>
        <v>9.5184000000000005E-2</v>
      </c>
      <c r="G5721" t="s">
        <v>16</v>
      </c>
      <c r="J5721" t="str">
        <f>"05/29/2017 23:45"</f>
        <v>05/29/2017 23:45</v>
      </c>
    </row>
    <row r="5722" spans="1:10" x14ac:dyDescent="0.3">
      <c r="A5722" t="s">
        <v>6</v>
      </c>
      <c r="B5722" t="str">
        <f>"05/30/2017 00:00"</f>
        <v>05/30/2017 00:00</v>
      </c>
      <c r="C5722">
        <v>4.8000000000000001E-2</v>
      </c>
      <c r="D5722" t="s">
        <v>7</v>
      </c>
      <c r="E5722" s="2" t="s">
        <v>12</v>
      </c>
      <c r="F5722">
        <f t="shared" si="89"/>
        <v>9.5184000000000005E-2</v>
      </c>
      <c r="G5722" t="s">
        <v>16</v>
      </c>
      <c r="J5722" t="str">
        <f>"05/30/2017 23:45"</f>
        <v>05/30/2017 23:45</v>
      </c>
    </row>
    <row r="5723" spans="1:10" x14ac:dyDescent="0.3">
      <c r="A5723" t="s">
        <v>6</v>
      </c>
      <c r="B5723" t="str">
        <f>"05/31/2017 00:00"</f>
        <v>05/31/2017 00:00</v>
      </c>
      <c r="C5723">
        <v>4.8000000000000001E-2</v>
      </c>
      <c r="D5723" t="s">
        <v>7</v>
      </c>
      <c r="E5723" s="2" t="s">
        <v>12</v>
      </c>
      <c r="F5723">
        <f t="shared" si="89"/>
        <v>9.5184000000000005E-2</v>
      </c>
      <c r="G5723" t="s">
        <v>16</v>
      </c>
      <c r="J5723" t="str">
        <f>"05/31/2017 23:45"</f>
        <v>05/31/2017 23:45</v>
      </c>
    </row>
    <row r="5724" spans="1:10" x14ac:dyDescent="0.3">
      <c r="A5724" t="s">
        <v>6</v>
      </c>
      <c r="B5724" t="str">
        <f>"06/01/2017 00:00"</f>
        <v>06/01/2017 00:00</v>
      </c>
      <c r="C5724">
        <v>58.6</v>
      </c>
      <c r="D5724" t="s">
        <v>7</v>
      </c>
      <c r="E5724" s="2" t="s">
        <v>12</v>
      </c>
      <c r="F5724">
        <f t="shared" si="89"/>
        <v>116.20380000000002</v>
      </c>
      <c r="G5724" t="s">
        <v>16</v>
      </c>
      <c r="J5724" t="str">
        <f>"06/01/2017 23:45"</f>
        <v>06/01/2017 23:45</v>
      </c>
    </row>
    <row r="5725" spans="1:10" x14ac:dyDescent="0.3">
      <c r="A5725" t="s">
        <v>6</v>
      </c>
      <c r="B5725" t="str">
        <f>"06/02/2017 00:00"</f>
        <v>06/02/2017 00:00</v>
      </c>
      <c r="C5725">
        <v>102</v>
      </c>
      <c r="D5725" t="s">
        <v>7</v>
      </c>
      <c r="E5725" s="2" t="s">
        <v>12</v>
      </c>
      <c r="F5725">
        <f t="shared" si="89"/>
        <v>202.26600000000002</v>
      </c>
      <c r="G5725" t="s">
        <v>16</v>
      </c>
      <c r="J5725" t="str">
        <f>"06/02/2017 23:45"</f>
        <v>06/02/2017 23:45</v>
      </c>
    </row>
    <row r="5726" spans="1:10" x14ac:dyDescent="0.3">
      <c r="A5726" t="s">
        <v>6</v>
      </c>
      <c r="B5726" t="str">
        <f>"06/03/2017 00:00"</f>
        <v>06/03/2017 00:00</v>
      </c>
      <c r="C5726">
        <v>101</v>
      </c>
      <c r="D5726" t="s">
        <v>7</v>
      </c>
      <c r="E5726" s="2" t="s">
        <v>12</v>
      </c>
      <c r="F5726">
        <f t="shared" si="89"/>
        <v>200.28300000000002</v>
      </c>
      <c r="G5726" t="s">
        <v>16</v>
      </c>
      <c r="J5726" t="str">
        <f>"06/03/2017 23:45"</f>
        <v>06/03/2017 23:45</v>
      </c>
    </row>
    <row r="5727" spans="1:10" x14ac:dyDescent="0.3">
      <c r="A5727" t="s">
        <v>6</v>
      </c>
      <c r="B5727" t="str">
        <f>"06/04/2017 00:00"</f>
        <v>06/04/2017 00:00</v>
      </c>
      <c r="C5727">
        <v>100</v>
      </c>
      <c r="D5727" t="s">
        <v>7</v>
      </c>
      <c r="E5727" s="2" t="s">
        <v>12</v>
      </c>
      <c r="F5727">
        <f t="shared" si="89"/>
        <v>198.3</v>
      </c>
      <c r="G5727" t="s">
        <v>16</v>
      </c>
      <c r="J5727" t="str">
        <f>"06/04/2017 23:45"</f>
        <v>06/04/2017 23:45</v>
      </c>
    </row>
    <row r="5728" spans="1:10" x14ac:dyDescent="0.3">
      <c r="A5728" t="s">
        <v>6</v>
      </c>
      <c r="B5728" t="str">
        <f>"06/05/2017 00:00"</f>
        <v>06/05/2017 00:00</v>
      </c>
      <c r="C5728">
        <v>99.3</v>
      </c>
      <c r="D5728" t="s">
        <v>7</v>
      </c>
      <c r="E5728" s="2" t="s">
        <v>12</v>
      </c>
      <c r="F5728">
        <f t="shared" si="89"/>
        <v>196.9119</v>
      </c>
      <c r="G5728" t="s">
        <v>16</v>
      </c>
      <c r="J5728" t="str">
        <f>"06/05/2017 23:45"</f>
        <v>06/05/2017 23:45</v>
      </c>
    </row>
    <row r="5729" spans="1:10" x14ac:dyDescent="0.3">
      <c r="A5729" t="s">
        <v>6</v>
      </c>
      <c r="B5729" t="str">
        <f>"06/06/2017 00:00"</f>
        <v>06/06/2017 00:00</v>
      </c>
      <c r="C5729">
        <v>82.2</v>
      </c>
      <c r="D5729" t="s">
        <v>7</v>
      </c>
      <c r="E5729" s="2" t="s">
        <v>12</v>
      </c>
      <c r="F5729">
        <f t="shared" si="89"/>
        <v>163.0026</v>
      </c>
      <c r="G5729" t="s">
        <v>16</v>
      </c>
      <c r="J5729" t="str">
        <f>"06/06/2017 23:45"</f>
        <v>06/06/2017 23:45</v>
      </c>
    </row>
    <row r="5730" spans="1:10" x14ac:dyDescent="0.3">
      <c r="A5730" t="s">
        <v>6</v>
      </c>
      <c r="B5730" t="str">
        <f>"06/07/2017 00:00"</f>
        <v>06/07/2017 00:00</v>
      </c>
      <c r="C5730">
        <v>57.2</v>
      </c>
      <c r="D5730" t="s">
        <v>7</v>
      </c>
      <c r="E5730" s="2" t="s">
        <v>12</v>
      </c>
      <c r="F5730">
        <f t="shared" si="89"/>
        <v>113.42760000000001</v>
      </c>
      <c r="G5730" t="s">
        <v>16</v>
      </c>
      <c r="J5730" t="str">
        <f>"06/07/2017 23:45"</f>
        <v>06/07/2017 23:45</v>
      </c>
    </row>
    <row r="5731" spans="1:10" x14ac:dyDescent="0.3">
      <c r="A5731" t="s">
        <v>6</v>
      </c>
      <c r="B5731" t="str">
        <f>"06/08/2017 00:00"</f>
        <v>06/08/2017 00:00</v>
      </c>
      <c r="C5731">
        <v>28</v>
      </c>
      <c r="D5731" t="s">
        <v>7</v>
      </c>
      <c r="E5731" s="2" t="s">
        <v>12</v>
      </c>
      <c r="F5731">
        <f t="shared" si="89"/>
        <v>55.524000000000001</v>
      </c>
      <c r="G5731" t="s">
        <v>16</v>
      </c>
      <c r="J5731" t="str">
        <f>"06/08/2017 23:45"</f>
        <v>06/08/2017 23:45</v>
      </c>
    </row>
    <row r="5732" spans="1:10" x14ac:dyDescent="0.3">
      <c r="A5732" t="s">
        <v>6</v>
      </c>
      <c r="B5732" t="str">
        <f>"06/09/2017 00:00"</f>
        <v>06/09/2017 00:00</v>
      </c>
      <c r="C5732">
        <v>0.14599999999999999</v>
      </c>
      <c r="D5732" t="s">
        <v>7</v>
      </c>
      <c r="E5732" s="2" t="s">
        <v>12</v>
      </c>
      <c r="F5732">
        <f t="shared" si="89"/>
        <v>0.289518</v>
      </c>
      <c r="G5732" t="s">
        <v>16</v>
      </c>
      <c r="J5732" t="str">
        <f>"06/09/2017 23:45"</f>
        <v>06/09/2017 23:45</v>
      </c>
    </row>
    <row r="5733" spans="1:10" x14ac:dyDescent="0.3">
      <c r="A5733" t="s">
        <v>6</v>
      </c>
      <c r="B5733" t="str">
        <f>"06/10/2017 00:00"</f>
        <v>06/10/2017 00:00</v>
      </c>
      <c r="C5733">
        <v>0.111</v>
      </c>
      <c r="D5733" t="s">
        <v>7</v>
      </c>
      <c r="E5733" s="2" t="s">
        <v>12</v>
      </c>
      <c r="F5733">
        <f t="shared" si="89"/>
        <v>0.220113</v>
      </c>
      <c r="G5733" t="s">
        <v>16</v>
      </c>
      <c r="J5733" t="str">
        <f>"06/10/2017 23:45"</f>
        <v>06/10/2017 23:45</v>
      </c>
    </row>
    <row r="5734" spans="1:10" x14ac:dyDescent="0.3">
      <c r="A5734" t="s">
        <v>6</v>
      </c>
      <c r="B5734" t="str">
        <f>"06/11/2017 00:00"</f>
        <v>06/11/2017 00:00</v>
      </c>
      <c r="C5734">
        <v>4.8000000000000001E-2</v>
      </c>
      <c r="D5734" t="s">
        <v>7</v>
      </c>
      <c r="E5734" s="2" t="s">
        <v>12</v>
      </c>
      <c r="F5734">
        <f t="shared" si="89"/>
        <v>9.5184000000000005E-2</v>
      </c>
      <c r="G5734" t="s">
        <v>16</v>
      </c>
      <c r="J5734" t="str">
        <f>"06/11/2017 23:45"</f>
        <v>06/11/2017 23:45</v>
      </c>
    </row>
    <row r="5735" spans="1:10" x14ac:dyDescent="0.3">
      <c r="A5735" t="s">
        <v>6</v>
      </c>
      <c r="B5735" t="str">
        <f>"06/12/2017 00:00"</f>
        <v>06/12/2017 00:00</v>
      </c>
      <c r="C5735">
        <v>4.8000000000000001E-2</v>
      </c>
      <c r="D5735" t="s">
        <v>7</v>
      </c>
      <c r="E5735" s="2" t="s">
        <v>12</v>
      </c>
      <c r="F5735">
        <f t="shared" si="89"/>
        <v>9.5184000000000005E-2</v>
      </c>
      <c r="G5735" t="s">
        <v>16</v>
      </c>
      <c r="J5735" t="str">
        <f>"06/12/2017 23:45"</f>
        <v>06/12/2017 23:45</v>
      </c>
    </row>
    <row r="5736" spans="1:10" x14ac:dyDescent="0.3">
      <c r="A5736" t="s">
        <v>6</v>
      </c>
      <c r="B5736" t="str">
        <f>"06/13/2017 00:00"</f>
        <v>06/13/2017 00:00</v>
      </c>
      <c r="C5736">
        <v>4.8000000000000001E-2</v>
      </c>
      <c r="D5736" t="s">
        <v>7</v>
      </c>
      <c r="E5736" s="2" t="s">
        <v>12</v>
      </c>
      <c r="F5736">
        <f t="shared" si="89"/>
        <v>9.5184000000000005E-2</v>
      </c>
      <c r="G5736" t="s">
        <v>16</v>
      </c>
      <c r="J5736" t="str">
        <f>"06/13/2017 23:45"</f>
        <v>06/13/2017 23:45</v>
      </c>
    </row>
    <row r="5737" spans="1:10" x14ac:dyDescent="0.3">
      <c r="A5737" t="s">
        <v>6</v>
      </c>
      <c r="B5737" t="str">
        <f>"06/14/2017 00:00"</f>
        <v>06/14/2017 00:00</v>
      </c>
      <c r="C5737">
        <v>36</v>
      </c>
      <c r="D5737" t="s">
        <v>7</v>
      </c>
      <c r="E5737" s="2" t="s">
        <v>12</v>
      </c>
      <c r="F5737">
        <f t="shared" si="89"/>
        <v>71.388000000000005</v>
      </c>
      <c r="G5737" t="s">
        <v>16</v>
      </c>
      <c r="J5737" t="str">
        <f>"06/14/2017 23:45"</f>
        <v>06/14/2017 23:45</v>
      </c>
    </row>
    <row r="5738" spans="1:10" x14ac:dyDescent="0.3">
      <c r="A5738" t="s">
        <v>6</v>
      </c>
      <c r="B5738" t="str">
        <f>"06/15/2017 00:00"</f>
        <v>06/15/2017 00:00</v>
      </c>
      <c r="C5738">
        <v>99.7</v>
      </c>
      <c r="D5738" t="s">
        <v>7</v>
      </c>
      <c r="E5738" s="2" t="s">
        <v>12</v>
      </c>
      <c r="F5738">
        <f t="shared" si="89"/>
        <v>197.70510000000002</v>
      </c>
      <c r="G5738" t="s">
        <v>16</v>
      </c>
      <c r="J5738" t="str">
        <f>"06/15/2017 23:45"</f>
        <v>06/15/2017 23:45</v>
      </c>
    </row>
    <row r="5739" spans="1:10" x14ac:dyDescent="0.3">
      <c r="A5739" t="s">
        <v>6</v>
      </c>
      <c r="B5739" t="str">
        <f>"06/16/2017 00:00"</f>
        <v>06/16/2017 00:00</v>
      </c>
      <c r="C5739">
        <v>101</v>
      </c>
      <c r="D5739" t="s">
        <v>7</v>
      </c>
      <c r="E5739" s="2" t="s">
        <v>12</v>
      </c>
      <c r="F5739">
        <f t="shared" si="89"/>
        <v>200.28300000000002</v>
      </c>
      <c r="G5739" t="s">
        <v>16</v>
      </c>
      <c r="J5739" t="str">
        <f>"06/16/2017 23:45"</f>
        <v>06/16/2017 23:45</v>
      </c>
    </row>
    <row r="5740" spans="1:10" x14ac:dyDescent="0.3">
      <c r="A5740" t="s">
        <v>6</v>
      </c>
      <c r="B5740" t="str">
        <f>"06/17/2017 00:00"</f>
        <v>06/17/2017 00:00</v>
      </c>
      <c r="C5740">
        <v>156</v>
      </c>
      <c r="D5740" t="s">
        <v>7</v>
      </c>
      <c r="E5740" s="2" t="s">
        <v>12</v>
      </c>
      <c r="F5740">
        <f t="shared" si="89"/>
        <v>309.34800000000001</v>
      </c>
      <c r="G5740" t="s">
        <v>16</v>
      </c>
      <c r="J5740" t="str">
        <f>"06/17/2017 23:45"</f>
        <v>06/17/2017 23:45</v>
      </c>
    </row>
    <row r="5741" spans="1:10" x14ac:dyDescent="0.3">
      <c r="A5741" t="s">
        <v>6</v>
      </c>
      <c r="B5741" t="str">
        <f>"06/18/2017 00:00"</f>
        <v>06/18/2017 00:00</v>
      </c>
      <c r="C5741">
        <v>243</v>
      </c>
      <c r="D5741" t="s">
        <v>7</v>
      </c>
      <c r="E5741" s="2" t="s">
        <v>12</v>
      </c>
      <c r="F5741">
        <f t="shared" si="89"/>
        <v>481.86900000000003</v>
      </c>
      <c r="G5741" t="s">
        <v>16</v>
      </c>
      <c r="J5741" t="str">
        <f>"06/18/2017 23:45"</f>
        <v>06/18/2017 23:45</v>
      </c>
    </row>
    <row r="5742" spans="1:10" x14ac:dyDescent="0.3">
      <c r="A5742" t="s">
        <v>6</v>
      </c>
      <c r="B5742" t="str">
        <f>"06/19/2017 00:00"</f>
        <v>06/19/2017 00:00</v>
      </c>
      <c r="C5742">
        <v>301</v>
      </c>
      <c r="D5742" t="s">
        <v>7</v>
      </c>
      <c r="E5742" s="2" t="s">
        <v>12</v>
      </c>
      <c r="F5742">
        <f t="shared" si="89"/>
        <v>596.88300000000004</v>
      </c>
      <c r="G5742" t="s">
        <v>16</v>
      </c>
      <c r="J5742" t="str">
        <f>"06/19/2017 23:45"</f>
        <v>06/19/2017 23:45</v>
      </c>
    </row>
    <row r="5743" spans="1:10" x14ac:dyDescent="0.3">
      <c r="A5743" t="s">
        <v>6</v>
      </c>
      <c r="B5743" t="str">
        <f>"06/20/2017 00:00"</f>
        <v>06/20/2017 00:00</v>
      </c>
      <c r="C5743">
        <v>301</v>
      </c>
      <c r="D5743" t="s">
        <v>7</v>
      </c>
      <c r="E5743" s="2" t="s">
        <v>12</v>
      </c>
      <c r="F5743">
        <f t="shared" si="89"/>
        <v>596.88300000000004</v>
      </c>
      <c r="G5743" t="s">
        <v>16</v>
      </c>
      <c r="J5743" t="str">
        <f>"06/20/2017 23:45"</f>
        <v>06/20/2017 23:45</v>
      </c>
    </row>
    <row r="5744" spans="1:10" x14ac:dyDescent="0.3">
      <c r="A5744" t="s">
        <v>6</v>
      </c>
      <c r="B5744" t="str">
        <f>"06/21/2017 00:00"</f>
        <v>06/21/2017 00:00</v>
      </c>
      <c r="C5744">
        <v>301</v>
      </c>
      <c r="D5744" t="s">
        <v>7</v>
      </c>
      <c r="E5744" s="2" t="s">
        <v>12</v>
      </c>
      <c r="F5744">
        <f t="shared" si="89"/>
        <v>596.88300000000004</v>
      </c>
      <c r="G5744" t="s">
        <v>16</v>
      </c>
      <c r="J5744" t="str">
        <f>"06/21/2017 23:45"</f>
        <v>06/21/2017 23:45</v>
      </c>
    </row>
    <row r="5745" spans="1:10" x14ac:dyDescent="0.3">
      <c r="A5745" t="s">
        <v>6</v>
      </c>
      <c r="B5745" t="str">
        <f>"06/22/2017 00:00"</f>
        <v>06/22/2017 00:00</v>
      </c>
      <c r="C5745">
        <v>334</v>
      </c>
      <c r="D5745" t="s">
        <v>7</v>
      </c>
      <c r="E5745" s="2" t="s">
        <v>12</v>
      </c>
      <c r="F5745">
        <f t="shared" si="89"/>
        <v>662.322</v>
      </c>
      <c r="G5745" t="s">
        <v>16</v>
      </c>
      <c r="J5745" t="str">
        <f>"06/22/2017 23:45"</f>
        <v>06/22/2017 23:45</v>
      </c>
    </row>
    <row r="5746" spans="1:10" x14ac:dyDescent="0.3">
      <c r="A5746" t="s">
        <v>6</v>
      </c>
      <c r="B5746" t="str">
        <f>"06/23/2017 00:00"</f>
        <v>06/23/2017 00:00</v>
      </c>
      <c r="C5746">
        <v>353</v>
      </c>
      <c r="D5746" t="s">
        <v>7</v>
      </c>
      <c r="E5746" s="2" t="s">
        <v>12</v>
      </c>
      <c r="F5746">
        <f t="shared" si="89"/>
        <v>699.99900000000002</v>
      </c>
      <c r="G5746" t="s">
        <v>16</v>
      </c>
      <c r="J5746" t="str">
        <f>"06/23/2017 23:45"</f>
        <v>06/23/2017 23:45</v>
      </c>
    </row>
    <row r="5747" spans="1:10" x14ac:dyDescent="0.3">
      <c r="A5747" t="s">
        <v>6</v>
      </c>
      <c r="B5747" t="str">
        <f>"06/24/2017 00:00"</f>
        <v>06/24/2017 00:00</v>
      </c>
      <c r="C5747">
        <v>352</v>
      </c>
      <c r="D5747" t="s">
        <v>7</v>
      </c>
      <c r="E5747" s="2" t="s">
        <v>12</v>
      </c>
      <c r="F5747">
        <f t="shared" si="89"/>
        <v>698.01600000000008</v>
      </c>
      <c r="G5747" t="s">
        <v>16</v>
      </c>
      <c r="J5747" t="str">
        <f>"06/24/2017 23:45"</f>
        <v>06/24/2017 23:45</v>
      </c>
    </row>
    <row r="5748" spans="1:10" x14ac:dyDescent="0.3">
      <c r="A5748" t="s">
        <v>6</v>
      </c>
      <c r="B5748" t="str">
        <f>"06/25/2017 00:00"</f>
        <v>06/25/2017 00:00</v>
      </c>
      <c r="C5748">
        <v>351</v>
      </c>
      <c r="D5748" t="s">
        <v>7</v>
      </c>
      <c r="E5748" s="2" t="s">
        <v>12</v>
      </c>
      <c r="F5748">
        <f t="shared" si="89"/>
        <v>696.03300000000002</v>
      </c>
      <c r="G5748" t="s">
        <v>16</v>
      </c>
      <c r="J5748" t="str">
        <f>"06/25/2017 23:45"</f>
        <v>06/25/2017 23:45</v>
      </c>
    </row>
    <row r="5749" spans="1:10" x14ac:dyDescent="0.3">
      <c r="A5749" t="s">
        <v>6</v>
      </c>
      <c r="B5749" t="str">
        <f>"06/26/2017 00:00"</f>
        <v>06/26/2017 00:00</v>
      </c>
      <c r="C5749">
        <v>381</v>
      </c>
      <c r="D5749" t="s">
        <v>7</v>
      </c>
      <c r="E5749" s="2" t="s">
        <v>12</v>
      </c>
      <c r="F5749">
        <f t="shared" si="89"/>
        <v>755.52300000000002</v>
      </c>
      <c r="G5749" t="s">
        <v>16</v>
      </c>
      <c r="J5749" t="str">
        <f>"06/26/2017 23:45"</f>
        <v>06/26/2017 23:45</v>
      </c>
    </row>
    <row r="5750" spans="1:10" x14ac:dyDescent="0.3">
      <c r="A5750" t="s">
        <v>6</v>
      </c>
      <c r="B5750" t="str">
        <f>"06/27/2017 00:00"</f>
        <v>06/27/2017 00:00</v>
      </c>
      <c r="C5750">
        <v>401</v>
      </c>
      <c r="D5750" t="s">
        <v>7</v>
      </c>
      <c r="E5750" s="2" t="s">
        <v>12</v>
      </c>
      <c r="F5750">
        <f t="shared" si="89"/>
        <v>795.18299999999999</v>
      </c>
      <c r="G5750" t="s">
        <v>16</v>
      </c>
      <c r="J5750" t="str">
        <f>"06/27/2017 23:45"</f>
        <v>06/27/2017 23:45</v>
      </c>
    </row>
    <row r="5751" spans="1:10" x14ac:dyDescent="0.3">
      <c r="A5751" t="s">
        <v>6</v>
      </c>
      <c r="B5751" t="str">
        <f>"06/28/2017 00:00"</f>
        <v>06/28/2017 00:00</v>
      </c>
      <c r="C5751">
        <v>401</v>
      </c>
      <c r="D5751" t="s">
        <v>7</v>
      </c>
      <c r="E5751" s="2" t="s">
        <v>12</v>
      </c>
      <c r="F5751">
        <f t="shared" si="89"/>
        <v>795.18299999999999</v>
      </c>
      <c r="G5751" t="s">
        <v>16</v>
      </c>
      <c r="J5751" t="str">
        <f>"06/28/2017 23:45"</f>
        <v>06/28/2017 23:45</v>
      </c>
    </row>
    <row r="5752" spans="1:10" x14ac:dyDescent="0.3">
      <c r="A5752" t="s">
        <v>6</v>
      </c>
      <c r="B5752" t="str">
        <f>"06/29/2017 00:00"</f>
        <v>06/29/2017 00:00</v>
      </c>
      <c r="C5752">
        <v>401</v>
      </c>
      <c r="D5752" t="s">
        <v>7</v>
      </c>
      <c r="E5752" s="2" t="s">
        <v>12</v>
      </c>
      <c r="F5752">
        <f t="shared" si="89"/>
        <v>795.18299999999999</v>
      </c>
      <c r="G5752" t="s">
        <v>16</v>
      </c>
      <c r="J5752" t="str">
        <f>"06/29/2017 23:45"</f>
        <v>06/29/2017 23:45</v>
      </c>
    </row>
    <row r="5753" spans="1:10" x14ac:dyDescent="0.3">
      <c r="A5753" t="s">
        <v>6</v>
      </c>
      <c r="B5753" t="str">
        <f>"06/30/2017 00:00"</f>
        <v>06/30/2017 00:00</v>
      </c>
      <c r="C5753">
        <v>400</v>
      </c>
      <c r="D5753" t="s">
        <v>7</v>
      </c>
      <c r="E5753" s="2" t="s">
        <v>12</v>
      </c>
      <c r="F5753">
        <f t="shared" si="89"/>
        <v>793.2</v>
      </c>
      <c r="G5753" t="s">
        <v>16</v>
      </c>
      <c r="J5753" t="str">
        <f>"06/30/2017 23:45"</f>
        <v>06/30/2017 23:45</v>
      </c>
    </row>
    <row r="5754" spans="1:10" x14ac:dyDescent="0.3">
      <c r="A5754" t="s">
        <v>6</v>
      </c>
      <c r="B5754" t="str">
        <f>"07/01/2017 00:00"</f>
        <v>07/01/2017 00:00</v>
      </c>
      <c r="C5754">
        <v>347</v>
      </c>
      <c r="D5754" t="s">
        <v>7</v>
      </c>
      <c r="E5754" s="2" t="s">
        <v>12</v>
      </c>
      <c r="F5754">
        <f t="shared" si="89"/>
        <v>688.101</v>
      </c>
      <c r="G5754" t="s">
        <v>16</v>
      </c>
      <c r="J5754" t="str">
        <f>"07/01/2017 23:45"</f>
        <v>07/01/2017 23:45</v>
      </c>
    </row>
    <row r="5755" spans="1:10" x14ac:dyDescent="0.3">
      <c r="A5755" t="s">
        <v>6</v>
      </c>
      <c r="B5755" t="str">
        <f>"07/02/2017 00:00"</f>
        <v>07/02/2017 00:00</v>
      </c>
      <c r="C5755">
        <v>267</v>
      </c>
      <c r="D5755" t="s">
        <v>7</v>
      </c>
      <c r="E5755" s="2" t="s">
        <v>12</v>
      </c>
      <c r="F5755">
        <f t="shared" si="89"/>
        <v>529.46100000000001</v>
      </c>
      <c r="G5755" t="s">
        <v>16</v>
      </c>
      <c r="J5755" t="str">
        <f>"07/02/2017 23:45"</f>
        <v>07/02/2017 23:45</v>
      </c>
    </row>
    <row r="5756" spans="1:10" x14ac:dyDescent="0.3">
      <c r="A5756" t="s">
        <v>6</v>
      </c>
      <c r="B5756" t="str">
        <f>"07/03/2017 00:00"</f>
        <v>07/03/2017 00:00</v>
      </c>
      <c r="C5756">
        <v>243</v>
      </c>
      <c r="D5756" t="s">
        <v>7</v>
      </c>
      <c r="E5756" s="2" t="s">
        <v>12</v>
      </c>
      <c r="F5756">
        <f t="shared" si="89"/>
        <v>481.86900000000003</v>
      </c>
      <c r="G5756" t="s">
        <v>16</v>
      </c>
      <c r="J5756" t="str">
        <f>"07/03/2017 23:45"</f>
        <v>07/03/2017 23:45</v>
      </c>
    </row>
    <row r="5757" spans="1:10" x14ac:dyDescent="0.3">
      <c r="A5757" t="s">
        <v>6</v>
      </c>
      <c r="B5757" t="str">
        <f>"07/04/2017 00:00"</f>
        <v>07/04/2017 00:00</v>
      </c>
      <c r="C5757">
        <v>243</v>
      </c>
      <c r="D5757" t="s">
        <v>7</v>
      </c>
      <c r="E5757" s="2" t="s">
        <v>12</v>
      </c>
      <c r="F5757">
        <f t="shared" si="89"/>
        <v>481.86900000000003</v>
      </c>
      <c r="G5757" t="s">
        <v>16</v>
      </c>
      <c r="J5757" t="str">
        <f>"07/04/2017 23:45"</f>
        <v>07/04/2017 23:45</v>
      </c>
    </row>
    <row r="5758" spans="1:10" x14ac:dyDescent="0.3">
      <c r="A5758" t="s">
        <v>6</v>
      </c>
      <c r="B5758" t="str">
        <f>"07/05/2017 00:00"</f>
        <v>07/05/2017 00:00</v>
      </c>
      <c r="C5758">
        <v>243</v>
      </c>
      <c r="D5758" t="s">
        <v>7</v>
      </c>
      <c r="E5758" s="2" t="s">
        <v>12</v>
      </c>
      <c r="F5758">
        <f t="shared" si="89"/>
        <v>481.86900000000003</v>
      </c>
      <c r="G5758" t="s">
        <v>16</v>
      </c>
      <c r="J5758" t="str">
        <f>"07/05/2017 23:45"</f>
        <v>07/05/2017 23:45</v>
      </c>
    </row>
    <row r="5759" spans="1:10" x14ac:dyDescent="0.3">
      <c r="A5759" t="s">
        <v>6</v>
      </c>
      <c r="B5759" t="str">
        <f>"07/06/2017 00:00"</f>
        <v>07/06/2017 00:00</v>
      </c>
      <c r="C5759">
        <v>242</v>
      </c>
      <c r="D5759" t="s">
        <v>7</v>
      </c>
      <c r="E5759" s="2" t="s">
        <v>12</v>
      </c>
      <c r="F5759">
        <f t="shared" si="89"/>
        <v>479.88600000000002</v>
      </c>
      <c r="G5759" t="s">
        <v>16</v>
      </c>
      <c r="J5759" t="str">
        <f>"07/06/2017 23:45"</f>
        <v>07/06/2017 23:45</v>
      </c>
    </row>
    <row r="5760" spans="1:10" x14ac:dyDescent="0.3">
      <c r="A5760" t="s">
        <v>6</v>
      </c>
      <c r="B5760" t="str">
        <f>"07/07/2017 00:00"</f>
        <v>07/07/2017 00:00</v>
      </c>
      <c r="C5760">
        <v>242</v>
      </c>
      <c r="D5760" t="s">
        <v>7</v>
      </c>
      <c r="E5760" s="2" t="s">
        <v>12</v>
      </c>
      <c r="F5760">
        <f t="shared" si="89"/>
        <v>479.88600000000002</v>
      </c>
      <c r="G5760" t="s">
        <v>16</v>
      </c>
      <c r="J5760" t="str">
        <f>"07/07/2017 23:45"</f>
        <v>07/07/2017 23:45</v>
      </c>
    </row>
    <row r="5761" spans="1:10" x14ac:dyDescent="0.3">
      <c r="A5761" t="s">
        <v>6</v>
      </c>
      <c r="B5761" t="str">
        <f>"07/08/2017 00:00"</f>
        <v>07/08/2017 00:00</v>
      </c>
      <c r="C5761">
        <v>241</v>
      </c>
      <c r="D5761" t="s">
        <v>7</v>
      </c>
      <c r="E5761" s="2" t="s">
        <v>12</v>
      </c>
      <c r="F5761">
        <f t="shared" si="89"/>
        <v>477.90300000000002</v>
      </c>
      <c r="G5761" t="s">
        <v>16</v>
      </c>
      <c r="J5761" t="str">
        <f>"07/08/2017 23:45"</f>
        <v>07/08/2017 23:45</v>
      </c>
    </row>
    <row r="5762" spans="1:10" x14ac:dyDescent="0.3">
      <c r="A5762" t="s">
        <v>6</v>
      </c>
      <c r="B5762" t="str">
        <f>"07/09/2017 00:00"</f>
        <v>07/09/2017 00:00</v>
      </c>
      <c r="C5762">
        <v>242</v>
      </c>
      <c r="D5762" t="s">
        <v>7</v>
      </c>
      <c r="E5762" s="2" t="s">
        <v>12</v>
      </c>
      <c r="F5762">
        <f t="shared" si="89"/>
        <v>479.88600000000002</v>
      </c>
      <c r="G5762" t="s">
        <v>16</v>
      </c>
      <c r="J5762" t="str">
        <f>"07/09/2017 23:45"</f>
        <v>07/09/2017 23:45</v>
      </c>
    </row>
    <row r="5763" spans="1:10" x14ac:dyDescent="0.3">
      <c r="A5763" t="s">
        <v>6</v>
      </c>
      <c r="B5763" t="str">
        <f>"07/10/2017 00:00"</f>
        <v>07/10/2017 00:00</v>
      </c>
      <c r="C5763">
        <v>270</v>
      </c>
      <c r="D5763" t="s">
        <v>7</v>
      </c>
      <c r="E5763" s="2" t="s">
        <v>12</v>
      </c>
      <c r="F5763">
        <f t="shared" si="89"/>
        <v>535.41000000000008</v>
      </c>
      <c r="G5763" t="s">
        <v>16</v>
      </c>
      <c r="J5763" t="str">
        <f>"07/10/2017 23:45"</f>
        <v>07/10/2017 23:45</v>
      </c>
    </row>
    <row r="5764" spans="1:10" x14ac:dyDescent="0.3">
      <c r="A5764" t="s">
        <v>6</v>
      </c>
      <c r="B5764" t="str">
        <f>"07/11/2017 00:00"</f>
        <v>07/11/2017 00:00</v>
      </c>
      <c r="C5764">
        <v>289</v>
      </c>
      <c r="D5764" t="s">
        <v>7</v>
      </c>
      <c r="E5764" s="2" t="s">
        <v>12</v>
      </c>
      <c r="F5764">
        <f t="shared" ref="F5764:F5827" si="90">C5764*1.983</f>
        <v>573.08699999999999</v>
      </c>
      <c r="G5764" t="s">
        <v>16</v>
      </c>
      <c r="J5764" t="str">
        <f>"07/11/2017 23:45"</f>
        <v>07/11/2017 23:45</v>
      </c>
    </row>
    <row r="5765" spans="1:10" x14ac:dyDescent="0.3">
      <c r="A5765" t="s">
        <v>6</v>
      </c>
      <c r="B5765" t="str">
        <f>"07/12/2017 00:00"</f>
        <v>07/12/2017 00:00</v>
      </c>
      <c r="C5765">
        <v>293</v>
      </c>
      <c r="D5765" t="s">
        <v>7</v>
      </c>
      <c r="E5765" s="2" t="s">
        <v>12</v>
      </c>
      <c r="F5765">
        <f t="shared" si="90"/>
        <v>581.01900000000001</v>
      </c>
      <c r="G5765" t="s">
        <v>16</v>
      </c>
      <c r="J5765" t="str">
        <f>"07/12/2017 23:45"</f>
        <v>07/12/2017 23:45</v>
      </c>
    </row>
    <row r="5766" spans="1:10" x14ac:dyDescent="0.3">
      <c r="A5766" t="s">
        <v>6</v>
      </c>
      <c r="B5766" t="str">
        <f>"07/13/2017 00:00"</f>
        <v>07/13/2017 00:00</v>
      </c>
      <c r="C5766">
        <v>293</v>
      </c>
      <c r="D5766" t="s">
        <v>7</v>
      </c>
      <c r="E5766" s="2" t="s">
        <v>12</v>
      </c>
      <c r="F5766">
        <f t="shared" si="90"/>
        <v>581.01900000000001</v>
      </c>
      <c r="G5766" t="s">
        <v>16</v>
      </c>
      <c r="J5766" t="str">
        <f>"07/13/2017 23:45"</f>
        <v>07/13/2017 23:45</v>
      </c>
    </row>
    <row r="5767" spans="1:10" x14ac:dyDescent="0.3">
      <c r="A5767" t="s">
        <v>6</v>
      </c>
      <c r="B5767" t="str">
        <f>"07/14/2017 00:00"</f>
        <v>07/14/2017 00:00</v>
      </c>
      <c r="C5767">
        <v>293</v>
      </c>
      <c r="D5767" t="s">
        <v>7</v>
      </c>
      <c r="E5767" s="2" t="s">
        <v>12</v>
      </c>
      <c r="F5767">
        <f t="shared" si="90"/>
        <v>581.01900000000001</v>
      </c>
      <c r="G5767" t="s">
        <v>16</v>
      </c>
      <c r="J5767" t="str">
        <f>"07/14/2017 23:45"</f>
        <v>07/14/2017 23:45</v>
      </c>
    </row>
    <row r="5768" spans="1:10" x14ac:dyDescent="0.3">
      <c r="A5768" t="s">
        <v>6</v>
      </c>
      <c r="B5768" t="str">
        <f>"07/15/2017 00:00"</f>
        <v>07/15/2017 00:00</v>
      </c>
      <c r="C5768">
        <v>293</v>
      </c>
      <c r="D5768" t="s">
        <v>7</v>
      </c>
      <c r="E5768" s="2" t="s">
        <v>12</v>
      </c>
      <c r="F5768">
        <f t="shared" si="90"/>
        <v>581.01900000000001</v>
      </c>
      <c r="G5768" t="s">
        <v>16</v>
      </c>
      <c r="J5768" t="str">
        <f>"07/15/2017 23:45"</f>
        <v>07/15/2017 23:45</v>
      </c>
    </row>
    <row r="5769" spans="1:10" x14ac:dyDescent="0.3">
      <c r="A5769" t="s">
        <v>6</v>
      </c>
      <c r="B5769" t="str">
        <f>"07/16/2017 00:00"</f>
        <v>07/16/2017 00:00</v>
      </c>
      <c r="C5769">
        <v>293</v>
      </c>
      <c r="D5769" t="s">
        <v>7</v>
      </c>
      <c r="E5769" s="2" t="s">
        <v>12</v>
      </c>
      <c r="F5769">
        <f t="shared" si="90"/>
        <v>581.01900000000001</v>
      </c>
      <c r="G5769" t="s">
        <v>16</v>
      </c>
      <c r="J5769" t="str">
        <f>"07/16/2017 23:45"</f>
        <v>07/16/2017 23:45</v>
      </c>
    </row>
    <row r="5770" spans="1:10" x14ac:dyDescent="0.3">
      <c r="A5770" t="s">
        <v>6</v>
      </c>
      <c r="B5770" t="str">
        <f>"07/17/2017 00:00"</f>
        <v>07/17/2017 00:00</v>
      </c>
      <c r="C5770">
        <v>293</v>
      </c>
      <c r="D5770" t="s">
        <v>7</v>
      </c>
      <c r="E5770" s="2" t="s">
        <v>12</v>
      </c>
      <c r="F5770">
        <f t="shared" si="90"/>
        <v>581.01900000000001</v>
      </c>
      <c r="G5770" t="s">
        <v>16</v>
      </c>
      <c r="J5770" t="str">
        <f>"07/17/2017 23:45"</f>
        <v>07/17/2017 23:45</v>
      </c>
    </row>
    <row r="5771" spans="1:10" x14ac:dyDescent="0.3">
      <c r="A5771" t="s">
        <v>6</v>
      </c>
      <c r="B5771" t="str">
        <f>"07/18/2017 00:00"</f>
        <v>07/18/2017 00:00</v>
      </c>
      <c r="C5771">
        <v>293</v>
      </c>
      <c r="D5771" t="s">
        <v>7</v>
      </c>
      <c r="E5771" s="2" t="s">
        <v>12</v>
      </c>
      <c r="F5771">
        <f t="shared" si="90"/>
        <v>581.01900000000001</v>
      </c>
      <c r="G5771" t="s">
        <v>16</v>
      </c>
      <c r="J5771" t="str">
        <f>"07/18/2017 23:45"</f>
        <v>07/18/2017 23:45</v>
      </c>
    </row>
    <row r="5772" spans="1:10" x14ac:dyDescent="0.3">
      <c r="A5772" t="s">
        <v>6</v>
      </c>
      <c r="B5772" t="str">
        <f>"07/19/2017 00:00"</f>
        <v>07/19/2017 00:00</v>
      </c>
      <c r="C5772">
        <v>293</v>
      </c>
      <c r="D5772" t="s">
        <v>7</v>
      </c>
      <c r="E5772" s="2" t="s">
        <v>12</v>
      </c>
      <c r="F5772">
        <f t="shared" si="90"/>
        <v>581.01900000000001</v>
      </c>
      <c r="G5772" t="s">
        <v>16</v>
      </c>
      <c r="J5772" t="str">
        <f>"07/19/2017 23:45"</f>
        <v>07/19/2017 23:45</v>
      </c>
    </row>
    <row r="5773" spans="1:10" x14ac:dyDescent="0.3">
      <c r="A5773" t="s">
        <v>6</v>
      </c>
      <c r="B5773" t="str">
        <f>"07/20/2017 00:00"</f>
        <v>07/20/2017 00:00</v>
      </c>
      <c r="C5773">
        <v>293</v>
      </c>
      <c r="D5773" t="s">
        <v>7</v>
      </c>
      <c r="E5773" s="2" t="s">
        <v>12</v>
      </c>
      <c r="F5773">
        <f t="shared" si="90"/>
        <v>581.01900000000001</v>
      </c>
      <c r="G5773" t="s">
        <v>16</v>
      </c>
      <c r="J5773" t="str">
        <f>"07/20/2017 23:45"</f>
        <v>07/20/2017 23:45</v>
      </c>
    </row>
    <row r="5774" spans="1:10" x14ac:dyDescent="0.3">
      <c r="A5774" t="s">
        <v>6</v>
      </c>
      <c r="B5774" t="str">
        <f>"07/21/2017 00:00"</f>
        <v>07/21/2017 00:00</v>
      </c>
      <c r="C5774">
        <v>232</v>
      </c>
      <c r="D5774" t="s">
        <v>7</v>
      </c>
      <c r="E5774" s="2" t="s">
        <v>12</v>
      </c>
      <c r="F5774">
        <f t="shared" si="90"/>
        <v>460.05600000000004</v>
      </c>
      <c r="G5774" t="s">
        <v>16</v>
      </c>
      <c r="J5774" t="str">
        <f>"07/21/2017 23:45"</f>
        <v>07/21/2017 23:45</v>
      </c>
    </row>
    <row r="5775" spans="1:10" x14ac:dyDescent="0.3">
      <c r="A5775" t="s">
        <v>6</v>
      </c>
      <c r="B5775" t="str">
        <f>"07/22/2017 00:00"</f>
        <v>07/22/2017 00:00</v>
      </c>
      <c r="C5775">
        <v>193</v>
      </c>
      <c r="D5775" t="s">
        <v>7</v>
      </c>
      <c r="E5775" s="2" t="s">
        <v>12</v>
      </c>
      <c r="F5775">
        <f t="shared" si="90"/>
        <v>382.71899999999999</v>
      </c>
      <c r="G5775" t="s">
        <v>16</v>
      </c>
      <c r="J5775" t="str">
        <f>"07/22/2017 23:45"</f>
        <v>07/22/2017 23:45</v>
      </c>
    </row>
    <row r="5776" spans="1:10" x14ac:dyDescent="0.3">
      <c r="A5776" t="s">
        <v>6</v>
      </c>
      <c r="B5776" t="str">
        <f>"07/23/2017 00:00"</f>
        <v>07/23/2017 00:00</v>
      </c>
      <c r="C5776">
        <v>219</v>
      </c>
      <c r="D5776" t="s">
        <v>7</v>
      </c>
      <c r="E5776" s="2" t="s">
        <v>12</v>
      </c>
      <c r="F5776">
        <f t="shared" si="90"/>
        <v>434.27700000000004</v>
      </c>
      <c r="G5776" t="s">
        <v>16</v>
      </c>
      <c r="J5776" t="str">
        <f>"07/23/2017 23:45"</f>
        <v>07/23/2017 23:45</v>
      </c>
    </row>
    <row r="5777" spans="1:10" x14ac:dyDescent="0.3">
      <c r="A5777" t="s">
        <v>6</v>
      </c>
      <c r="B5777" t="str">
        <f>"07/24/2017 00:00"</f>
        <v>07/24/2017 00:00</v>
      </c>
      <c r="C5777">
        <v>238</v>
      </c>
      <c r="D5777" t="s">
        <v>7</v>
      </c>
      <c r="E5777" s="2" t="s">
        <v>12</v>
      </c>
      <c r="F5777">
        <f t="shared" si="90"/>
        <v>471.95400000000001</v>
      </c>
      <c r="G5777" t="s">
        <v>16</v>
      </c>
      <c r="J5777" t="str">
        <f>"07/24/2017 23:45"</f>
        <v>07/24/2017 23:45</v>
      </c>
    </row>
    <row r="5778" spans="1:10" x14ac:dyDescent="0.3">
      <c r="A5778" t="s">
        <v>6</v>
      </c>
      <c r="B5778" t="str">
        <f>"07/25/2017 00:00"</f>
        <v>07/25/2017 00:00</v>
      </c>
      <c r="C5778">
        <v>161</v>
      </c>
      <c r="D5778" t="s">
        <v>7</v>
      </c>
      <c r="E5778" s="2" t="s">
        <v>12</v>
      </c>
      <c r="F5778">
        <f t="shared" si="90"/>
        <v>319.26300000000003</v>
      </c>
      <c r="G5778" t="s">
        <v>16</v>
      </c>
      <c r="J5778" t="str">
        <f>"07/25/2017 23:45"</f>
        <v>07/25/2017 23:45</v>
      </c>
    </row>
    <row r="5779" spans="1:10" x14ac:dyDescent="0.3">
      <c r="A5779" t="s">
        <v>6</v>
      </c>
      <c r="B5779" t="str">
        <f>"07/26/2017 00:00"</f>
        <v>07/26/2017 00:00</v>
      </c>
      <c r="C5779">
        <v>138</v>
      </c>
      <c r="D5779" t="s">
        <v>7</v>
      </c>
      <c r="E5779" s="2" t="s">
        <v>12</v>
      </c>
      <c r="F5779">
        <f t="shared" si="90"/>
        <v>273.654</v>
      </c>
      <c r="G5779" t="s">
        <v>16</v>
      </c>
      <c r="J5779" t="str">
        <f>"07/26/2017 23:45"</f>
        <v>07/26/2017 23:45</v>
      </c>
    </row>
    <row r="5780" spans="1:10" x14ac:dyDescent="0.3">
      <c r="A5780" t="s">
        <v>6</v>
      </c>
      <c r="B5780" t="str">
        <f>"07/27/2017 00:00"</f>
        <v>07/27/2017 00:00</v>
      </c>
      <c r="C5780">
        <v>48.3</v>
      </c>
      <c r="D5780" t="s">
        <v>7</v>
      </c>
      <c r="E5780" s="2" t="s">
        <v>12</v>
      </c>
      <c r="F5780">
        <f t="shared" si="90"/>
        <v>95.778899999999993</v>
      </c>
      <c r="G5780" t="s">
        <v>16</v>
      </c>
      <c r="J5780" t="str">
        <f>"07/27/2017 23:45"</f>
        <v>07/27/2017 23:45</v>
      </c>
    </row>
    <row r="5781" spans="1:10" x14ac:dyDescent="0.3">
      <c r="A5781" t="s">
        <v>6</v>
      </c>
      <c r="B5781" t="str">
        <f>"07/28/2017 00:00"</f>
        <v>07/28/2017 00:00</v>
      </c>
      <c r="C5781">
        <v>0.17100000000000001</v>
      </c>
      <c r="D5781" t="s">
        <v>7</v>
      </c>
      <c r="E5781" s="2" t="s">
        <v>12</v>
      </c>
      <c r="F5781">
        <f t="shared" si="90"/>
        <v>0.33909300000000003</v>
      </c>
      <c r="G5781" t="s">
        <v>16</v>
      </c>
      <c r="J5781" t="str">
        <f>"07/28/2017 23:45"</f>
        <v>07/28/2017 23:45</v>
      </c>
    </row>
    <row r="5782" spans="1:10" x14ac:dyDescent="0.3">
      <c r="A5782" t="s">
        <v>6</v>
      </c>
      <c r="B5782" t="str">
        <f>"07/29/2017 00:00"</f>
        <v>07/29/2017 00:00</v>
      </c>
      <c r="C5782">
        <v>0.14599999999999999</v>
      </c>
      <c r="D5782" t="s">
        <v>7</v>
      </c>
      <c r="E5782" s="2" t="s">
        <v>12</v>
      </c>
      <c r="F5782">
        <f t="shared" si="90"/>
        <v>0.289518</v>
      </c>
      <c r="G5782" t="s">
        <v>16</v>
      </c>
      <c r="J5782" t="str">
        <f>"07/29/2017 23:45"</f>
        <v>07/29/2017 23:45</v>
      </c>
    </row>
    <row r="5783" spans="1:10" x14ac:dyDescent="0.3">
      <c r="A5783" t="s">
        <v>6</v>
      </c>
      <c r="B5783" t="str">
        <f>"07/30/2017 00:00"</f>
        <v>07/30/2017 00:00</v>
      </c>
      <c r="C5783">
        <v>0.14599999999999999</v>
      </c>
      <c r="D5783" t="s">
        <v>7</v>
      </c>
      <c r="E5783" s="2" t="s">
        <v>12</v>
      </c>
      <c r="F5783">
        <f t="shared" si="90"/>
        <v>0.289518</v>
      </c>
      <c r="G5783" t="s">
        <v>16</v>
      </c>
      <c r="J5783" t="str">
        <f>"07/30/2017 23:45"</f>
        <v>07/30/2017 23:45</v>
      </c>
    </row>
    <row r="5784" spans="1:10" x14ac:dyDescent="0.3">
      <c r="A5784" t="s">
        <v>6</v>
      </c>
      <c r="B5784" t="str">
        <f>"07/31/2017 00:00"</f>
        <v>07/31/2017 00:00</v>
      </c>
      <c r="C5784">
        <v>0.14599999999999999</v>
      </c>
      <c r="D5784" t="s">
        <v>7</v>
      </c>
      <c r="E5784" s="2" t="s">
        <v>12</v>
      </c>
      <c r="F5784">
        <f t="shared" si="90"/>
        <v>0.289518</v>
      </c>
      <c r="G5784" t="s">
        <v>16</v>
      </c>
      <c r="J5784" t="str">
        <f>"07/31/2017 23:45"</f>
        <v>07/31/2017 23:45</v>
      </c>
    </row>
    <row r="5785" spans="1:10" x14ac:dyDescent="0.3">
      <c r="A5785" t="s">
        <v>6</v>
      </c>
      <c r="B5785" t="str">
        <f>"08/01/2017 00:00"</f>
        <v>08/01/2017 00:00</v>
      </c>
      <c r="C5785">
        <v>0.14599999999999999</v>
      </c>
      <c r="D5785" t="s">
        <v>7</v>
      </c>
      <c r="E5785" s="2" t="s">
        <v>12</v>
      </c>
      <c r="F5785">
        <f t="shared" si="90"/>
        <v>0.289518</v>
      </c>
      <c r="G5785" t="s">
        <v>16</v>
      </c>
      <c r="J5785" t="str">
        <f>"08/01/2017 23:45"</f>
        <v>08/01/2017 23:45</v>
      </c>
    </row>
    <row r="5786" spans="1:10" x14ac:dyDescent="0.3">
      <c r="A5786" t="s">
        <v>6</v>
      </c>
      <c r="B5786" t="str">
        <f>"08/02/2017 00:00"</f>
        <v>08/02/2017 00:00</v>
      </c>
      <c r="C5786">
        <v>0.14599999999999999</v>
      </c>
      <c r="D5786" t="s">
        <v>7</v>
      </c>
      <c r="E5786" s="2" t="s">
        <v>12</v>
      </c>
      <c r="F5786">
        <f t="shared" si="90"/>
        <v>0.289518</v>
      </c>
      <c r="G5786" t="s">
        <v>16</v>
      </c>
      <c r="J5786" t="str">
        <f>"08/02/2017 23:45"</f>
        <v>08/02/2017 23:45</v>
      </c>
    </row>
    <row r="5787" spans="1:10" x14ac:dyDescent="0.3">
      <c r="A5787" t="s">
        <v>6</v>
      </c>
      <c r="B5787" t="str">
        <f>"08/03/2017 00:00"</f>
        <v>08/03/2017 00:00</v>
      </c>
      <c r="C5787">
        <v>0.14599999999999999</v>
      </c>
      <c r="D5787" t="s">
        <v>7</v>
      </c>
      <c r="E5787" s="2" t="s">
        <v>12</v>
      </c>
      <c r="F5787">
        <f t="shared" si="90"/>
        <v>0.289518</v>
      </c>
      <c r="G5787" t="s">
        <v>16</v>
      </c>
      <c r="J5787" t="str">
        <f>"08/03/2017 23:45"</f>
        <v>08/03/2017 23:45</v>
      </c>
    </row>
    <row r="5788" spans="1:10" x14ac:dyDescent="0.3">
      <c r="A5788" t="s">
        <v>6</v>
      </c>
      <c r="B5788" t="str">
        <f>"08/04/2017 00:00"</f>
        <v>08/04/2017 00:00</v>
      </c>
      <c r="C5788">
        <v>0.14599999999999999</v>
      </c>
      <c r="D5788" t="s">
        <v>7</v>
      </c>
      <c r="E5788" s="2" t="s">
        <v>12</v>
      </c>
      <c r="F5788">
        <f t="shared" si="90"/>
        <v>0.289518</v>
      </c>
      <c r="G5788" t="s">
        <v>16</v>
      </c>
      <c r="J5788" t="str">
        <f>"08/04/2017 23:45"</f>
        <v>08/04/2017 23:45</v>
      </c>
    </row>
    <row r="5789" spans="1:10" x14ac:dyDescent="0.3">
      <c r="A5789" t="s">
        <v>6</v>
      </c>
      <c r="B5789" t="str">
        <f>"08/05/2017 00:00"</f>
        <v>08/05/2017 00:00</v>
      </c>
      <c r="C5789">
        <v>0.14599999999999999</v>
      </c>
      <c r="D5789" t="s">
        <v>7</v>
      </c>
      <c r="E5789" s="2" t="s">
        <v>12</v>
      </c>
      <c r="F5789">
        <f t="shared" si="90"/>
        <v>0.289518</v>
      </c>
      <c r="G5789" t="s">
        <v>16</v>
      </c>
      <c r="J5789" t="str">
        <f>"08/05/2017 23:45"</f>
        <v>08/05/2017 23:45</v>
      </c>
    </row>
    <row r="5790" spans="1:10" x14ac:dyDescent="0.3">
      <c r="A5790" t="s">
        <v>6</v>
      </c>
      <c r="B5790" t="str">
        <f>"08/06/2017 00:00"</f>
        <v>08/06/2017 00:00</v>
      </c>
      <c r="C5790">
        <v>0.14599999999999999</v>
      </c>
      <c r="D5790" t="s">
        <v>7</v>
      </c>
      <c r="E5790" s="2" t="s">
        <v>12</v>
      </c>
      <c r="F5790">
        <f t="shared" si="90"/>
        <v>0.289518</v>
      </c>
      <c r="G5790" t="s">
        <v>16</v>
      </c>
      <c r="J5790" t="str">
        <f>"08/06/2017 23:45"</f>
        <v>08/06/2017 23:45</v>
      </c>
    </row>
    <row r="5791" spans="1:10" x14ac:dyDescent="0.3">
      <c r="A5791" t="s">
        <v>6</v>
      </c>
      <c r="B5791" t="str">
        <f>"08/07/2017 00:00"</f>
        <v>08/07/2017 00:00</v>
      </c>
      <c r="C5791">
        <v>0.14599999999999999</v>
      </c>
      <c r="D5791" t="s">
        <v>7</v>
      </c>
      <c r="E5791" s="2" t="s">
        <v>12</v>
      </c>
      <c r="F5791">
        <f t="shared" si="90"/>
        <v>0.289518</v>
      </c>
      <c r="G5791" t="s">
        <v>16</v>
      </c>
      <c r="J5791" t="str">
        <f>"08/07/2017 23:45"</f>
        <v>08/07/2017 23:45</v>
      </c>
    </row>
    <row r="5792" spans="1:10" x14ac:dyDescent="0.3">
      <c r="A5792" t="s">
        <v>6</v>
      </c>
      <c r="B5792" t="str">
        <f>"08/08/2017 00:00"</f>
        <v>08/08/2017 00:00</v>
      </c>
      <c r="C5792">
        <v>0.14599999999999999</v>
      </c>
      <c r="D5792" t="s">
        <v>7</v>
      </c>
      <c r="E5792" s="2" t="s">
        <v>12</v>
      </c>
      <c r="F5792">
        <f t="shared" si="90"/>
        <v>0.289518</v>
      </c>
      <c r="G5792" t="s">
        <v>16</v>
      </c>
      <c r="J5792" t="str">
        <f>"08/08/2017 23:45"</f>
        <v>08/08/2017 23:45</v>
      </c>
    </row>
    <row r="5793" spans="1:10" x14ac:dyDescent="0.3">
      <c r="A5793" t="s">
        <v>6</v>
      </c>
      <c r="B5793" t="str">
        <f>"08/09/2017 00:00"</f>
        <v>08/09/2017 00:00</v>
      </c>
      <c r="C5793">
        <v>0.14599999999999999</v>
      </c>
      <c r="D5793" t="s">
        <v>7</v>
      </c>
      <c r="E5793" s="2" t="s">
        <v>12</v>
      </c>
      <c r="F5793">
        <f t="shared" si="90"/>
        <v>0.289518</v>
      </c>
      <c r="G5793" t="s">
        <v>16</v>
      </c>
      <c r="J5793" t="str">
        <f>"08/09/2017 23:45"</f>
        <v>08/09/2017 23:45</v>
      </c>
    </row>
    <row r="5794" spans="1:10" x14ac:dyDescent="0.3">
      <c r="A5794" t="s">
        <v>6</v>
      </c>
      <c r="B5794" t="str">
        <f>"08/10/2017 00:00"</f>
        <v>08/10/2017 00:00</v>
      </c>
      <c r="C5794">
        <v>0.14599999999999999</v>
      </c>
      <c r="D5794" t="s">
        <v>7</v>
      </c>
      <c r="E5794" s="2" t="s">
        <v>12</v>
      </c>
      <c r="F5794">
        <f t="shared" si="90"/>
        <v>0.289518</v>
      </c>
      <c r="G5794" t="s">
        <v>16</v>
      </c>
      <c r="J5794" t="str">
        <f>"08/10/2017 23:45"</f>
        <v>08/10/2017 23:45</v>
      </c>
    </row>
    <row r="5795" spans="1:10" x14ac:dyDescent="0.3">
      <c r="A5795" t="s">
        <v>6</v>
      </c>
      <c r="B5795" t="str">
        <f>"08/11/2017 00:00"</f>
        <v>08/11/2017 00:00</v>
      </c>
      <c r="C5795">
        <v>0.14599999999999999</v>
      </c>
      <c r="D5795" t="s">
        <v>7</v>
      </c>
      <c r="E5795" s="2" t="s">
        <v>12</v>
      </c>
      <c r="F5795">
        <f t="shared" si="90"/>
        <v>0.289518</v>
      </c>
      <c r="G5795" t="s">
        <v>16</v>
      </c>
      <c r="J5795" t="str">
        <f>"08/11/2017 23:45"</f>
        <v>08/11/2017 23:45</v>
      </c>
    </row>
    <row r="5796" spans="1:10" x14ac:dyDescent="0.3">
      <c r="A5796" t="s">
        <v>6</v>
      </c>
      <c r="B5796" t="str">
        <f>"08/12/2017 00:00"</f>
        <v>08/12/2017 00:00</v>
      </c>
      <c r="C5796">
        <v>0.14599999999999999</v>
      </c>
      <c r="D5796" t="s">
        <v>7</v>
      </c>
      <c r="E5796" s="2" t="s">
        <v>12</v>
      </c>
      <c r="F5796">
        <f t="shared" si="90"/>
        <v>0.289518</v>
      </c>
      <c r="G5796" t="s">
        <v>16</v>
      </c>
      <c r="J5796" t="str">
        <f>"08/12/2017 23:45"</f>
        <v>08/12/2017 23:45</v>
      </c>
    </row>
    <row r="5797" spans="1:10" x14ac:dyDescent="0.3">
      <c r="A5797" t="s">
        <v>6</v>
      </c>
      <c r="B5797" t="str">
        <f>"08/13/2017 00:00"</f>
        <v>08/13/2017 00:00</v>
      </c>
      <c r="C5797">
        <v>5.5100000000000003E-2</v>
      </c>
      <c r="D5797" t="s">
        <v>7</v>
      </c>
      <c r="E5797" s="2" t="s">
        <v>12</v>
      </c>
      <c r="F5797">
        <f t="shared" si="90"/>
        <v>0.10926330000000001</v>
      </c>
      <c r="G5797" t="s">
        <v>16</v>
      </c>
      <c r="J5797" t="str">
        <f>"08/13/2017 23:45"</f>
        <v>08/13/2017 23:45</v>
      </c>
    </row>
    <row r="5798" spans="1:10" x14ac:dyDescent="0.3">
      <c r="A5798" t="s">
        <v>6</v>
      </c>
      <c r="B5798" t="str">
        <f>"08/14/2017 00:00"</f>
        <v>08/14/2017 00:00</v>
      </c>
      <c r="C5798">
        <v>4.8000000000000001E-2</v>
      </c>
      <c r="D5798" t="s">
        <v>7</v>
      </c>
      <c r="E5798" s="2" t="s">
        <v>12</v>
      </c>
      <c r="F5798">
        <f t="shared" si="90"/>
        <v>9.5184000000000005E-2</v>
      </c>
      <c r="G5798" t="s">
        <v>16</v>
      </c>
      <c r="J5798" t="str">
        <f>"08/14/2017 23:45"</f>
        <v>08/14/2017 23:45</v>
      </c>
    </row>
    <row r="5799" spans="1:10" x14ac:dyDescent="0.3">
      <c r="A5799" t="s">
        <v>6</v>
      </c>
      <c r="B5799" t="str">
        <f>"08/15/2017 00:00"</f>
        <v>08/15/2017 00:00</v>
      </c>
      <c r="C5799">
        <v>45.9</v>
      </c>
      <c r="D5799" t="s">
        <v>7</v>
      </c>
      <c r="E5799" s="2" t="s">
        <v>12</v>
      </c>
      <c r="F5799">
        <f t="shared" si="90"/>
        <v>91.0197</v>
      </c>
      <c r="G5799" t="s">
        <v>16</v>
      </c>
      <c r="J5799" t="str">
        <f>"08/15/2017 23:45"</f>
        <v>08/15/2017 23:45</v>
      </c>
    </row>
    <row r="5800" spans="1:10" x14ac:dyDescent="0.3">
      <c r="A5800" t="s">
        <v>6</v>
      </c>
      <c r="B5800" t="str">
        <f>"08/16/2017 00:00"</f>
        <v>08/16/2017 00:00</v>
      </c>
      <c r="C5800">
        <v>152</v>
      </c>
      <c r="D5800" t="s">
        <v>7</v>
      </c>
      <c r="E5800" s="2" t="s">
        <v>12</v>
      </c>
      <c r="F5800">
        <f t="shared" si="90"/>
        <v>301.416</v>
      </c>
      <c r="G5800" t="s">
        <v>16</v>
      </c>
      <c r="J5800" t="str">
        <f>"08/16/2017 23:45"</f>
        <v>08/16/2017 23:45</v>
      </c>
    </row>
    <row r="5801" spans="1:10" x14ac:dyDescent="0.3">
      <c r="A5801" t="s">
        <v>6</v>
      </c>
      <c r="B5801" t="str">
        <f>"08/17/2017 00:00"</f>
        <v>08/17/2017 00:00</v>
      </c>
      <c r="C5801">
        <v>146</v>
      </c>
      <c r="D5801" t="s">
        <v>7</v>
      </c>
      <c r="E5801" s="2" t="s">
        <v>12</v>
      </c>
      <c r="F5801">
        <f t="shared" si="90"/>
        <v>289.51800000000003</v>
      </c>
      <c r="G5801" t="s">
        <v>16</v>
      </c>
      <c r="J5801" t="str">
        <f>"08/17/2017 23:45"</f>
        <v>08/17/2017 23:45</v>
      </c>
    </row>
    <row r="5802" spans="1:10" x14ac:dyDescent="0.3">
      <c r="A5802" t="s">
        <v>6</v>
      </c>
      <c r="B5802" t="str">
        <f>"08/18/2017 00:00"</f>
        <v>08/18/2017 00:00</v>
      </c>
      <c r="C5802">
        <v>148</v>
      </c>
      <c r="D5802" t="s">
        <v>7</v>
      </c>
      <c r="E5802" s="2" t="s">
        <v>12</v>
      </c>
      <c r="F5802">
        <f t="shared" si="90"/>
        <v>293.48400000000004</v>
      </c>
      <c r="G5802" t="s">
        <v>16</v>
      </c>
      <c r="J5802" t="str">
        <f>"08/18/2017 23:45"</f>
        <v>08/18/2017 23:45</v>
      </c>
    </row>
    <row r="5803" spans="1:10" x14ac:dyDescent="0.3">
      <c r="A5803" t="s">
        <v>6</v>
      </c>
      <c r="B5803" t="str">
        <f>"08/19/2017 00:00"</f>
        <v>08/19/2017 00:00</v>
      </c>
      <c r="C5803">
        <v>182</v>
      </c>
      <c r="D5803" t="s">
        <v>7</v>
      </c>
      <c r="E5803" s="2" t="s">
        <v>12</v>
      </c>
      <c r="F5803">
        <f t="shared" si="90"/>
        <v>360.90600000000001</v>
      </c>
      <c r="G5803" t="s">
        <v>16</v>
      </c>
      <c r="J5803" t="str">
        <f>"08/19/2017 23:45"</f>
        <v>08/19/2017 23:45</v>
      </c>
    </row>
    <row r="5804" spans="1:10" x14ac:dyDescent="0.3">
      <c r="A5804" t="s">
        <v>6</v>
      </c>
      <c r="B5804" t="str">
        <f>"08/20/2017 00:00"</f>
        <v>08/20/2017 00:00</v>
      </c>
      <c r="C5804">
        <v>201</v>
      </c>
      <c r="D5804" t="s">
        <v>7</v>
      </c>
      <c r="E5804" s="2" t="s">
        <v>12</v>
      </c>
      <c r="F5804">
        <f t="shared" si="90"/>
        <v>398.58300000000003</v>
      </c>
      <c r="G5804" t="s">
        <v>16</v>
      </c>
      <c r="J5804" t="str">
        <f>"08/20/2017 23:45"</f>
        <v>08/20/2017 23:45</v>
      </c>
    </row>
    <row r="5805" spans="1:10" x14ac:dyDescent="0.3">
      <c r="A5805" t="s">
        <v>6</v>
      </c>
      <c r="B5805" t="str">
        <f>"08/21/2017 00:00"</f>
        <v>08/21/2017 00:00</v>
      </c>
      <c r="C5805">
        <v>244</v>
      </c>
      <c r="D5805" t="s">
        <v>7</v>
      </c>
      <c r="E5805" s="2" t="s">
        <v>12</v>
      </c>
      <c r="F5805">
        <f t="shared" si="90"/>
        <v>483.85200000000003</v>
      </c>
      <c r="G5805" t="s">
        <v>16</v>
      </c>
      <c r="J5805" t="str">
        <f>"08/21/2017 23:45"</f>
        <v>08/21/2017 23:45</v>
      </c>
    </row>
    <row r="5806" spans="1:10" x14ac:dyDescent="0.3">
      <c r="A5806" t="s">
        <v>6</v>
      </c>
      <c r="B5806" t="str">
        <f>"08/22/2017 00:00"</f>
        <v>08/22/2017 00:00</v>
      </c>
      <c r="C5806">
        <v>274</v>
      </c>
      <c r="D5806" t="s">
        <v>7</v>
      </c>
      <c r="E5806" s="2" t="s">
        <v>12</v>
      </c>
      <c r="F5806">
        <f t="shared" si="90"/>
        <v>543.34199999999998</v>
      </c>
      <c r="G5806" t="s">
        <v>16</v>
      </c>
      <c r="J5806" t="str">
        <f>"08/22/2017 23:45"</f>
        <v>08/22/2017 23:45</v>
      </c>
    </row>
    <row r="5807" spans="1:10" x14ac:dyDescent="0.3">
      <c r="A5807" t="s">
        <v>6</v>
      </c>
      <c r="B5807" t="str">
        <f>"08/23/2017 00:00"</f>
        <v>08/23/2017 00:00</v>
      </c>
      <c r="C5807">
        <v>274</v>
      </c>
      <c r="D5807" t="s">
        <v>7</v>
      </c>
      <c r="E5807" s="2" t="s">
        <v>12</v>
      </c>
      <c r="F5807">
        <f t="shared" si="90"/>
        <v>543.34199999999998</v>
      </c>
      <c r="G5807" t="s">
        <v>16</v>
      </c>
      <c r="J5807" t="str">
        <f>"08/23/2017 23:45"</f>
        <v>08/23/2017 23:45</v>
      </c>
    </row>
    <row r="5808" spans="1:10" x14ac:dyDescent="0.3">
      <c r="A5808" t="s">
        <v>6</v>
      </c>
      <c r="B5808" t="str">
        <f>"08/24/2017 00:00"</f>
        <v>08/24/2017 00:00</v>
      </c>
      <c r="C5808">
        <v>274</v>
      </c>
      <c r="D5808" t="s">
        <v>7</v>
      </c>
      <c r="E5808" s="2" t="s">
        <v>12</v>
      </c>
      <c r="F5808">
        <f t="shared" si="90"/>
        <v>543.34199999999998</v>
      </c>
      <c r="G5808" t="s">
        <v>16</v>
      </c>
      <c r="J5808" t="str">
        <f>"08/24/2017 23:45"</f>
        <v>08/24/2017 23:45</v>
      </c>
    </row>
    <row r="5809" spans="1:10" x14ac:dyDescent="0.3">
      <c r="A5809" t="s">
        <v>6</v>
      </c>
      <c r="B5809" t="str">
        <f>"08/25/2017 00:00"</f>
        <v>08/25/2017 00:00</v>
      </c>
      <c r="C5809">
        <v>233</v>
      </c>
      <c r="D5809" t="s">
        <v>7</v>
      </c>
      <c r="E5809" s="2" t="s">
        <v>12</v>
      </c>
      <c r="F5809">
        <f t="shared" si="90"/>
        <v>462.03900000000004</v>
      </c>
      <c r="G5809" t="s">
        <v>16</v>
      </c>
      <c r="J5809" t="str">
        <f>"08/25/2017 23:45"</f>
        <v>08/25/2017 23:45</v>
      </c>
    </row>
    <row r="5810" spans="1:10" x14ac:dyDescent="0.3">
      <c r="A5810" t="s">
        <v>6</v>
      </c>
      <c r="B5810" t="str">
        <f>"08/26/2017 00:00"</f>
        <v>08/26/2017 00:00</v>
      </c>
      <c r="C5810">
        <v>176</v>
      </c>
      <c r="D5810" t="s">
        <v>7</v>
      </c>
      <c r="E5810" s="2" t="s">
        <v>12</v>
      </c>
      <c r="F5810">
        <f t="shared" si="90"/>
        <v>349.00800000000004</v>
      </c>
      <c r="G5810" t="s">
        <v>16</v>
      </c>
      <c r="J5810" t="str">
        <f>"08/26/2017 23:45"</f>
        <v>08/26/2017 23:45</v>
      </c>
    </row>
    <row r="5811" spans="1:10" x14ac:dyDescent="0.3">
      <c r="A5811" t="s">
        <v>6</v>
      </c>
      <c r="B5811" t="str">
        <f>"08/27/2017 00:00"</f>
        <v>08/27/2017 00:00</v>
      </c>
      <c r="C5811">
        <v>217</v>
      </c>
      <c r="D5811" t="s">
        <v>7</v>
      </c>
      <c r="E5811" s="2" t="s">
        <v>12</v>
      </c>
      <c r="F5811">
        <f t="shared" si="90"/>
        <v>430.31100000000004</v>
      </c>
      <c r="G5811" t="s">
        <v>16</v>
      </c>
      <c r="J5811" t="str">
        <f>"08/27/2017 23:45"</f>
        <v>08/27/2017 23:45</v>
      </c>
    </row>
    <row r="5812" spans="1:10" x14ac:dyDescent="0.3">
      <c r="A5812" t="s">
        <v>6</v>
      </c>
      <c r="B5812" t="str">
        <f>"08/28/2017 00:00"</f>
        <v>08/28/2017 00:00</v>
      </c>
      <c r="C5812">
        <v>248</v>
      </c>
      <c r="D5812" t="s">
        <v>7</v>
      </c>
      <c r="E5812" s="2" t="s">
        <v>12</v>
      </c>
      <c r="F5812">
        <f t="shared" si="90"/>
        <v>491.78400000000005</v>
      </c>
      <c r="G5812" t="s">
        <v>16</v>
      </c>
      <c r="J5812" t="str">
        <f>"08/28/2017 23:45"</f>
        <v>08/28/2017 23:45</v>
      </c>
    </row>
    <row r="5813" spans="1:10" x14ac:dyDescent="0.3">
      <c r="A5813" t="s">
        <v>6</v>
      </c>
      <c r="B5813" t="str">
        <f>"08/29/2017 00:00"</f>
        <v>08/29/2017 00:00</v>
      </c>
      <c r="C5813">
        <v>247</v>
      </c>
      <c r="D5813" t="s">
        <v>7</v>
      </c>
      <c r="E5813" s="2" t="s">
        <v>12</v>
      </c>
      <c r="F5813">
        <f t="shared" si="90"/>
        <v>489.80100000000004</v>
      </c>
      <c r="G5813" t="s">
        <v>16</v>
      </c>
      <c r="J5813" t="str">
        <f>"08/29/2017 23:45"</f>
        <v>08/29/2017 23:45</v>
      </c>
    </row>
    <row r="5814" spans="1:10" x14ac:dyDescent="0.3">
      <c r="A5814" t="s">
        <v>6</v>
      </c>
      <c r="B5814" t="str">
        <f>"08/30/2017 00:00"</f>
        <v>08/30/2017 00:00</v>
      </c>
      <c r="C5814">
        <v>267</v>
      </c>
      <c r="D5814" t="s">
        <v>7</v>
      </c>
      <c r="E5814" s="2" t="s">
        <v>12</v>
      </c>
      <c r="F5814">
        <f t="shared" si="90"/>
        <v>529.46100000000001</v>
      </c>
      <c r="G5814" t="s">
        <v>16</v>
      </c>
      <c r="J5814" t="str">
        <f>"08/30/2017 23:45"</f>
        <v>08/30/2017 23:45</v>
      </c>
    </row>
    <row r="5815" spans="1:10" x14ac:dyDescent="0.3">
      <c r="A5815" t="s">
        <v>6</v>
      </c>
      <c r="B5815" t="str">
        <f>"08/31/2017 00:00"</f>
        <v>08/31/2017 00:00</v>
      </c>
      <c r="C5815">
        <v>278</v>
      </c>
      <c r="D5815" t="s">
        <v>7</v>
      </c>
      <c r="E5815" s="2" t="s">
        <v>12</v>
      </c>
      <c r="F5815">
        <f t="shared" si="90"/>
        <v>551.274</v>
      </c>
      <c r="G5815" t="s">
        <v>16</v>
      </c>
      <c r="J5815" t="str">
        <f>"08/31/2017 23:45"</f>
        <v>08/31/2017 23:45</v>
      </c>
    </row>
    <row r="5816" spans="1:10" x14ac:dyDescent="0.3">
      <c r="A5816" t="s">
        <v>6</v>
      </c>
      <c r="B5816" t="str">
        <f>"09/01/2017 00:00"</f>
        <v>09/01/2017 00:00</v>
      </c>
      <c r="C5816">
        <v>281</v>
      </c>
      <c r="D5816" t="s">
        <v>7</v>
      </c>
      <c r="E5816" s="2" t="s">
        <v>12</v>
      </c>
      <c r="F5816">
        <f t="shared" si="90"/>
        <v>557.22300000000007</v>
      </c>
      <c r="G5816" t="s">
        <v>16</v>
      </c>
      <c r="J5816" t="str">
        <f>"09/01/2017 23:45"</f>
        <v>09/01/2017 23:45</v>
      </c>
    </row>
    <row r="5817" spans="1:10" x14ac:dyDescent="0.3">
      <c r="A5817" t="s">
        <v>6</v>
      </c>
      <c r="B5817" t="str">
        <f>"09/02/2017 00:00"</f>
        <v>09/02/2017 00:00</v>
      </c>
      <c r="C5817">
        <v>281</v>
      </c>
      <c r="D5817" t="s">
        <v>7</v>
      </c>
      <c r="E5817" s="2" t="s">
        <v>12</v>
      </c>
      <c r="F5817">
        <f t="shared" si="90"/>
        <v>557.22300000000007</v>
      </c>
      <c r="G5817" t="s">
        <v>16</v>
      </c>
      <c r="J5817" t="str">
        <f>"09/02/2017 23:45"</f>
        <v>09/02/2017 23:45</v>
      </c>
    </row>
    <row r="5818" spans="1:10" x14ac:dyDescent="0.3">
      <c r="A5818" t="s">
        <v>6</v>
      </c>
      <c r="B5818" t="str">
        <f>"09/03/2017 00:00"</f>
        <v>09/03/2017 00:00</v>
      </c>
      <c r="C5818">
        <v>281</v>
      </c>
      <c r="D5818" t="s">
        <v>7</v>
      </c>
      <c r="E5818" s="2" t="s">
        <v>12</v>
      </c>
      <c r="F5818">
        <f t="shared" si="90"/>
        <v>557.22300000000007</v>
      </c>
      <c r="G5818" t="s">
        <v>16</v>
      </c>
      <c r="J5818" t="str">
        <f>"09/03/2017 23:45"</f>
        <v>09/03/2017 23:45</v>
      </c>
    </row>
    <row r="5819" spans="1:10" x14ac:dyDescent="0.3">
      <c r="A5819" t="s">
        <v>6</v>
      </c>
      <c r="B5819" t="str">
        <f>"09/04/2017 00:00"</f>
        <v>09/04/2017 00:00</v>
      </c>
      <c r="C5819">
        <v>281</v>
      </c>
      <c r="D5819" t="s">
        <v>7</v>
      </c>
      <c r="E5819" s="2" t="s">
        <v>12</v>
      </c>
      <c r="F5819">
        <f t="shared" si="90"/>
        <v>557.22300000000007</v>
      </c>
      <c r="G5819" t="s">
        <v>16</v>
      </c>
      <c r="J5819" t="str">
        <f>"09/04/2017 23:45"</f>
        <v>09/04/2017 23:45</v>
      </c>
    </row>
    <row r="5820" spans="1:10" x14ac:dyDescent="0.3">
      <c r="A5820" t="s">
        <v>6</v>
      </c>
      <c r="B5820" t="str">
        <f>"09/05/2017 00:00"</f>
        <v>09/05/2017 00:00</v>
      </c>
      <c r="C5820">
        <v>280</v>
      </c>
      <c r="D5820" t="s">
        <v>7</v>
      </c>
      <c r="E5820" s="2" t="s">
        <v>12</v>
      </c>
      <c r="F5820">
        <f t="shared" si="90"/>
        <v>555.24</v>
      </c>
      <c r="G5820" t="s">
        <v>16</v>
      </c>
      <c r="J5820" t="str">
        <f>"09/05/2017 23:45"</f>
        <v>09/05/2017 23:45</v>
      </c>
    </row>
    <row r="5821" spans="1:10" x14ac:dyDescent="0.3">
      <c r="A5821" t="s">
        <v>6</v>
      </c>
      <c r="B5821" t="str">
        <f>"09/06/2017 00:00"</f>
        <v>09/06/2017 00:00</v>
      </c>
      <c r="C5821">
        <v>279</v>
      </c>
      <c r="D5821" t="s">
        <v>7</v>
      </c>
      <c r="E5821" s="2" t="s">
        <v>12</v>
      </c>
      <c r="F5821">
        <f t="shared" si="90"/>
        <v>553.25700000000006</v>
      </c>
      <c r="G5821" t="s">
        <v>16</v>
      </c>
      <c r="J5821" t="str">
        <f>"09/06/2017 23:45"</f>
        <v>09/06/2017 23:45</v>
      </c>
    </row>
    <row r="5822" spans="1:10" x14ac:dyDescent="0.3">
      <c r="A5822" t="s">
        <v>6</v>
      </c>
      <c r="B5822" t="str">
        <f>"09/07/2017 00:00"</f>
        <v>09/07/2017 00:00</v>
      </c>
      <c r="C5822">
        <v>279</v>
      </c>
      <c r="D5822" t="s">
        <v>7</v>
      </c>
      <c r="E5822" s="2" t="s">
        <v>12</v>
      </c>
      <c r="F5822">
        <f t="shared" si="90"/>
        <v>553.25700000000006</v>
      </c>
      <c r="G5822" t="s">
        <v>16</v>
      </c>
      <c r="J5822" t="str">
        <f>"09/07/2017 23:45"</f>
        <v>09/07/2017 23:45</v>
      </c>
    </row>
    <row r="5823" spans="1:10" x14ac:dyDescent="0.3">
      <c r="A5823" t="s">
        <v>6</v>
      </c>
      <c r="B5823" t="str">
        <f>"09/08/2017 00:00"</f>
        <v>09/08/2017 00:00</v>
      </c>
      <c r="C5823">
        <v>249</v>
      </c>
      <c r="D5823" t="s">
        <v>7</v>
      </c>
      <c r="E5823" s="2" t="s">
        <v>12</v>
      </c>
      <c r="F5823">
        <f t="shared" si="90"/>
        <v>493.767</v>
      </c>
      <c r="G5823" t="s">
        <v>16</v>
      </c>
      <c r="J5823" t="str">
        <f>"09/08/2017 23:45"</f>
        <v>09/08/2017 23:45</v>
      </c>
    </row>
    <row r="5824" spans="1:10" x14ac:dyDescent="0.3">
      <c r="A5824" t="s">
        <v>6</v>
      </c>
      <c r="B5824" t="str">
        <f>"09/09/2017 00:00"</f>
        <v>09/09/2017 00:00</v>
      </c>
      <c r="C5824">
        <v>218</v>
      </c>
      <c r="D5824" t="s">
        <v>7</v>
      </c>
      <c r="E5824" s="2" t="s">
        <v>12</v>
      </c>
      <c r="F5824">
        <f t="shared" si="90"/>
        <v>432.29400000000004</v>
      </c>
      <c r="G5824" t="s">
        <v>16</v>
      </c>
      <c r="J5824" t="str">
        <f>"09/09/2017 23:45"</f>
        <v>09/09/2017 23:45</v>
      </c>
    </row>
    <row r="5825" spans="1:10" x14ac:dyDescent="0.3">
      <c r="A5825" t="s">
        <v>6</v>
      </c>
      <c r="B5825" t="str">
        <f>"09/10/2017 00:00"</f>
        <v>09/10/2017 00:00</v>
      </c>
      <c r="C5825">
        <v>218</v>
      </c>
      <c r="D5825" t="s">
        <v>7</v>
      </c>
      <c r="E5825" s="2" t="s">
        <v>12</v>
      </c>
      <c r="F5825">
        <f t="shared" si="90"/>
        <v>432.29400000000004</v>
      </c>
      <c r="G5825" t="s">
        <v>16</v>
      </c>
      <c r="J5825" t="str">
        <f>"09/10/2017 23:45"</f>
        <v>09/10/2017 23:45</v>
      </c>
    </row>
    <row r="5826" spans="1:10" x14ac:dyDescent="0.3">
      <c r="A5826" t="s">
        <v>6</v>
      </c>
      <c r="B5826" t="str">
        <f>"09/11/2017 00:00"</f>
        <v>09/11/2017 00:00</v>
      </c>
      <c r="C5826">
        <v>218</v>
      </c>
      <c r="D5826" t="s">
        <v>7</v>
      </c>
      <c r="E5826" s="2" t="s">
        <v>12</v>
      </c>
      <c r="F5826">
        <f t="shared" si="90"/>
        <v>432.29400000000004</v>
      </c>
      <c r="G5826" t="s">
        <v>16</v>
      </c>
      <c r="J5826" t="str">
        <f>"09/11/2017 23:45"</f>
        <v>09/11/2017 23:45</v>
      </c>
    </row>
    <row r="5827" spans="1:10" x14ac:dyDescent="0.3">
      <c r="A5827" t="s">
        <v>6</v>
      </c>
      <c r="B5827" t="str">
        <f>"09/12/2017 00:00"</f>
        <v>09/12/2017 00:00</v>
      </c>
      <c r="C5827">
        <v>218</v>
      </c>
      <c r="D5827" t="s">
        <v>7</v>
      </c>
      <c r="E5827" s="2" t="s">
        <v>12</v>
      </c>
      <c r="F5827">
        <f t="shared" si="90"/>
        <v>432.29400000000004</v>
      </c>
      <c r="G5827" t="s">
        <v>16</v>
      </c>
      <c r="J5827" t="str">
        <f>"09/12/2017 23:45"</f>
        <v>09/12/2017 23:45</v>
      </c>
    </row>
    <row r="5828" spans="1:10" x14ac:dyDescent="0.3">
      <c r="A5828" t="s">
        <v>6</v>
      </c>
      <c r="B5828" t="str">
        <f>"09/13/2017 00:00"</f>
        <v>09/13/2017 00:00</v>
      </c>
      <c r="C5828">
        <v>217</v>
      </c>
      <c r="D5828" t="s">
        <v>7</v>
      </c>
      <c r="E5828" s="2" t="s">
        <v>12</v>
      </c>
      <c r="F5828">
        <f t="shared" ref="F5828:F5891" si="91">C5828*1.983</f>
        <v>430.31100000000004</v>
      </c>
      <c r="G5828" t="s">
        <v>16</v>
      </c>
      <c r="J5828" t="str">
        <f>"09/13/2017 23:45"</f>
        <v>09/13/2017 23:45</v>
      </c>
    </row>
    <row r="5829" spans="1:10" x14ac:dyDescent="0.3">
      <c r="A5829" t="s">
        <v>6</v>
      </c>
      <c r="B5829" t="str">
        <f>"09/14/2017 00:00"</f>
        <v>09/14/2017 00:00</v>
      </c>
      <c r="C5829">
        <v>218</v>
      </c>
      <c r="D5829" t="s">
        <v>7</v>
      </c>
      <c r="E5829" s="2" t="s">
        <v>12</v>
      </c>
      <c r="F5829">
        <f t="shared" si="91"/>
        <v>432.29400000000004</v>
      </c>
      <c r="G5829" t="s">
        <v>16</v>
      </c>
      <c r="J5829" t="str">
        <f>"09/14/2017 23:45"</f>
        <v>09/14/2017 23:45</v>
      </c>
    </row>
    <row r="5830" spans="1:10" x14ac:dyDescent="0.3">
      <c r="A5830" t="s">
        <v>6</v>
      </c>
      <c r="B5830" t="str">
        <f>"09/15/2017 00:00"</f>
        <v>09/15/2017 00:00</v>
      </c>
      <c r="C5830">
        <v>200</v>
      </c>
      <c r="D5830" t="s">
        <v>7</v>
      </c>
      <c r="E5830" s="2" t="s">
        <v>12</v>
      </c>
      <c r="F5830">
        <f t="shared" si="91"/>
        <v>396.6</v>
      </c>
      <c r="G5830" t="s">
        <v>16</v>
      </c>
      <c r="J5830" t="str">
        <f>"09/15/2017 23:45"</f>
        <v>09/15/2017 23:45</v>
      </c>
    </row>
    <row r="5831" spans="1:10" x14ac:dyDescent="0.3">
      <c r="A5831" t="s">
        <v>6</v>
      </c>
      <c r="B5831" t="str">
        <f>"09/16/2017 00:00"</f>
        <v>09/16/2017 00:00</v>
      </c>
      <c r="C5831">
        <v>189</v>
      </c>
      <c r="D5831" t="s">
        <v>7</v>
      </c>
      <c r="E5831" s="2" t="s">
        <v>12</v>
      </c>
      <c r="F5831">
        <f t="shared" si="91"/>
        <v>374.78700000000003</v>
      </c>
      <c r="G5831" t="s">
        <v>16</v>
      </c>
      <c r="J5831" t="str">
        <f>"09/16/2017 23:45"</f>
        <v>09/16/2017 23:45</v>
      </c>
    </row>
    <row r="5832" spans="1:10" x14ac:dyDescent="0.3">
      <c r="A5832" t="s">
        <v>6</v>
      </c>
      <c r="B5832" t="str">
        <f>"09/17/2017 00:00"</f>
        <v>09/17/2017 00:00</v>
      </c>
      <c r="C5832">
        <v>141</v>
      </c>
      <c r="D5832" t="s">
        <v>7</v>
      </c>
      <c r="E5832" s="2" t="s">
        <v>12</v>
      </c>
      <c r="F5832">
        <f t="shared" si="91"/>
        <v>279.60300000000001</v>
      </c>
      <c r="G5832" t="s">
        <v>16</v>
      </c>
      <c r="J5832" t="str">
        <f>"09/17/2017 23:45"</f>
        <v>09/17/2017 23:45</v>
      </c>
    </row>
    <row r="5833" spans="1:10" x14ac:dyDescent="0.3">
      <c r="A5833" t="s">
        <v>6</v>
      </c>
      <c r="B5833" t="str">
        <f>"09/18/2017 00:00"</f>
        <v>09/18/2017 00:00</v>
      </c>
      <c r="C5833">
        <v>115</v>
      </c>
      <c r="D5833" t="s">
        <v>7</v>
      </c>
      <c r="E5833" s="2" t="s">
        <v>12</v>
      </c>
      <c r="F5833">
        <f t="shared" si="91"/>
        <v>228.04500000000002</v>
      </c>
      <c r="G5833" t="s">
        <v>16</v>
      </c>
      <c r="J5833" t="str">
        <f>"09/18/2017 23:45"</f>
        <v>09/18/2017 23:45</v>
      </c>
    </row>
    <row r="5834" spans="1:10" x14ac:dyDescent="0.3">
      <c r="A5834" t="s">
        <v>6</v>
      </c>
      <c r="B5834" t="str">
        <f>"09/19/2017 00:00"</f>
        <v>09/19/2017 00:00</v>
      </c>
      <c r="C5834">
        <v>172</v>
      </c>
      <c r="D5834" t="s">
        <v>7</v>
      </c>
      <c r="E5834" s="2" t="s">
        <v>12</v>
      </c>
      <c r="F5834">
        <f t="shared" si="91"/>
        <v>341.07600000000002</v>
      </c>
      <c r="G5834" t="s">
        <v>16</v>
      </c>
      <c r="J5834" t="str">
        <f>"09/19/2017 23:45"</f>
        <v>09/19/2017 23:45</v>
      </c>
    </row>
    <row r="5835" spans="1:10" x14ac:dyDescent="0.3">
      <c r="A5835" t="s">
        <v>6</v>
      </c>
      <c r="B5835" t="str">
        <f>"09/20/2017 00:00"</f>
        <v>09/20/2017 00:00</v>
      </c>
      <c r="C5835">
        <v>213</v>
      </c>
      <c r="D5835" t="s">
        <v>7</v>
      </c>
      <c r="E5835" s="2" t="s">
        <v>12</v>
      </c>
      <c r="F5835">
        <f t="shared" si="91"/>
        <v>422.37900000000002</v>
      </c>
      <c r="G5835" t="s">
        <v>16</v>
      </c>
      <c r="J5835" t="str">
        <f>"09/20/2017 23:45"</f>
        <v>09/20/2017 23:45</v>
      </c>
    </row>
    <row r="5836" spans="1:10" x14ac:dyDescent="0.3">
      <c r="A5836" t="s">
        <v>6</v>
      </c>
      <c r="B5836" t="str">
        <f>"09/21/2017 00:00"</f>
        <v>09/21/2017 00:00</v>
      </c>
      <c r="C5836">
        <v>253</v>
      </c>
      <c r="D5836" t="s">
        <v>7</v>
      </c>
      <c r="E5836" s="2" t="s">
        <v>12</v>
      </c>
      <c r="F5836">
        <f t="shared" si="91"/>
        <v>501.69900000000001</v>
      </c>
      <c r="G5836" t="s">
        <v>16</v>
      </c>
      <c r="J5836" t="str">
        <f>"09/21/2017 23:45"</f>
        <v>09/21/2017 23:45</v>
      </c>
    </row>
    <row r="5837" spans="1:10" x14ac:dyDescent="0.3">
      <c r="A5837" t="s">
        <v>6</v>
      </c>
      <c r="B5837" t="str">
        <f>"09/22/2017 00:00"</f>
        <v>09/22/2017 00:00</v>
      </c>
      <c r="C5837">
        <v>314</v>
      </c>
      <c r="D5837" t="s">
        <v>7</v>
      </c>
      <c r="E5837" s="2" t="s">
        <v>12</v>
      </c>
      <c r="F5837">
        <f t="shared" si="91"/>
        <v>622.66200000000003</v>
      </c>
      <c r="G5837" t="s">
        <v>16</v>
      </c>
      <c r="J5837" t="str">
        <f>"09/22/2017 23:45"</f>
        <v>09/22/2017 23:45</v>
      </c>
    </row>
    <row r="5838" spans="1:10" x14ac:dyDescent="0.3">
      <c r="A5838" t="s">
        <v>6</v>
      </c>
      <c r="B5838" t="str">
        <f>"09/23/2017 00:00"</f>
        <v>09/23/2017 00:00</v>
      </c>
      <c r="C5838">
        <v>298</v>
      </c>
      <c r="D5838" t="s">
        <v>7</v>
      </c>
      <c r="E5838" s="2" t="s">
        <v>12</v>
      </c>
      <c r="F5838">
        <f t="shared" si="91"/>
        <v>590.93400000000008</v>
      </c>
      <c r="G5838" t="s">
        <v>16</v>
      </c>
      <c r="J5838" t="str">
        <f>"09/23/2017 23:45"</f>
        <v>09/23/2017 23:45</v>
      </c>
    </row>
    <row r="5839" spans="1:10" x14ac:dyDescent="0.3">
      <c r="A5839" t="s">
        <v>6</v>
      </c>
      <c r="B5839" t="str">
        <f>"09/24/2017 00:00"</f>
        <v>09/24/2017 00:00</v>
      </c>
      <c r="C5839">
        <v>170</v>
      </c>
      <c r="D5839" t="s">
        <v>7</v>
      </c>
      <c r="E5839" s="2" t="s">
        <v>12</v>
      </c>
      <c r="F5839">
        <f t="shared" si="91"/>
        <v>337.11</v>
      </c>
      <c r="G5839" t="s">
        <v>16</v>
      </c>
      <c r="J5839" t="str">
        <f>"09/24/2017 23:45"</f>
        <v>09/24/2017 23:45</v>
      </c>
    </row>
    <row r="5840" spans="1:10" x14ac:dyDescent="0.3">
      <c r="A5840" t="s">
        <v>6</v>
      </c>
      <c r="B5840" t="str">
        <f>"09/25/2017 00:00"</f>
        <v>09/25/2017 00:00</v>
      </c>
      <c r="C5840">
        <v>81</v>
      </c>
      <c r="D5840" t="s">
        <v>7</v>
      </c>
      <c r="E5840" s="2" t="s">
        <v>12</v>
      </c>
      <c r="F5840">
        <f t="shared" si="91"/>
        <v>160.62300000000002</v>
      </c>
      <c r="G5840" t="s">
        <v>16</v>
      </c>
      <c r="J5840" t="str">
        <f>"09/25/2017 23:45"</f>
        <v>09/25/2017 23:45</v>
      </c>
    </row>
    <row r="5841" spans="1:10" x14ac:dyDescent="0.3">
      <c r="A5841" t="s">
        <v>6</v>
      </c>
      <c r="B5841" t="str">
        <f>"09/26/2017 00:00"</f>
        <v>09/26/2017 00:00</v>
      </c>
      <c r="C5841">
        <v>81</v>
      </c>
      <c r="D5841" t="s">
        <v>7</v>
      </c>
      <c r="E5841" s="2" t="s">
        <v>12</v>
      </c>
      <c r="F5841">
        <f t="shared" si="91"/>
        <v>160.62300000000002</v>
      </c>
      <c r="G5841" t="s">
        <v>16</v>
      </c>
      <c r="J5841" t="str">
        <f>"09/26/2017 23:45"</f>
        <v>09/26/2017 23:45</v>
      </c>
    </row>
    <row r="5842" spans="1:10" x14ac:dyDescent="0.3">
      <c r="A5842" t="s">
        <v>6</v>
      </c>
      <c r="B5842" t="str">
        <f>"09/27/2017 00:00"</f>
        <v>09/27/2017 00:00</v>
      </c>
      <c r="C5842">
        <v>81.3</v>
      </c>
      <c r="D5842" t="s">
        <v>7</v>
      </c>
      <c r="E5842" s="2" t="s">
        <v>12</v>
      </c>
      <c r="F5842">
        <f t="shared" si="91"/>
        <v>161.21790000000001</v>
      </c>
      <c r="G5842" t="s">
        <v>16</v>
      </c>
      <c r="J5842" t="str">
        <f>"09/27/2017 23:45"</f>
        <v>09/27/2017 23:45</v>
      </c>
    </row>
    <row r="5843" spans="1:10" x14ac:dyDescent="0.3">
      <c r="A5843" t="s">
        <v>6</v>
      </c>
      <c r="B5843" t="str">
        <f>"09/28/2017 00:00"</f>
        <v>09/28/2017 00:00</v>
      </c>
      <c r="C5843">
        <v>81.5</v>
      </c>
      <c r="D5843" t="s">
        <v>7</v>
      </c>
      <c r="E5843" s="2" t="s">
        <v>12</v>
      </c>
      <c r="F5843">
        <f t="shared" si="91"/>
        <v>161.61450000000002</v>
      </c>
      <c r="G5843" t="s">
        <v>16</v>
      </c>
      <c r="J5843" t="str">
        <f>"09/28/2017 23:45"</f>
        <v>09/28/2017 23:45</v>
      </c>
    </row>
    <row r="5844" spans="1:10" x14ac:dyDescent="0.3">
      <c r="A5844" t="s">
        <v>6</v>
      </c>
      <c r="B5844" t="str">
        <f>"09/29/2017 00:00"</f>
        <v>09/29/2017 00:00</v>
      </c>
      <c r="C5844">
        <v>67.7</v>
      </c>
      <c r="D5844" t="s">
        <v>7</v>
      </c>
      <c r="E5844" s="2" t="s">
        <v>12</v>
      </c>
      <c r="F5844">
        <f t="shared" si="91"/>
        <v>134.2491</v>
      </c>
      <c r="G5844" t="s">
        <v>16</v>
      </c>
      <c r="J5844" t="str">
        <f>"09/29/2017 23:45"</f>
        <v>09/29/2017 23:45</v>
      </c>
    </row>
    <row r="5845" spans="1:10" x14ac:dyDescent="0.3">
      <c r="A5845" t="s">
        <v>6</v>
      </c>
      <c r="B5845" t="str">
        <f>"09/30/2017 00:00"</f>
        <v>09/30/2017 00:00</v>
      </c>
      <c r="C5845">
        <v>74.400000000000006</v>
      </c>
      <c r="D5845" t="s">
        <v>7</v>
      </c>
      <c r="E5845" s="2" t="s">
        <v>12</v>
      </c>
      <c r="F5845">
        <f t="shared" si="91"/>
        <v>147.53520000000003</v>
      </c>
      <c r="G5845" t="s">
        <v>16</v>
      </c>
      <c r="J5845" t="str">
        <f>"09/30/2017 23:45"</f>
        <v>09/30/2017 23:45</v>
      </c>
    </row>
    <row r="5846" spans="1:10" x14ac:dyDescent="0.3">
      <c r="A5846" t="s">
        <v>6</v>
      </c>
      <c r="B5846" t="str">
        <f>"10/01/2017 00:00"</f>
        <v>10/01/2017 00:00</v>
      </c>
      <c r="C5846">
        <v>38.799999999999997</v>
      </c>
      <c r="D5846" t="s">
        <v>7</v>
      </c>
      <c r="E5846" s="2" t="s">
        <v>12</v>
      </c>
      <c r="F5846">
        <f t="shared" si="91"/>
        <v>76.940399999999997</v>
      </c>
      <c r="G5846" t="s">
        <v>16</v>
      </c>
      <c r="J5846" t="str">
        <f>"10/01/2017 23:45"</f>
        <v>10/01/2017 23:45</v>
      </c>
    </row>
    <row r="5847" spans="1:10" x14ac:dyDescent="0.3">
      <c r="A5847" t="s">
        <v>6</v>
      </c>
      <c r="B5847" t="str">
        <f>"10/02/2017 00:00"</f>
        <v>10/02/2017 00:00</v>
      </c>
      <c r="C5847">
        <v>8.35</v>
      </c>
      <c r="D5847" t="s">
        <v>7</v>
      </c>
      <c r="E5847" s="2" t="s">
        <v>12</v>
      </c>
      <c r="F5847">
        <f t="shared" si="91"/>
        <v>16.558050000000001</v>
      </c>
      <c r="G5847" t="s">
        <v>16</v>
      </c>
      <c r="J5847" t="str">
        <f>"10/02/2017 23:45"</f>
        <v>10/02/2017 23:45</v>
      </c>
    </row>
    <row r="5848" spans="1:10" x14ac:dyDescent="0.3">
      <c r="A5848" t="s">
        <v>6</v>
      </c>
      <c r="B5848" t="str">
        <f>"10/03/2017 00:00"</f>
        <v>10/03/2017 00:00</v>
      </c>
      <c r="C5848">
        <v>9.09</v>
      </c>
      <c r="D5848" t="s">
        <v>7</v>
      </c>
      <c r="E5848" s="2" t="s">
        <v>12</v>
      </c>
      <c r="F5848">
        <f t="shared" si="91"/>
        <v>18.025470000000002</v>
      </c>
      <c r="G5848" t="s">
        <v>16</v>
      </c>
      <c r="J5848" t="str">
        <f>"10/03/2017 23:45"</f>
        <v>10/03/2017 23:45</v>
      </c>
    </row>
    <row r="5849" spans="1:10" x14ac:dyDescent="0.3">
      <c r="A5849" t="s">
        <v>6</v>
      </c>
      <c r="B5849" t="str">
        <f>"10/04/2017 00:00"</f>
        <v>10/04/2017 00:00</v>
      </c>
      <c r="C5849">
        <v>8.81</v>
      </c>
      <c r="D5849" t="s">
        <v>7</v>
      </c>
      <c r="E5849" s="2" t="s">
        <v>12</v>
      </c>
      <c r="F5849">
        <f t="shared" si="91"/>
        <v>17.470230000000001</v>
      </c>
      <c r="G5849" t="s">
        <v>16</v>
      </c>
      <c r="J5849" t="str">
        <f>"10/04/2017 23:45"</f>
        <v>10/04/2017 23:45</v>
      </c>
    </row>
    <row r="5850" spans="1:10" x14ac:dyDescent="0.3">
      <c r="A5850" t="s">
        <v>6</v>
      </c>
      <c r="B5850" t="str">
        <f>"10/05/2017 00:00"</f>
        <v>10/05/2017 00:00</v>
      </c>
      <c r="C5850">
        <v>8.32</v>
      </c>
      <c r="D5850" t="s">
        <v>7</v>
      </c>
      <c r="E5850" s="2" t="s">
        <v>12</v>
      </c>
      <c r="F5850">
        <f t="shared" si="91"/>
        <v>16.498560000000001</v>
      </c>
      <c r="G5850" t="s">
        <v>16</v>
      </c>
      <c r="J5850" t="str">
        <f>"10/05/2017 23:45"</f>
        <v>10/05/2017 23:45</v>
      </c>
    </row>
    <row r="5851" spans="1:10" x14ac:dyDescent="0.3">
      <c r="A5851" t="s">
        <v>6</v>
      </c>
      <c r="B5851" t="str">
        <f>"10/06/2017 00:00"</f>
        <v>10/06/2017 00:00</v>
      </c>
      <c r="C5851">
        <v>8.16</v>
      </c>
      <c r="D5851" t="s">
        <v>7</v>
      </c>
      <c r="E5851" s="2" t="s">
        <v>12</v>
      </c>
      <c r="F5851">
        <f t="shared" si="91"/>
        <v>16.181280000000001</v>
      </c>
      <c r="G5851" t="s">
        <v>16</v>
      </c>
      <c r="J5851" t="str">
        <f>"10/06/2017 23:45"</f>
        <v>10/06/2017 23:45</v>
      </c>
    </row>
    <row r="5852" spans="1:10" x14ac:dyDescent="0.3">
      <c r="A5852" t="s">
        <v>6</v>
      </c>
      <c r="B5852" t="str">
        <f>"10/07/2017 00:00"</f>
        <v>10/07/2017 00:00</v>
      </c>
      <c r="C5852">
        <v>7.77</v>
      </c>
      <c r="D5852" t="s">
        <v>7</v>
      </c>
      <c r="E5852" s="2" t="s">
        <v>12</v>
      </c>
      <c r="F5852">
        <f t="shared" si="91"/>
        <v>15.407909999999999</v>
      </c>
      <c r="G5852" t="s">
        <v>16</v>
      </c>
      <c r="J5852" t="str">
        <f>"10/07/2017 23:45"</f>
        <v>10/07/2017 23:45</v>
      </c>
    </row>
    <row r="5853" spans="1:10" x14ac:dyDescent="0.3">
      <c r="A5853" t="s">
        <v>6</v>
      </c>
      <c r="B5853" t="str">
        <f>"10/08/2017 00:00"</f>
        <v>10/08/2017 00:00</v>
      </c>
      <c r="C5853">
        <v>7.77</v>
      </c>
      <c r="D5853" t="s">
        <v>7</v>
      </c>
      <c r="E5853" s="2" t="s">
        <v>12</v>
      </c>
      <c r="F5853">
        <f t="shared" si="91"/>
        <v>15.407909999999999</v>
      </c>
      <c r="G5853" t="s">
        <v>16</v>
      </c>
      <c r="J5853" t="str">
        <f>"10/08/2017 23:45"</f>
        <v>10/08/2017 23:45</v>
      </c>
    </row>
    <row r="5854" spans="1:10" x14ac:dyDescent="0.3">
      <c r="A5854" t="s">
        <v>6</v>
      </c>
      <c r="B5854" t="str">
        <f>"10/09/2017 00:00"</f>
        <v>10/09/2017 00:00</v>
      </c>
      <c r="C5854">
        <v>7.77</v>
      </c>
      <c r="D5854" t="s">
        <v>7</v>
      </c>
      <c r="E5854" s="2" t="s">
        <v>12</v>
      </c>
      <c r="F5854">
        <f t="shared" si="91"/>
        <v>15.407909999999999</v>
      </c>
      <c r="G5854" t="s">
        <v>16</v>
      </c>
      <c r="J5854" t="str">
        <f>"10/09/2017 23:45"</f>
        <v>10/09/2017 23:45</v>
      </c>
    </row>
    <row r="5855" spans="1:10" x14ac:dyDescent="0.3">
      <c r="A5855" t="s">
        <v>6</v>
      </c>
      <c r="B5855" t="str">
        <f>"10/10/2017 00:00"</f>
        <v>10/10/2017 00:00</v>
      </c>
      <c r="C5855">
        <v>7.36</v>
      </c>
      <c r="D5855" t="s">
        <v>7</v>
      </c>
      <c r="E5855" s="2" t="s">
        <v>12</v>
      </c>
      <c r="F5855">
        <f t="shared" si="91"/>
        <v>14.594880000000002</v>
      </c>
      <c r="G5855" t="s">
        <v>16</v>
      </c>
      <c r="J5855" t="str">
        <f>"10/10/2017 23:45"</f>
        <v>10/10/2017 23:45</v>
      </c>
    </row>
    <row r="5856" spans="1:10" x14ac:dyDescent="0.3">
      <c r="A5856" t="s">
        <v>6</v>
      </c>
      <c r="B5856" t="str">
        <f>"10/11/2017 00:00"</f>
        <v>10/11/2017 00:00</v>
      </c>
      <c r="C5856">
        <v>7.26</v>
      </c>
      <c r="D5856" t="s">
        <v>7</v>
      </c>
      <c r="E5856" s="2" t="s">
        <v>12</v>
      </c>
      <c r="F5856">
        <f t="shared" si="91"/>
        <v>14.39658</v>
      </c>
      <c r="G5856" t="s">
        <v>16</v>
      </c>
      <c r="J5856" t="str">
        <f>"10/11/2017 23:45"</f>
        <v>10/11/2017 23:45</v>
      </c>
    </row>
    <row r="5857" spans="1:10" x14ac:dyDescent="0.3">
      <c r="A5857" t="s">
        <v>6</v>
      </c>
      <c r="B5857" t="str">
        <f>"10/12/2017 00:00"</f>
        <v>10/12/2017 00:00</v>
      </c>
      <c r="C5857">
        <v>4.4000000000000004</v>
      </c>
      <c r="D5857" t="s">
        <v>7</v>
      </c>
      <c r="E5857" s="2" t="s">
        <v>12</v>
      </c>
      <c r="F5857">
        <f t="shared" si="91"/>
        <v>8.725200000000001</v>
      </c>
      <c r="G5857" t="s">
        <v>16</v>
      </c>
      <c r="J5857" t="str">
        <f>"10/12/2017 23:45"</f>
        <v>10/12/2017 23:45</v>
      </c>
    </row>
    <row r="5858" spans="1:10" x14ac:dyDescent="0.3">
      <c r="A5858" t="s">
        <v>6</v>
      </c>
      <c r="B5858" t="str">
        <f>"10/13/2017 00:00"</f>
        <v>10/13/2017 00:00</v>
      </c>
      <c r="C5858">
        <v>0.32500000000000001</v>
      </c>
      <c r="D5858" t="s">
        <v>7</v>
      </c>
      <c r="E5858" s="2" t="s">
        <v>12</v>
      </c>
      <c r="F5858">
        <f t="shared" si="91"/>
        <v>0.64447500000000002</v>
      </c>
      <c r="G5858" t="s">
        <v>16</v>
      </c>
      <c r="J5858" t="str">
        <f>"10/13/2017 23:45"</f>
        <v>10/13/2017 23:45</v>
      </c>
    </row>
    <row r="5859" spans="1:10" x14ac:dyDescent="0.3">
      <c r="A5859" t="s">
        <v>6</v>
      </c>
      <c r="B5859" t="str">
        <f>"10/14/2017 00:00"</f>
        <v>10/14/2017 00:00</v>
      </c>
      <c r="C5859">
        <v>0.27900000000000003</v>
      </c>
      <c r="D5859" t="s">
        <v>7</v>
      </c>
      <c r="E5859" s="2" t="s">
        <v>12</v>
      </c>
      <c r="F5859">
        <f t="shared" si="91"/>
        <v>0.55325700000000011</v>
      </c>
      <c r="G5859" t="s">
        <v>16</v>
      </c>
      <c r="J5859" t="str">
        <f>"10/14/2017 23:45"</f>
        <v>10/14/2017 23:45</v>
      </c>
    </row>
    <row r="5860" spans="1:10" x14ac:dyDescent="0.3">
      <c r="A5860" t="s">
        <v>6</v>
      </c>
      <c r="B5860" t="str">
        <f>"10/15/2017 00:00"</f>
        <v>10/15/2017 00:00</v>
      </c>
      <c r="C5860">
        <v>0.27900000000000003</v>
      </c>
      <c r="D5860" t="s">
        <v>7</v>
      </c>
      <c r="E5860" s="2" t="s">
        <v>12</v>
      </c>
      <c r="F5860">
        <f t="shared" si="91"/>
        <v>0.55325700000000011</v>
      </c>
      <c r="G5860" t="s">
        <v>16</v>
      </c>
      <c r="J5860" t="str">
        <f>"10/15/2017 23:45"</f>
        <v>10/15/2017 23:45</v>
      </c>
    </row>
    <row r="5861" spans="1:10" x14ac:dyDescent="0.3">
      <c r="A5861" t="s">
        <v>6</v>
      </c>
      <c r="B5861" t="str">
        <f>"10/16/2017 00:00"</f>
        <v>10/16/2017 00:00</v>
      </c>
      <c r="C5861">
        <v>0.186</v>
      </c>
      <c r="D5861" t="s">
        <v>7</v>
      </c>
      <c r="E5861" s="2" t="s">
        <v>12</v>
      </c>
      <c r="F5861">
        <f t="shared" si="91"/>
        <v>0.368838</v>
      </c>
      <c r="G5861" t="s">
        <v>16</v>
      </c>
      <c r="J5861" t="str">
        <f>"10/16/2017 23:45"</f>
        <v>10/16/2017 23:45</v>
      </c>
    </row>
    <row r="5862" spans="1:10" x14ac:dyDescent="0.3">
      <c r="A5862" t="s">
        <v>6</v>
      </c>
      <c r="B5862" t="str">
        <f>"10/17/2017 00:00"</f>
        <v>10/17/2017 00:00</v>
      </c>
      <c r="C5862">
        <v>0.14599999999999999</v>
      </c>
      <c r="D5862" t="s">
        <v>7</v>
      </c>
      <c r="E5862" s="2" t="s">
        <v>12</v>
      </c>
      <c r="F5862">
        <f t="shared" si="91"/>
        <v>0.289518</v>
      </c>
      <c r="G5862" t="s">
        <v>16</v>
      </c>
      <c r="J5862" t="str">
        <f>"10/17/2017 23:45"</f>
        <v>10/17/2017 23:45</v>
      </c>
    </row>
    <row r="5863" spans="1:10" x14ac:dyDescent="0.3">
      <c r="A5863" t="s">
        <v>6</v>
      </c>
      <c r="B5863" t="str">
        <f>"10/18/2017 00:00"</f>
        <v>10/18/2017 00:00</v>
      </c>
      <c r="C5863">
        <v>0.14599999999999999</v>
      </c>
      <c r="D5863" t="s">
        <v>7</v>
      </c>
      <c r="E5863" s="2" t="s">
        <v>12</v>
      </c>
      <c r="F5863">
        <f t="shared" si="91"/>
        <v>0.289518</v>
      </c>
      <c r="G5863" t="s">
        <v>16</v>
      </c>
      <c r="J5863" t="str">
        <f>"10/18/2017 23:45"</f>
        <v>10/18/2017 23:45</v>
      </c>
    </row>
    <row r="5864" spans="1:10" x14ac:dyDescent="0.3">
      <c r="A5864" t="s">
        <v>6</v>
      </c>
      <c r="B5864" t="str">
        <f>"10/19/2017 00:00"</f>
        <v>10/19/2017 00:00</v>
      </c>
      <c r="C5864">
        <v>0.14599999999999999</v>
      </c>
      <c r="D5864" t="s">
        <v>7</v>
      </c>
      <c r="E5864" s="2" t="s">
        <v>12</v>
      </c>
      <c r="F5864">
        <f t="shared" si="91"/>
        <v>0.289518</v>
      </c>
      <c r="G5864" t="s">
        <v>16</v>
      </c>
      <c r="J5864" t="str">
        <f>"10/19/2017 23:45"</f>
        <v>10/19/2017 23:45</v>
      </c>
    </row>
    <row r="5865" spans="1:10" x14ac:dyDescent="0.3">
      <c r="A5865" t="s">
        <v>6</v>
      </c>
      <c r="B5865" t="str">
        <f>"10/20/2017 00:00"</f>
        <v>10/20/2017 00:00</v>
      </c>
      <c r="C5865">
        <v>0.14599999999999999</v>
      </c>
      <c r="D5865" t="s">
        <v>7</v>
      </c>
      <c r="E5865" s="2" t="s">
        <v>12</v>
      </c>
      <c r="F5865">
        <f t="shared" si="91"/>
        <v>0.289518</v>
      </c>
      <c r="G5865" t="s">
        <v>16</v>
      </c>
      <c r="J5865" t="str">
        <f>"10/20/2017 23:45"</f>
        <v>10/20/2017 23:45</v>
      </c>
    </row>
    <row r="5866" spans="1:10" x14ac:dyDescent="0.3">
      <c r="A5866" t="s">
        <v>6</v>
      </c>
      <c r="B5866" t="str">
        <f>"10/21/2017 00:00"</f>
        <v>10/21/2017 00:00</v>
      </c>
      <c r="C5866">
        <v>0.14599999999999999</v>
      </c>
      <c r="D5866" t="s">
        <v>7</v>
      </c>
      <c r="E5866" s="2" t="s">
        <v>12</v>
      </c>
      <c r="F5866">
        <f t="shared" si="91"/>
        <v>0.289518</v>
      </c>
      <c r="G5866" t="s">
        <v>16</v>
      </c>
      <c r="J5866" t="str">
        <f>"10/21/2017 23:45"</f>
        <v>10/21/2017 23:45</v>
      </c>
    </row>
    <row r="5867" spans="1:10" x14ac:dyDescent="0.3">
      <c r="A5867" t="s">
        <v>6</v>
      </c>
      <c r="B5867" t="str">
        <f>"10/22/2017 00:00"</f>
        <v>10/22/2017 00:00</v>
      </c>
      <c r="C5867">
        <v>0.14599999999999999</v>
      </c>
      <c r="D5867" t="s">
        <v>7</v>
      </c>
      <c r="E5867" s="2" t="s">
        <v>12</v>
      </c>
      <c r="F5867">
        <f t="shared" si="91"/>
        <v>0.289518</v>
      </c>
      <c r="G5867" t="s">
        <v>16</v>
      </c>
      <c r="J5867" t="str">
        <f>"10/22/2017 23:45"</f>
        <v>10/22/2017 23:45</v>
      </c>
    </row>
    <row r="5868" spans="1:10" x14ac:dyDescent="0.3">
      <c r="A5868" t="s">
        <v>6</v>
      </c>
      <c r="B5868" t="str">
        <f>"10/23/2017 00:00"</f>
        <v>10/23/2017 00:00</v>
      </c>
      <c r="C5868">
        <v>6.6400000000000001E-2</v>
      </c>
      <c r="D5868" t="s">
        <v>7</v>
      </c>
      <c r="E5868" s="2" t="s">
        <v>12</v>
      </c>
      <c r="F5868">
        <f t="shared" si="91"/>
        <v>0.13167120000000002</v>
      </c>
      <c r="G5868" t="s">
        <v>16</v>
      </c>
      <c r="J5868" t="str">
        <f>"10/23/2017 23:45"</f>
        <v>10/23/2017 23:45</v>
      </c>
    </row>
    <row r="5869" spans="1:10" x14ac:dyDescent="0.3">
      <c r="A5869" t="s">
        <v>6</v>
      </c>
      <c r="B5869" t="str">
        <f>"10/24/2017 00:00"</f>
        <v>10/24/2017 00:00</v>
      </c>
      <c r="C5869">
        <v>4.8000000000000001E-2</v>
      </c>
      <c r="D5869" t="s">
        <v>7</v>
      </c>
      <c r="E5869" s="2" t="s">
        <v>12</v>
      </c>
      <c r="F5869">
        <f t="shared" si="91"/>
        <v>9.5184000000000005E-2</v>
      </c>
      <c r="G5869" t="s">
        <v>16</v>
      </c>
      <c r="J5869" t="str">
        <f>"10/24/2017 23:45"</f>
        <v>10/24/2017 23:45</v>
      </c>
    </row>
    <row r="5870" spans="1:10" x14ac:dyDescent="0.3">
      <c r="A5870" t="s">
        <v>6</v>
      </c>
      <c r="B5870" t="str">
        <f>"10/25/2017 00:00"</f>
        <v>10/25/2017 00:00</v>
      </c>
      <c r="C5870">
        <v>4.8000000000000001E-2</v>
      </c>
      <c r="D5870" t="s">
        <v>7</v>
      </c>
      <c r="E5870" s="2" t="s">
        <v>12</v>
      </c>
      <c r="F5870">
        <f t="shared" si="91"/>
        <v>9.5184000000000005E-2</v>
      </c>
      <c r="G5870" t="s">
        <v>16</v>
      </c>
      <c r="J5870" t="str">
        <f>"10/25/2017 23:45"</f>
        <v>10/25/2017 23:45</v>
      </c>
    </row>
    <row r="5871" spans="1:10" x14ac:dyDescent="0.3">
      <c r="A5871" t="s">
        <v>6</v>
      </c>
      <c r="B5871" t="str">
        <f>"10/26/2017 00:00"</f>
        <v>10/26/2017 00:00</v>
      </c>
      <c r="C5871">
        <v>4.8000000000000001E-2</v>
      </c>
      <c r="D5871" t="s">
        <v>7</v>
      </c>
      <c r="E5871" s="2" t="s">
        <v>12</v>
      </c>
      <c r="F5871">
        <f t="shared" si="91"/>
        <v>9.5184000000000005E-2</v>
      </c>
      <c r="G5871" t="s">
        <v>16</v>
      </c>
      <c r="J5871" t="str">
        <f>"10/26/2017 23:45"</f>
        <v>10/26/2017 23:45</v>
      </c>
    </row>
    <row r="5872" spans="1:10" x14ac:dyDescent="0.3">
      <c r="A5872" t="s">
        <v>6</v>
      </c>
      <c r="B5872" t="str">
        <f>"10/27/2017 00:00"</f>
        <v>10/27/2017 00:00</v>
      </c>
      <c r="C5872">
        <v>4.8000000000000001E-2</v>
      </c>
      <c r="D5872" t="s">
        <v>7</v>
      </c>
      <c r="E5872" s="2" t="s">
        <v>12</v>
      </c>
      <c r="F5872">
        <f t="shared" si="91"/>
        <v>9.5184000000000005E-2</v>
      </c>
      <c r="G5872" t="s">
        <v>16</v>
      </c>
      <c r="J5872" t="str">
        <f>"10/27/2017 23:45"</f>
        <v>10/27/2017 23:45</v>
      </c>
    </row>
    <row r="5873" spans="1:10" x14ac:dyDescent="0.3">
      <c r="A5873" t="s">
        <v>6</v>
      </c>
      <c r="B5873" t="str">
        <f>"10/28/2017 00:00"</f>
        <v>10/28/2017 00:00</v>
      </c>
      <c r="C5873">
        <v>4.8000000000000001E-2</v>
      </c>
      <c r="D5873" t="s">
        <v>7</v>
      </c>
      <c r="E5873" s="2" t="s">
        <v>12</v>
      </c>
      <c r="F5873">
        <f t="shared" si="91"/>
        <v>9.5184000000000005E-2</v>
      </c>
      <c r="G5873" t="s">
        <v>16</v>
      </c>
      <c r="J5873" t="str">
        <f>"10/28/2017 23:45"</f>
        <v>10/28/2017 23:45</v>
      </c>
    </row>
    <row r="5874" spans="1:10" x14ac:dyDescent="0.3">
      <c r="A5874" t="s">
        <v>6</v>
      </c>
      <c r="B5874" t="str">
        <f>"10/29/2017 00:00"</f>
        <v>10/29/2017 00:00</v>
      </c>
      <c r="C5874">
        <v>4.8000000000000001E-2</v>
      </c>
      <c r="D5874" t="s">
        <v>7</v>
      </c>
      <c r="E5874" s="2" t="s">
        <v>12</v>
      </c>
      <c r="F5874">
        <f t="shared" si="91"/>
        <v>9.5184000000000005E-2</v>
      </c>
      <c r="G5874" t="s">
        <v>16</v>
      </c>
      <c r="J5874" t="str">
        <f>"10/29/2017 23:45"</f>
        <v>10/29/2017 23:45</v>
      </c>
    </row>
    <row r="5875" spans="1:10" x14ac:dyDescent="0.3">
      <c r="A5875" t="s">
        <v>6</v>
      </c>
      <c r="B5875" t="str">
        <f>"10/30/2017 00:00"</f>
        <v>10/30/2017 00:00</v>
      </c>
      <c r="C5875">
        <v>4.8000000000000001E-2</v>
      </c>
      <c r="D5875" t="s">
        <v>7</v>
      </c>
      <c r="E5875" s="2" t="s">
        <v>12</v>
      </c>
      <c r="F5875">
        <f t="shared" si="91"/>
        <v>9.5184000000000005E-2</v>
      </c>
      <c r="G5875" t="s">
        <v>16</v>
      </c>
      <c r="J5875" t="str">
        <f>"10/30/2017 23:45"</f>
        <v>10/30/2017 23:45</v>
      </c>
    </row>
    <row r="5876" spans="1:10" x14ac:dyDescent="0.3">
      <c r="A5876" t="s">
        <v>6</v>
      </c>
      <c r="B5876" t="str">
        <f>"10/31/2017 00:00"</f>
        <v>10/31/2017 00:00</v>
      </c>
      <c r="C5876">
        <v>4.8000000000000001E-2</v>
      </c>
      <c r="D5876" t="s">
        <v>7</v>
      </c>
      <c r="E5876" s="2" t="s">
        <v>12</v>
      </c>
      <c r="F5876">
        <f t="shared" si="91"/>
        <v>9.5184000000000005E-2</v>
      </c>
      <c r="G5876" t="s">
        <v>16</v>
      </c>
      <c r="J5876" t="str">
        <f>"10/31/2017 23:45"</f>
        <v>10/31/2017 23:45</v>
      </c>
    </row>
    <row r="5877" spans="1:10" x14ac:dyDescent="0.3">
      <c r="A5877" t="s">
        <v>6</v>
      </c>
      <c r="B5877" t="str">
        <f>"11/01/2017 00:00"</f>
        <v>11/01/2017 00:00</v>
      </c>
      <c r="C5877">
        <v>4.8000000000000001E-2</v>
      </c>
      <c r="D5877" t="s">
        <v>7</v>
      </c>
      <c r="E5877" s="2" t="s">
        <v>12</v>
      </c>
      <c r="F5877">
        <f t="shared" si="91"/>
        <v>9.5184000000000005E-2</v>
      </c>
      <c r="G5877" t="s">
        <v>16</v>
      </c>
      <c r="J5877" t="str">
        <f>"11/01/2017 23:45"</f>
        <v>11/01/2017 23:45</v>
      </c>
    </row>
    <row r="5878" spans="1:10" x14ac:dyDescent="0.3">
      <c r="A5878" t="s">
        <v>6</v>
      </c>
      <c r="B5878" t="str">
        <f>"11/02/2017 00:00"</f>
        <v>11/02/2017 00:00</v>
      </c>
      <c r="C5878">
        <v>2.6499999999999999E-2</v>
      </c>
      <c r="D5878" t="s">
        <v>7</v>
      </c>
      <c r="E5878" s="2" t="s">
        <v>12</v>
      </c>
      <c r="F5878">
        <f t="shared" si="91"/>
        <v>5.2549499999999999E-2</v>
      </c>
      <c r="G5878" t="s">
        <v>16</v>
      </c>
      <c r="J5878" t="str">
        <f>"11/02/2017 23:45"</f>
        <v>11/02/2017 23:45</v>
      </c>
    </row>
    <row r="5879" spans="1:10" x14ac:dyDescent="0.3">
      <c r="A5879" t="s">
        <v>6</v>
      </c>
      <c r="B5879" t="str">
        <f>"11/03/2017 00:00"</f>
        <v>11/03/2017 00:00</v>
      </c>
      <c r="C5879">
        <v>1.5E-3</v>
      </c>
      <c r="D5879" t="s">
        <v>7</v>
      </c>
      <c r="E5879" s="2" t="s">
        <v>12</v>
      </c>
      <c r="F5879">
        <f t="shared" si="91"/>
        <v>2.9745000000000001E-3</v>
      </c>
      <c r="G5879" t="s">
        <v>16</v>
      </c>
      <c r="J5879" t="str">
        <f>"11/03/2017 23:45"</f>
        <v>11/03/2017 23:45</v>
      </c>
    </row>
    <row r="5880" spans="1:10" x14ac:dyDescent="0.3">
      <c r="A5880" t="s">
        <v>6</v>
      </c>
      <c r="B5880" t="str">
        <f>"11/04/2017 00:00"</f>
        <v>11/04/2017 00:00</v>
      </c>
      <c r="C5880">
        <v>0</v>
      </c>
      <c r="D5880" t="s">
        <v>7</v>
      </c>
      <c r="E5880" s="2" t="s">
        <v>12</v>
      </c>
      <c r="F5880">
        <f t="shared" si="91"/>
        <v>0</v>
      </c>
      <c r="G5880" t="s">
        <v>16</v>
      </c>
      <c r="J5880" t="str">
        <f>"11/04/2017 23:45"</f>
        <v>11/04/2017 23:45</v>
      </c>
    </row>
    <row r="5881" spans="1:10" x14ac:dyDescent="0.3">
      <c r="A5881" t="s">
        <v>6</v>
      </c>
      <c r="B5881" t="str">
        <f>"11/05/2017 00:00"</f>
        <v>11/05/2017 00:00</v>
      </c>
      <c r="C5881">
        <v>0</v>
      </c>
      <c r="D5881" t="s">
        <v>7</v>
      </c>
      <c r="E5881" s="2" t="s">
        <v>12</v>
      </c>
      <c r="F5881">
        <f t="shared" si="91"/>
        <v>0</v>
      </c>
      <c r="G5881" t="s">
        <v>16</v>
      </c>
      <c r="J5881" t="str">
        <f>"11/05/2017 23:45"</f>
        <v>11/05/2017 23:45</v>
      </c>
    </row>
    <row r="5882" spans="1:10" x14ac:dyDescent="0.3">
      <c r="A5882" t="s">
        <v>6</v>
      </c>
      <c r="B5882" t="str">
        <f>"11/06/2017 00:00"</f>
        <v>11/06/2017 00:00</v>
      </c>
      <c r="C5882">
        <v>0</v>
      </c>
      <c r="D5882" t="s">
        <v>7</v>
      </c>
      <c r="E5882" s="2" t="s">
        <v>12</v>
      </c>
      <c r="F5882">
        <f t="shared" si="91"/>
        <v>0</v>
      </c>
      <c r="G5882" t="s">
        <v>16</v>
      </c>
      <c r="J5882" t="str">
        <f>"11/06/2017 23:45"</f>
        <v>11/06/2017 23:45</v>
      </c>
    </row>
    <row r="5883" spans="1:10" x14ac:dyDescent="0.3">
      <c r="A5883" t="s">
        <v>6</v>
      </c>
      <c r="B5883" t="str">
        <f>"11/07/2017 00:00"</f>
        <v>11/07/2017 00:00</v>
      </c>
      <c r="C5883">
        <v>0</v>
      </c>
      <c r="D5883" t="s">
        <v>7</v>
      </c>
      <c r="E5883" s="2" t="s">
        <v>12</v>
      </c>
      <c r="F5883">
        <f t="shared" si="91"/>
        <v>0</v>
      </c>
      <c r="G5883" t="s">
        <v>16</v>
      </c>
      <c r="J5883" t="str">
        <f>"11/07/2017 23:45"</f>
        <v>11/07/2017 23:45</v>
      </c>
    </row>
    <row r="5884" spans="1:10" x14ac:dyDescent="0.3">
      <c r="A5884" t="s">
        <v>6</v>
      </c>
      <c r="B5884" t="str">
        <f>"11/08/2017 00:00"</f>
        <v>11/08/2017 00:00</v>
      </c>
      <c r="C5884">
        <v>0</v>
      </c>
      <c r="D5884" t="s">
        <v>7</v>
      </c>
      <c r="E5884" s="2" t="s">
        <v>12</v>
      </c>
      <c r="F5884">
        <f t="shared" si="91"/>
        <v>0</v>
      </c>
      <c r="G5884" t="s">
        <v>16</v>
      </c>
      <c r="J5884" t="str">
        <f>"11/08/2017 23:45"</f>
        <v>11/08/2017 23:45</v>
      </c>
    </row>
    <row r="5885" spans="1:10" x14ac:dyDescent="0.3">
      <c r="A5885" t="s">
        <v>6</v>
      </c>
      <c r="B5885" t="str">
        <f>"11/09/2017 00:00"</f>
        <v>11/09/2017 00:00</v>
      </c>
      <c r="C5885">
        <v>0</v>
      </c>
      <c r="D5885" t="s">
        <v>7</v>
      </c>
      <c r="E5885" s="2" t="s">
        <v>12</v>
      </c>
      <c r="F5885">
        <f t="shared" si="91"/>
        <v>0</v>
      </c>
      <c r="G5885" t="s">
        <v>16</v>
      </c>
      <c r="J5885" t="str">
        <f>"11/09/2017 23:45"</f>
        <v>11/09/2017 23:45</v>
      </c>
    </row>
    <row r="5886" spans="1:10" x14ac:dyDescent="0.3">
      <c r="A5886" t="s">
        <v>6</v>
      </c>
      <c r="B5886" t="str">
        <f>"11/10/2017 00:00"</f>
        <v>11/10/2017 00:00</v>
      </c>
      <c r="C5886">
        <v>0</v>
      </c>
      <c r="D5886" t="s">
        <v>7</v>
      </c>
      <c r="E5886" s="2" t="s">
        <v>12</v>
      </c>
      <c r="F5886">
        <f t="shared" si="91"/>
        <v>0</v>
      </c>
      <c r="G5886" t="s">
        <v>16</v>
      </c>
      <c r="J5886" t="str">
        <f>"11/10/2017 23:45"</f>
        <v>11/10/2017 23:45</v>
      </c>
    </row>
    <row r="5887" spans="1:10" x14ac:dyDescent="0.3">
      <c r="A5887" t="s">
        <v>6</v>
      </c>
      <c r="B5887" t="str">
        <f>"11/11/2017 00:00"</f>
        <v>11/11/2017 00:00</v>
      </c>
      <c r="C5887">
        <v>0</v>
      </c>
      <c r="D5887" t="s">
        <v>7</v>
      </c>
      <c r="E5887" s="2" t="s">
        <v>12</v>
      </c>
      <c r="F5887">
        <f t="shared" si="91"/>
        <v>0</v>
      </c>
      <c r="G5887" t="s">
        <v>16</v>
      </c>
      <c r="J5887" t="str">
        <f>"11/11/2017 23:45"</f>
        <v>11/11/2017 23:45</v>
      </c>
    </row>
    <row r="5888" spans="1:10" x14ac:dyDescent="0.3">
      <c r="A5888" t="s">
        <v>6</v>
      </c>
      <c r="B5888" t="str">
        <f>"11/12/2017 00:00"</f>
        <v>11/12/2017 00:00</v>
      </c>
      <c r="C5888">
        <v>0</v>
      </c>
      <c r="D5888" t="s">
        <v>7</v>
      </c>
      <c r="E5888" s="2" t="s">
        <v>12</v>
      </c>
      <c r="F5888">
        <f t="shared" si="91"/>
        <v>0</v>
      </c>
      <c r="G5888" t="s">
        <v>16</v>
      </c>
      <c r="J5888" t="str">
        <f>"11/12/2017 23:45"</f>
        <v>11/12/2017 23:45</v>
      </c>
    </row>
    <row r="5889" spans="1:10" x14ac:dyDescent="0.3">
      <c r="A5889" t="s">
        <v>6</v>
      </c>
      <c r="B5889" t="str">
        <f>"11/13/2017 00:00"</f>
        <v>11/13/2017 00:00</v>
      </c>
      <c r="C5889">
        <v>0</v>
      </c>
      <c r="D5889" t="s">
        <v>7</v>
      </c>
      <c r="E5889" s="2" t="s">
        <v>12</v>
      </c>
      <c r="F5889">
        <f t="shared" si="91"/>
        <v>0</v>
      </c>
      <c r="G5889" t="s">
        <v>16</v>
      </c>
      <c r="J5889" t="str">
        <f>"11/13/2017 23:45"</f>
        <v>11/13/2017 23:45</v>
      </c>
    </row>
    <row r="5890" spans="1:10" x14ac:dyDescent="0.3">
      <c r="A5890" t="s">
        <v>6</v>
      </c>
      <c r="B5890" t="str">
        <f>"11/14/2017 00:00"</f>
        <v>11/14/2017 00:00</v>
      </c>
      <c r="C5890">
        <v>0</v>
      </c>
      <c r="D5890" t="s">
        <v>7</v>
      </c>
      <c r="E5890" s="2" t="s">
        <v>12</v>
      </c>
      <c r="F5890">
        <f t="shared" si="91"/>
        <v>0</v>
      </c>
      <c r="G5890" t="s">
        <v>16</v>
      </c>
      <c r="J5890" t="str">
        <f>"11/14/2017 23:45"</f>
        <v>11/14/2017 23:45</v>
      </c>
    </row>
    <row r="5891" spans="1:10" x14ac:dyDescent="0.3">
      <c r="A5891" t="s">
        <v>6</v>
      </c>
      <c r="B5891" t="str">
        <f>"11/15/2017 00:00"</f>
        <v>11/15/2017 00:00</v>
      </c>
      <c r="C5891">
        <v>0</v>
      </c>
      <c r="D5891" t="s">
        <v>7</v>
      </c>
      <c r="E5891" s="2" t="s">
        <v>12</v>
      </c>
      <c r="F5891">
        <f t="shared" si="91"/>
        <v>0</v>
      </c>
      <c r="G5891" t="s">
        <v>16</v>
      </c>
      <c r="J5891" t="str">
        <f>"11/15/2017 23:45"</f>
        <v>11/15/2017 23:45</v>
      </c>
    </row>
    <row r="5892" spans="1:10" x14ac:dyDescent="0.3">
      <c r="A5892" t="s">
        <v>6</v>
      </c>
      <c r="B5892" t="str">
        <f>"11/16/2017 00:00"</f>
        <v>11/16/2017 00:00</v>
      </c>
      <c r="C5892">
        <v>0</v>
      </c>
      <c r="D5892" t="s">
        <v>7</v>
      </c>
      <c r="E5892" s="2" t="s">
        <v>12</v>
      </c>
      <c r="F5892">
        <f t="shared" ref="F5892:F5955" si="92">C5892*1.983</f>
        <v>0</v>
      </c>
      <c r="G5892" t="s">
        <v>16</v>
      </c>
      <c r="J5892" t="str">
        <f>"11/16/2017 23:45"</f>
        <v>11/16/2017 23:45</v>
      </c>
    </row>
    <row r="5893" spans="1:10" x14ac:dyDescent="0.3">
      <c r="A5893" t="s">
        <v>6</v>
      </c>
      <c r="B5893" t="str">
        <f>"11/17/2017 00:00"</f>
        <v>11/17/2017 00:00</v>
      </c>
      <c r="C5893">
        <v>0</v>
      </c>
      <c r="D5893" t="s">
        <v>7</v>
      </c>
      <c r="E5893" s="2" t="s">
        <v>12</v>
      </c>
      <c r="F5893">
        <f t="shared" si="92"/>
        <v>0</v>
      </c>
      <c r="G5893" t="s">
        <v>16</v>
      </c>
      <c r="J5893" t="str">
        <f>"11/17/2017 23:45"</f>
        <v>11/17/2017 23:45</v>
      </c>
    </row>
    <row r="5894" spans="1:10" x14ac:dyDescent="0.3">
      <c r="A5894" t="s">
        <v>6</v>
      </c>
      <c r="B5894" t="str">
        <f>"11/18/2017 00:00"</f>
        <v>11/18/2017 00:00</v>
      </c>
      <c r="C5894">
        <v>0</v>
      </c>
      <c r="D5894" t="s">
        <v>7</v>
      </c>
      <c r="E5894" s="2" t="s">
        <v>12</v>
      </c>
      <c r="F5894">
        <f t="shared" si="92"/>
        <v>0</v>
      </c>
      <c r="G5894" t="s">
        <v>16</v>
      </c>
      <c r="J5894" t="str">
        <f>"11/18/2017 23:45"</f>
        <v>11/18/2017 23:45</v>
      </c>
    </row>
    <row r="5895" spans="1:10" x14ac:dyDescent="0.3">
      <c r="A5895" t="s">
        <v>6</v>
      </c>
      <c r="B5895" t="str">
        <f>"11/19/2017 00:00"</f>
        <v>11/19/2017 00:00</v>
      </c>
      <c r="C5895">
        <v>0</v>
      </c>
      <c r="D5895" t="s">
        <v>7</v>
      </c>
      <c r="E5895" s="2" t="s">
        <v>12</v>
      </c>
      <c r="F5895">
        <f t="shared" si="92"/>
        <v>0</v>
      </c>
      <c r="G5895" t="s">
        <v>16</v>
      </c>
      <c r="J5895" t="str">
        <f>"11/19/2017 23:45"</f>
        <v>11/19/2017 23:45</v>
      </c>
    </row>
    <row r="5896" spans="1:10" x14ac:dyDescent="0.3">
      <c r="A5896" t="s">
        <v>6</v>
      </c>
      <c r="B5896" t="str">
        <f>"11/20/2017 00:00"</f>
        <v>11/20/2017 00:00</v>
      </c>
      <c r="C5896">
        <v>0</v>
      </c>
      <c r="D5896" t="s">
        <v>7</v>
      </c>
      <c r="E5896" s="2" t="s">
        <v>12</v>
      </c>
      <c r="F5896">
        <f t="shared" si="92"/>
        <v>0</v>
      </c>
      <c r="G5896" t="s">
        <v>16</v>
      </c>
      <c r="J5896" t="str">
        <f>"11/20/2017 23:45"</f>
        <v>11/20/2017 23:45</v>
      </c>
    </row>
    <row r="5897" spans="1:10" x14ac:dyDescent="0.3">
      <c r="A5897" t="s">
        <v>6</v>
      </c>
      <c r="B5897" t="str">
        <f>"11/21/2017 00:00"</f>
        <v>11/21/2017 00:00</v>
      </c>
      <c r="C5897">
        <v>0</v>
      </c>
      <c r="D5897" t="s">
        <v>7</v>
      </c>
      <c r="E5897" s="2" t="s">
        <v>12</v>
      </c>
      <c r="F5897">
        <f t="shared" si="92"/>
        <v>0</v>
      </c>
      <c r="G5897" t="s">
        <v>16</v>
      </c>
      <c r="J5897" t="str">
        <f>"11/21/2017 23:45"</f>
        <v>11/21/2017 23:45</v>
      </c>
    </row>
    <row r="5898" spans="1:10" x14ac:dyDescent="0.3">
      <c r="A5898" t="s">
        <v>6</v>
      </c>
      <c r="B5898" t="str">
        <f>"11/22/2017 00:00"</f>
        <v>11/22/2017 00:00</v>
      </c>
      <c r="C5898">
        <v>0</v>
      </c>
      <c r="D5898" t="s">
        <v>7</v>
      </c>
      <c r="E5898" s="2" t="s">
        <v>12</v>
      </c>
      <c r="F5898">
        <f t="shared" si="92"/>
        <v>0</v>
      </c>
      <c r="G5898" t="s">
        <v>16</v>
      </c>
      <c r="J5898" t="str">
        <f>"11/22/2017 23:45"</f>
        <v>11/22/2017 23:45</v>
      </c>
    </row>
    <row r="5899" spans="1:10" x14ac:dyDescent="0.3">
      <c r="A5899" t="s">
        <v>6</v>
      </c>
      <c r="B5899" t="str">
        <f>"11/23/2017 00:00"</f>
        <v>11/23/2017 00:00</v>
      </c>
      <c r="C5899">
        <v>0</v>
      </c>
      <c r="D5899" t="s">
        <v>7</v>
      </c>
      <c r="E5899" s="2" t="s">
        <v>12</v>
      </c>
      <c r="F5899">
        <f t="shared" si="92"/>
        <v>0</v>
      </c>
      <c r="G5899" t="s">
        <v>16</v>
      </c>
      <c r="J5899" t="str">
        <f>"11/23/2017 23:45"</f>
        <v>11/23/2017 23:45</v>
      </c>
    </row>
    <row r="5900" spans="1:10" x14ac:dyDescent="0.3">
      <c r="A5900" t="s">
        <v>6</v>
      </c>
      <c r="B5900" t="str">
        <f>"11/24/2017 00:00"</f>
        <v>11/24/2017 00:00</v>
      </c>
      <c r="C5900">
        <v>0</v>
      </c>
      <c r="D5900" t="s">
        <v>7</v>
      </c>
      <c r="E5900" s="2" t="s">
        <v>12</v>
      </c>
      <c r="F5900">
        <f t="shared" si="92"/>
        <v>0</v>
      </c>
      <c r="G5900" t="s">
        <v>16</v>
      </c>
      <c r="J5900" t="str">
        <f>"11/24/2017 23:45"</f>
        <v>11/24/2017 23:45</v>
      </c>
    </row>
    <row r="5901" spans="1:10" x14ac:dyDescent="0.3">
      <c r="A5901" t="s">
        <v>6</v>
      </c>
      <c r="B5901" t="str">
        <f>"11/25/2017 00:00"</f>
        <v>11/25/2017 00:00</v>
      </c>
      <c r="C5901">
        <v>0</v>
      </c>
      <c r="D5901" t="s">
        <v>7</v>
      </c>
      <c r="E5901" s="2" t="s">
        <v>12</v>
      </c>
      <c r="F5901">
        <f t="shared" si="92"/>
        <v>0</v>
      </c>
      <c r="G5901" t="s">
        <v>16</v>
      </c>
      <c r="J5901" t="str">
        <f>"11/25/2017 23:45"</f>
        <v>11/25/2017 23:45</v>
      </c>
    </row>
    <row r="5902" spans="1:10" x14ac:dyDescent="0.3">
      <c r="A5902" t="s">
        <v>6</v>
      </c>
      <c r="B5902" t="str">
        <f>"11/26/2017 00:00"</f>
        <v>11/26/2017 00:00</v>
      </c>
      <c r="C5902">
        <v>0</v>
      </c>
      <c r="D5902" t="s">
        <v>7</v>
      </c>
      <c r="E5902" s="2" t="s">
        <v>12</v>
      </c>
      <c r="F5902">
        <f t="shared" si="92"/>
        <v>0</v>
      </c>
      <c r="G5902" t="s">
        <v>16</v>
      </c>
      <c r="J5902" t="str">
        <f>"11/26/2017 23:45"</f>
        <v>11/26/2017 23:45</v>
      </c>
    </row>
    <row r="5903" spans="1:10" x14ac:dyDescent="0.3">
      <c r="A5903" t="s">
        <v>6</v>
      </c>
      <c r="B5903" t="str">
        <f>"11/27/2017 00:00"</f>
        <v>11/27/2017 00:00</v>
      </c>
      <c r="C5903">
        <v>0</v>
      </c>
      <c r="D5903" t="s">
        <v>7</v>
      </c>
      <c r="E5903" s="2" t="s">
        <v>12</v>
      </c>
      <c r="F5903">
        <f t="shared" si="92"/>
        <v>0</v>
      </c>
      <c r="G5903" t="s">
        <v>16</v>
      </c>
      <c r="J5903" t="str">
        <f>"11/27/2017 23:45"</f>
        <v>11/27/2017 23:45</v>
      </c>
    </row>
    <row r="5904" spans="1:10" x14ac:dyDescent="0.3">
      <c r="A5904" t="s">
        <v>6</v>
      </c>
      <c r="B5904" t="str">
        <f>"11/28/2017 00:00"</f>
        <v>11/28/2017 00:00</v>
      </c>
      <c r="C5904">
        <v>0</v>
      </c>
      <c r="D5904" t="s">
        <v>7</v>
      </c>
      <c r="E5904" s="2" t="s">
        <v>12</v>
      </c>
      <c r="F5904">
        <f t="shared" si="92"/>
        <v>0</v>
      </c>
      <c r="G5904" t="s">
        <v>16</v>
      </c>
      <c r="J5904" t="str">
        <f>"11/28/2017 23:45"</f>
        <v>11/28/2017 23:45</v>
      </c>
    </row>
    <row r="5905" spans="1:10" x14ac:dyDescent="0.3">
      <c r="A5905" t="s">
        <v>6</v>
      </c>
      <c r="B5905" t="str">
        <f>"11/29/2017 00:00"</f>
        <v>11/29/2017 00:00</v>
      </c>
      <c r="C5905">
        <v>0</v>
      </c>
      <c r="D5905" t="s">
        <v>7</v>
      </c>
      <c r="E5905" s="2" t="s">
        <v>12</v>
      </c>
      <c r="F5905">
        <f t="shared" si="92"/>
        <v>0</v>
      </c>
      <c r="G5905" t="s">
        <v>16</v>
      </c>
      <c r="J5905" t="str">
        <f>"11/29/2017 23:45"</f>
        <v>11/29/2017 23:45</v>
      </c>
    </row>
    <row r="5906" spans="1:10" x14ac:dyDescent="0.3">
      <c r="A5906" t="s">
        <v>6</v>
      </c>
      <c r="B5906" t="str">
        <f>"11/30/2017 00:00"</f>
        <v>11/30/2017 00:00</v>
      </c>
      <c r="C5906">
        <v>0</v>
      </c>
      <c r="D5906" t="s">
        <v>7</v>
      </c>
      <c r="E5906" s="2" t="s">
        <v>12</v>
      </c>
      <c r="F5906">
        <f t="shared" si="92"/>
        <v>0</v>
      </c>
      <c r="G5906" t="s">
        <v>16</v>
      </c>
      <c r="J5906" t="str">
        <f>"11/30/2017 23:45"</f>
        <v>11/30/2017 23:45</v>
      </c>
    </row>
    <row r="5907" spans="1:10" x14ac:dyDescent="0.3">
      <c r="A5907" t="s">
        <v>6</v>
      </c>
      <c r="B5907" t="str">
        <f>"12/01/2017 00:00"</f>
        <v>12/01/2017 00:00</v>
      </c>
      <c r="C5907">
        <v>0</v>
      </c>
      <c r="D5907" t="s">
        <v>7</v>
      </c>
      <c r="E5907" s="2" t="s">
        <v>12</v>
      </c>
      <c r="F5907">
        <f t="shared" si="92"/>
        <v>0</v>
      </c>
      <c r="G5907" t="s">
        <v>16</v>
      </c>
      <c r="J5907" t="str">
        <f>"12/01/2017 23:45"</f>
        <v>12/01/2017 23:45</v>
      </c>
    </row>
    <row r="5908" spans="1:10" x14ac:dyDescent="0.3">
      <c r="A5908" t="s">
        <v>6</v>
      </c>
      <c r="B5908" t="str">
        <f>"12/02/2017 00:00"</f>
        <v>12/02/2017 00:00</v>
      </c>
      <c r="C5908">
        <v>0</v>
      </c>
      <c r="D5908" t="s">
        <v>7</v>
      </c>
      <c r="E5908" s="2" t="s">
        <v>12</v>
      </c>
      <c r="F5908">
        <f t="shared" si="92"/>
        <v>0</v>
      </c>
      <c r="G5908" t="s">
        <v>16</v>
      </c>
      <c r="J5908" t="str">
        <f>"12/02/2017 23:45"</f>
        <v>12/02/2017 23:45</v>
      </c>
    </row>
    <row r="5909" spans="1:10" x14ac:dyDescent="0.3">
      <c r="A5909" t="s">
        <v>6</v>
      </c>
      <c r="B5909" t="str">
        <f>"12/03/2017 00:00"</f>
        <v>12/03/2017 00:00</v>
      </c>
      <c r="C5909">
        <v>0</v>
      </c>
      <c r="D5909" t="s">
        <v>7</v>
      </c>
      <c r="E5909" s="2" t="s">
        <v>12</v>
      </c>
      <c r="F5909">
        <f t="shared" si="92"/>
        <v>0</v>
      </c>
      <c r="G5909" t="s">
        <v>16</v>
      </c>
      <c r="J5909" t="str">
        <f>"12/03/2017 23:45"</f>
        <v>12/03/2017 23:45</v>
      </c>
    </row>
    <row r="5910" spans="1:10" x14ac:dyDescent="0.3">
      <c r="A5910" t="s">
        <v>6</v>
      </c>
      <c r="B5910" t="str">
        <f>"12/04/2017 00:00"</f>
        <v>12/04/2017 00:00</v>
      </c>
      <c r="C5910">
        <v>0</v>
      </c>
      <c r="D5910" t="s">
        <v>7</v>
      </c>
      <c r="E5910" s="2" t="s">
        <v>12</v>
      </c>
      <c r="F5910">
        <f t="shared" si="92"/>
        <v>0</v>
      </c>
      <c r="G5910" t="s">
        <v>16</v>
      </c>
      <c r="J5910" t="str">
        <f>"12/04/2017 23:45"</f>
        <v>12/04/2017 23:45</v>
      </c>
    </row>
    <row r="5911" spans="1:10" x14ac:dyDescent="0.3">
      <c r="A5911" t="s">
        <v>6</v>
      </c>
      <c r="B5911" t="str">
        <f>"12/05/2017 00:00"</f>
        <v>12/05/2017 00:00</v>
      </c>
      <c r="C5911">
        <v>0</v>
      </c>
      <c r="D5911" t="s">
        <v>7</v>
      </c>
      <c r="E5911" s="2" t="s">
        <v>12</v>
      </c>
      <c r="F5911">
        <f t="shared" si="92"/>
        <v>0</v>
      </c>
      <c r="G5911" t="s">
        <v>16</v>
      </c>
      <c r="J5911" t="str">
        <f>"12/05/2017 23:45"</f>
        <v>12/05/2017 23:45</v>
      </c>
    </row>
    <row r="5912" spans="1:10" x14ac:dyDescent="0.3">
      <c r="A5912" t="s">
        <v>6</v>
      </c>
      <c r="B5912" t="str">
        <f>"12/06/2017 00:00"</f>
        <v>12/06/2017 00:00</v>
      </c>
      <c r="C5912">
        <v>0</v>
      </c>
      <c r="D5912" t="s">
        <v>7</v>
      </c>
      <c r="E5912" s="2" t="s">
        <v>12</v>
      </c>
      <c r="F5912">
        <f t="shared" si="92"/>
        <v>0</v>
      </c>
      <c r="G5912" t="s">
        <v>16</v>
      </c>
      <c r="J5912" t="str">
        <f>"12/06/2017 23:45"</f>
        <v>12/06/2017 23:45</v>
      </c>
    </row>
    <row r="5913" spans="1:10" x14ac:dyDescent="0.3">
      <c r="A5913" t="s">
        <v>6</v>
      </c>
      <c r="B5913" t="str">
        <f>"12/07/2017 00:00"</f>
        <v>12/07/2017 00:00</v>
      </c>
      <c r="C5913">
        <v>0</v>
      </c>
      <c r="D5913" t="s">
        <v>7</v>
      </c>
      <c r="E5913" s="2" t="s">
        <v>12</v>
      </c>
      <c r="F5913">
        <f t="shared" si="92"/>
        <v>0</v>
      </c>
      <c r="G5913" t="s">
        <v>16</v>
      </c>
      <c r="J5913" t="str">
        <f>"12/07/2017 23:45"</f>
        <v>12/07/2017 23:45</v>
      </c>
    </row>
    <row r="5914" spans="1:10" x14ac:dyDescent="0.3">
      <c r="A5914" t="s">
        <v>6</v>
      </c>
      <c r="B5914" t="str">
        <f>"12/08/2017 00:00"</f>
        <v>12/08/2017 00:00</v>
      </c>
      <c r="C5914">
        <v>0</v>
      </c>
      <c r="D5914" t="s">
        <v>7</v>
      </c>
      <c r="E5914" s="2" t="s">
        <v>12</v>
      </c>
      <c r="F5914">
        <f t="shared" si="92"/>
        <v>0</v>
      </c>
      <c r="G5914" t="s">
        <v>16</v>
      </c>
      <c r="J5914" t="str">
        <f>"12/08/2017 23:45"</f>
        <v>12/08/2017 23:45</v>
      </c>
    </row>
    <row r="5915" spans="1:10" x14ac:dyDescent="0.3">
      <c r="A5915" t="s">
        <v>6</v>
      </c>
      <c r="B5915" t="str">
        <f>"12/09/2017 00:00"</f>
        <v>12/09/2017 00:00</v>
      </c>
      <c r="C5915">
        <v>0</v>
      </c>
      <c r="D5915" t="s">
        <v>7</v>
      </c>
      <c r="E5915" s="2" t="s">
        <v>12</v>
      </c>
      <c r="F5915">
        <f t="shared" si="92"/>
        <v>0</v>
      </c>
      <c r="G5915" t="s">
        <v>16</v>
      </c>
      <c r="J5915" t="str">
        <f>"12/09/2017 23:45"</f>
        <v>12/09/2017 23:45</v>
      </c>
    </row>
    <row r="5916" spans="1:10" x14ac:dyDescent="0.3">
      <c r="A5916" t="s">
        <v>6</v>
      </c>
      <c r="B5916" t="str">
        <f>"12/10/2017 00:00"</f>
        <v>12/10/2017 00:00</v>
      </c>
      <c r="C5916">
        <v>0</v>
      </c>
      <c r="D5916" t="s">
        <v>7</v>
      </c>
      <c r="E5916" s="2" t="s">
        <v>12</v>
      </c>
      <c r="F5916">
        <f t="shared" si="92"/>
        <v>0</v>
      </c>
      <c r="G5916" t="s">
        <v>16</v>
      </c>
      <c r="J5916" t="str">
        <f>"12/10/2017 23:45"</f>
        <v>12/10/2017 23:45</v>
      </c>
    </row>
    <row r="5917" spans="1:10" x14ac:dyDescent="0.3">
      <c r="A5917" t="s">
        <v>6</v>
      </c>
      <c r="B5917" t="str">
        <f>"12/11/2017 00:00"</f>
        <v>12/11/2017 00:00</v>
      </c>
      <c r="C5917">
        <v>0</v>
      </c>
      <c r="D5917" t="s">
        <v>7</v>
      </c>
      <c r="E5917" s="2" t="s">
        <v>12</v>
      </c>
      <c r="F5917">
        <f t="shared" si="92"/>
        <v>0</v>
      </c>
      <c r="G5917" t="s">
        <v>16</v>
      </c>
      <c r="J5917" t="str">
        <f>"12/11/2017 23:45"</f>
        <v>12/11/2017 23:45</v>
      </c>
    </row>
    <row r="5918" spans="1:10" x14ac:dyDescent="0.3">
      <c r="A5918" t="s">
        <v>6</v>
      </c>
      <c r="B5918" t="str">
        <f>"12/12/2017 00:00"</f>
        <v>12/12/2017 00:00</v>
      </c>
      <c r="C5918">
        <v>0</v>
      </c>
      <c r="D5918" t="s">
        <v>7</v>
      </c>
      <c r="E5918" s="2" t="s">
        <v>12</v>
      </c>
      <c r="F5918">
        <f t="shared" si="92"/>
        <v>0</v>
      </c>
      <c r="G5918" t="s">
        <v>16</v>
      </c>
      <c r="J5918" t="str">
        <f>"12/12/2017 23:45"</f>
        <v>12/12/2017 23:45</v>
      </c>
    </row>
    <row r="5919" spans="1:10" x14ac:dyDescent="0.3">
      <c r="A5919" t="s">
        <v>6</v>
      </c>
      <c r="B5919" t="str">
        <f>"12/13/2017 00:00"</f>
        <v>12/13/2017 00:00</v>
      </c>
      <c r="C5919">
        <v>0</v>
      </c>
      <c r="D5919" t="s">
        <v>7</v>
      </c>
      <c r="E5919" s="2" t="s">
        <v>12</v>
      </c>
      <c r="F5919">
        <f t="shared" si="92"/>
        <v>0</v>
      </c>
      <c r="G5919" t="s">
        <v>16</v>
      </c>
      <c r="J5919" t="str">
        <f>"12/13/2017 23:45"</f>
        <v>12/13/2017 23:45</v>
      </c>
    </row>
    <row r="5920" spans="1:10" x14ac:dyDescent="0.3">
      <c r="A5920" t="s">
        <v>6</v>
      </c>
      <c r="B5920" t="str">
        <f>"12/14/2017 00:00"</f>
        <v>12/14/2017 00:00</v>
      </c>
      <c r="C5920">
        <v>0</v>
      </c>
      <c r="D5920" t="s">
        <v>7</v>
      </c>
      <c r="E5920" s="2" t="s">
        <v>12</v>
      </c>
      <c r="F5920">
        <f t="shared" si="92"/>
        <v>0</v>
      </c>
      <c r="G5920" t="s">
        <v>16</v>
      </c>
      <c r="J5920" t="str">
        <f>"12/14/2017 23:45"</f>
        <v>12/14/2017 23:45</v>
      </c>
    </row>
    <row r="5921" spans="1:10" x14ac:dyDescent="0.3">
      <c r="A5921" t="s">
        <v>6</v>
      </c>
      <c r="B5921" t="str">
        <f>"12/15/2017 00:00"</f>
        <v>12/15/2017 00:00</v>
      </c>
      <c r="C5921">
        <v>0</v>
      </c>
      <c r="D5921" t="s">
        <v>7</v>
      </c>
      <c r="E5921" s="2" t="s">
        <v>12</v>
      </c>
      <c r="F5921">
        <f t="shared" si="92"/>
        <v>0</v>
      </c>
      <c r="G5921" t="s">
        <v>16</v>
      </c>
      <c r="J5921" t="str">
        <f>"12/15/2017 23:45"</f>
        <v>12/15/2017 23:45</v>
      </c>
    </row>
    <row r="5922" spans="1:10" x14ac:dyDescent="0.3">
      <c r="A5922" t="s">
        <v>6</v>
      </c>
      <c r="B5922" t="str">
        <f>"12/16/2017 00:00"</f>
        <v>12/16/2017 00:00</v>
      </c>
      <c r="C5922">
        <v>1.6299999999999999E-2</v>
      </c>
      <c r="D5922" t="s">
        <v>7</v>
      </c>
      <c r="E5922" s="2" t="s">
        <v>12</v>
      </c>
      <c r="F5922">
        <f t="shared" si="92"/>
        <v>3.2322900000000002E-2</v>
      </c>
      <c r="G5922" t="s">
        <v>16</v>
      </c>
      <c r="J5922" t="str">
        <f>"12/16/2017 23:45"</f>
        <v>12/16/2017 23:45</v>
      </c>
    </row>
    <row r="5923" spans="1:10" x14ac:dyDescent="0.3">
      <c r="A5923" t="s">
        <v>6</v>
      </c>
      <c r="B5923" t="str">
        <f>"12/17/2017 00:00"</f>
        <v>12/17/2017 00:00</v>
      </c>
      <c r="C5923">
        <v>0.437</v>
      </c>
      <c r="D5923" t="s">
        <v>7</v>
      </c>
      <c r="E5923" s="2" t="s">
        <v>12</v>
      </c>
      <c r="F5923">
        <f t="shared" si="92"/>
        <v>0.86657100000000009</v>
      </c>
      <c r="G5923" t="s">
        <v>16</v>
      </c>
      <c r="J5923" t="str">
        <f>"12/17/2017 23:45"</f>
        <v>12/17/2017 23:45</v>
      </c>
    </row>
    <row r="5924" spans="1:10" x14ac:dyDescent="0.3">
      <c r="A5924" t="s">
        <v>6</v>
      </c>
      <c r="B5924" t="str">
        <f>"12/18/2017 00:00"</f>
        <v>12/18/2017 00:00</v>
      </c>
      <c r="C5924">
        <v>0.442</v>
      </c>
      <c r="D5924" t="s">
        <v>7</v>
      </c>
      <c r="E5924" s="2" t="s">
        <v>12</v>
      </c>
      <c r="F5924">
        <f t="shared" si="92"/>
        <v>0.8764860000000001</v>
      </c>
      <c r="G5924" t="s">
        <v>16</v>
      </c>
      <c r="J5924" t="str">
        <f>"12/18/2017 23:45"</f>
        <v>12/18/2017 23:45</v>
      </c>
    </row>
    <row r="5925" spans="1:10" x14ac:dyDescent="0.3">
      <c r="A5925" t="s">
        <v>6</v>
      </c>
      <c r="B5925" t="str">
        <f>"12/19/2017 00:00"</f>
        <v>12/19/2017 00:00</v>
      </c>
      <c r="C5925">
        <v>0.442</v>
      </c>
      <c r="D5925" t="s">
        <v>7</v>
      </c>
      <c r="E5925" s="2" t="s">
        <v>12</v>
      </c>
      <c r="F5925">
        <f t="shared" si="92"/>
        <v>0.8764860000000001</v>
      </c>
      <c r="G5925" t="s">
        <v>16</v>
      </c>
      <c r="J5925" t="str">
        <f>"12/19/2017 23:45"</f>
        <v>12/19/2017 23:45</v>
      </c>
    </row>
    <row r="5926" spans="1:10" x14ac:dyDescent="0.3">
      <c r="A5926" t="s">
        <v>6</v>
      </c>
      <c r="B5926" t="str">
        <f>"12/20/2017 00:00"</f>
        <v>12/20/2017 00:00</v>
      </c>
      <c r="C5926">
        <v>0.442</v>
      </c>
      <c r="D5926" t="s">
        <v>7</v>
      </c>
      <c r="E5926" s="2" t="s">
        <v>12</v>
      </c>
      <c r="F5926">
        <f t="shared" si="92"/>
        <v>0.8764860000000001</v>
      </c>
      <c r="G5926" t="s">
        <v>16</v>
      </c>
      <c r="J5926" t="str">
        <f>"12/20/2017 23:45"</f>
        <v>12/20/2017 23:45</v>
      </c>
    </row>
    <row r="5927" spans="1:10" x14ac:dyDescent="0.3">
      <c r="A5927" t="s">
        <v>6</v>
      </c>
      <c r="B5927" t="str">
        <f>"12/21/2017 00:00"</f>
        <v>12/21/2017 00:00</v>
      </c>
      <c r="C5927">
        <v>0.442</v>
      </c>
      <c r="D5927" t="s">
        <v>7</v>
      </c>
      <c r="E5927" s="2" t="s">
        <v>12</v>
      </c>
      <c r="F5927">
        <f t="shared" si="92"/>
        <v>0.8764860000000001</v>
      </c>
      <c r="G5927" t="s">
        <v>16</v>
      </c>
      <c r="J5927" t="str">
        <f>"12/21/2017 23:45"</f>
        <v>12/21/2017 23:45</v>
      </c>
    </row>
    <row r="5928" spans="1:10" x14ac:dyDescent="0.3">
      <c r="A5928" t="s">
        <v>6</v>
      </c>
      <c r="B5928" t="str">
        <f>"12/22/2017 00:00"</f>
        <v>12/22/2017 00:00</v>
      </c>
      <c r="C5928">
        <v>0.442</v>
      </c>
      <c r="D5928" t="s">
        <v>7</v>
      </c>
      <c r="E5928" s="2" t="s">
        <v>12</v>
      </c>
      <c r="F5928">
        <f t="shared" si="92"/>
        <v>0.8764860000000001</v>
      </c>
      <c r="G5928" t="s">
        <v>16</v>
      </c>
      <c r="J5928" t="str">
        <f>"12/22/2017 23:45"</f>
        <v>12/22/2017 23:45</v>
      </c>
    </row>
    <row r="5929" spans="1:10" x14ac:dyDescent="0.3">
      <c r="A5929" t="s">
        <v>6</v>
      </c>
      <c r="B5929" t="str">
        <f>"12/23/2017 00:00"</f>
        <v>12/23/2017 00:00</v>
      </c>
      <c r="C5929">
        <v>0.36599999999999999</v>
      </c>
      <c r="D5929" t="s">
        <v>7</v>
      </c>
      <c r="E5929" s="2" t="s">
        <v>12</v>
      </c>
      <c r="F5929">
        <f t="shared" si="92"/>
        <v>0.72577800000000003</v>
      </c>
      <c r="G5929" t="s">
        <v>16</v>
      </c>
      <c r="J5929" t="str">
        <f>"12/23/2017 23:45"</f>
        <v>12/23/2017 23:45</v>
      </c>
    </row>
    <row r="5930" spans="1:10" x14ac:dyDescent="0.3">
      <c r="A5930" t="s">
        <v>6</v>
      </c>
      <c r="B5930" t="str">
        <f>"12/24/2017 00:00"</f>
        <v>12/24/2017 00:00</v>
      </c>
      <c r="C5930">
        <v>0.27900000000000003</v>
      </c>
      <c r="D5930" t="s">
        <v>7</v>
      </c>
      <c r="E5930" s="2" t="s">
        <v>12</v>
      </c>
      <c r="F5930">
        <f t="shared" si="92"/>
        <v>0.55325700000000011</v>
      </c>
      <c r="G5930" t="s">
        <v>16</v>
      </c>
      <c r="J5930" t="str">
        <f>"12/24/2017 23:45"</f>
        <v>12/24/2017 23:45</v>
      </c>
    </row>
    <row r="5931" spans="1:10" x14ac:dyDescent="0.3">
      <c r="A5931" t="s">
        <v>6</v>
      </c>
      <c r="B5931" t="str">
        <f>"12/25/2017 00:00"</f>
        <v>12/25/2017 00:00</v>
      </c>
      <c r="C5931">
        <v>0.27900000000000003</v>
      </c>
      <c r="D5931" t="s">
        <v>7</v>
      </c>
      <c r="E5931" s="2" t="s">
        <v>12</v>
      </c>
      <c r="F5931">
        <f t="shared" si="92"/>
        <v>0.55325700000000011</v>
      </c>
      <c r="G5931" t="s">
        <v>16</v>
      </c>
      <c r="J5931" t="str">
        <f>"12/25/2017 23:45"</f>
        <v>12/25/2017 23:45</v>
      </c>
    </row>
    <row r="5932" spans="1:10" x14ac:dyDescent="0.3">
      <c r="A5932" t="s">
        <v>6</v>
      </c>
      <c r="B5932" t="str">
        <f>"12/26/2017 00:00"</f>
        <v>12/26/2017 00:00</v>
      </c>
      <c r="C5932">
        <v>0.73599999999999999</v>
      </c>
      <c r="D5932" t="s">
        <v>7</v>
      </c>
      <c r="E5932" s="2" t="s">
        <v>12</v>
      </c>
      <c r="F5932">
        <f t="shared" si="92"/>
        <v>1.4594880000000001</v>
      </c>
      <c r="G5932" t="s">
        <v>16</v>
      </c>
      <c r="J5932" t="str">
        <f>"12/26/2017 23:45"</f>
        <v>12/26/2017 23:45</v>
      </c>
    </row>
    <row r="5933" spans="1:10" x14ac:dyDescent="0.3">
      <c r="A5933" t="s">
        <v>6</v>
      </c>
      <c r="B5933" t="str">
        <f>"12/27/2017 00:00"</f>
        <v>12/27/2017 00:00</v>
      </c>
      <c r="C5933">
        <v>1.51</v>
      </c>
      <c r="D5933" t="s">
        <v>7</v>
      </c>
      <c r="E5933" s="2" t="s">
        <v>12</v>
      </c>
      <c r="F5933">
        <f t="shared" si="92"/>
        <v>2.9943300000000002</v>
      </c>
      <c r="G5933" t="s">
        <v>16</v>
      </c>
      <c r="J5933" t="str">
        <f>"12/27/2017 23:45"</f>
        <v>12/27/2017 23:45</v>
      </c>
    </row>
    <row r="5934" spans="1:10" x14ac:dyDescent="0.3">
      <c r="A5934" t="s">
        <v>6</v>
      </c>
      <c r="B5934" t="str">
        <f>"12/28/2017 00:00"</f>
        <v>12/28/2017 00:00</v>
      </c>
      <c r="C5934">
        <v>1.92</v>
      </c>
      <c r="D5934" t="s">
        <v>7</v>
      </c>
      <c r="E5934" s="2" t="s">
        <v>12</v>
      </c>
      <c r="F5934">
        <f t="shared" si="92"/>
        <v>3.8073600000000001</v>
      </c>
      <c r="G5934" t="s">
        <v>16</v>
      </c>
      <c r="J5934" t="str">
        <f>"12/28/2017 23:45"</f>
        <v>12/28/2017 23:45</v>
      </c>
    </row>
    <row r="5935" spans="1:10" x14ac:dyDescent="0.3">
      <c r="A5935" t="s">
        <v>6</v>
      </c>
      <c r="B5935" t="str">
        <f>"12/29/2017 00:00"</f>
        <v>12/29/2017 00:00</v>
      </c>
      <c r="C5935">
        <v>1.92</v>
      </c>
      <c r="D5935" t="s">
        <v>7</v>
      </c>
      <c r="E5935" s="2" t="s">
        <v>12</v>
      </c>
      <c r="F5935">
        <f t="shared" si="92"/>
        <v>3.8073600000000001</v>
      </c>
      <c r="G5935" t="s">
        <v>16</v>
      </c>
      <c r="J5935" t="str">
        <f>"12/29/2017 23:45"</f>
        <v>12/29/2017 23:45</v>
      </c>
    </row>
    <row r="5936" spans="1:10" x14ac:dyDescent="0.3">
      <c r="A5936" t="s">
        <v>6</v>
      </c>
      <c r="B5936" t="str">
        <f>"12/30/2017 00:00"</f>
        <v>12/30/2017 00:00</v>
      </c>
      <c r="C5936">
        <v>1.89</v>
      </c>
      <c r="D5936" t="s">
        <v>7</v>
      </c>
      <c r="E5936" s="2" t="s">
        <v>12</v>
      </c>
      <c r="F5936">
        <f t="shared" si="92"/>
        <v>3.7478699999999998</v>
      </c>
      <c r="G5936" t="s">
        <v>16</v>
      </c>
      <c r="J5936" t="str">
        <f>"12/30/2017 23:45"</f>
        <v>12/30/2017 23:45</v>
      </c>
    </row>
    <row r="5937" spans="1:10" x14ac:dyDescent="0.3">
      <c r="A5937" t="s">
        <v>6</v>
      </c>
      <c r="B5937" t="str">
        <f>"12/31/2017 00:00"</f>
        <v>12/31/2017 00:00</v>
      </c>
      <c r="C5937">
        <v>1.62</v>
      </c>
      <c r="D5937" t="s">
        <v>7</v>
      </c>
      <c r="E5937" s="2" t="s">
        <v>12</v>
      </c>
      <c r="F5937">
        <f t="shared" si="92"/>
        <v>3.2124600000000005</v>
      </c>
      <c r="G5937" t="s">
        <v>16</v>
      </c>
      <c r="J5937" t="str">
        <f>"12/31/2017 23:45"</f>
        <v>12/31/2017 23:45</v>
      </c>
    </row>
    <row r="5938" spans="1:10" x14ac:dyDescent="0.3">
      <c r="A5938" t="s">
        <v>6</v>
      </c>
      <c r="B5938" t="str">
        <f>"01/01/2018 00:00"</f>
        <v>01/01/2018 00:00</v>
      </c>
      <c r="C5938">
        <v>1.62</v>
      </c>
      <c r="D5938" t="s">
        <v>7</v>
      </c>
      <c r="E5938" s="2" t="s">
        <v>12</v>
      </c>
      <c r="F5938">
        <f t="shared" si="92"/>
        <v>3.2124600000000005</v>
      </c>
      <c r="G5938" t="s">
        <v>16</v>
      </c>
      <c r="J5938" t="str">
        <f>"01/01/2018 23:45"</f>
        <v>01/01/2018 23:45</v>
      </c>
    </row>
    <row r="5939" spans="1:10" x14ac:dyDescent="0.3">
      <c r="A5939" t="s">
        <v>6</v>
      </c>
      <c r="B5939" t="str">
        <f>"01/02/2018 00:00"</f>
        <v>01/02/2018 00:00</v>
      </c>
      <c r="C5939">
        <v>1.62</v>
      </c>
      <c r="D5939" t="s">
        <v>7</v>
      </c>
      <c r="E5939" s="2" t="s">
        <v>12</v>
      </c>
      <c r="F5939">
        <f t="shared" si="92"/>
        <v>3.2124600000000005</v>
      </c>
      <c r="G5939" t="s">
        <v>16</v>
      </c>
      <c r="J5939" t="str">
        <f>"01/02/2018 23:45"</f>
        <v>01/02/2018 23:45</v>
      </c>
    </row>
    <row r="5940" spans="1:10" x14ac:dyDescent="0.3">
      <c r="A5940" t="s">
        <v>6</v>
      </c>
      <c r="B5940" t="str">
        <f>"01/03/2018 00:00"</f>
        <v>01/03/2018 00:00</v>
      </c>
      <c r="C5940">
        <v>1.62</v>
      </c>
      <c r="D5940" t="s">
        <v>7</v>
      </c>
      <c r="E5940" s="2" t="s">
        <v>12</v>
      </c>
      <c r="F5940">
        <f t="shared" si="92"/>
        <v>3.2124600000000005</v>
      </c>
      <c r="G5940" t="s">
        <v>16</v>
      </c>
      <c r="J5940" t="str">
        <f>"01/03/2018 23:45"</f>
        <v>01/03/2018 23:45</v>
      </c>
    </row>
    <row r="5941" spans="1:10" x14ac:dyDescent="0.3">
      <c r="A5941" t="s">
        <v>6</v>
      </c>
      <c r="B5941" t="str">
        <f>"01/04/2018 00:00"</f>
        <v>01/04/2018 00:00</v>
      </c>
      <c r="C5941">
        <v>1.62</v>
      </c>
      <c r="D5941" t="s">
        <v>7</v>
      </c>
      <c r="E5941" s="2" t="s">
        <v>12</v>
      </c>
      <c r="F5941">
        <f t="shared" si="92"/>
        <v>3.2124600000000005</v>
      </c>
      <c r="G5941" t="s">
        <v>16</v>
      </c>
      <c r="J5941" t="str">
        <f>"01/04/2018 23:45"</f>
        <v>01/04/2018 23:45</v>
      </c>
    </row>
    <row r="5942" spans="1:10" x14ac:dyDescent="0.3">
      <c r="A5942" t="s">
        <v>6</v>
      </c>
      <c r="B5942" t="str">
        <f>"01/05/2018 00:00"</f>
        <v>01/05/2018 00:00</v>
      </c>
      <c r="C5942">
        <v>1.62</v>
      </c>
      <c r="D5942" t="s">
        <v>7</v>
      </c>
      <c r="E5942" s="2" t="s">
        <v>12</v>
      </c>
      <c r="F5942">
        <f t="shared" si="92"/>
        <v>3.2124600000000005</v>
      </c>
      <c r="G5942" t="s">
        <v>16</v>
      </c>
      <c r="J5942" t="str">
        <f>"01/05/2018 23:45"</f>
        <v>01/05/2018 23:45</v>
      </c>
    </row>
    <row r="5943" spans="1:10" x14ac:dyDescent="0.3">
      <c r="A5943" t="s">
        <v>6</v>
      </c>
      <c r="B5943" t="str">
        <f>"01/06/2018 00:00"</f>
        <v>01/06/2018 00:00</v>
      </c>
      <c r="C5943">
        <v>1.62</v>
      </c>
      <c r="D5943" t="s">
        <v>7</v>
      </c>
      <c r="E5943" s="2" t="s">
        <v>12</v>
      </c>
      <c r="F5943">
        <f t="shared" si="92"/>
        <v>3.2124600000000005</v>
      </c>
      <c r="G5943" t="s">
        <v>16</v>
      </c>
      <c r="J5943" t="str">
        <f>"01/06/2018 23:45"</f>
        <v>01/06/2018 23:45</v>
      </c>
    </row>
    <row r="5944" spans="1:10" x14ac:dyDescent="0.3">
      <c r="A5944" t="s">
        <v>6</v>
      </c>
      <c r="B5944" t="str">
        <f>"01/07/2018 00:00"</f>
        <v>01/07/2018 00:00</v>
      </c>
      <c r="C5944">
        <v>1.62</v>
      </c>
      <c r="D5944" t="s">
        <v>7</v>
      </c>
      <c r="E5944" s="2" t="s">
        <v>12</v>
      </c>
      <c r="F5944">
        <f t="shared" si="92"/>
        <v>3.2124600000000005</v>
      </c>
      <c r="G5944" t="s">
        <v>16</v>
      </c>
      <c r="J5944" t="str">
        <f>"01/07/2018 23:45"</f>
        <v>01/07/2018 23:45</v>
      </c>
    </row>
    <row r="5945" spans="1:10" x14ac:dyDescent="0.3">
      <c r="A5945" t="s">
        <v>6</v>
      </c>
      <c r="B5945" t="str">
        <f>"01/08/2018 00:00"</f>
        <v>01/08/2018 00:00</v>
      </c>
      <c r="C5945">
        <v>1.62</v>
      </c>
      <c r="D5945" t="s">
        <v>7</v>
      </c>
      <c r="E5945" s="2" t="s">
        <v>12</v>
      </c>
      <c r="F5945">
        <f t="shared" si="92"/>
        <v>3.2124600000000005</v>
      </c>
      <c r="G5945" t="s">
        <v>16</v>
      </c>
      <c r="J5945" t="str">
        <f>"01/08/2018 23:45"</f>
        <v>01/08/2018 23:45</v>
      </c>
    </row>
    <row r="5946" spans="1:10" x14ac:dyDescent="0.3">
      <c r="A5946" t="s">
        <v>6</v>
      </c>
      <c r="B5946" t="str">
        <f>"01/09/2018 00:00"</f>
        <v>01/09/2018 00:00</v>
      </c>
      <c r="C5946">
        <v>1.53</v>
      </c>
      <c r="D5946" t="s">
        <v>7</v>
      </c>
      <c r="E5946" s="2" t="s">
        <v>12</v>
      </c>
      <c r="F5946">
        <f t="shared" si="92"/>
        <v>3.0339900000000002</v>
      </c>
      <c r="G5946" t="s">
        <v>16</v>
      </c>
      <c r="J5946" t="str">
        <f>"01/09/2018 23:45"</f>
        <v>01/09/2018 23:45</v>
      </c>
    </row>
    <row r="5947" spans="1:10" x14ac:dyDescent="0.3">
      <c r="A5947" t="s">
        <v>6</v>
      </c>
      <c r="B5947" t="str">
        <f>"01/10/2018 00:00"</f>
        <v>01/10/2018 00:00</v>
      </c>
      <c r="C5947">
        <v>0.622</v>
      </c>
      <c r="D5947" t="s">
        <v>7</v>
      </c>
      <c r="E5947" s="2" t="s">
        <v>12</v>
      </c>
      <c r="F5947">
        <f t="shared" si="92"/>
        <v>1.2334260000000001</v>
      </c>
      <c r="G5947" t="s">
        <v>16</v>
      </c>
      <c r="J5947" t="str">
        <f>"01/10/2018 23:45"</f>
        <v>01/10/2018 23:45</v>
      </c>
    </row>
    <row r="5948" spans="1:10" x14ac:dyDescent="0.3">
      <c r="A5948" t="s">
        <v>6</v>
      </c>
      <c r="B5948" t="str">
        <f>"01/11/2018 00:00"</f>
        <v>01/11/2018 00:00</v>
      </c>
      <c r="C5948">
        <v>0.27900000000000003</v>
      </c>
      <c r="D5948" t="s">
        <v>7</v>
      </c>
      <c r="E5948" s="2" t="s">
        <v>12</v>
      </c>
      <c r="F5948">
        <f t="shared" si="92"/>
        <v>0.55325700000000011</v>
      </c>
      <c r="G5948" t="s">
        <v>16</v>
      </c>
      <c r="J5948" t="str">
        <f>"01/11/2018 23:45"</f>
        <v>01/11/2018 23:45</v>
      </c>
    </row>
    <row r="5949" spans="1:10" x14ac:dyDescent="0.3">
      <c r="A5949" t="s">
        <v>6</v>
      </c>
      <c r="B5949" t="str">
        <f>"01/12/2018 00:00"</f>
        <v>01/12/2018 00:00</v>
      </c>
      <c r="C5949">
        <v>0.27900000000000003</v>
      </c>
      <c r="D5949" t="s">
        <v>7</v>
      </c>
      <c r="E5949" s="2" t="s">
        <v>12</v>
      </c>
      <c r="F5949">
        <f t="shared" si="92"/>
        <v>0.55325700000000011</v>
      </c>
      <c r="G5949" t="s">
        <v>16</v>
      </c>
      <c r="J5949" t="str">
        <f>"01/12/2018 23:45"</f>
        <v>01/12/2018 23:45</v>
      </c>
    </row>
    <row r="5950" spans="1:10" x14ac:dyDescent="0.3">
      <c r="A5950" t="s">
        <v>6</v>
      </c>
      <c r="B5950" t="str">
        <f>"01/13/2018 00:00"</f>
        <v>01/13/2018 00:00</v>
      </c>
      <c r="C5950">
        <v>0.27900000000000003</v>
      </c>
      <c r="D5950" t="s">
        <v>7</v>
      </c>
      <c r="E5950" s="2" t="s">
        <v>12</v>
      </c>
      <c r="F5950">
        <f t="shared" si="92"/>
        <v>0.55325700000000011</v>
      </c>
      <c r="G5950" t="s">
        <v>16</v>
      </c>
      <c r="J5950" t="str">
        <f>"01/13/2018 23:45"</f>
        <v>01/13/2018 23:45</v>
      </c>
    </row>
    <row r="5951" spans="1:10" x14ac:dyDescent="0.3">
      <c r="A5951" t="s">
        <v>6</v>
      </c>
      <c r="B5951" t="str">
        <f>"01/14/2018 00:00"</f>
        <v>01/14/2018 00:00</v>
      </c>
      <c r="C5951">
        <v>0.27900000000000003</v>
      </c>
      <c r="D5951" t="s">
        <v>7</v>
      </c>
      <c r="E5951" s="2" t="s">
        <v>12</v>
      </c>
      <c r="F5951">
        <f t="shared" si="92"/>
        <v>0.55325700000000011</v>
      </c>
      <c r="G5951" t="s">
        <v>16</v>
      </c>
      <c r="J5951" t="str">
        <f>"01/14/2018 23:45"</f>
        <v>01/14/2018 23:45</v>
      </c>
    </row>
    <row r="5952" spans="1:10" x14ac:dyDescent="0.3">
      <c r="A5952" t="s">
        <v>6</v>
      </c>
      <c r="B5952" t="str">
        <f>"01/15/2018 00:00"</f>
        <v>01/15/2018 00:00</v>
      </c>
      <c r="C5952">
        <v>0.27900000000000003</v>
      </c>
      <c r="D5952" t="s">
        <v>7</v>
      </c>
      <c r="E5952" s="2" t="s">
        <v>12</v>
      </c>
      <c r="F5952">
        <f t="shared" si="92"/>
        <v>0.55325700000000011</v>
      </c>
      <c r="G5952" t="s">
        <v>16</v>
      </c>
      <c r="J5952" t="str">
        <f>"01/15/2018 23:45"</f>
        <v>01/15/2018 23:45</v>
      </c>
    </row>
    <row r="5953" spans="1:10" x14ac:dyDescent="0.3">
      <c r="A5953" t="s">
        <v>6</v>
      </c>
      <c r="B5953" t="str">
        <f>"01/16/2018 00:00"</f>
        <v>01/16/2018 00:00</v>
      </c>
      <c r="C5953">
        <v>0.27900000000000003</v>
      </c>
      <c r="D5953" t="s">
        <v>7</v>
      </c>
      <c r="E5953" s="2" t="s">
        <v>12</v>
      </c>
      <c r="F5953">
        <f t="shared" si="92"/>
        <v>0.55325700000000011</v>
      </c>
      <c r="G5953" t="s">
        <v>16</v>
      </c>
      <c r="J5953" t="str">
        <f>"01/16/2018 23:45"</f>
        <v>01/16/2018 23:45</v>
      </c>
    </row>
    <row r="5954" spans="1:10" x14ac:dyDescent="0.3">
      <c r="A5954" t="s">
        <v>6</v>
      </c>
      <c r="B5954" t="str">
        <f>"01/17/2018 00:00"</f>
        <v>01/17/2018 00:00</v>
      </c>
      <c r="C5954">
        <v>0.27900000000000003</v>
      </c>
      <c r="D5954" t="s">
        <v>7</v>
      </c>
      <c r="E5954" s="2" t="s">
        <v>12</v>
      </c>
      <c r="F5954">
        <f t="shared" si="92"/>
        <v>0.55325700000000011</v>
      </c>
      <c r="G5954" t="s">
        <v>16</v>
      </c>
      <c r="J5954" t="str">
        <f>"01/17/2018 23:45"</f>
        <v>01/17/2018 23:45</v>
      </c>
    </row>
    <row r="5955" spans="1:10" x14ac:dyDescent="0.3">
      <c r="A5955" t="s">
        <v>6</v>
      </c>
      <c r="B5955" t="str">
        <f>"01/18/2018 00:00"</f>
        <v>01/18/2018 00:00</v>
      </c>
      <c r="C5955">
        <v>0.27900000000000003</v>
      </c>
      <c r="D5955" t="s">
        <v>7</v>
      </c>
      <c r="E5955" s="2" t="s">
        <v>12</v>
      </c>
      <c r="F5955">
        <f t="shared" si="92"/>
        <v>0.55325700000000011</v>
      </c>
      <c r="G5955" t="s">
        <v>16</v>
      </c>
      <c r="J5955" t="str">
        <f>"01/18/2018 23:45"</f>
        <v>01/18/2018 23:45</v>
      </c>
    </row>
    <row r="5956" spans="1:10" x14ac:dyDescent="0.3">
      <c r="A5956" t="s">
        <v>6</v>
      </c>
      <c r="B5956" t="str">
        <f>"01/19/2018 00:00"</f>
        <v>01/19/2018 00:00</v>
      </c>
      <c r="C5956">
        <v>0.27900000000000003</v>
      </c>
      <c r="D5956" t="s">
        <v>7</v>
      </c>
      <c r="E5956" s="2" t="s">
        <v>12</v>
      </c>
      <c r="F5956">
        <f t="shared" ref="F5956:F6019" si="93">C5956*1.983</f>
        <v>0.55325700000000011</v>
      </c>
      <c r="G5956" t="s">
        <v>16</v>
      </c>
      <c r="J5956" t="str">
        <f>"01/19/2018 23:45"</f>
        <v>01/19/2018 23:45</v>
      </c>
    </row>
    <row r="5957" spans="1:10" x14ac:dyDescent="0.3">
      <c r="A5957" t="s">
        <v>6</v>
      </c>
      <c r="B5957" t="str">
        <f>"01/20/2018 00:00"</f>
        <v>01/20/2018 00:00</v>
      </c>
      <c r="C5957">
        <v>0.27900000000000003</v>
      </c>
      <c r="D5957" t="s">
        <v>7</v>
      </c>
      <c r="E5957" s="2" t="s">
        <v>12</v>
      </c>
      <c r="F5957">
        <f t="shared" si="93"/>
        <v>0.55325700000000011</v>
      </c>
      <c r="G5957" t="s">
        <v>16</v>
      </c>
      <c r="J5957" t="str">
        <f>"01/20/2018 23:45"</f>
        <v>01/20/2018 23:45</v>
      </c>
    </row>
    <row r="5958" spans="1:10" x14ac:dyDescent="0.3">
      <c r="A5958" t="s">
        <v>6</v>
      </c>
      <c r="B5958" t="str">
        <f>"01/21/2018 00:00"</f>
        <v>01/21/2018 00:00</v>
      </c>
      <c r="C5958">
        <v>0.27900000000000003</v>
      </c>
      <c r="D5958" t="s">
        <v>7</v>
      </c>
      <c r="E5958" s="2" t="s">
        <v>12</v>
      </c>
      <c r="F5958">
        <f t="shared" si="93"/>
        <v>0.55325700000000011</v>
      </c>
      <c r="G5958" t="s">
        <v>16</v>
      </c>
      <c r="J5958" t="str">
        <f>"01/21/2018 23:45"</f>
        <v>01/21/2018 23:45</v>
      </c>
    </row>
    <row r="5959" spans="1:10" x14ac:dyDescent="0.3">
      <c r="A5959" t="s">
        <v>6</v>
      </c>
      <c r="B5959" t="str">
        <f>"01/22/2018 00:00"</f>
        <v>01/22/2018 00:00</v>
      </c>
      <c r="C5959">
        <v>0.217</v>
      </c>
      <c r="D5959" t="s">
        <v>7</v>
      </c>
      <c r="E5959" s="2" t="s">
        <v>12</v>
      </c>
      <c r="F5959">
        <f t="shared" si="93"/>
        <v>0.430311</v>
      </c>
      <c r="G5959" t="s">
        <v>16</v>
      </c>
      <c r="J5959" t="str">
        <f>"01/22/2018 23:45"</f>
        <v>01/22/2018 23:45</v>
      </c>
    </row>
    <row r="5960" spans="1:10" x14ac:dyDescent="0.3">
      <c r="A5960" t="s">
        <v>6</v>
      </c>
      <c r="B5960" t="str">
        <f>"01/23/2018 00:00"</f>
        <v>01/23/2018 00:00</v>
      </c>
      <c r="C5960">
        <v>0.14599999999999999</v>
      </c>
      <c r="D5960" t="s">
        <v>7</v>
      </c>
      <c r="E5960" s="2" t="s">
        <v>12</v>
      </c>
      <c r="F5960">
        <f t="shared" si="93"/>
        <v>0.289518</v>
      </c>
      <c r="G5960" t="s">
        <v>16</v>
      </c>
      <c r="J5960" t="str">
        <f>"01/23/2018 23:45"</f>
        <v>01/23/2018 23:45</v>
      </c>
    </row>
    <row r="5961" spans="1:10" x14ac:dyDescent="0.3">
      <c r="A5961" t="s">
        <v>6</v>
      </c>
      <c r="B5961" t="str">
        <f>"01/24/2018 00:00"</f>
        <v>01/24/2018 00:00</v>
      </c>
      <c r="C5961">
        <v>0.14599999999999999</v>
      </c>
      <c r="D5961" t="s">
        <v>7</v>
      </c>
      <c r="E5961" s="2" t="s">
        <v>12</v>
      </c>
      <c r="F5961">
        <f t="shared" si="93"/>
        <v>0.289518</v>
      </c>
      <c r="G5961" t="s">
        <v>16</v>
      </c>
      <c r="J5961" t="str">
        <f>"01/24/2018 23:45"</f>
        <v>01/24/2018 23:45</v>
      </c>
    </row>
    <row r="5962" spans="1:10" x14ac:dyDescent="0.3">
      <c r="A5962" t="s">
        <v>6</v>
      </c>
      <c r="B5962" t="str">
        <f>"01/25/2018 00:00"</f>
        <v>01/25/2018 00:00</v>
      </c>
      <c r="C5962">
        <v>0.14599999999999999</v>
      </c>
      <c r="D5962" t="s">
        <v>7</v>
      </c>
      <c r="E5962" s="2" t="s">
        <v>12</v>
      </c>
      <c r="F5962">
        <f t="shared" si="93"/>
        <v>0.289518</v>
      </c>
      <c r="G5962" t="s">
        <v>16</v>
      </c>
      <c r="J5962" t="str">
        <f>"01/25/2018 23:45"</f>
        <v>01/25/2018 23:45</v>
      </c>
    </row>
    <row r="5963" spans="1:10" x14ac:dyDescent="0.3">
      <c r="A5963" t="s">
        <v>6</v>
      </c>
      <c r="B5963" t="str">
        <f>"01/26/2018 00:00"</f>
        <v>01/26/2018 00:00</v>
      </c>
      <c r="C5963">
        <v>0.14599999999999999</v>
      </c>
      <c r="D5963" t="s">
        <v>7</v>
      </c>
      <c r="E5963" s="2" t="s">
        <v>12</v>
      </c>
      <c r="F5963">
        <f t="shared" si="93"/>
        <v>0.289518</v>
      </c>
      <c r="G5963" t="s">
        <v>16</v>
      </c>
      <c r="J5963" t="str">
        <f>"01/26/2018 23:45"</f>
        <v>01/26/2018 23:45</v>
      </c>
    </row>
    <row r="5964" spans="1:10" x14ac:dyDescent="0.3">
      <c r="A5964" t="s">
        <v>6</v>
      </c>
      <c r="B5964" t="str">
        <f>"01/27/2018 00:00"</f>
        <v>01/27/2018 00:00</v>
      </c>
      <c r="C5964">
        <v>0.14599999999999999</v>
      </c>
      <c r="D5964" t="s">
        <v>7</v>
      </c>
      <c r="E5964" s="2" t="s">
        <v>12</v>
      </c>
      <c r="F5964">
        <f t="shared" si="93"/>
        <v>0.289518</v>
      </c>
      <c r="G5964" t="s">
        <v>16</v>
      </c>
      <c r="J5964" t="str">
        <f>"01/27/2018 23:45"</f>
        <v>01/27/2018 23:45</v>
      </c>
    </row>
    <row r="5965" spans="1:10" x14ac:dyDescent="0.3">
      <c r="A5965" t="s">
        <v>6</v>
      </c>
      <c r="B5965" t="str">
        <f>"01/28/2018 00:00"</f>
        <v>01/28/2018 00:00</v>
      </c>
      <c r="C5965">
        <v>0.14599999999999999</v>
      </c>
      <c r="D5965" t="s">
        <v>7</v>
      </c>
      <c r="E5965" s="2" t="s">
        <v>12</v>
      </c>
      <c r="F5965">
        <f t="shared" si="93"/>
        <v>0.289518</v>
      </c>
      <c r="G5965" t="s">
        <v>16</v>
      </c>
      <c r="J5965" t="str">
        <f>"01/28/2018 23:45"</f>
        <v>01/28/2018 23:45</v>
      </c>
    </row>
    <row r="5966" spans="1:10" x14ac:dyDescent="0.3">
      <c r="A5966" t="s">
        <v>6</v>
      </c>
      <c r="B5966" t="str">
        <f>"01/29/2018 00:00"</f>
        <v>01/29/2018 00:00</v>
      </c>
      <c r="C5966">
        <v>0.14599999999999999</v>
      </c>
      <c r="D5966" t="s">
        <v>7</v>
      </c>
      <c r="E5966" s="2" t="s">
        <v>12</v>
      </c>
      <c r="F5966">
        <f t="shared" si="93"/>
        <v>0.289518</v>
      </c>
      <c r="G5966" t="s">
        <v>16</v>
      </c>
      <c r="J5966" t="str">
        <f>"01/29/2018 23:45"</f>
        <v>01/29/2018 23:45</v>
      </c>
    </row>
    <row r="5967" spans="1:10" x14ac:dyDescent="0.3">
      <c r="A5967" t="s">
        <v>6</v>
      </c>
      <c r="B5967" t="str">
        <f>"01/30/2018 00:00"</f>
        <v>01/30/2018 00:00</v>
      </c>
      <c r="C5967">
        <v>0.14599999999999999</v>
      </c>
      <c r="D5967" t="s">
        <v>7</v>
      </c>
      <c r="E5967" s="2" t="s">
        <v>12</v>
      </c>
      <c r="F5967">
        <f t="shared" si="93"/>
        <v>0.289518</v>
      </c>
      <c r="G5967" t="s">
        <v>16</v>
      </c>
      <c r="J5967" t="str">
        <f>"01/30/2018 23:45"</f>
        <v>01/30/2018 23:45</v>
      </c>
    </row>
    <row r="5968" spans="1:10" x14ac:dyDescent="0.3">
      <c r="A5968" t="s">
        <v>6</v>
      </c>
      <c r="B5968" t="str">
        <f>"01/31/2018 00:00"</f>
        <v>01/31/2018 00:00</v>
      </c>
      <c r="C5968">
        <v>0.14599999999999999</v>
      </c>
      <c r="D5968" t="s">
        <v>7</v>
      </c>
      <c r="E5968" s="2" t="s">
        <v>12</v>
      </c>
      <c r="F5968">
        <f t="shared" si="93"/>
        <v>0.289518</v>
      </c>
      <c r="G5968" t="s">
        <v>16</v>
      </c>
      <c r="J5968" t="str">
        <f>"01/31/2018 23:45"</f>
        <v>01/31/2018 23:45</v>
      </c>
    </row>
    <row r="5969" spans="1:10" x14ac:dyDescent="0.3">
      <c r="A5969" t="s">
        <v>6</v>
      </c>
      <c r="B5969" t="str">
        <f>"02/01/2018 00:00"</f>
        <v>02/01/2018 00:00</v>
      </c>
      <c r="C5969">
        <v>4.9000000000000002E-2</v>
      </c>
      <c r="D5969" t="s">
        <v>7</v>
      </c>
      <c r="E5969" s="2" t="s">
        <v>12</v>
      </c>
      <c r="F5969">
        <f t="shared" si="93"/>
        <v>9.7167000000000003E-2</v>
      </c>
      <c r="G5969" t="s">
        <v>16</v>
      </c>
      <c r="J5969" t="str">
        <f>"02/01/2018 23:45"</f>
        <v>02/01/2018 23:45</v>
      </c>
    </row>
    <row r="5970" spans="1:10" x14ac:dyDescent="0.3">
      <c r="A5970" t="s">
        <v>6</v>
      </c>
      <c r="B5970" t="str">
        <f>"02/02/2018 00:00"</f>
        <v>02/02/2018 00:00</v>
      </c>
      <c r="C5970">
        <v>4.8000000000000001E-2</v>
      </c>
      <c r="D5970" t="s">
        <v>7</v>
      </c>
      <c r="E5970" s="2" t="s">
        <v>12</v>
      </c>
      <c r="F5970">
        <f t="shared" si="93"/>
        <v>9.5184000000000005E-2</v>
      </c>
      <c r="G5970" t="s">
        <v>16</v>
      </c>
      <c r="J5970" t="str">
        <f>"02/02/2018 23:45"</f>
        <v>02/02/2018 23:45</v>
      </c>
    </row>
    <row r="5971" spans="1:10" x14ac:dyDescent="0.3">
      <c r="A5971" t="s">
        <v>6</v>
      </c>
      <c r="B5971" t="str">
        <f>"02/03/2018 00:00"</f>
        <v>02/03/2018 00:00</v>
      </c>
      <c r="C5971">
        <v>4.8000000000000001E-2</v>
      </c>
      <c r="D5971" t="s">
        <v>7</v>
      </c>
      <c r="E5971" s="2" t="s">
        <v>12</v>
      </c>
      <c r="F5971">
        <f t="shared" si="93"/>
        <v>9.5184000000000005E-2</v>
      </c>
      <c r="G5971" t="s">
        <v>16</v>
      </c>
      <c r="J5971" t="str">
        <f>"02/03/2018 23:45"</f>
        <v>02/03/2018 23:45</v>
      </c>
    </row>
    <row r="5972" spans="1:10" x14ac:dyDescent="0.3">
      <c r="A5972" t="s">
        <v>6</v>
      </c>
      <c r="B5972" t="str">
        <f>"02/04/2018 00:00"</f>
        <v>02/04/2018 00:00</v>
      </c>
      <c r="C5972">
        <v>4.8000000000000001E-2</v>
      </c>
      <c r="D5972" t="s">
        <v>7</v>
      </c>
      <c r="E5972" s="2" t="s">
        <v>12</v>
      </c>
      <c r="F5972">
        <f t="shared" si="93"/>
        <v>9.5184000000000005E-2</v>
      </c>
      <c r="G5972" t="s">
        <v>16</v>
      </c>
      <c r="J5972" t="str">
        <f>"02/04/2018 23:45"</f>
        <v>02/04/2018 23:45</v>
      </c>
    </row>
    <row r="5973" spans="1:10" x14ac:dyDescent="0.3">
      <c r="A5973" t="s">
        <v>6</v>
      </c>
      <c r="B5973" t="str">
        <f>"02/05/2018 00:00"</f>
        <v>02/05/2018 00:00</v>
      </c>
      <c r="C5973">
        <v>4.8000000000000001E-2</v>
      </c>
      <c r="D5973" t="s">
        <v>7</v>
      </c>
      <c r="E5973" s="2" t="s">
        <v>12</v>
      </c>
      <c r="F5973">
        <f t="shared" si="93"/>
        <v>9.5184000000000005E-2</v>
      </c>
      <c r="G5973" t="s">
        <v>16</v>
      </c>
      <c r="J5973" t="str">
        <f>"02/05/2018 23:45"</f>
        <v>02/05/2018 23:45</v>
      </c>
    </row>
    <row r="5974" spans="1:10" x14ac:dyDescent="0.3">
      <c r="A5974" t="s">
        <v>6</v>
      </c>
      <c r="B5974" t="str">
        <f>"02/06/2018 00:00"</f>
        <v>02/06/2018 00:00</v>
      </c>
      <c r="C5974">
        <v>4.8000000000000001E-2</v>
      </c>
      <c r="D5974" t="s">
        <v>7</v>
      </c>
      <c r="E5974" s="2" t="s">
        <v>12</v>
      </c>
      <c r="F5974">
        <f t="shared" si="93"/>
        <v>9.5184000000000005E-2</v>
      </c>
      <c r="G5974" t="s">
        <v>16</v>
      </c>
      <c r="J5974" t="str">
        <f>"02/06/2018 23:45"</f>
        <v>02/06/2018 23:45</v>
      </c>
    </row>
    <row r="5975" spans="1:10" x14ac:dyDescent="0.3">
      <c r="A5975" t="s">
        <v>6</v>
      </c>
      <c r="B5975" t="str">
        <f>"02/07/2018 00:00"</f>
        <v>02/07/2018 00:00</v>
      </c>
      <c r="C5975">
        <v>1.6500000000000001E-2</v>
      </c>
      <c r="D5975" t="s">
        <v>7</v>
      </c>
      <c r="E5975" s="2" t="s">
        <v>12</v>
      </c>
      <c r="F5975">
        <f t="shared" si="93"/>
        <v>3.2719500000000006E-2</v>
      </c>
      <c r="G5975" t="s">
        <v>16</v>
      </c>
      <c r="J5975" t="str">
        <f>"02/07/2018 23:45"</f>
        <v>02/07/2018 23:45</v>
      </c>
    </row>
    <row r="5976" spans="1:10" x14ac:dyDescent="0.3">
      <c r="A5976" t="s">
        <v>6</v>
      </c>
      <c r="B5976" t="str">
        <f>"02/08/2018 00:00"</f>
        <v>02/08/2018 00:00</v>
      </c>
      <c r="C5976">
        <v>0</v>
      </c>
      <c r="D5976" t="s">
        <v>7</v>
      </c>
      <c r="E5976" s="2" t="s">
        <v>12</v>
      </c>
      <c r="F5976">
        <f t="shared" si="93"/>
        <v>0</v>
      </c>
      <c r="G5976" t="s">
        <v>16</v>
      </c>
      <c r="J5976" t="str">
        <f>"02/08/2018 23:45"</f>
        <v>02/08/2018 23:45</v>
      </c>
    </row>
    <row r="5977" spans="1:10" x14ac:dyDescent="0.3">
      <c r="A5977" t="s">
        <v>6</v>
      </c>
      <c r="B5977" t="str">
        <f>"02/09/2018 00:00"</f>
        <v>02/09/2018 00:00</v>
      </c>
      <c r="C5977">
        <v>0</v>
      </c>
      <c r="D5977" t="s">
        <v>7</v>
      </c>
      <c r="E5977" s="2" t="s">
        <v>12</v>
      </c>
      <c r="F5977">
        <f t="shared" si="93"/>
        <v>0</v>
      </c>
      <c r="G5977" t="s">
        <v>16</v>
      </c>
      <c r="J5977" t="str">
        <f>"02/09/2018 23:45"</f>
        <v>02/09/2018 23:45</v>
      </c>
    </row>
    <row r="5978" spans="1:10" x14ac:dyDescent="0.3">
      <c r="A5978" t="s">
        <v>6</v>
      </c>
      <c r="B5978" t="str">
        <f>"02/10/2018 00:00"</f>
        <v>02/10/2018 00:00</v>
      </c>
      <c r="C5978">
        <v>0</v>
      </c>
      <c r="D5978" t="s">
        <v>7</v>
      </c>
      <c r="E5978" s="2" t="s">
        <v>12</v>
      </c>
      <c r="F5978">
        <f t="shared" si="93"/>
        <v>0</v>
      </c>
      <c r="G5978" t="s">
        <v>16</v>
      </c>
      <c r="J5978" t="str">
        <f>"02/10/2018 23:45"</f>
        <v>02/10/2018 23:45</v>
      </c>
    </row>
    <row r="5979" spans="1:10" x14ac:dyDescent="0.3">
      <c r="A5979" t="s">
        <v>6</v>
      </c>
      <c r="B5979" t="str">
        <f>"02/11/2018 00:00"</f>
        <v>02/11/2018 00:00</v>
      </c>
      <c r="C5979">
        <v>0</v>
      </c>
      <c r="D5979" t="s">
        <v>7</v>
      </c>
      <c r="E5979" s="2" t="s">
        <v>12</v>
      </c>
      <c r="F5979">
        <f t="shared" si="93"/>
        <v>0</v>
      </c>
      <c r="G5979" t="s">
        <v>16</v>
      </c>
      <c r="J5979" t="str">
        <f>"02/11/2018 23:45"</f>
        <v>02/11/2018 23:45</v>
      </c>
    </row>
    <row r="5980" spans="1:10" x14ac:dyDescent="0.3">
      <c r="A5980" t="s">
        <v>6</v>
      </c>
      <c r="B5980" t="str">
        <f>"02/12/2018 00:00"</f>
        <v>02/12/2018 00:00</v>
      </c>
      <c r="C5980">
        <v>0</v>
      </c>
      <c r="D5980" t="s">
        <v>7</v>
      </c>
      <c r="E5980" s="2" t="s">
        <v>12</v>
      </c>
      <c r="F5980">
        <f t="shared" si="93"/>
        <v>0</v>
      </c>
      <c r="G5980" t="s">
        <v>16</v>
      </c>
      <c r="J5980" t="str">
        <f>"02/12/2018 23:45"</f>
        <v>02/12/2018 23:45</v>
      </c>
    </row>
    <row r="5981" spans="1:10" x14ac:dyDescent="0.3">
      <c r="A5981" t="s">
        <v>6</v>
      </c>
      <c r="B5981" t="str">
        <f>"02/13/2018 00:00"</f>
        <v>02/13/2018 00:00</v>
      </c>
      <c r="C5981">
        <v>0</v>
      </c>
      <c r="D5981" t="s">
        <v>7</v>
      </c>
      <c r="E5981" s="2" t="s">
        <v>12</v>
      </c>
      <c r="F5981">
        <f t="shared" si="93"/>
        <v>0</v>
      </c>
      <c r="G5981" t="s">
        <v>16</v>
      </c>
      <c r="J5981" t="str">
        <f>"02/13/2018 23:45"</f>
        <v>02/13/2018 23:45</v>
      </c>
    </row>
    <row r="5982" spans="1:10" x14ac:dyDescent="0.3">
      <c r="A5982" t="s">
        <v>6</v>
      </c>
      <c r="B5982" t="str">
        <f>"02/14/2018 00:00"</f>
        <v>02/14/2018 00:00</v>
      </c>
      <c r="C5982">
        <v>0</v>
      </c>
      <c r="D5982" t="s">
        <v>7</v>
      </c>
      <c r="E5982" s="2" t="s">
        <v>12</v>
      </c>
      <c r="F5982">
        <f t="shared" si="93"/>
        <v>0</v>
      </c>
      <c r="G5982" t="s">
        <v>16</v>
      </c>
      <c r="J5982" t="str">
        <f>"02/14/2018 23:45"</f>
        <v>02/14/2018 23:45</v>
      </c>
    </row>
    <row r="5983" spans="1:10" x14ac:dyDescent="0.3">
      <c r="A5983" t="s">
        <v>6</v>
      </c>
      <c r="B5983" t="str">
        <f>"02/15/2018 00:00"</f>
        <v>02/15/2018 00:00</v>
      </c>
      <c r="C5983">
        <v>0</v>
      </c>
      <c r="D5983" t="s">
        <v>7</v>
      </c>
      <c r="E5983" s="2" t="s">
        <v>12</v>
      </c>
      <c r="F5983">
        <f t="shared" si="93"/>
        <v>0</v>
      </c>
      <c r="G5983" t="s">
        <v>16</v>
      </c>
      <c r="J5983" t="str">
        <f>"02/15/2018 23:45"</f>
        <v>02/15/2018 23:45</v>
      </c>
    </row>
    <row r="5984" spans="1:10" x14ac:dyDescent="0.3">
      <c r="A5984" t="s">
        <v>6</v>
      </c>
      <c r="B5984" t="str">
        <f>"02/16/2018 00:00"</f>
        <v>02/16/2018 00:00</v>
      </c>
      <c r="C5984">
        <v>0</v>
      </c>
      <c r="D5984" t="s">
        <v>7</v>
      </c>
      <c r="E5984" s="2" t="s">
        <v>12</v>
      </c>
      <c r="F5984">
        <f t="shared" si="93"/>
        <v>0</v>
      </c>
      <c r="G5984" t="s">
        <v>16</v>
      </c>
      <c r="J5984" t="str">
        <f>"02/16/2018 23:45"</f>
        <v>02/16/2018 23:45</v>
      </c>
    </row>
    <row r="5985" spans="1:10" x14ac:dyDescent="0.3">
      <c r="A5985" t="s">
        <v>6</v>
      </c>
      <c r="B5985" t="str">
        <f>"02/17/2018 00:00"</f>
        <v>02/17/2018 00:00</v>
      </c>
      <c r="C5985">
        <v>0</v>
      </c>
      <c r="D5985" t="s">
        <v>7</v>
      </c>
      <c r="E5985" s="2" t="s">
        <v>12</v>
      </c>
      <c r="F5985">
        <f t="shared" si="93"/>
        <v>0</v>
      </c>
      <c r="G5985" t="s">
        <v>16</v>
      </c>
      <c r="J5985" t="str">
        <f>"02/17/2018 23:45"</f>
        <v>02/17/2018 23:45</v>
      </c>
    </row>
    <row r="5986" spans="1:10" x14ac:dyDescent="0.3">
      <c r="A5986" t="s">
        <v>6</v>
      </c>
      <c r="B5986" t="str">
        <f>"02/18/2018 00:00"</f>
        <v>02/18/2018 00:00</v>
      </c>
      <c r="C5986">
        <v>0</v>
      </c>
      <c r="D5986" t="s">
        <v>7</v>
      </c>
      <c r="E5986" s="2" t="s">
        <v>12</v>
      </c>
      <c r="F5986">
        <f t="shared" si="93"/>
        <v>0</v>
      </c>
      <c r="G5986" t="s">
        <v>16</v>
      </c>
      <c r="J5986" t="str">
        <f>"02/18/2018 23:45"</f>
        <v>02/18/2018 23:45</v>
      </c>
    </row>
    <row r="5987" spans="1:10" x14ac:dyDescent="0.3">
      <c r="A5987" t="s">
        <v>6</v>
      </c>
      <c r="B5987" t="str">
        <f>"02/19/2018 00:00"</f>
        <v>02/19/2018 00:00</v>
      </c>
      <c r="C5987">
        <v>0</v>
      </c>
      <c r="D5987" t="s">
        <v>7</v>
      </c>
      <c r="E5987" s="2" t="s">
        <v>12</v>
      </c>
      <c r="F5987">
        <f t="shared" si="93"/>
        <v>0</v>
      </c>
      <c r="G5987" t="s">
        <v>16</v>
      </c>
      <c r="J5987" t="str">
        <f>"02/19/2018 23:45"</f>
        <v>02/19/2018 23:45</v>
      </c>
    </row>
    <row r="5988" spans="1:10" x14ac:dyDescent="0.3">
      <c r="A5988" t="s">
        <v>6</v>
      </c>
      <c r="B5988" t="str">
        <f>"02/20/2018 00:00"</f>
        <v>02/20/2018 00:00</v>
      </c>
      <c r="C5988">
        <v>0</v>
      </c>
      <c r="D5988" t="s">
        <v>7</v>
      </c>
      <c r="E5988" s="2" t="s">
        <v>12</v>
      </c>
      <c r="F5988">
        <f t="shared" si="93"/>
        <v>0</v>
      </c>
      <c r="G5988" t="s">
        <v>16</v>
      </c>
      <c r="J5988" t="str">
        <f>"02/20/2018 23:45"</f>
        <v>02/20/2018 23:45</v>
      </c>
    </row>
    <row r="5989" spans="1:10" x14ac:dyDescent="0.3">
      <c r="A5989" t="s">
        <v>6</v>
      </c>
      <c r="B5989" t="str">
        <f>"02/21/2018 00:00"</f>
        <v>02/21/2018 00:00</v>
      </c>
      <c r="C5989">
        <v>0</v>
      </c>
      <c r="D5989" t="s">
        <v>7</v>
      </c>
      <c r="E5989" s="2" t="s">
        <v>12</v>
      </c>
      <c r="F5989">
        <f t="shared" si="93"/>
        <v>0</v>
      </c>
      <c r="G5989" t="s">
        <v>16</v>
      </c>
      <c r="J5989" t="str">
        <f>"02/21/2018 23:45"</f>
        <v>02/21/2018 23:45</v>
      </c>
    </row>
    <row r="5990" spans="1:10" x14ac:dyDescent="0.3">
      <c r="A5990" t="s">
        <v>6</v>
      </c>
      <c r="B5990" t="str">
        <f>"02/22/2018 00:00"</f>
        <v>02/22/2018 00:00</v>
      </c>
      <c r="C5990">
        <v>0</v>
      </c>
      <c r="D5990" t="s">
        <v>7</v>
      </c>
      <c r="E5990" s="2" t="s">
        <v>12</v>
      </c>
      <c r="F5990">
        <f t="shared" si="93"/>
        <v>0</v>
      </c>
      <c r="G5990" t="s">
        <v>16</v>
      </c>
      <c r="J5990" t="str">
        <f>"02/22/2018 23:45"</f>
        <v>02/22/2018 23:45</v>
      </c>
    </row>
    <row r="5991" spans="1:10" x14ac:dyDescent="0.3">
      <c r="A5991" t="s">
        <v>6</v>
      </c>
      <c r="B5991" t="str">
        <f>"02/23/2018 00:00"</f>
        <v>02/23/2018 00:00</v>
      </c>
      <c r="C5991">
        <v>0</v>
      </c>
      <c r="D5991" t="s">
        <v>7</v>
      </c>
      <c r="E5991" s="2" t="s">
        <v>12</v>
      </c>
      <c r="F5991">
        <f t="shared" si="93"/>
        <v>0</v>
      </c>
      <c r="G5991" t="s">
        <v>16</v>
      </c>
      <c r="J5991" t="str">
        <f>"02/23/2018 23:45"</f>
        <v>02/23/2018 23:45</v>
      </c>
    </row>
    <row r="5992" spans="1:10" x14ac:dyDescent="0.3">
      <c r="A5992" t="s">
        <v>6</v>
      </c>
      <c r="B5992" t="str">
        <f>"02/24/2018 00:00"</f>
        <v>02/24/2018 00:00</v>
      </c>
      <c r="C5992">
        <v>0</v>
      </c>
      <c r="D5992" t="s">
        <v>7</v>
      </c>
      <c r="E5992" s="2" t="s">
        <v>12</v>
      </c>
      <c r="F5992">
        <f t="shared" si="93"/>
        <v>0</v>
      </c>
      <c r="G5992" t="s">
        <v>16</v>
      </c>
      <c r="J5992" t="str">
        <f>"02/24/2018 23:45"</f>
        <v>02/24/2018 23:45</v>
      </c>
    </row>
    <row r="5993" spans="1:10" x14ac:dyDescent="0.3">
      <c r="A5993" t="s">
        <v>6</v>
      </c>
      <c r="B5993" t="str">
        <f>"02/25/2018 00:00"</f>
        <v>02/25/2018 00:00</v>
      </c>
      <c r="C5993">
        <v>0</v>
      </c>
      <c r="D5993" t="s">
        <v>7</v>
      </c>
      <c r="E5993" s="2" t="s">
        <v>12</v>
      </c>
      <c r="F5993">
        <f t="shared" si="93"/>
        <v>0</v>
      </c>
      <c r="G5993" t="s">
        <v>16</v>
      </c>
      <c r="J5993" t="str">
        <f>"02/25/2018 23:45"</f>
        <v>02/25/2018 23:45</v>
      </c>
    </row>
    <row r="5994" spans="1:10" x14ac:dyDescent="0.3">
      <c r="A5994" t="s">
        <v>6</v>
      </c>
      <c r="B5994" t="str">
        <f>"02/26/2018 00:00"</f>
        <v>02/26/2018 00:00</v>
      </c>
      <c r="C5994">
        <v>0</v>
      </c>
      <c r="D5994" t="s">
        <v>7</v>
      </c>
      <c r="E5994" s="2" t="s">
        <v>12</v>
      </c>
      <c r="F5994">
        <f t="shared" si="93"/>
        <v>0</v>
      </c>
      <c r="G5994" t="s">
        <v>16</v>
      </c>
      <c r="J5994" t="str">
        <f>"02/26/2018 23:45"</f>
        <v>02/26/2018 23:45</v>
      </c>
    </row>
    <row r="5995" spans="1:10" x14ac:dyDescent="0.3">
      <c r="A5995" t="s">
        <v>6</v>
      </c>
      <c r="B5995" t="str">
        <f>"02/27/2018 00:00"</f>
        <v>02/27/2018 00:00</v>
      </c>
      <c r="C5995">
        <v>0</v>
      </c>
      <c r="D5995" t="s">
        <v>7</v>
      </c>
      <c r="E5995" s="2" t="s">
        <v>12</v>
      </c>
      <c r="F5995">
        <f t="shared" si="93"/>
        <v>0</v>
      </c>
      <c r="G5995" t="s">
        <v>16</v>
      </c>
      <c r="J5995" t="str">
        <f>"02/27/2018 23:45"</f>
        <v>02/27/2018 23:45</v>
      </c>
    </row>
    <row r="5996" spans="1:10" x14ac:dyDescent="0.3">
      <c r="A5996" t="s">
        <v>6</v>
      </c>
      <c r="B5996" t="str">
        <f>"02/28/2018 00:00"</f>
        <v>02/28/2018 00:00</v>
      </c>
      <c r="C5996">
        <v>0</v>
      </c>
      <c r="D5996" t="s">
        <v>7</v>
      </c>
      <c r="E5996" s="2" t="s">
        <v>12</v>
      </c>
      <c r="F5996">
        <f t="shared" si="93"/>
        <v>0</v>
      </c>
      <c r="G5996" t="s">
        <v>16</v>
      </c>
      <c r="J5996" t="str">
        <f>"02/28/2018 23:45"</f>
        <v>02/28/2018 23:45</v>
      </c>
    </row>
    <row r="5997" spans="1:10" x14ac:dyDescent="0.3">
      <c r="A5997" t="s">
        <v>6</v>
      </c>
      <c r="B5997" t="str">
        <f>"03/01/2018 00:00"</f>
        <v>03/01/2018 00:00</v>
      </c>
      <c r="C5997">
        <v>0</v>
      </c>
      <c r="D5997" t="s">
        <v>7</v>
      </c>
      <c r="E5997" s="2" t="s">
        <v>12</v>
      </c>
      <c r="F5997">
        <f t="shared" si="93"/>
        <v>0</v>
      </c>
      <c r="G5997" t="s">
        <v>16</v>
      </c>
      <c r="J5997" t="str">
        <f>"03/01/2018 23:45"</f>
        <v>03/01/2018 23:45</v>
      </c>
    </row>
    <row r="5998" spans="1:10" x14ac:dyDescent="0.3">
      <c r="A5998" t="s">
        <v>6</v>
      </c>
      <c r="B5998" t="str">
        <f>"03/02/2018 00:00"</f>
        <v>03/02/2018 00:00</v>
      </c>
      <c r="C5998">
        <v>0</v>
      </c>
      <c r="D5998" t="s">
        <v>7</v>
      </c>
      <c r="E5998" s="2" t="s">
        <v>12</v>
      </c>
      <c r="F5998">
        <f t="shared" si="93"/>
        <v>0</v>
      </c>
      <c r="G5998" t="s">
        <v>16</v>
      </c>
      <c r="J5998" t="str">
        <f>"03/02/2018 23:45"</f>
        <v>03/02/2018 23:45</v>
      </c>
    </row>
    <row r="5999" spans="1:10" x14ac:dyDescent="0.3">
      <c r="A5999" t="s">
        <v>6</v>
      </c>
      <c r="B5999" t="str">
        <f>"03/03/2018 00:00"</f>
        <v>03/03/2018 00:00</v>
      </c>
      <c r="C5999">
        <v>0</v>
      </c>
      <c r="D5999" t="s">
        <v>7</v>
      </c>
      <c r="E5999" s="2" t="s">
        <v>12</v>
      </c>
      <c r="F5999">
        <f t="shared" si="93"/>
        <v>0</v>
      </c>
      <c r="G5999" t="s">
        <v>16</v>
      </c>
      <c r="J5999" t="str">
        <f>"03/03/2018 23:45"</f>
        <v>03/03/2018 23:45</v>
      </c>
    </row>
    <row r="6000" spans="1:10" x14ac:dyDescent="0.3">
      <c r="A6000" t="s">
        <v>6</v>
      </c>
      <c r="B6000" t="str">
        <f>"03/04/2018 00:00"</f>
        <v>03/04/2018 00:00</v>
      </c>
      <c r="C6000">
        <v>0</v>
      </c>
      <c r="D6000" t="s">
        <v>7</v>
      </c>
      <c r="E6000" s="2" t="s">
        <v>12</v>
      </c>
      <c r="F6000">
        <f t="shared" si="93"/>
        <v>0</v>
      </c>
      <c r="G6000" t="s">
        <v>16</v>
      </c>
      <c r="J6000" t="str">
        <f>"03/04/2018 23:45"</f>
        <v>03/04/2018 23:45</v>
      </c>
    </row>
    <row r="6001" spans="1:10" x14ac:dyDescent="0.3">
      <c r="A6001" t="s">
        <v>6</v>
      </c>
      <c r="B6001" t="str">
        <f>"03/05/2018 00:00"</f>
        <v>03/05/2018 00:00</v>
      </c>
      <c r="C6001">
        <v>0</v>
      </c>
      <c r="D6001" t="s">
        <v>7</v>
      </c>
      <c r="E6001" s="2" t="s">
        <v>12</v>
      </c>
      <c r="F6001">
        <f t="shared" si="93"/>
        <v>0</v>
      </c>
      <c r="G6001" t="s">
        <v>16</v>
      </c>
      <c r="J6001" t="str">
        <f>"03/05/2018 23:45"</f>
        <v>03/05/2018 23:45</v>
      </c>
    </row>
    <row r="6002" spans="1:10" x14ac:dyDescent="0.3">
      <c r="A6002" t="s">
        <v>6</v>
      </c>
      <c r="B6002" t="str">
        <f>"03/06/2018 00:00"</f>
        <v>03/06/2018 00:00</v>
      </c>
      <c r="C6002">
        <v>0</v>
      </c>
      <c r="D6002" t="s">
        <v>7</v>
      </c>
      <c r="E6002" s="2" t="s">
        <v>12</v>
      </c>
      <c r="F6002">
        <f t="shared" si="93"/>
        <v>0</v>
      </c>
      <c r="G6002" t="s">
        <v>16</v>
      </c>
      <c r="J6002" t="str">
        <f>"03/06/2018 23:45"</f>
        <v>03/06/2018 23:45</v>
      </c>
    </row>
    <row r="6003" spans="1:10" x14ac:dyDescent="0.3">
      <c r="A6003" t="s">
        <v>6</v>
      </c>
      <c r="B6003" t="str">
        <f>"03/07/2018 00:00"</f>
        <v>03/07/2018 00:00</v>
      </c>
      <c r="C6003">
        <v>0</v>
      </c>
      <c r="D6003" t="s">
        <v>7</v>
      </c>
      <c r="E6003" s="2" t="s">
        <v>12</v>
      </c>
      <c r="F6003">
        <f t="shared" si="93"/>
        <v>0</v>
      </c>
      <c r="G6003" t="s">
        <v>16</v>
      </c>
      <c r="J6003" t="str">
        <f>"03/07/2018 23:45"</f>
        <v>03/07/2018 23:45</v>
      </c>
    </row>
    <row r="6004" spans="1:10" x14ac:dyDescent="0.3">
      <c r="A6004" t="s">
        <v>6</v>
      </c>
      <c r="B6004" t="str">
        <f>"03/08/2018 00:00"</f>
        <v>03/08/2018 00:00</v>
      </c>
      <c r="C6004">
        <v>1.45</v>
      </c>
      <c r="D6004" t="s">
        <v>7</v>
      </c>
      <c r="E6004" s="2" t="s">
        <v>12</v>
      </c>
      <c r="F6004">
        <f t="shared" si="93"/>
        <v>2.8753500000000001</v>
      </c>
      <c r="G6004" t="s">
        <v>16</v>
      </c>
      <c r="J6004" t="str">
        <f>"03/08/2018 23:45"</f>
        <v>03/08/2018 23:45</v>
      </c>
    </row>
    <row r="6005" spans="1:10" x14ac:dyDescent="0.3">
      <c r="A6005" t="s">
        <v>6</v>
      </c>
      <c r="B6005" t="str">
        <f>"03/09/2018 00:00"</f>
        <v>03/09/2018 00:00</v>
      </c>
      <c r="C6005">
        <v>4.0599999999999996</v>
      </c>
      <c r="D6005" t="s">
        <v>7</v>
      </c>
      <c r="E6005" s="2" t="s">
        <v>12</v>
      </c>
      <c r="F6005">
        <f t="shared" si="93"/>
        <v>8.0509799999999991</v>
      </c>
      <c r="G6005" t="s">
        <v>16</v>
      </c>
      <c r="J6005" t="str">
        <f>"03/09/2018 23:45"</f>
        <v>03/09/2018 23:45</v>
      </c>
    </row>
    <row r="6006" spans="1:10" x14ac:dyDescent="0.3">
      <c r="A6006" t="s">
        <v>6</v>
      </c>
      <c r="B6006" t="str">
        <f>"03/10/2018 00:00"</f>
        <v>03/10/2018 00:00</v>
      </c>
      <c r="C6006">
        <v>4.0599999999999996</v>
      </c>
      <c r="D6006" t="s">
        <v>7</v>
      </c>
      <c r="E6006" s="2" t="s">
        <v>12</v>
      </c>
      <c r="F6006">
        <f t="shared" si="93"/>
        <v>8.0509799999999991</v>
      </c>
      <c r="G6006" t="s">
        <v>16</v>
      </c>
      <c r="J6006" t="str">
        <f>"03/10/2018 23:45"</f>
        <v>03/10/2018 23:45</v>
      </c>
    </row>
    <row r="6007" spans="1:10" x14ac:dyDescent="0.3">
      <c r="A6007" t="s">
        <v>6</v>
      </c>
      <c r="B6007" t="str">
        <f>"03/11/2018 00:00"</f>
        <v>03/11/2018 00:00</v>
      </c>
      <c r="C6007">
        <v>6.18</v>
      </c>
      <c r="D6007" t="s">
        <v>7</v>
      </c>
      <c r="E6007" s="2" t="s">
        <v>12</v>
      </c>
      <c r="F6007">
        <f t="shared" si="93"/>
        <v>12.25494</v>
      </c>
      <c r="G6007" t="s">
        <v>16</v>
      </c>
      <c r="J6007" t="str">
        <f>"03/11/2018 23:45"</f>
        <v>03/11/2018 23:45</v>
      </c>
    </row>
    <row r="6008" spans="1:10" x14ac:dyDescent="0.3">
      <c r="A6008" t="s">
        <v>6</v>
      </c>
      <c r="B6008" t="str">
        <f>"03/12/2018 00:00"</f>
        <v>03/12/2018 00:00</v>
      </c>
      <c r="C6008">
        <v>7.73</v>
      </c>
      <c r="D6008" t="s">
        <v>7</v>
      </c>
      <c r="E6008" s="2" t="s">
        <v>12</v>
      </c>
      <c r="F6008">
        <f t="shared" si="93"/>
        <v>15.328590000000002</v>
      </c>
      <c r="G6008" t="s">
        <v>16</v>
      </c>
      <c r="J6008" t="str">
        <f>"03/12/2018 23:45"</f>
        <v>03/12/2018 23:45</v>
      </c>
    </row>
    <row r="6009" spans="1:10" x14ac:dyDescent="0.3">
      <c r="A6009" t="s">
        <v>6</v>
      </c>
      <c r="B6009" t="str">
        <f>"03/13/2018 00:00"</f>
        <v>03/13/2018 00:00</v>
      </c>
      <c r="C6009">
        <v>9.33</v>
      </c>
      <c r="D6009" t="s">
        <v>7</v>
      </c>
      <c r="E6009" s="2" t="s">
        <v>12</v>
      </c>
      <c r="F6009">
        <f t="shared" si="93"/>
        <v>18.501390000000001</v>
      </c>
      <c r="G6009" t="s">
        <v>16</v>
      </c>
      <c r="J6009" t="str">
        <f>"03/13/2018 23:45"</f>
        <v>03/13/2018 23:45</v>
      </c>
    </row>
    <row r="6010" spans="1:10" x14ac:dyDescent="0.3">
      <c r="A6010" t="s">
        <v>6</v>
      </c>
      <c r="B6010" t="str">
        <f>"03/14/2018 00:00"</f>
        <v>03/14/2018 00:00</v>
      </c>
      <c r="C6010">
        <v>9.7100000000000009</v>
      </c>
      <c r="D6010" t="s">
        <v>7</v>
      </c>
      <c r="E6010" s="2" t="s">
        <v>12</v>
      </c>
      <c r="F6010">
        <f t="shared" si="93"/>
        <v>19.254930000000002</v>
      </c>
      <c r="G6010" t="s">
        <v>16</v>
      </c>
      <c r="J6010" t="str">
        <f>"03/14/2018 23:45"</f>
        <v>03/14/2018 23:45</v>
      </c>
    </row>
    <row r="6011" spans="1:10" x14ac:dyDescent="0.3">
      <c r="A6011" t="s">
        <v>6</v>
      </c>
      <c r="B6011" t="str">
        <f>"03/15/2018 00:00"</f>
        <v>03/15/2018 00:00</v>
      </c>
      <c r="C6011">
        <v>11</v>
      </c>
      <c r="D6011" t="s">
        <v>7</v>
      </c>
      <c r="E6011" s="2" t="s">
        <v>12</v>
      </c>
      <c r="F6011">
        <f t="shared" si="93"/>
        <v>21.813000000000002</v>
      </c>
      <c r="G6011" t="s">
        <v>16</v>
      </c>
      <c r="J6011" t="str">
        <f>"03/15/2018 23:45"</f>
        <v>03/15/2018 23:45</v>
      </c>
    </row>
    <row r="6012" spans="1:10" x14ac:dyDescent="0.3">
      <c r="A6012" t="s">
        <v>6</v>
      </c>
      <c r="B6012" t="str">
        <f>"03/16/2018 00:00"</f>
        <v>03/16/2018 00:00</v>
      </c>
      <c r="C6012">
        <v>13.7</v>
      </c>
      <c r="D6012" t="s">
        <v>7</v>
      </c>
      <c r="E6012" s="2" t="s">
        <v>12</v>
      </c>
      <c r="F6012">
        <f t="shared" si="93"/>
        <v>27.167100000000001</v>
      </c>
      <c r="G6012" t="s">
        <v>16</v>
      </c>
      <c r="J6012" t="str">
        <f>"03/16/2018 23:45"</f>
        <v>03/16/2018 23:45</v>
      </c>
    </row>
    <row r="6013" spans="1:10" x14ac:dyDescent="0.3">
      <c r="A6013" t="s">
        <v>6</v>
      </c>
      <c r="B6013" t="str">
        <f>"03/17/2018 00:00"</f>
        <v>03/17/2018 00:00</v>
      </c>
      <c r="C6013">
        <v>15.5</v>
      </c>
      <c r="D6013" t="s">
        <v>7</v>
      </c>
      <c r="E6013" s="2" t="s">
        <v>12</v>
      </c>
      <c r="F6013">
        <f t="shared" si="93"/>
        <v>30.736500000000003</v>
      </c>
      <c r="G6013" t="s">
        <v>16</v>
      </c>
      <c r="J6013" t="str">
        <f>"03/17/2018 23:45"</f>
        <v>03/17/2018 23:45</v>
      </c>
    </row>
    <row r="6014" spans="1:10" x14ac:dyDescent="0.3">
      <c r="A6014" t="s">
        <v>6</v>
      </c>
      <c r="B6014" t="str">
        <f>"03/18/2018 00:00"</f>
        <v>03/18/2018 00:00</v>
      </c>
      <c r="C6014">
        <v>15.5</v>
      </c>
      <c r="D6014" t="s">
        <v>7</v>
      </c>
      <c r="E6014" s="2" t="s">
        <v>12</v>
      </c>
      <c r="F6014">
        <f t="shared" si="93"/>
        <v>30.736500000000003</v>
      </c>
      <c r="G6014" t="s">
        <v>16</v>
      </c>
      <c r="J6014" t="str">
        <f>"03/18/2018 23:45"</f>
        <v>03/18/2018 23:45</v>
      </c>
    </row>
    <row r="6015" spans="1:10" x14ac:dyDescent="0.3">
      <c r="A6015" t="s">
        <v>6</v>
      </c>
      <c r="B6015" t="str">
        <f>"03/19/2018 00:00"</f>
        <v>03/19/2018 00:00</v>
      </c>
      <c r="C6015">
        <v>21.6</v>
      </c>
      <c r="D6015" t="s">
        <v>7</v>
      </c>
      <c r="E6015" s="2" t="s">
        <v>12</v>
      </c>
      <c r="F6015">
        <f t="shared" si="93"/>
        <v>42.832800000000006</v>
      </c>
      <c r="G6015" t="s">
        <v>16</v>
      </c>
      <c r="J6015" t="str">
        <f>"03/19/2018 23:45"</f>
        <v>03/19/2018 23:45</v>
      </c>
    </row>
    <row r="6016" spans="1:10" x14ac:dyDescent="0.3">
      <c r="A6016" t="s">
        <v>6</v>
      </c>
      <c r="B6016" t="str">
        <f>"03/20/2018 00:00"</f>
        <v>03/20/2018 00:00</v>
      </c>
      <c r="C6016">
        <v>29.1</v>
      </c>
      <c r="D6016" t="s">
        <v>7</v>
      </c>
      <c r="E6016" s="2" t="s">
        <v>12</v>
      </c>
      <c r="F6016">
        <f t="shared" si="93"/>
        <v>57.705300000000008</v>
      </c>
      <c r="G6016" t="s">
        <v>16</v>
      </c>
      <c r="J6016" t="str">
        <f>"03/20/2018 23:45"</f>
        <v>03/20/2018 23:45</v>
      </c>
    </row>
    <row r="6017" spans="1:10" x14ac:dyDescent="0.3">
      <c r="A6017" t="s">
        <v>6</v>
      </c>
      <c r="B6017" t="str">
        <f>"03/21/2018 00:00"</f>
        <v>03/21/2018 00:00</v>
      </c>
      <c r="C6017">
        <v>35.799999999999997</v>
      </c>
      <c r="D6017" t="s">
        <v>7</v>
      </c>
      <c r="E6017" s="2" t="s">
        <v>12</v>
      </c>
      <c r="F6017">
        <f t="shared" si="93"/>
        <v>70.991399999999999</v>
      </c>
      <c r="G6017" t="s">
        <v>16</v>
      </c>
      <c r="J6017" t="str">
        <f>"03/21/2018 23:45"</f>
        <v>03/21/2018 23:45</v>
      </c>
    </row>
    <row r="6018" spans="1:10" x14ac:dyDescent="0.3">
      <c r="A6018" t="s">
        <v>6</v>
      </c>
      <c r="B6018" t="str">
        <f>"03/22/2018 00:00"</f>
        <v>03/22/2018 00:00</v>
      </c>
      <c r="C6018">
        <v>45.1</v>
      </c>
      <c r="D6018" t="s">
        <v>7</v>
      </c>
      <c r="E6018" s="2" t="s">
        <v>12</v>
      </c>
      <c r="F6018">
        <f t="shared" si="93"/>
        <v>89.433300000000003</v>
      </c>
      <c r="G6018" t="s">
        <v>16</v>
      </c>
      <c r="J6018" t="str">
        <f>"03/22/2018 23:45"</f>
        <v>03/22/2018 23:45</v>
      </c>
    </row>
    <row r="6019" spans="1:10" x14ac:dyDescent="0.3">
      <c r="A6019" t="s">
        <v>6</v>
      </c>
      <c r="B6019" t="str">
        <f>"03/23/2018 00:00"</f>
        <v>03/23/2018 00:00</v>
      </c>
      <c r="C6019">
        <v>54.7</v>
      </c>
      <c r="D6019" t="s">
        <v>7</v>
      </c>
      <c r="E6019" s="2" t="s">
        <v>12</v>
      </c>
      <c r="F6019">
        <f t="shared" si="93"/>
        <v>108.47010000000002</v>
      </c>
      <c r="G6019" t="s">
        <v>16</v>
      </c>
      <c r="J6019" t="str">
        <f>"03/23/2018 23:45"</f>
        <v>03/23/2018 23:45</v>
      </c>
    </row>
    <row r="6020" spans="1:10" x14ac:dyDescent="0.3">
      <c r="A6020" t="s">
        <v>6</v>
      </c>
      <c r="B6020" t="str">
        <f>"03/24/2018 00:00"</f>
        <v>03/24/2018 00:00</v>
      </c>
      <c r="C6020">
        <v>64.2</v>
      </c>
      <c r="D6020" t="s">
        <v>7</v>
      </c>
      <c r="E6020" s="2" t="s">
        <v>12</v>
      </c>
      <c r="F6020">
        <f t="shared" ref="F6020:F6083" si="94">C6020*1.983</f>
        <v>127.30860000000001</v>
      </c>
      <c r="G6020" t="s">
        <v>16</v>
      </c>
      <c r="J6020" t="str">
        <f>"03/24/2018 23:45"</f>
        <v>03/24/2018 23:45</v>
      </c>
    </row>
    <row r="6021" spans="1:10" x14ac:dyDescent="0.3">
      <c r="A6021" t="s">
        <v>6</v>
      </c>
      <c r="B6021" t="str">
        <f>"03/25/2018 00:00"</f>
        <v>03/25/2018 00:00</v>
      </c>
      <c r="C6021">
        <v>69.3</v>
      </c>
      <c r="D6021" t="s">
        <v>7</v>
      </c>
      <c r="E6021" s="2" t="s">
        <v>12</v>
      </c>
      <c r="F6021">
        <f t="shared" si="94"/>
        <v>137.42189999999999</v>
      </c>
      <c r="G6021" t="s">
        <v>16</v>
      </c>
      <c r="J6021" t="str">
        <f>"03/25/2018 23:45"</f>
        <v>03/25/2018 23:45</v>
      </c>
    </row>
    <row r="6022" spans="1:10" x14ac:dyDescent="0.3">
      <c r="A6022" t="s">
        <v>6</v>
      </c>
      <c r="B6022" t="str">
        <f>"03/26/2018 00:00"</f>
        <v>03/26/2018 00:00</v>
      </c>
      <c r="C6022">
        <v>76</v>
      </c>
      <c r="D6022" t="s">
        <v>7</v>
      </c>
      <c r="E6022" s="2" t="s">
        <v>12</v>
      </c>
      <c r="F6022">
        <f t="shared" si="94"/>
        <v>150.708</v>
      </c>
      <c r="G6022" t="s">
        <v>16</v>
      </c>
      <c r="J6022" t="str">
        <f>"03/26/2018 23:45"</f>
        <v>03/26/2018 23:45</v>
      </c>
    </row>
    <row r="6023" spans="1:10" x14ac:dyDescent="0.3">
      <c r="A6023" t="s">
        <v>6</v>
      </c>
      <c r="B6023" t="str">
        <f>"03/27/2018 00:00"</f>
        <v>03/27/2018 00:00</v>
      </c>
      <c r="C6023">
        <v>80.8</v>
      </c>
      <c r="D6023" t="s">
        <v>7</v>
      </c>
      <c r="E6023" s="2" t="s">
        <v>12</v>
      </c>
      <c r="F6023">
        <f t="shared" si="94"/>
        <v>160.22640000000001</v>
      </c>
      <c r="G6023" t="s">
        <v>16</v>
      </c>
      <c r="J6023" t="str">
        <f>"03/27/2018 23:45"</f>
        <v>03/27/2018 23:45</v>
      </c>
    </row>
    <row r="6024" spans="1:10" x14ac:dyDescent="0.3">
      <c r="A6024" t="s">
        <v>6</v>
      </c>
      <c r="B6024" t="str">
        <f>"03/28/2018 00:00"</f>
        <v>03/28/2018 00:00</v>
      </c>
      <c r="C6024">
        <v>61.2</v>
      </c>
      <c r="D6024" t="s">
        <v>7</v>
      </c>
      <c r="E6024" s="2" t="s">
        <v>12</v>
      </c>
      <c r="F6024">
        <f t="shared" si="94"/>
        <v>121.35960000000001</v>
      </c>
      <c r="G6024" t="s">
        <v>16</v>
      </c>
      <c r="J6024" t="str">
        <f>"03/28/2018 23:45"</f>
        <v>03/28/2018 23:45</v>
      </c>
    </row>
    <row r="6025" spans="1:10" x14ac:dyDescent="0.3">
      <c r="A6025" t="s">
        <v>6</v>
      </c>
      <c r="B6025" t="str">
        <f>"03/29/2018 00:00"</f>
        <v>03/29/2018 00:00</v>
      </c>
      <c r="C6025">
        <v>49</v>
      </c>
      <c r="D6025" t="s">
        <v>7</v>
      </c>
      <c r="E6025" s="2" t="s">
        <v>12</v>
      </c>
      <c r="F6025">
        <f t="shared" si="94"/>
        <v>97.167000000000002</v>
      </c>
      <c r="G6025" t="s">
        <v>16</v>
      </c>
      <c r="J6025" t="str">
        <f>"03/29/2018 23:45"</f>
        <v>03/29/2018 23:45</v>
      </c>
    </row>
    <row r="6026" spans="1:10" x14ac:dyDescent="0.3">
      <c r="A6026" t="s">
        <v>6</v>
      </c>
      <c r="B6026" t="str">
        <f>"03/30/2018 00:00"</f>
        <v>03/30/2018 00:00</v>
      </c>
      <c r="C6026">
        <v>48.3</v>
      </c>
      <c r="D6026" t="s">
        <v>7</v>
      </c>
      <c r="E6026" s="2" t="s">
        <v>12</v>
      </c>
      <c r="F6026">
        <f t="shared" si="94"/>
        <v>95.778899999999993</v>
      </c>
      <c r="G6026" t="s">
        <v>16</v>
      </c>
      <c r="J6026" t="str">
        <f>"03/30/2018 23:45"</f>
        <v>03/30/2018 23:45</v>
      </c>
    </row>
    <row r="6027" spans="1:10" x14ac:dyDescent="0.3">
      <c r="A6027" t="s">
        <v>6</v>
      </c>
      <c r="B6027" t="str">
        <f>"03/31/2018 00:00"</f>
        <v>03/31/2018 00:00</v>
      </c>
      <c r="C6027">
        <v>48.8</v>
      </c>
      <c r="D6027" t="s">
        <v>7</v>
      </c>
      <c r="E6027" s="2" t="s">
        <v>12</v>
      </c>
      <c r="F6027">
        <f t="shared" si="94"/>
        <v>96.770399999999995</v>
      </c>
      <c r="G6027" t="s">
        <v>16</v>
      </c>
      <c r="J6027" t="str">
        <f>"03/31/2018 23:45"</f>
        <v>03/31/2018 23:45</v>
      </c>
    </row>
    <row r="6028" spans="1:10" x14ac:dyDescent="0.3">
      <c r="A6028" t="s">
        <v>6</v>
      </c>
      <c r="B6028" t="str">
        <f>"04/01/2018 00:00"</f>
        <v>04/01/2018 00:00</v>
      </c>
      <c r="C6028">
        <v>48.5</v>
      </c>
      <c r="D6028" t="s">
        <v>7</v>
      </c>
      <c r="E6028" s="2" t="s">
        <v>12</v>
      </c>
      <c r="F6028">
        <f t="shared" si="94"/>
        <v>96.1755</v>
      </c>
      <c r="G6028" t="s">
        <v>16</v>
      </c>
      <c r="J6028" t="str">
        <f>"04/01/2018 23:45"</f>
        <v>04/01/2018 23:45</v>
      </c>
    </row>
    <row r="6029" spans="1:10" x14ac:dyDescent="0.3">
      <c r="A6029" t="s">
        <v>6</v>
      </c>
      <c r="B6029" t="str">
        <f>"04/02/2018 00:00"</f>
        <v>04/02/2018 00:00</v>
      </c>
      <c r="C6029">
        <v>62.1</v>
      </c>
      <c r="D6029" t="s">
        <v>7</v>
      </c>
      <c r="E6029" s="2" t="s">
        <v>12</v>
      </c>
      <c r="F6029">
        <f t="shared" si="94"/>
        <v>123.14430000000002</v>
      </c>
      <c r="G6029" t="s">
        <v>16</v>
      </c>
      <c r="J6029" t="str">
        <f>"04/02/2018 23:45"</f>
        <v>04/02/2018 23:45</v>
      </c>
    </row>
    <row r="6030" spans="1:10" x14ac:dyDescent="0.3">
      <c r="A6030" t="s">
        <v>6</v>
      </c>
      <c r="B6030" t="str">
        <f>"04/03/2018 00:00"</f>
        <v>04/03/2018 00:00</v>
      </c>
      <c r="C6030">
        <v>80.2</v>
      </c>
      <c r="D6030" t="s">
        <v>7</v>
      </c>
      <c r="E6030" s="2" t="s">
        <v>12</v>
      </c>
      <c r="F6030">
        <f t="shared" si="94"/>
        <v>159.03660000000002</v>
      </c>
      <c r="G6030" t="s">
        <v>16</v>
      </c>
      <c r="J6030" t="str">
        <f>"04/03/2018 23:45"</f>
        <v>04/03/2018 23:45</v>
      </c>
    </row>
    <row r="6031" spans="1:10" x14ac:dyDescent="0.3">
      <c r="A6031" t="s">
        <v>6</v>
      </c>
      <c r="B6031" t="str">
        <f>"04/04/2018 00:00"</f>
        <v>04/04/2018 00:00</v>
      </c>
      <c r="C6031">
        <v>80.2</v>
      </c>
      <c r="D6031" t="s">
        <v>7</v>
      </c>
      <c r="E6031" s="2" t="s">
        <v>12</v>
      </c>
      <c r="F6031">
        <f t="shared" si="94"/>
        <v>159.03660000000002</v>
      </c>
      <c r="G6031" t="s">
        <v>16</v>
      </c>
      <c r="J6031" t="str">
        <f>"04/04/2018 23:45"</f>
        <v>04/04/2018 23:45</v>
      </c>
    </row>
    <row r="6032" spans="1:10" x14ac:dyDescent="0.3">
      <c r="A6032" t="s">
        <v>6</v>
      </c>
      <c r="B6032" t="str">
        <f>"04/05/2018 00:00"</f>
        <v>04/05/2018 00:00</v>
      </c>
      <c r="C6032">
        <v>80.400000000000006</v>
      </c>
      <c r="D6032" t="s">
        <v>7</v>
      </c>
      <c r="E6032" s="2" t="s">
        <v>12</v>
      </c>
      <c r="F6032">
        <f t="shared" si="94"/>
        <v>159.43320000000003</v>
      </c>
      <c r="G6032" t="s">
        <v>16</v>
      </c>
      <c r="J6032" t="str">
        <f>"04/05/2018 23:45"</f>
        <v>04/05/2018 23:45</v>
      </c>
    </row>
    <row r="6033" spans="1:10" x14ac:dyDescent="0.3">
      <c r="A6033" t="s">
        <v>6</v>
      </c>
      <c r="B6033" t="str">
        <f>"04/06/2018 00:00"</f>
        <v>04/06/2018 00:00</v>
      </c>
      <c r="C6033">
        <v>95.6</v>
      </c>
      <c r="D6033" t="s">
        <v>7</v>
      </c>
      <c r="E6033" s="2" t="s">
        <v>12</v>
      </c>
      <c r="F6033">
        <f t="shared" si="94"/>
        <v>189.57480000000001</v>
      </c>
      <c r="G6033" t="s">
        <v>16</v>
      </c>
      <c r="J6033" t="str">
        <f>"04/06/2018 23:45"</f>
        <v>04/06/2018 23:45</v>
      </c>
    </row>
    <row r="6034" spans="1:10" x14ac:dyDescent="0.3">
      <c r="A6034" t="s">
        <v>6</v>
      </c>
      <c r="B6034" t="str">
        <f>"04/07/2018 00:00"</f>
        <v>04/07/2018 00:00</v>
      </c>
      <c r="C6034">
        <v>111</v>
      </c>
      <c r="D6034" t="s">
        <v>7</v>
      </c>
      <c r="E6034" s="2" t="s">
        <v>12</v>
      </c>
      <c r="F6034">
        <f t="shared" si="94"/>
        <v>220.113</v>
      </c>
      <c r="G6034" t="s">
        <v>16</v>
      </c>
      <c r="J6034" t="str">
        <f>"04/07/2018 23:45"</f>
        <v>04/07/2018 23:45</v>
      </c>
    </row>
    <row r="6035" spans="1:10" x14ac:dyDescent="0.3">
      <c r="A6035" t="s">
        <v>6</v>
      </c>
      <c r="B6035" t="str">
        <f>"04/08/2018 00:00"</f>
        <v>04/08/2018 00:00</v>
      </c>
      <c r="C6035">
        <v>111</v>
      </c>
      <c r="D6035" t="s">
        <v>7</v>
      </c>
      <c r="E6035" s="2" t="s">
        <v>12</v>
      </c>
      <c r="F6035">
        <f t="shared" si="94"/>
        <v>220.113</v>
      </c>
      <c r="G6035" t="s">
        <v>16</v>
      </c>
      <c r="J6035" t="str">
        <f>"04/08/2018 23:45"</f>
        <v>04/08/2018 23:45</v>
      </c>
    </row>
    <row r="6036" spans="1:10" x14ac:dyDescent="0.3">
      <c r="A6036" t="s">
        <v>6</v>
      </c>
      <c r="B6036" t="str">
        <f>"04/09/2018 00:00"</f>
        <v>04/09/2018 00:00</v>
      </c>
      <c r="C6036">
        <v>111</v>
      </c>
      <c r="D6036" t="s">
        <v>7</v>
      </c>
      <c r="E6036" s="2" t="s">
        <v>12</v>
      </c>
      <c r="F6036">
        <f t="shared" si="94"/>
        <v>220.113</v>
      </c>
      <c r="G6036" t="s">
        <v>16</v>
      </c>
      <c r="J6036" t="str">
        <f>"04/09/2018 23:45"</f>
        <v>04/09/2018 23:45</v>
      </c>
    </row>
    <row r="6037" spans="1:10" x14ac:dyDescent="0.3">
      <c r="A6037" t="s">
        <v>6</v>
      </c>
      <c r="B6037" t="str">
        <f>"04/10/2018 00:00"</f>
        <v>04/10/2018 00:00</v>
      </c>
      <c r="C6037">
        <v>124</v>
      </c>
      <c r="D6037" t="s">
        <v>7</v>
      </c>
      <c r="E6037" s="2" t="s">
        <v>12</v>
      </c>
      <c r="F6037">
        <f t="shared" si="94"/>
        <v>245.89200000000002</v>
      </c>
      <c r="G6037" t="s">
        <v>16</v>
      </c>
      <c r="J6037" t="str">
        <f>"04/10/2018 23:45"</f>
        <v>04/10/2018 23:45</v>
      </c>
    </row>
    <row r="6038" spans="1:10" x14ac:dyDescent="0.3">
      <c r="A6038" t="s">
        <v>6</v>
      </c>
      <c r="B6038" t="str">
        <f>"04/11/2018 00:00"</f>
        <v>04/11/2018 00:00</v>
      </c>
      <c r="C6038">
        <v>145</v>
      </c>
      <c r="D6038" t="s">
        <v>7</v>
      </c>
      <c r="E6038" s="2" t="s">
        <v>12</v>
      </c>
      <c r="F6038">
        <f t="shared" si="94"/>
        <v>287.53500000000003</v>
      </c>
      <c r="G6038" t="s">
        <v>16</v>
      </c>
      <c r="J6038" t="str">
        <f>"04/11/2018 23:45"</f>
        <v>04/11/2018 23:45</v>
      </c>
    </row>
    <row r="6039" spans="1:10" x14ac:dyDescent="0.3">
      <c r="A6039" t="s">
        <v>6</v>
      </c>
      <c r="B6039" t="str">
        <f>"04/12/2018 00:00"</f>
        <v>04/12/2018 00:00</v>
      </c>
      <c r="C6039">
        <v>144</v>
      </c>
      <c r="D6039" t="s">
        <v>7</v>
      </c>
      <c r="E6039" s="2" t="s">
        <v>12</v>
      </c>
      <c r="F6039">
        <f t="shared" si="94"/>
        <v>285.55200000000002</v>
      </c>
      <c r="G6039" t="s">
        <v>16</v>
      </c>
      <c r="J6039" t="str">
        <f>"04/12/2018 23:45"</f>
        <v>04/12/2018 23:45</v>
      </c>
    </row>
    <row r="6040" spans="1:10" x14ac:dyDescent="0.3">
      <c r="A6040" t="s">
        <v>6</v>
      </c>
      <c r="B6040" t="str">
        <f>"04/13/2018 00:00"</f>
        <v>04/13/2018 00:00</v>
      </c>
      <c r="C6040">
        <v>144</v>
      </c>
      <c r="D6040" t="s">
        <v>7</v>
      </c>
      <c r="E6040" s="2" t="s">
        <v>12</v>
      </c>
      <c r="F6040">
        <f t="shared" si="94"/>
        <v>285.55200000000002</v>
      </c>
      <c r="G6040" t="s">
        <v>16</v>
      </c>
      <c r="J6040" t="str">
        <f>"04/13/2018 23:45"</f>
        <v>04/13/2018 23:45</v>
      </c>
    </row>
    <row r="6041" spans="1:10" x14ac:dyDescent="0.3">
      <c r="A6041" t="s">
        <v>6</v>
      </c>
      <c r="B6041" t="str">
        <f>"04/14/2018 00:00"</f>
        <v>04/14/2018 00:00</v>
      </c>
      <c r="C6041">
        <v>130</v>
      </c>
      <c r="D6041" t="s">
        <v>7</v>
      </c>
      <c r="E6041" s="2" t="s">
        <v>12</v>
      </c>
      <c r="F6041">
        <f t="shared" si="94"/>
        <v>257.79000000000002</v>
      </c>
      <c r="G6041" t="s">
        <v>16</v>
      </c>
      <c r="J6041" t="str">
        <f>"04/14/2018 23:45"</f>
        <v>04/14/2018 23:45</v>
      </c>
    </row>
    <row r="6042" spans="1:10" x14ac:dyDescent="0.3">
      <c r="A6042" t="s">
        <v>6</v>
      </c>
      <c r="B6042" t="str">
        <f>"04/15/2018 00:00"</f>
        <v>04/15/2018 00:00</v>
      </c>
      <c r="C6042">
        <v>88.5</v>
      </c>
      <c r="D6042" t="s">
        <v>7</v>
      </c>
      <c r="E6042" s="2" t="s">
        <v>12</v>
      </c>
      <c r="F6042">
        <f t="shared" si="94"/>
        <v>175.49550000000002</v>
      </c>
      <c r="G6042" t="s">
        <v>16</v>
      </c>
      <c r="J6042" t="str">
        <f>"04/15/2018 23:45"</f>
        <v>04/15/2018 23:45</v>
      </c>
    </row>
    <row r="6043" spans="1:10" x14ac:dyDescent="0.3">
      <c r="A6043" t="s">
        <v>6</v>
      </c>
      <c r="B6043" t="str">
        <f>"04/16/2018 00:00"</f>
        <v>04/16/2018 00:00</v>
      </c>
      <c r="C6043">
        <v>110</v>
      </c>
      <c r="D6043" t="s">
        <v>7</v>
      </c>
      <c r="E6043" s="2" t="s">
        <v>12</v>
      </c>
      <c r="F6043">
        <f t="shared" si="94"/>
        <v>218.13000000000002</v>
      </c>
      <c r="G6043" t="s">
        <v>16</v>
      </c>
      <c r="J6043" t="str">
        <f>"04/16/2018 23:45"</f>
        <v>04/16/2018 23:45</v>
      </c>
    </row>
    <row r="6044" spans="1:10" x14ac:dyDescent="0.3">
      <c r="A6044" t="s">
        <v>6</v>
      </c>
      <c r="B6044" t="str">
        <f>"04/17/2018 00:00"</f>
        <v>04/17/2018 00:00</v>
      </c>
      <c r="C6044">
        <v>144</v>
      </c>
      <c r="D6044" t="s">
        <v>7</v>
      </c>
      <c r="E6044" s="2" t="s">
        <v>12</v>
      </c>
      <c r="F6044">
        <f t="shared" si="94"/>
        <v>285.55200000000002</v>
      </c>
      <c r="G6044" t="s">
        <v>16</v>
      </c>
      <c r="J6044" t="str">
        <f>"04/17/2018 23:45"</f>
        <v>04/17/2018 23:45</v>
      </c>
    </row>
    <row r="6045" spans="1:10" x14ac:dyDescent="0.3">
      <c r="A6045" t="s">
        <v>6</v>
      </c>
      <c r="B6045" t="str">
        <f>"04/18/2018 00:00"</f>
        <v>04/18/2018 00:00</v>
      </c>
      <c r="C6045">
        <v>144</v>
      </c>
      <c r="D6045" t="s">
        <v>7</v>
      </c>
      <c r="E6045" s="2" t="s">
        <v>12</v>
      </c>
      <c r="F6045">
        <f t="shared" si="94"/>
        <v>285.55200000000002</v>
      </c>
      <c r="G6045" t="s">
        <v>16</v>
      </c>
      <c r="J6045" t="str">
        <f>"04/18/2018 23:45"</f>
        <v>04/18/2018 23:45</v>
      </c>
    </row>
    <row r="6046" spans="1:10" x14ac:dyDescent="0.3">
      <c r="A6046" t="s">
        <v>6</v>
      </c>
      <c r="B6046" t="str">
        <f>"04/19/2018 00:00"</f>
        <v>04/19/2018 00:00</v>
      </c>
      <c r="C6046">
        <v>144</v>
      </c>
      <c r="D6046" t="s">
        <v>7</v>
      </c>
      <c r="E6046" s="2" t="s">
        <v>12</v>
      </c>
      <c r="F6046">
        <f t="shared" si="94"/>
        <v>285.55200000000002</v>
      </c>
      <c r="G6046" t="s">
        <v>16</v>
      </c>
      <c r="J6046" t="str">
        <f>"04/19/2018 23:45"</f>
        <v>04/19/2018 23:45</v>
      </c>
    </row>
    <row r="6047" spans="1:10" x14ac:dyDescent="0.3">
      <c r="A6047" t="s">
        <v>6</v>
      </c>
      <c r="B6047" t="str">
        <f>"04/20/2018 00:00"</f>
        <v>04/20/2018 00:00</v>
      </c>
      <c r="C6047">
        <v>145</v>
      </c>
      <c r="D6047" t="s">
        <v>7</v>
      </c>
      <c r="E6047" s="2" t="s">
        <v>12</v>
      </c>
      <c r="F6047">
        <f t="shared" si="94"/>
        <v>287.53500000000003</v>
      </c>
      <c r="G6047" t="s">
        <v>16</v>
      </c>
      <c r="J6047" t="str">
        <f>"04/20/2018 23:45"</f>
        <v>04/20/2018 23:45</v>
      </c>
    </row>
    <row r="6048" spans="1:10" x14ac:dyDescent="0.3">
      <c r="A6048" t="s">
        <v>6</v>
      </c>
      <c r="B6048" t="str">
        <f>"04/21/2018 00:00"</f>
        <v>04/21/2018 00:00</v>
      </c>
      <c r="C6048">
        <v>145</v>
      </c>
      <c r="D6048" t="s">
        <v>7</v>
      </c>
      <c r="E6048" s="2" t="s">
        <v>12</v>
      </c>
      <c r="F6048">
        <f t="shared" si="94"/>
        <v>287.53500000000003</v>
      </c>
      <c r="G6048" t="s">
        <v>16</v>
      </c>
      <c r="J6048" t="str">
        <f>"04/21/2018 23:45"</f>
        <v>04/21/2018 23:45</v>
      </c>
    </row>
    <row r="6049" spans="1:10" x14ac:dyDescent="0.3">
      <c r="A6049" t="s">
        <v>6</v>
      </c>
      <c r="B6049" t="str">
        <f>"04/22/2018 00:00"</f>
        <v>04/22/2018 00:00</v>
      </c>
      <c r="C6049">
        <v>145</v>
      </c>
      <c r="D6049" t="s">
        <v>7</v>
      </c>
      <c r="E6049" s="2" t="s">
        <v>12</v>
      </c>
      <c r="F6049">
        <f t="shared" si="94"/>
        <v>287.53500000000003</v>
      </c>
      <c r="G6049" t="s">
        <v>16</v>
      </c>
      <c r="J6049" t="str">
        <f>"04/22/2018 23:45"</f>
        <v>04/22/2018 23:45</v>
      </c>
    </row>
    <row r="6050" spans="1:10" x14ac:dyDescent="0.3">
      <c r="A6050" t="s">
        <v>6</v>
      </c>
      <c r="B6050" t="str">
        <f>"04/23/2018 00:00"</f>
        <v>04/23/2018 00:00</v>
      </c>
      <c r="C6050">
        <v>145</v>
      </c>
      <c r="D6050" t="s">
        <v>7</v>
      </c>
      <c r="E6050" s="2" t="s">
        <v>12</v>
      </c>
      <c r="F6050">
        <f t="shared" si="94"/>
        <v>287.53500000000003</v>
      </c>
      <c r="G6050" t="s">
        <v>16</v>
      </c>
      <c r="J6050" t="str">
        <f>"04/23/2018 23:45"</f>
        <v>04/23/2018 23:45</v>
      </c>
    </row>
    <row r="6051" spans="1:10" x14ac:dyDescent="0.3">
      <c r="A6051" t="s">
        <v>6</v>
      </c>
      <c r="B6051" t="str">
        <f>"04/24/2018 00:00"</f>
        <v>04/24/2018 00:00</v>
      </c>
      <c r="C6051">
        <v>145</v>
      </c>
      <c r="D6051" t="s">
        <v>7</v>
      </c>
      <c r="E6051" s="2" t="s">
        <v>12</v>
      </c>
      <c r="F6051">
        <f t="shared" si="94"/>
        <v>287.53500000000003</v>
      </c>
      <c r="G6051" t="s">
        <v>16</v>
      </c>
      <c r="J6051" t="str">
        <f>"04/24/2018 23:45"</f>
        <v>04/24/2018 23:45</v>
      </c>
    </row>
    <row r="6052" spans="1:10" x14ac:dyDescent="0.3">
      <c r="A6052" t="s">
        <v>6</v>
      </c>
      <c r="B6052" t="str">
        <f>"04/25/2018 00:00"</f>
        <v>04/25/2018 00:00</v>
      </c>
      <c r="C6052">
        <v>145</v>
      </c>
      <c r="D6052" t="s">
        <v>7</v>
      </c>
      <c r="E6052" s="2" t="s">
        <v>12</v>
      </c>
      <c r="F6052">
        <f t="shared" si="94"/>
        <v>287.53500000000003</v>
      </c>
      <c r="G6052" t="s">
        <v>16</v>
      </c>
      <c r="J6052" t="str">
        <f>"04/25/2018 23:45"</f>
        <v>04/25/2018 23:45</v>
      </c>
    </row>
    <row r="6053" spans="1:10" x14ac:dyDescent="0.3">
      <c r="A6053" t="s">
        <v>6</v>
      </c>
      <c r="B6053" t="str">
        <f>"04/26/2018 00:00"</f>
        <v>04/26/2018 00:00</v>
      </c>
      <c r="C6053">
        <v>144</v>
      </c>
      <c r="D6053" t="s">
        <v>7</v>
      </c>
      <c r="E6053" s="2" t="s">
        <v>12</v>
      </c>
      <c r="F6053">
        <f t="shared" si="94"/>
        <v>285.55200000000002</v>
      </c>
      <c r="G6053" t="s">
        <v>16</v>
      </c>
      <c r="J6053" t="str">
        <f>"04/26/2018 23:45"</f>
        <v>04/26/2018 23:45</v>
      </c>
    </row>
    <row r="6054" spans="1:10" x14ac:dyDescent="0.3">
      <c r="A6054" t="s">
        <v>6</v>
      </c>
      <c r="B6054" t="str">
        <f>"04/27/2018 00:00"</f>
        <v>04/27/2018 00:00</v>
      </c>
      <c r="C6054">
        <v>144</v>
      </c>
      <c r="D6054" t="s">
        <v>7</v>
      </c>
      <c r="E6054" s="2" t="s">
        <v>12</v>
      </c>
      <c r="F6054">
        <f t="shared" si="94"/>
        <v>285.55200000000002</v>
      </c>
      <c r="G6054" t="s">
        <v>16</v>
      </c>
      <c r="J6054" t="str">
        <f>"04/27/2018 23:45"</f>
        <v>04/27/2018 23:45</v>
      </c>
    </row>
    <row r="6055" spans="1:10" x14ac:dyDescent="0.3">
      <c r="A6055" t="s">
        <v>6</v>
      </c>
      <c r="B6055" t="str">
        <f>"04/28/2018 00:00"</f>
        <v>04/28/2018 00:00</v>
      </c>
      <c r="C6055">
        <v>144</v>
      </c>
      <c r="D6055" t="s">
        <v>7</v>
      </c>
      <c r="E6055" s="2" t="s">
        <v>12</v>
      </c>
      <c r="F6055">
        <f t="shared" si="94"/>
        <v>285.55200000000002</v>
      </c>
      <c r="G6055" t="s">
        <v>16</v>
      </c>
      <c r="J6055" t="str">
        <f>"04/28/2018 23:45"</f>
        <v>04/28/2018 23:45</v>
      </c>
    </row>
    <row r="6056" spans="1:10" x14ac:dyDescent="0.3">
      <c r="A6056" t="s">
        <v>6</v>
      </c>
      <c r="B6056" t="str">
        <f>"04/29/2018 00:00"</f>
        <v>04/29/2018 00:00</v>
      </c>
      <c r="C6056">
        <v>144</v>
      </c>
      <c r="D6056" t="s">
        <v>7</v>
      </c>
      <c r="E6056" s="2" t="s">
        <v>12</v>
      </c>
      <c r="F6056">
        <f t="shared" si="94"/>
        <v>285.55200000000002</v>
      </c>
      <c r="G6056" t="s">
        <v>16</v>
      </c>
      <c r="J6056" t="str">
        <f>"04/29/2018 23:45"</f>
        <v>04/29/2018 23:45</v>
      </c>
    </row>
    <row r="6057" spans="1:10" x14ac:dyDescent="0.3">
      <c r="A6057" t="s">
        <v>6</v>
      </c>
      <c r="B6057" t="str">
        <f>"04/30/2018 00:00"</f>
        <v>04/30/2018 00:00</v>
      </c>
      <c r="C6057">
        <v>144</v>
      </c>
      <c r="D6057" t="s">
        <v>7</v>
      </c>
      <c r="E6057" s="2" t="s">
        <v>12</v>
      </c>
      <c r="F6057">
        <f t="shared" si="94"/>
        <v>285.55200000000002</v>
      </c>
      <c r="G6057" t="s">
        <v>16</v>
      </c>
      <c r="J6057" t="str">
        <f>"04/30/2018 23:45"</f>
        <v>04/30/2018 23:45</v>
      </c>
    </row>
    <row r="6058" spans="1:10" x14ac:dyDescent="0.3">
      <c r="A6058" t="s">
        <v>6</v>
      </c>
      <c r="B6058" t="str">
        <f>"05/01/2018 00:00"</f>
        <v>05/01/2018 00:00</v>
      </c>
      <c r="C6058">
        <v>144</v>
      </c>
      <c r="D6058" t="s">
        <v>7</v>
      </c>
      <c r="E6058" s="2" t="s">
        <v>12</v>
      </c>
      <c r="F6058">
        <f t="shared" si="94"/>
        <v>285.55200000000002</v>
      </c>
      <c r="G6058" t="s">
        <v>16</v>
      </c>
      <c r="J6058" t="str">
        <f>"05/01/2018 23:45"</f>
        <v>05/01/2018 23:45</v>
      </c>
    </row>
    <row r="6059" spans="1:10" x14ac:dyDescent="0.3">
      <c r="A6059" t="s">
        <v>6</v>
      </c>
      <c r="B6059" t="str">
        <f>"05/02/2018 00:00"</f>
        <v>05/02/2018 00:00</v>
      </c>
      <c r="C6059">
        <v>144</v>
      </c>
      <c r="D6059" t="s">
        <v>7</v>
      </c>
      <c r="E6059" s="2" t="s">
        <v>12</v>
      </c>
      <c r="F6059">
        <f t="shared" si="94"/>
        <v>285.55200000000002</v>
      </c>
      <c r="G6059" t="s">
        <v>16</v>
      </c>
      <c r="J6059" t="str">
        <f>"05/02/2018 23:45"</f>
        <v>05/02/2018 23:45</v>
      </c>
    </row>
    <row r="6060" spans="1:10" x14ac:dyDescent="0.3">
      <c r="A6060" t="s">
        <v>6</v>
      </c>
      <c r="B6060" t="str">
        <f>"05/03/2018 00:00"</f>
        <v>05/03/2018 00:00</v>
      </c>
      <c r="C6060">
        <v>99.2</v>
      </c>
      <c r="D6060" t="s">
        <v>7</v>
      </c>
      <c r="E6060" s="2" t="s">
        <v>12</v>
      </c>
      <c r="F6060">
        <f t="shared" si="94"/>
        <v>196.71360000000001</v>
      </c>
      <c r="G6060" t="s">
        <v>16</v>
      </c>
      <c r="J6060" t="str">
        <f>"05/03/2018 23:45"</f>
        <v>05/03/2018 23:45</v>
      </c>
    </row>
    <row r="6061" spans="1:10" x14ac:dyDescent="0.3">
      <c r="A6061" t="s">
        <v>6</v>
      </c>
      <c r="B6061" t="str">
        <f>"05/04/2018 00:00"</f>
        <v>05/04/2018 00:00</v>
      </c>
      <c r="C6061">
        <v>68.2</v>
      </c>
      <c r="D6061" t="s">
        <v>7</v>
      </c>
      <c r="E6061" s="2" t="s">
        <v>12</v>
      </c>
      <c r="F6061">
        <f t="shared" si="94"/>
        <v>135.2406</v>
      </c>
      <c r="G6061" t="s">
        <v>16</v>
      </c>
      <c r="J6061" t="str">
        <f>"05/04/2018 23:45"</f>
        <v>05/04/2018 23:45</v>
      </c>
    </row>
    <row r="6062" spans="1:10" x14ac:dyDescent="0.3">
      <c r="A6062" t="s">
        <v>6</v>
      </c>
      <c r="B6062" t="str">
        <f>"05/05/2018 00:00"</f>
        <v>05/05/2018 00:00</v>
      </c>
      <c r="C6062">
        <v>68.900000000000006</v>
      </c>
      <c r="D6062" t="s">
        <v>7</v>
      </c>
      <c r="E6062" s="2" t="s">
        <v>12</v>
      </c>
      <c r="F6062">
        <f t="shared" si="94"/>
        <v>136.62870000000001</v>
      </c>
      <c r="G6062" t="s">
        <v>16</v>
      </c>
      <c r="J6062" t="str">
        <f>"05/05/2018 23:45"</f>
        <v>05/05/2018 23:45</v>
      </c>
    </row>
    <row r="6063" spans="1:10" x14ac:dyDescent="0.3">
      <c r="A6063" t="s">
        <v>6</v>
      </c>
      <c r="B6063" t="str">
        <f>"05/06/2018 00:00"</f>
        <v>05/06/2018 00:00</v>
      </c>
      <c r="C6063">
        <v>69.2</v>
      </c>
      <c r="D6063" t="s">
        <v>7</v>
      </c>
      <c r="E6063" s="2" t="s">
        <v>12</v>
      </c>
      <c r="F6063">
        <f t="shared" si="94"/>
        <v>137.2236</v>
      </c>
      <c r="G6063" t="s">
        <v>16</v>
      </c>
      <c r="J6063" t="str">
        <f>"05/06/2018 23:45"</f>
        <v>05/06/2018 23:45</v>
      </c>
    </row>
    <row r="6064" spans="1:10" x14ac:dyDescent="0.3">
      <c r="A6064" t="s">
        <v>6</v>
      </c>
      <c r="B6064" t="str">
        <f>"05/07/2018 00:00"</f>
        <v>05/07/2018 00:00</v>
      </c>
      <c r="C6064">
        <v>71.3</v>
      </c>
      <c r="D6064" t="s">
        <v>7</v>
      </c>
      <c r="E6064" s="2" t="s">
        <v>12</v>
      </c>
      <c r="F6064">
        <f t="shared" si="94"/>
        <v>141.3879</v>
      </c>
      <c r="G6064" t="s">
        <v>16</v>
      </c>
      <c r="J6064" t="str">
        <f>"05/07/2018 23:45"</f>
        <v>05/07/2018 23:45</v>
      </c>
    </row>
    <row r="6065" spans="1:10" x14ac:dyDescent="0.3">
      <c r="A6065" t="s">
        <v>6</v>
      </c>
      <c r="B6065" t="str">
        <f>"05/08/2018 00:00"</f>
        <v>05/08/2018 00:00</v>
      </c>
      <c r="C6065">
        <v>117</v>
      </c>
      <c r="D6065" t="s">
        <v>7</v>
      </c>
      <c r="E6065" s="2" t="s">
        <v>12</v>
      </c>
      <c r="F6065">
        <f t="shared" si="94"/>
        <v>232.01100000000002</v>
      </c>
      <c r="G6065" t="s">
        <v>16</v>
      </c>
      <c r="J6065" t="str">
        <f>"05/08/2018 23:45"</f>
        <v>05/08/2018 23:45</v>
      </c>
    </row>
    <row r="6066" spans="1:10" x14ac:dyDescent="0.3">
      <c r="A6066" t="s">
        <v>6</v>
      </c>
      <c r="B6066" t="str">
        <f>"05/09/2018 00:00"</f>
        <v>05/09/2018 00:00</v>
      </c>
      <c r="C6066">
        <v>151</v>
      </c>
      <c r="D6066" t="s">
        <v>7</v>
      </c>
      <c r="E6066" s="2" t="s">
        <v>12</v>
      </c>
      <c r="F6066">
        <f t="shared" si="94"/>
        <v>299.43299999999999</v>
      </c>
      <c r="G6066" t="s">
        <v>16</v>
      </c>
      <c r="J6066" t="str">
        <f>"05/09/2018 23:45"</f>
        <v>05/09/2018 23:45</v>
      </c>
    </row>
    <row r="6067" spans="1:10" x14ac:dyDescent="0.3">
      <c r="A6067" t="s">
        <v>6</v>
      </c>
      <c r="B6067" t="str">
        <f>"05/10/2018 00:00"</f>
        <v>05/10/2018 00:00</v>
      </c>
      <c r="C6067">
        <v>151</v>
      </c>
      <c r="D6067" t="s">
        <v>7</v>
      </c>
      <c r="E6067" s="2" t="s">
        <v>12</v>
      </c>
      <c r="F6067">
        <f t="shared" si="94"/>
        <v>299.43299999999999</v>
      </c>
      <c r="G6067" t="s">
        <v>16</v>
      </c>
      <c r="J6067" t="str">
        <f>"05/10/2018 23:45"</f>
        <v>05/10/2018 23:45</v>
      </c>
    </row>
    <row r="6068" spans="1:10" x14ac:dyDescent="0.3">
      <c r="A6068" t="s">
        <v>6</v>
      </c>
      <c r="B6068" t="str">
        <f>"05/11/2018 00:00"</f>
        <v>05/11/2018 00:00</v>
      </c>
      <c r="C6068">
        <v>151</v>
      </c>
      <c r="D6068" t="s">
        <v>7</v>
      </c>
      <c r="E6068" s="2" t="s">
        <v>12</v>
      </c>
      <c r="F6068">
        <f t="shared" si="94"/>
        <v>299.43299999999999</v>
      </c>
      <c r="G6068" t="s">
        <v>16</v>
      </c>
      <c r="J6068" t="str">
        <f>"05/11/2018 23:45"</f>
        <v>05/11/2018 23:45</v>
      </c>
    </row>
    <row r="6069" spans="1:10" x14ac:dyDescent="0.3">
      <c r="A6069" t="s">
        <v>6</v>
      </c>
      <c r="B6069" t="str">
        <f>"05/12/2018 00:00"</f>
        <v>05/12/2018 00:00</v>
      </c>
      <c r="C6069">
        <v>151</v>
      </c>
      <c r="D6069" t="s">
        <v>7</v>
      </c>
      <c r="E6069" s="2" t="s">
        <v>12</v>
      </c>
      <c r="F6069">
        <f t="shared" si="94"/>
        <v>299.43299999999999</v>
      </c>
      <c r="G6069" t="s">
        <v>16</v>
      </c>
      <c r="J6069" t="str">
        <f>"05/12/2018 23:45"</f>
        <v>05/12/2018 23:45</v>
      </c>
    </row>
    <row r="6070" spans="1:10" x14ac:dyDescent="0.3">
      <c r="A6070" t="s">
        <v>6</v>
      </c>
      <c r="B6070" t="str">
        <f>"05/13/2018 00:00"</f>
        <v>05/13/2018 00:00</v>
      </c>
      <c r="C6070">
        <v>151</v>
      </c>
      <c r="D6070" t="s">
        <v>7</v>
      </c>
      <c r="E6070" s="2" t="s">
        <v>12</v>
      </c>
      <c r="F6070">
        <f t="shared" si="94"/>
        <v>299.43299999999999</v>
      </c>
      <c r="G6070" t="s">
        <v>16</v>
      </c>
      <c r="J6070" t="str">
        <f>"05/13/2018 23:45"</f>
        <v>05/13/2018 23:45</v>
      </c>
    </row>
    <row r="6071" spans="1:10" x14ac:dyDescent="0.3">
      <c r="A6071" t="s">
        <v>6</v>
      </c>
      <c r="B6071" t="str">
        <f>"05/14/2018 00:00"</f>
        <v>05/14/2018 00:00</v>
      </c>
      <c r="C6071">
        <v>139</v>
      </c>
      <c r="D6071" t="s">
        <v>7</v>
      </c>
      <c r="E6071" s="2" t="s">
        <v>12</v>
      </c>
      <c r="F6071">
        <f t="shared" si="94"/>
        <v>275.637</v>
      </c>
      <c r="G6071" t="s">
        <v>16</v>
      </c>
      <c r="J6071" t="str">
        <f>"05/14/2018 23:45"</f>
        <v>05/14/2018 23:45</v>
      </c>
    </row>
    <row r="6072" spans="1:10" x14ac:dyDescent="0.3">
      <c r="A6072" t="s">
        <v>6</v>
      </c>
      <c r="B6072" t="str">
        <f>"05/15/2018 00:00"</f>
        <v>05/15/2018 00:00</v>
      </c>
      <c r="C6072">
        <v>123</v>
      </c>
      <c r="D6072" t="s">
        <v>7</v>
      </c>
      <c r="E6072" s="2" t="s">
        <v>12</v>
      </c>
      <c r="F6072">
        <f t="shared" si="94"/>
        <v>243.90900000000002</v>
      </c>
      <c r="G6072" t="s">
        <v>16</v>
      </c>
      <c r="J6072" t="str">
        <f>"05/15/2018 23:45"</f>
        <v>05/15/2018 23:45</v>
      </c>
    </row>
    <row r="6073" spans="1:10" x14ac:dyDescent="0.3">
      <c r="A6073" t="s">
        <v>6</v>
      </c>
      <c r="B6073" t="str">
        <f>"05/16/2018 00:00"</f>
        <v>05/16/2018 00:00</v>
      </c>
      <c r="C6073">
        <v>87.3</v>
      </c>
      <c r="D6073" t="s">
        <v>7</v>
      </c>
      <c r="E6073" s="2" t="s">
        <v>12</v>
      </c>
      <c r="F6073">
        <f t="shared" si="94"/>
        <v>173.11590000000001</v>
      </c>
      <c r="G6073" t="s">
        <v>16</v>
      </c>
      <c r="J6073" t="str">
        <f>"05/16/2018 23:45"</f>
        <v>05/16/2018 23:45</v>
      </c>
    </row>
    <row r="6074" spans="1:10" x14ac:dyDescent="0.3">
      <c r="A6074" t="s">
        <v>6</v>
      </c>
      <c r="B6074" t="str">
        <f>"05/17/2018 00:00"</f>
        <v>05/17/2018 00:00</v>
      </c>
      <c r="C6074">
        <v>58.6</v>
      </c>
      <c r="D6074" t="s">
        <v>7</v>
      </c>
      <c r="E6074" s="2" t="s">
        <v>12</v>
      </c>
      <c r="F6074">
        <f t="shared" si="94"/>
        <v>116.20380000000002</v>
      </c>
      <c r="G6074" t="s">
        <v>16</v>
      </c>
      <c r="J6074" t="str">
        <f>"05/17/2018 23:45"</f>
        <v>05/17/2018 23:45</v>
      </c>
    </row>
    <row r="6075" spans="1:10" x14ac:dyDescent="0.3">
      <c r="A6075" t="s">
        <v>6</v>
      </c>
      <c r="B6075" t="str">
        <f>"05/18/2018 00:00"</f>
        <v>05/18/2018 00:00</v>
      </c>
      <c r="C6075">
        <v>101</v>
      </c>
      <c r="D6075" t="s">
        <v>7</v>
      </c>
      <c r="E6075" s="2" t="s">
        <v>12</v>
      </c>
      <c r="F6075">
        <f t="shared" si="94"/>
        <v>200.28300000000002</v>
      </c>
      <c r="G6075" t="s">
        <v>16</v>
      </c>
      <c r="J6075" t="str">
        <f>"05/18/2018 23:45"</f>
        <v>05/18/2018 23:45</v>
      </c>
    </row>
    <row r="6076" spans="1:10" x14ac:dyDescent="0.3">
      <c r="A6076" t="s">
        <v>6</v>
      </c>
      <c r="B6076" t="str">
        <f>"05/19/2018 00:00"</f>
        <v>05/19/2018 00:00</v>
      </c>
      <c r="C6076">
        <v>145</v>
      </c>
      <c r="D6076" t="s">
        <v>7</v>
      </c>
      <c r="E6076" s="2" t="s">
        <v>12</v>
      </c>
      <c r="F6076">
        <f t="shared" si="94"/>
        <v>287.53500000000003</v>
      </c>
      <c r="G6076" t="s">
        <v>16</v>
      </c>
      <c r="J6076" t="str">
        <f>"05/19/2018 23:45"</f>
        <v>05/19/2018 23:45</v>
      </c>
    </row>
    <row r="6077" spans="1:10" x14ac:dyDescent="0.3">
      <c r="A6077" t="s">
        <v>6</v>
      </c>
      <c r="B6077" t="str">
        <f>"05/20/2018 00:00"</f>
        <v>05/20/2018 00:00</v>
      </c>
      <c r="C6077">
        <v>145</v>
      </c>
      <c r="D6077" t="s">
        <v>7</v>
      </c>
      <c r="E6077" s="2" t="s">
        <v>12</v>
      </c>
      <c r="F6077">
        <f t="shared" si="94"/>
        <v>287.53500000000003</v>
      </c>
      <c r="G6077" t="s">
        <v>16</v>
      </c>
      <c r="J6077" t="str">
        <f>"05/20/2018 23:45"</f>
        <v>05/20/2018 23:45</v>
      </c>
    </row>
    <row r="6078" spans="1:10" x14ac:dyDescent="0.3">
      <c r="A6078" t="s">
        <v>6</v>
      </c>
      <c r="B6078" t="str">
        <f>"05/21/2018 00:00"</f>
        <v>05/21/2018 00:00</v>
      </c>
      <c r="C6078">
        <v>144</v>
      </c>
      <c r="D6078" t="s">
        <v>7</v>
      </c>
      <c r="E6078" s="2" t="s">
        <v>12</v>
      </c>
      <c r="F6078">
        <f t="shared" si="94"/>
        <v>285.55200000000002</v>
      </c>
      <c r="G6078" t="s">
        <v>16</v>
      </c>
      <c r="J6078" t="str">
        <f>"05/21/2018 23:45"</f>
        <v>05/21/2018 23:45</v>
      </c>
    </row>
    <row r="6079" spans="1:10" x14ac:dyDescent="0.3">
      <c r="A6079" t="s">
        <v>6</v>
      </c>
      <c r="B6079" t="str">
        <f>"05/22/2018 00:00"</f>
        <v>05/22/2018 00:00</v>
      </c>
      <c r="C6079">
        <v>220</v>
      </c>
      <c r="D6079" t="s">
        <v>7</v>
      </c>
      <c r="E6079" s="2" t="s">
        <v>12</v>
      </c>
      <c r="F6079">
        <f t="shared" si="94"/>
        <v>436.26000000000005</v>
      </c>
      <c r="G6079" t="s">
        <v>16</v>
      </c>
      <c r="J6079" t="str">
        <f>"05/22/2018 23:45"</f>
        <v>05/22/2018 23:45</v>
      </c>
    </row>
    <row r="6080" spans="1:10" x14ac:dyDescent="0.3">
      <c r="A6080" t="s">
        <v>6</v>
      </c>
      <c r="B6080" t="str">
        <f>"05/23/2018 00:00"</f>
        <v>05/23/2018 00:00</v>
      </c>
      <c r="C6080">
        <v>331</v>
      </c>
      <c r="D6080" t="s">
        <v>7</v>
      </c>
      <c r="E6080" s="2" t="s">
        <v>12</v>
      </c>
      <c r="F6080">
        <f t="shared" si="94"/>
        <v>656.37300000000005</v>
      </c>
      <c r="G6080" t="s">
        <v>16</v>
      </c>
      <c r="J6080" t="str">
        <f>"05/23/2018 23:45"</f>
        <v>05/23/2018 23:45</v>
      </c>
    </row>
    <row r="6081" spans="1:10" x14ac:dyDescent="0.3">
      <c r="A6081" t="s">
        <v>6</v>
      </c>
      <c r="B6081" t="str">
        <f>"05/24/2018 00:00"</f>
        <v>05/24/2018 00:00</v>
      </c>
      <c r="C6081">
        <v>367</v>
      </c>
      <c r="D6081" t="s">
        <v>7</v>
      </c>
      <c r="E6081" s="2" t="s">
        <v>12</v>
      </c>
      <c r="F6081">
        <f t="shared" si="94"/>
        <v>727.76100000000008</v>
      </c>
      <c r="G6081" t="s">
        <v>16</v>
      </c>
      <c r="J6081" t="str">
        <f>"05/24/2018 23:45"</f>
        <v>05/24/2018 23:45</v>
      </c>
    </row>
    <row r="6082" spans="1:10" x14ac:dyDescent="0.3">
      <c r="A6082" t="s">
        <v>6</v>
      </c>
      <c r="B6082" t="str">
        <f>"05/25/2018 00:00"</f>
        <v>05/25/2018 00:00</v>
      </c>
      <c r="C6082">
        <v>366</v>
      </c>
      <c r="D6082" t="s">
        <v>7</v>
      </c>
      <c r="E6082" s="2" t="s">
        <v>12</v>
      </c>
      <c r="F6082">
        <f t="shared" si="94"/>
        <v>725.77800000000002</v>
      </c>
      <c r="G6082" t="s">
        <v>16</v>
      </c>
      <c r="J6082" t="str">
        <f>"05/25/2018 23:45"</f>
        <v>05/25/2018 23:45</v>
      </c>
    </row>
    <row r="6083" spans="1:10" x14ac:dyDescent="0.3">
      <c r="A6083" t="s">
        <v>6</v>
      </c>
      <c r="B6083" t="str">
        <f>"05/26/2018 00:00"</f>
        <v>05/26/2018 00:00</v>
      </c>
      <c r="C6083">
        <v>366</v>
      </c>
      <c r="D6083" t="s">
        <v>7</v>
      </c>
      <c r="E6083" s="2" t="s">
        <v>12</v>
      </c>
      <c r="F6083">
        <f t="shared" si="94"/>
        <v>725.77800000000002</v>
      </c>
      <c r="G6083" t="s">
        <v>16</v>
      </c>
      <c r="J6083" t="str">
        <f>"05/26/2018 23:45"</f>
        <v>05/26/2018 23:45</v>
      </c>
    </row>
    <row r="6084" spans="1:10" x14ac:dyDescent="0.3">
      <c r="A6084" t="s">
        <v>6</v>
      </c>
      <c r="B6084" t="str">
        <f>"05/27/2018 00:00"</f>
        <v>05/27/2018 00:00</v>
      </c>
      <c r="C6084">
        <v>367</v>
      </c>
      <c r="D6084" t="s">
        <v>7</v>
      </c>
      <c r="E6084" s="2" t="s">
        <v>12</v>
      </c>
      <c r="F6084">
        <f t="shared" ref="F6084:F6147" si="95">C6084*1.983</f>
        <v>727.76100000000008</v>
      </c>
      <c r="G6084" t="s">
        <v>16</v>
      </c>
      <c r="J6084" t="str">
        <f>"05/27/2018 23:45"</f>
        <v>05/27/2018 23:45</v>
      </c>
    </row>
    <row r="6085" spans="1:10" x14ac:dyDescent="0.3">
      <c r="A6085" t="s">
        <v>6</v>
      </c>
      <c r="B6085" t="str">
        <f>"05/28/2018 00:00"</f>
        <v>05/28/2018 00:00</v>
      </c>
      <c r="C6085">
        <v>367</v>
      </c>
      <c r="D6085" t="s">
        <v>7</v>
      </c>
      <c r="E6085" s="2" t="s">
        <v>12</v>
      </c>
      <c r="F6085">
        <f t="shared" si="95"/>
        <v>727.76100000000008</v>
      </c>
      <c r="G6085" t="s">
        <v>16</v>
      </c>
      <c r="J6085" t="str">
        <f>"05/28/2018 23:45"</f>
        <v>05/28/2018 23:45</v>
      </c>
    </row>
    <row r="6086" spans="1:10" x14ac:dyDescent="0.3">
      <c r="A6086" t="s">
        <v>6</v>
      </c>
      <c r="B6086" t="str">
        <f>"05/29/2018 00:00"</f>
        <v>05/29/2018 00:00</v>
      </c>
      <c r="C6086">
        <v>305</v>
      </c>
      <c r="D6086" t="s">
        <v>7</v>
      </c>
      <c r="E6086" s="2" t="s">
        <v>12</v>
      </c>
      <c r="F6086">
        <f t="shared" si="95"/>
        <v>604.81500000000005</v>
      </c>
      <c r="G6086" t="s">
        <v>16</v>
      </c>
      <c r="J6086" t="str">
        <f>"05/29/2018 23:45"</f>
        <v>05/29/2018 23:45</v>
      </c>
    </row>
    <row r="6087" spans="1:10" x14ac:dyDescent="0.3">
      <c r="A6087" t="s">
        <v>6</v>
      </c>
      <c r="B6087" t="str">
        <f>"05/30/2018 00:00"</f>
        <v>05/30/2018 00:00</v>
      </c>
      <c r="C6087">
        <v>282</v>
      </c>
      <c r="D6087" t="s">
        <v>7</v>
      </c>
      <c r="E6087" s="2" t="s">
        <v>12</v>
      </c>
      <c r="F6087">
        <f t="shared" si="95"/>
        <v>559.20600000000002</v>
      </c>
      <c r="G6087" t="s">
        <v>16</v>
      </c>
      <c r="J6087" t="str">
        <f>"05/30/2018 23:45"</f>
        <v>05/30/2018 23:45</v>
      </c>
    </row>
    <row r="6088" spans="1:10" x14ac:dyDescent="0.3">
      <c r="A6088" t="s">
        <v>6</v>
      </c>
      <c r="B6088" t="str">
        <f>"05/31/2018 00:00"</f>
        <v>05/31/2018 00:00</v>
      </c>
      <c r="C6088">
        <v>331</v>
      </c>
      <c r="D6088" t="s">
        <v>7</v>
      </c>
      <c r="E6088" s="2" t="s">
        <v>12</v>
      </c>
      <c r="F6088">
        <f t="shared" si="95"/>
        <v>656.37300000000005</v>
      </c>
      <c r="G6088" t="s">
        <v>16</v>
      </c>
      <c r="J6088" t="str">
        <f>"05/31/2018 23:45"</f>
        <v>05/31/2018 23:45</v>
      </c>
    </row>
    <row r="6089" spans="1:10" x14ac:dyDescent="0.3">
      <c r="A6089" t="s">
        <v>6</v>
      </c>
      <c r="B6089" t="str">
        <f>"06/01/2018 00:00"</f>
        <v>06/01/2018 00:00</v>
      </c>
      <c r="C6089">
        <v>348</v>
      </c>
      <c r="D6089" t="s">
        <v>7</v>
      </c>
      <c r="E6089" s="2" t="s">
        <v>12</v>
      </c>
      <c r="F6089">
        <f t="shared" si="95"/>
        <v>690.08400000000006</v>
      </c>
      <c r="G6089" t="s">
        <v>16</v>
      </c>
      <c r="J6089" t="str">
        <f>"06/01/2018 23:45"</f>
        <v>06/01/2018 23:45</v>
      </c>
    </row>
    <row r="6090" spans="1:10" x14ac:dyDescent="0.3">
      <c r="A6090" t="s">
        <v>6</v>
      </c>
      <c r="B6090" t="str">
        <f>"06/02/2018 00:00"</f>
        <v>06/02/2018 00:00</v>
      </c>
      <c r="C6090">
        <v>348</v>
      </c>
      <c r="D6090" t="s">
        <v>7</v>
      </c>
      <c r="E6090" s="2" t="s">
        <v>12</v>
      </c>
      <c r="F6090">
        <f t="shared" si="95"/>
        <v>690.08400000000006</v>
      </c>
      <c r="G6090" t="s">
        <v>16</v>
      </c>
      <c r="J6090" t="str">
        <f>"06/02/2018 23:45"</f>
        <v>06/02/2018 23:45</v>
      </c>
    </row>
    <row r="6091" spans="1:10" x14ac:dyDescent="0.3">
      <c r="A6091" t="s">
        <v>6</v>
      </c>
      <c r="B6091" t="str">
        <f>"06/03/2018 00:00"</f>
        <v>06/03/2018 00:00</v>
      </c>
      <c r="C6091">
        <v>348</v>
      </c>
      <c r="D6091" t="s">
        <v>7</v>
      </c>
      <c r="E6091" s="2" t="s">
        <v>12</v>
      </c>
      <c r="F6091">
        <f t="shared" si="95"/>
        <v>690.08400000000006</v>
      </c>
      <c r="G6091" t="s">
        <v>16</v>
      </c>
      <c r="J6091" t="str">
        <f>"06/03/2018 23:45"</f>
        <v>06/03/2018 23:45</v>
      </c>
    </row>
    <row r="6092" spans="1:10" x14ac:dyDescent="0.3">
      <c r="A6092" t="s">
        <v>6</v>
      </c>
      <c r="B6092" t="str">
        <f>"06/04/2018 00:00"</f>
        <v>06/04/2018 00:00</v>
      </c>
      <c r="C6092">
        <v>278</v>
      </c>
      <c r="D6092" t="s">
        <v>7</v>
      </c>
      <c r="E6092" s="2" t="s">
        <v>12</v>
      </c>
      <c r="F6092">
        <f t="shared" si="95"/>
        <v>551.274</v>
      </c>
      <c r="G6092" t="s">
        <v>16</v>
      </c>
      <c r="J6092" t="str">
        <f>"06/04/2018 23:45"</f>
        <v>06/04/2018 23:45</v>
      </c>
    </row>
    <row r="6093" spans="1:10" x14ac:dyDescent="0.3">
      <c r="A6093" t="s">
        <v>6</v>
      </c>
      <c r="B6093" t="str">
        <f>"06/05/2018 00:00"</f>
        <v>06/05/2018 00:00</v>
      </c>
      <c r="C6093">
        <v>275</v>
      </c>
      <c r="D6093" t="s">
        <v>7</v>
      </c>
      <c r="E6093" s="2" t="s">
        <v>12</v>
      </c>
      <c r="F6093">
        <f t="shared" si="95"/>
        <v>545.32500000000005</v>
      </c>
      <c r="G6093" t="s">
        <v>16</v>
      </c>
      <c r="J6093" t="str">
        <f>"06/05/2018 23:45"</f>
        <v>06/05/2018 23:45</v>
      </c>
    </row>
    <row r="6094" spans="1:10" x14ac:dyDescent="0.3">
      <c r="A6094" t="s">
        <v>6</v>
      </c>
      <c r="B6094" t="str">
        <f>"06/06/2018 00:00"</f>
        <v>06/06/2018 00:00</v>
      </c>
      <c r="C6094">
        <v>299</v>
      </c>
      <c r="D6094" t="s">
        <v>7</v>
      </c>
      <c r="E6094" s="2" t="s">
        <v>12</v>
      </c>
      <c r="F6094">
        <f t="shared" si="95"/>
        <v>592.91700000000003</v>
      </c>
      <c r="G6094" t="s">
        <v>16</v>
      </c>
      <c r="J6094" t="str">
        <f>"06/06/2018 23:45"</f>
        <v>06/06/2018 23:45</v>
      </c>
    </row>
    <row r="6095" spans="1:10" x14ac:dyDescent="0.3">
      <c r="A6095" t="s">
        <v>6</v>
      </c>
      <c r="B6095" t="str">
        <f>"06/07/2018 00:00"</f>
        <v>06/07/2018 00:00</v>
      </c>
      <c r="C6095">
        <v>299</v>
      </c>
      <c r="D6095" t="s">
        <v>7</v>
      </c>
      <c r="E6095" s="2" t="s">
        <v>12</v>
      </c>
      <c r="F6095">
        <f t="shared" si="95"/>
        <v>592.91700000000003</v>
      </c>
      <c r="G6095" t="s">
        <v>16</v>
      </c>
      <c r="J6095" t="str">
        <f>"06/07/2018 23:45"</f>
        <v>06/07/2018 23:45</v>
      </c>
    </row>
    <row r="6096" spans="1:10" x14ac:dyDescent="0.3">
      <c r="A6096" t="s">
        <v>6</v>
      </c>
      <c r="B6096" t="str">
        <f>"06/08/2018 00:00"</f>
        <v>06/08/2018 00:00</v>
      </c>
      <c r="C6096">
        <v>299</v>
      </c>
      <c r="D6096" t="s">
        <v>7</v>
      </c>
      <c r="E6096" s="2" t="s">
        <v>12</v>
      </c>
      <c r="F6096">
        <f t="shared" si="95"/>
        <v>592.91700000000003</v>
      </c>
      <c r="G6096" t="s">
        <v>16</v>
      </c>
      <c r="J6096" t="str">
        <f>"06/08/2018 23:45"</f>
        <v>06/08/2018 23:45</v>
      </c>
    </row>
    <row r="6097" spans="1:10" x14ac:dyDescent="0.3">
      <c r="A6097" t="s">
        <v>6</v>
      </c>
      <c r="B6097" t="str">
        <f>"06/09/2018 00:00"</f>
        <v>06/09/2018 00:00</v>
      </c>
      <c r="C6097">
        <v>299</v>
      </c>
      <c r="D6097" t="s">
        <v>7</v>
      </c>
      <c r="E6097" s="2" t="s">
        <v>12</v>
      </c>
      <c r="F6097">
        <f t="shared" si="95"/>
        <v>592.91700000000003</v>
      </c>
      <c r="G6097" t="s">
        <v>16</v>
      </c>
      <c r="J6097" t="str">
        <f>"06/09/2018 23:45"</f>
        <v>06/09/2018 23:45</v>
      </c>
    </row>
    <row r="6098" spans="1:10" x14ac:dyDescent="0.3">
      <c r="A6098" t="s">
        <v>6</v>
      </c>
      <c r="B6098" t="str">
        <f>"06/10/2018 00:00"</f>
        <v>06/10/2018 00:00</v>
      </c>
      <c r="C6098">
        <v>299</v>
      </c>
      <c r="D6098" t="s">
        <v>7</v>
      </c>
      <c r="E6098" s="2" t="s">
        <v>12</v>
      </c>
      <c r="F6098">
        <f t="shared" si="95"/>
        <v>592.91700000000003</v>
      </c>
      <c r="G6098" t="s">
        <v>16</v>
      </c>
      <c r="J6098" t="str">
        <f>"06/10/2018 23:45"</f>
        <v>06/10/2018 23:45</v>
      </c>
    </row>
    <row r="6099" spans="1:10" x14ac:dyDescent="0.3">
      <c r="A6099" t="s">
        <v>6</v>
      </c>
      <c r="B6099" t="str">
        <f>"06/11/2018 00:00"</f>
        <v>06/11/2018 00:00</v>
      </c>
      <c r="C6099">
        <v>299</v>
      </c>
      <c r="D6099" t="s">
        <v>7</v>
      </c>
      <c r="E6099" s="2" t="s">
        <v>12</v>
      </c>
      <c r="F6099">
        <f t="shared" si="95"/>
        <v>592.91700000000003</v>
      </c>
      <c r="G6099" t="s">
        <v>16</v>
      </c>
      <c r="J6099" t="str">
        <f>"06/11/2018 23:45"</f>
        <v>06/11/2018 23:45</v>
      </c>
    </row>
    <row r="6100" spans="1:10" x14ac:dyDescent="0.3">
      <c r="A6100" t="s">
        <v>6</v>
      </c>
      <c r="B6100" t="str">
        <f>"06/12/2018 00:00"</f>
        <v>06/12/2018 00:00</v>
      </c>
      <c r="C6100">
        <v>299</v>
      </c>
      <c r="D6100" t="s">
        <v>7</v>
      </c>
      <c r="E6100" s="2" t="s">
        <v>12</v>
      </c>
      <c r="F6100">
        <f t="shared" si="95"/>
        <v>592.91700000000003</v>
      </c>
      <c r="G6100" t="s">
        <v>16</v>
      </c>
      <c r="J6100" t="str">
        <f>"06/12/2018 23:45"</f>
        <v>06/12/2018 23:45</v>
      </c>
    </row>
    <row r="6101" spans="1:10" x14ac:dyDescent="0.3">
      <c r="A6101" t="s">
        <v>6</v>
      </c>
      <c r="B6101" t="str">
        <f>"06/13/2018 00:00"</f>
        <v>06/13/2018 00:00</v>
      </c>
      <c r="C6101">
        <v>299</v>
      </c>
      <c r="D6101" t="s">
        <v>7</v>
      </c>
      <c r="E6101" s="2" t="s">
        <v>12</v>
      </c>
      <c r="F6101">
        <f t="shared" si="95"/>
        <v>592.91700000000003</v>
      </c>
      <c r="G6101" t="s">
        <v>16</v>
      </c>
      <c r="J6101" t="str">
        <f>"06/13/2018 23:45"</f>
        <v>06/13/2018 23:45</v>
      </c>
    </row>
    <row r="6102" spans="1:10" x14ac:dyDescent="0.3">
      <c r="A6102" t="s">
        <v>6</v>
      </c>
      <c r="B6102" t="str">
        <f>"06/14/2018 00:00"</f>
        <v>06/14/2018 00:00</v>
      </c>
      <c r="C6102">
        <v>299</v>
      </c>
      <c r="D6102" t="s">
        <v>7</v>
      </c>
      <c r="E6102" s="2" t="s">
        <v>12</v>
      </c>
      <c r="F6102">
        <f t="shared" si="95"/>
        <v>592.91700000000003</v>
      </c>
      <c r="G6102" t="s">
        <v>16</v>
      </c>
      <c r="J6102" t="str">
        <f>"06/14/2018 23:45"</f>
        <v>06/14/2018 23:45</v>
      </c>
    </row>
    <row r="6103" spans="1:10" x14ac:dyDescent="0.3">
      <c r="A6103" t="s">
        <v>6</v>
      </c>
      <c r="B6103" t="str">
        <f>"06/15/2018 00:00"</f>
        <v>06/15/2018 00:00</v>
      </c>
      <c r="C6103">
        <v>299</v>
      </c>
      <c r="D6103" t="s">
        <v>7</v>
      </c>
      <c r="E6103" s="2" t="s">
        <v>12</v>
      </c>
      <c r="F6103">
        <f t="shared" si="95"/>
        <v>592.91700000000003</v>
      </c>
      <c r="G6103" t="s">
        <v>16</v>
      </c>
      <c r="J6103" t="str">
        <f>"06/15/2018 23:45"</f>
        <v>06/15/2018 23:45</v>
      </c>
    </row>
    <row r="6104" spans="1:10" x14ac:dyDescent="0.3">
      <c r="A6104" t="s">
        <v>6</v>
      </c>
      <c r="B6104" t="str">
        <f>"06/16/2018 00:00"</f>
        <v>06/16/2018 00:00</v>
      </c>
      <c r="C6104">
        <v>299</v>
      </c>
      <c r="D6104" t="s">
        <v>7</v>
      </c>
      <c r="E6104" s="2" t="s">
        <v>12</v>
      </c>
      <c r="F6104">
        <f t="shared" si="95"/>
        <v>592.91700000000003</v>
      </c>
      <c r="G6104" t="s">
        <v>16</v>
      </c>
      <c r="J6104" t="str">
        <f>"06/16/2018 23:45"</f>
        <v>06/16/2018 23:45</v>
      </c>
    </row>
    <row r="6105" spans="1:10" x14ac:dyDescent="0.3">
      <c r="A6105" t="s">
        <v>6</v>
      </c>
      <c r="B6105" t="str">
        <f>"06/17/2018 00:00"</f>
        <v>06/17/2018 00:00</v>
      </c>
      <c r="C6105">
        <v>300</v>
      </c>
      <c r="D6105" t="s">
        <v>7</v>
      </c>
      <c r="E6105" s="2" t="s">
        <v>12</v>
      </c>
      <c r="F6105">
        <f t="shared" si="95"/>
        <v>594.9</v>
      </c>
      <c r="G6105" t="s">
        <v>16</v>
      </c>
      <c r="J6105" t="str">
        <f>"06/17/2018 23:45"</f>
        <v>06/17/2018 23:45</v>
      </c>
    </row>
    <row r="6106" spans="1:10" x14ac:dyDescent="0.3">
      <c r="A6106" t="s">
        <v>6</v>
      </c>
      <c r="B6106" t="str">
        <f>"06/18/2018 00:00"</f>
        <v>06/18/2018 00:00</v>
      </c>
      <c r="C6106">
        <v>269</v>
      </c>
      <c r="D6106" t="s">
        <v>7</v>
      </c>
      <c r="E6106" s="2" t="s">
        <v>12</v>
      </c>
      <c r="F6106">
        <f t="shared" si="95"/>
        <v>533.42700000000002</v>
      </c>
      <c r="G6106" t="s">
        <v>16</v>
      </c>
      <c r="J6106" t="str">
        <f>"06/18/2018 23:45"</f>
        <v>06/18/2018 23:45</v>
      </c>
    </row>
    <row r="6107" spans="1:10" x14ac:dyDescent="0.3">
      <c r="A6107" t="s">
        <v>6</v>
      </c>
      <c r="B6107" t="str">
        <f>"06/19/2018 00:00"</f>
        <v>06/19/2018 00:00</v>
      </c>
      <c r="C6107">
        <v>251</v>
      </c>
      <c r="D6107" t="s">
        <v>7</v>
      </c>
      <c r="E6107" s="2" t="s">
        <v>12</v>
      </c>
      <c r="F6107">
        <f t="shared" si="95"/>
        <v>497.733</v>
      </c>
      <c r="G6107" t="s">
        <v>16</v>
      </c>
      <c r="J6107" t="str">
        <f>"06/19/2018 23:45"</f>
        <v>06/19/2018 23:45</v>
      </c>
    </row>
    <row r="6108" spans="1:10" x14ac:dyDescent="0.3">
      <c r="A6108" t="s">
        <v>6</v>
      </c>
      <c r="B6108" t="str">
        <f>"06/20/2018 00:00"</f>
        <v>06/20/2018 00:00</v>
      </c>
      <c r="C6108">
        <v>302</v>
      </c>
      <c r="D6108" t="s">
        <v>7</v>
      </c>
      <c r="E6108" s="2" t="s">
        <v>12</v>
      </c>
      <c r="F6108">
        <f t="shared" si="95"/>
        <v>598.86599999999999</v>
      </c>
      <c r="G6108" t="s">
        <v>16</v>
      </c>
      <c r="J6108" t="str">
        <f>"06/20/2018 23:45"</f>
        <v>06/20/2018 23:45</v>
      </c>
    </row>
    <row r="6109" spans="1:10" x14ac:dyDescent="0.3">
      <c r="A6109" t="s">
        <v>6</v>
      </c>
      <c r="B6109" t="str">
        <f>"06/21/2018 00:00"</f>
        <v>06/21/2018 00:00</v>
      </c>
      <c r="C6109">
        <v>313</v>
      </c>
      <c r="D6109" t="s">
        <v>7</v>
      </c>
      <c r="E6109" s="2" t="s">
        <v>12</v>
      </c>
      <c r="F6109">
        <f t="shared" si="95"/>
        <v>620.67899999999997</v>
      </c>
      <c r="G6109" t="s">
        <v>16</v>
      </c>
      <c r="J6109" t="str">
        <f>"06/21/2018 23:45"</f>
        <v>06/21/2018 23:45</v>
      </c>
    </row>
    <row r="6110" spans="1:10" x14ac:dyDescent="0.3">
      <c r="A6110" t="s">
        <v>6</v>
      </c>
      <c r="B6110" t="str">
        <f>"06/22/2018 00:00"</f>
        <v>06/22/2018 00:00</v>
      </c>
      <c r="C6110">
        <v>300</v>
      </c>
      <c r="D6110" t="s">
        <v>7</v>
      </c>
      <c r="E6110" s="2" t="s">
        <v>12</v>
      </c>
      <c r="F6110">
        <f t="shared" si="95"/>
        <v>594.9</v>
      </c>
      <c r="G6110" t="s">
        <v>16</v>
      </c>
      <c r="J6110" t="str">
        <f>"06/22/2018 23:45"</f>
        <v>06/22/2018 23:45</v>
      </c>
    </row>
    <row r="6111" spans="1:10" x14ac:dyDescent="0.3">
      <c r="A6111" t="s">
        <v>6</v>
      </c>
      <c r="B6111" t="str">
        <f>"06/23/2018 00:00"</f>
        <v>06/23/2018 00:00</v>
      </c>
      <c r="C6111">
        <v>300</v>
      </c>
      <c r="D6111" t="s">
        <v>7</v>
      </c>
      <c r="E6111" s="2" t="s">
        <v>12</v>
      </c>
      <c r="F6111">
        <f t="shared" si="95"/>
        <v>594.9</v>
      </c>
      <c r="G6111" t="s">
        <v>16</v>
      </c>
      <c r="J6111" t="str">
        <f>"06/23/2018 23:45"</f>
        <v>06/23/2018 23:45</v>
      </c>
    </row>
    <row r="6112" spans="1:10" x14ac:dyDescent="0.3">
      <c r="A6112" t="s">
        <v>6</v>
      </c>
      <c r="B6112" t="str">
        <f>"06/24/2018 00:00"</f>
        <v>06/24/2018 00:00</v>
      </c>
      <c r="C6112">
        <v>300</v>
      </c>
      <c r="D6112" t="s">
        <v>7</v>
      </c>
      <c r="E6112" s="2" t="s">
        <v>12</v>
      </c>
      <c r="F6112">
        <f t="shared" si="95"/>
        <v>594.9</v>
      </c>
      <c r="G6112" t="s">
        <v>16</v>
      </c>
      <c r="J6112" t="str">
        <f>"06/24/2018 23:45"</f>
        <v>06/24/2018 23:45</v>
      </c>
    </row>
    <row r="6113" spans="1:10" x14ac:dyDescent="0.3">
      <c r="A6113" t="s">
        <v>6</v>
      </c>
      <c r="B6113" t="str">
        <f>"06/25/2018 00:00"</f>
        <v>06/25/2018 00:00</v>
      </c>
      <c r="C6113">
        <v>300</v>
      </c>
      <c r="D6113" t="s">
        <v>7</v>
      </c>
      <c r="E6113" s="2" t="s">
        <v>12</v>
      </c>
      <c r="F6113">
        <f t="shared" si="95"/>
        <v>594.9</v>
      </c>
      <c r="G6113" t="s">
        <v>16</v>
      </c>
      <c r="J6113" t="str">
        <f>"06/25/2018 23:45"</f>
        <v>06/25/2018 23:45</v>
      </c>
    </row>
    <row r="6114" spans="1:10" x14ac:dyDescent="0.3">
      <c r="A6114" t="s">
        <v>6</v>
      </c>
      <c r="B6114" t="str">
        <f>"06/26/2018 00:00"</f>
        <v>06/26/2018 00:00</v>
      </c>
      <c r="C6114">
        <v>300</v>
      </c>
      <c r="D6114" t="s">
        <v>7</v>
      </c>
      <c r="E6114" s="2" t="s">
        <v>12</v>
      </c>
      <c r="F6114">
        <f t="shared" si="95"/>
        <v>594.9</v>
      </c>
      <c r="G6114" t="s">
        <v>16</v>
      </c>
      <c r="J6114" t="str">
        <f>"06/26/2018 23:45"</f>
        <v>06/26/2018 23:45</v>
      </c>
    </row>
    <row r="6115" spans="1:10" x14ac:dyDescent="0.3">
      <c r="A6115" t="s">
        <v>6</v>
      </c>
      <c r="B6115" t="str">
        <f>"06/27/2018 00:00"</f>
        <v>06/27/2018 00:00</v>
      </c>
      <c r="C6115">
        <v>353</v>
      </c>
      <c r="D6115" t="s">
        <v>7</v>
      </c>
      <c r="E6115" s="2" t="s">
        <v>12</v>
      </c>
      <c r="F6115">
        <f t="shared" si="95"/>
        <v>699.99900000000002</v>
      </c>
      <c r="G6115" t="s">
        <v>16</v>
      </c>
      <c r="J6115" t="str">
        <f>"06/27/2018 23:45"</f>
        <v>06/27/2018 23:45</v>
      </c>
    </row>
    <row r="6116" spans="1:10" x14ac:dyDescent="0.3">
      <c r="A6116" t="s">
        <v>6</v>
      </c>
      <c r="B6116" t="str">
        <f>"06/28/2018 00:00"</f>
        <v>06/28/2018 00:00</v>
      </c>
      <c r="C6116">
        <v>398</v>
      </c>
      <c r="D6116" t="s">
        <v>7</v>
      </c>
      <c r="E6116" s="2" t="s">
        <v>12</v>
      </c>
      <c r="F6116">
        <f t="shared" si="95"/>
        <v>789.23400000000004</v>
      </c>
      <c r="G6116" t="s">
        <v>16</v>
      </c>
      <c r="J6116" t="str">
        <f>"06/28/2018 23:45"</f>
        <v>06/28/2018 23:45</v>
      </c>
    </row>
    <row r="6117" spans="1:10" x14ac:dyDescent="0.3">
      <c r="A6117" t="s">
        <v>6</v>
      </c>
      <c r="B6117" t="str">
        <f>"06/29/2018 00:00"</f>
        <v>06/29/2018 00:00</v>
      </c>
      <c r="C6117">
        <v>398</v>
      </c>
      <c r="D6117" t="s">
        <v>7</v>
      </c>
      <c r="E6117" s="2" t="s">
        <v>12</v>
      </c>
      <c r="F6117">
        <f t="shared" si="95"/>
        <v>789.23400000000004</v>
      </c>
      <c r="G6117" t="s">
        <v>16</v>
      </c>
      <c r="J6117" t="str">
        <f>"06/29/2018 23:45"</f>
        <v>06/29/2018 23:45</v>
      </c>
    </row>
    <row r="6118" spans="1:10" x14ac:dyDescent="0.3">
      <c r="A6118" t="s">
        <v>6</v>
      </c>
      <c r="B6118" t="str">
        <f>"06/30/2018 00:00"</f>
        <v>06/30/2018 00:00</v>
      </c>
      <c r="C6118">
        <v>398</v>
      </c>
      <c r="D6118" t="s">
        <v>7</v>
      </c>
      <c r="E6118" s="2" t="s">
        <v>12</v>
      </c>
      <c r="F6118">
        <f t="shared" si="95"/>
        <v>789.23400000000004</v>
      </c>
      <c r="G6118" t="s">
        <v>16</v>
      </c>
      <c r="J6118" t="str">
        <f>"06/30/2018 23:45"</f>
        <v>06/30/2018 23:45</v>
      </c>
    </row>
    <row r="6119" spans="1:10" x14ac:dyDescent="0.3">
      <c r="A6119" t="s">
        <v>6</v>
      </c>
      <c r="B6119" t="str">
        <f>"07/01/2018 00:00"</f>
        <v>07/01/2018 00:00</v>
      </c>
      <c r="C6119">
        <v>398</v>
      </c>
      <c r="D6119" t="s">
        <v>7</v>
      </c>
      <c r="E6119" s="2" t="s">
        <v>12</v>
      </c>
      <c r="F6119">
        <f t="shared" si="95"/>
        <v>789.23400000000004</v>
      </c>
      <c r="G6119" t="s">
        <v>16</v>
      </c>
      <c r="J6119" t="str">
        <f>"07/01/2018 23:45"</f>
        <v>07/01/2018 23:45</v>
      </c>
    </row>
    <row r="6120" spans="1:10" x14ac:dyDescent="0.3">
      <c r="A6120" t="s">
        <v>6</v>
      </c>
      <c r="B6120" t="str">
        <f>"07/02/2018 00:00"</f>
        <v>07/02/2018 00:00</v>
      </c>
      <c r="C6120">
        <v>356</v>
      </c>
      <c r="D6120" t="s">
        <v>7</v>
      </c>
      <c r="E6120" s="2" t="s">
        <v>12</v>
      </c>
      <c r="F6120">
        <f t="shared" si="95"/>
        <v>705.94799999999998</v>
      </c>
      <c r="G6120" t="s">
        <v>16</v>
      </c>
      <c r="J6120" t="str">
        <f>"07/02/2018 23:45"</f>
        <v>07/02/2018 23:45</v>
      </c>
    </row>
    <row r="6121" spans="1:10" x14ac:dyDescent="0.3">
      <c r="A6121" t="s">
        <v>6</v>
      </c>
      <c r="B6121" t="str">
        <f>"07/03/2018 00:00"</f>
        <v>07/03/2018 00:00</v>
      </c>
      <c r="C6121">
        <v>337</v>
      </c>
      <c r="D6121" t="s">
        <v>7</v>
      </c>
      <c r="E6121" s="2" t="s">
        <v>12</v>
      </c>
      <c r="F6121">
        <f t="shared" si="95"/>
        <v>668.27100000000007</v>
      </c>
      <c r="G6121" t="s">
        <v>16</v>
      </c>
      <c r="J6121" t="str">
        <f>"07/03/2018 23:45"</f>
        <v>07/03/2018 23:45</v>
      </c>
    </row>
    <row r="6122" spans="1:10" x14ac:dyDescent="0.3">
      <c r="A6122" t="s">
        <v>6</v>
      </c>
      <c r="B6122" t="str">
        <f>"07/04/2018 00:00"</f>
        <v>07/04/2018 00:00</v>
      </c>
      <c r="C6122">
        <v>354</v>
      </c>
      <c r="D6122" t="s">
        <v>7</v>
      </c>
      <c r="E6122" s="2" t="s">
        <v>12</v>
      </c>
      <c r="F6122">
        <f t="shared" si="95"/>
        <v>701.98200000000008</v>
      </c>
      <c r="G6122" t="s">
        <v>16</v>
      </c>
      <c r="J6122" t="str">
        <f>"07/04/2018 23:45"</f>
        <v>07/04/2018 23:45</v>
      </c>
    </row>
    <row r="6123" spans="1:10" x14ac:dyDescent="0.3">
      <c r="A6123" t="s">
        <v>6</v>
      </c>
      <c r="B6123" t="str">
        <f>"07/05/2018 00:00"</f>
        <v>07/05/2018 00:00</v>
      </c>
      <c r="C6123">
        <v>329</v>
      </c>
      <c r="D6123" t="s">
        <v>7</v>
      </c>
      <c r="E6123" s="2" t="s">
        <v>12</v>
      </c>
      <c r="F6123">
        <f t="shared" si="95"/>
        <v>652.40700000000004</v>
      </c>
      <c r="G6123" t="s">
        <v>16</v>
      </c>
      <c r="J6123" t="str">
        <f>"07/05/2018 23:45"</f>
        <v>07/05/2018 23:45</v>
      </c>
    </row>
    <row r="6124" spans="1:10" x14ac:dyDescent="0.3">
      <c r="A6124" t="s">
        <v>6</v>
      </c>
      <c r="B6124" t="str">
        <f>"07/06/2018 00:00"</f>
        <v>07/06/2018 00:00</v>
      </c>
      <c r="C6124">
        <v>299</v>
      </c>
      <c r="D6124" t="s">
        <v>7</v>
      </c>
      <c r="E6124" s="2" t="s">
        <v>12</v>
      </c>
      <c r="F6124">
        <f t="shared" si="95"/>
        <v>592.91700000000003</v>
      </c>
      <c r="G6124" t="s">
        <v>16</v>
      </c>
      <c r="J6124" t="str">
        <f>"07/06/2018 23:45"</f>
        <v>07/06/2018 23:45</v>
      </c>
    </row>
    <row r="6125" spans="1:10" x14ac:dyDescent="0.3">
      <c r="A6125" t="s">
        <v>6</v>
      </c>
      <c r="B6125" t="str">
        <f>"07/07/2018 00:00"</f>
        <v>07/07/2018 00:00</v>
      </c>
      <c r="C6125">
        <v>299</v>
      </c>
      <c r="D6125" t="s">
        <v>7</v>
      </c>
      <c r="E6125" s="2" t="s">
        <v>12</v>
      </c>
      <c r="F6125">
        <f t="shared" si="95"/>
        <v>592.91700000000003</v>
      </c>
      <c r="G6125" t="s">
        <v>16</v>
      </c>
      <c r="J6125" t="str">
        <f>"07/07/2018 23:45"</f>
        <v>07/07/2018 23:45</v>
      </c>
    </row>
    <row r="6126" spans="1:10" x14ac:dyDescent="0.3">
      <c r="A6126" t="s">
        <v>6</v>
      </c>
      <c r="B6126" t="str">
        <f>"07/08/2018 00:00"</f>
        <v>07/08/2018 00:00</v>
      </c>
      <c r="C6126">
        <v>299</v>
      </c>
      <c r="D6126" t="s">
        <v>7</v>
      </c>
      <c r="E6126" s="2" t="s">
        <v>12</v>
      </c>
      <c r="F6126">
        <f t="shared" si="95"/>
        <v>592.91700000000003</v>
      </c>
      <c r="G6126" t="s">
        <v>16</v>
      </c>
      <c r="J6126" t="str">
        <f>"07/08/2018 23:45"</f>
        <v>07/08/2018 23:45</v>
      </c>
    </row>
    <row r="6127" spans="1:10" x14ac:dyDescent="0.3">
      <c r="A6127" t="s">
        <v>6</v>
      </c>
      <c r="B6127" t="str">
        <f>"07/09/2018 00:00"</f>
        <v>07/09/2018 00:00</v>
      </c>
      <c r="C6127">
        <v>299</v>
      </c>
      <c r="D6127" t="s">
        <v>7</v>
      </c>
      <c r="E6127" s="2" t="s">
        <v>12</v>
      </c>
      <c r="F6127">
        <f t="shared" si="95"/>
        <v>592.91700000000003</v>
      </c>
      <c r="G6127" t="s">
        <v>16</v>
      </c>
      <c r="J6127" t="str">
        <f>"07/09/2018 23:45"</f>
        <v>07/09/2018 23:45</v>
      </c>
    </row>
    <row r="6128" spans="1:10" x14ac:dyDescent="0.3">
      <c r="A6128" t="s">
        <v>6</v>
      </c>
      <c r="B6128" t="str">
        <f>"07/10/2018 00:00"</f>
        <v>07/10/2018 00:00</v>
      </c>
      <c r="C6128">
        <v>299</v>
      </c>
      <c r="D6128" t="s">
        <v>7</v>
      </c>
      <c r="E6128" s="2" t="s">
        <v>12</v>
      </c>
      <c r="F6128">
        <f t="shared" si="95"/>
        <v>592.91700000000003</v>
      </c>
      <c r="G6128" t="s">
        <v>16</v>
      </c>
      <c r="J6128" t="str">
        <f>"07/10/2018 23:45"</f>
        <v>07/10/2018 23:45</v>
      </c>
    </row>
    <row r="6129" spans="1:10" x14ac:dyDescent="0.3">
      <c r="A6129" t="s">
        <v>6</v>
      </c>
      <c r="B6129" t="str">
        <f>"07/11/2018 00:00"</f>
        <v>07/11/2018 00:00</v>
      </c>
      <c r="C6129">
        <v>299</v>
      </c>
      <c r="D6129" t="s">
        <v>7</v>
      </c>
      <c r="E6129" s="2" t="s">
        <v>12</v>
      </c>
      <c r="F6129">
        <f t="shared" si="95"/>
        <v>592.91700000000003</v>
      </c>
      <c r="G6129" t="s">
        <v>16</v>
      </c>
      <c r="J6129" t="str">
        <f>"07/11/2018 23:45"</f>
        <v>07/11/2018 23:45</v>
      </c>
    </row>
    <row r="6130" spans="1:10" x14ac:dyDescent="0.3">
      <c r="A6130" t="s">
        <v>6</v>
      </c>
      <c r="B6130" t="str">
        <f>"07/12/2018 00:00"</f>
        <v>07/12/2018 00:00</v>
      </c>
      <c r="C6130">
        <v>298</v>
      </c>
      <c r="D6130" t="s">
        <v>7</v>
      </c>
      <c r="E6130" s="2" t="s">
        <v>12</v>
      </c>
      <c r="F6130">
        <f t="shared" si="95"/>
        <v>590.93400000000008</v>
      </c>
      <c r="G6130" t="s">
        <v>16</v>
      </c>
      <c r="J6130" t="str">
        <f>"07/12/2018 23:45"</f>
        <v>07/12/2018 23:45</v>
      </c>
    </row>
    <row r="6131" spans="1:10" x14ac:dyDescent="0.3">
      <c r="A6131" t="s">
        <v>6</v>
      </c>
      <c r="B6131" t="str">
        <f>"07/13/2018 00:00"</f>
        <v>07/13/2018 00:00</v>
      </c>
      <c r="C6131">
        <v>299</v>
      </c>
      <c r="D6131" t="s">
        <v>7</v>
      </c>
      <c r="E6131" s="2" t="s">
        <v>12</v>
      </c>
      <c r="F6131">
        <f t="shared" si="95"/>
        <v>592.91700000000003</v>
      </c>
      <c r="G6131" t="s">
        <v>16</v>
      </c>
      <c r="J6131" t="str">
        <f>"07/13/2018 23:45"</f>
        <v>07/13/2018 23:45</v>
      </c>
    </row>
    <row r="6132" spans="1:10" x14ac:dyDescent="0.3">
      <c r="A6132" t="s">
        <v>6</v>
      </c>
      <c r="B6132" t="str">
        <f>"07/14/2018 00:00"</f>
        <v>07/14/2018 00:00</v>
      </c>
      <c r="C6132">
        <v>300</v>
      </c>
      <c r="D6132" t="s">
        <v>7</v>
      </c>
      <c r="E6132" s="2" t="s">
        <v>12</v>
      </c>
      <c r="F6132">
        <f t="shared" si="95"/>
        <v>594.9</v>
      </c>
      <c r="G6132" t="s">
        <v>16</v>
      </c>
      <c r="J6132" t="str">
        <f>"07/14/2018 23:45"</f>
        <v>07/14/2018 23:45</v>
      </c>
    </row>
    <row r="6133" spans="1:10" x14ac:dyDescent="0.3">
      <c r="A6133" t="s">
        <v>6</v>
      </c>
      <c r="B6133" t="str">
        <f>"07/15/2018 00:00"</f>
        <v>07/15/2018 00:00</v>
      </c>
      <c r="C6133">
        <v>299</v>
      </c>
      <c r="D6133" t="s">
        <v>7</v>
      </c>
      <c r="E6133" s="2" t="s">
        <v>12</v>
      </c>
      <c r="F6133">
        <f t="shared" si="95"/>
        <v>592.91700000000003</v>
      </c>
      <c r="G6133" t="s">
        <v>16</v>
      </c>
      <c r="J6133" t="str">
        <f>"07/15/2018 23:45"</f>
        <v>07/15/2018 23:45</v>
      </c>
    </row>
    <row r="6134" spans="1:10" x14ac:dyDescent="0.3">
      <c r="A6134" t="s">
        <v>6</v>
      </c>
      <c r="B6134" t="str">
        <f>"07/16/2018 00:00"</f>
        <v>07/16/2018 00:00</v>
      </c>
      <c r="C6134">
        <v>299</v>
      </c>
      <c r="D6134" t="s">
        <v>7</v>
      </c>
      <c r="E6134" s="2" t="s">
        <v>12</v>
      </c>
      <c r="F6134">
        <f t="shared" si="95"/>
        <v>592.91700000000003</v>
      </c>
      <c r="G6134" t="s">
        <v>16</v>
      </c>
      <c r="J6134" t="str">
        <f>"07/16/2018 23:45"</f>
        <v>07/16/2018 23:45</v>
      </c>
    </row>
    <row r="6135" spans="1:10" x14ac:dyDescent="0.3">
      <c r="A6135" t="s">
        <v>6</v>
      </c>
      <c r="B6135" t="str">
        <f>"07/17/2018 00:00"</f>
        <v>07/17/2018 00:00</v>
      </c>
      <c r="C6135">
        <v>299</v>
      </c>
      <c r="D6135" t="s">
        <v>7</v>
      </c>
      <c r="E6135" s="2" t="s">
        <v>12</v>
      </c>
      <c r="F6135">
        <f t="shared" si="95"/>
        <v>592.91700000000003</v>
      </c>
      <c r="G6135" t="s">
        <v>16</v>
      </c>
      <c r="J6135" t="str">
        <f>"07/17/2018 23:45"</f>
        <v>07/17/2018 23:45</v>
      </c>
    </row>
    <row r="6136" spans="1:10" x14ac:dyDescent="0.3">
      <c r="A6136" t="s">
        <v>6</v>
      </c>
      <c r="B6136" t="str">
        <f>"07/18/2018 00:00"</f>
        <v>07/18/2018 00:00</v>
      </c>
      <c r="C6136">
        <v>271</v>
      </c>
      <c r="D6136" t="s">
        <v>7</v>
      </c>
      <c r="E6136" s="2" t="s">
        <v>12</v>
      </c>
      <c r="F6136">
        <f t="shared" si="95"/>
        <v>537.39300000000003</v>
      </c>
      <c r="G6136" t="s">
        <v>16</v>
      </c>
      <c r="J6136" t="str">
        <f>"07/18/2018 23:45"</f>
        <v>07/18/2018 23:45</v>
      </c>
    </row>
    <row r="6137" spans="1:10" x14ac:dyDescent="0.3">
      <c r="A6137" t="s">
        <v>6</v>
      </c>
      <c r="B6137" t="str">
        <f>"07/19/2018 00:00"</f>
        <v>07/19/2018 00:00</v>
      </c>
      <c r="C6137">
        <v>221</v>
      </c>
      <c r="D6137" t="s">
        <v>7</v>
      </c>
      <c r="E6137" s="2" t="s">
        <v>12</v>
      </c>
      <c r="F6137">
        <f t="shared" si="95"/>
        <v>438.24299999999999</v>
      </c>
      <c r="G6137" t="s">
        <v>16</v>
      </c>
      <c r="J6137" t="str">
        <f>"07/19/2018 23:45"</f>
        <v>07/19/2018 23:45</v>
      </c>
    </row>
    <row r="6138" spans="1:10" x14ac:dyDescent="0.3">
      <c r="A6138" t="s">
        <v>6</v>
      </c>
      <c r="B6138" t="str">
        <f>"07/20/2018 00:00"</f>
        <v>07/20/2018 00:00</v>
      </c>
      <c r="C6138">
        <v>198</v>
      </c>
      <c r="D6138" t="s">
        <v>7</v>
      </c>
      <c r="E6138" s="2" t="s">
        <v>12</v>
      </c>
      <c r="F6138">
        <f t="shared" si="95"/>
        <v>392.63400000000001</v>
      </c>
      <c r="G6138" t="s">
        <v>16</v>
      </c>
      <c r="J6138" t="str">
        <f>"07/20/2018 23:45"</f>
        <v>07/20/2018 23:45</v>
      </c>
    </row>
    <row r="6139" spans="1:10" x14ac:dyDescent="0.3">
      <c r="A6139" t="s">
        <v>6</v>
      </c>
      <c r="B6139" t="str">
        <f>"07/21/2018 00:00"</f>
        <v>07/21/2018 00:00</v>
      </c>
      <c r="C6139">
        <v>198</v>
      </c>
      <c r="D6139" t="s">
        <v>7</v>
      </c>
      <c r="E6139" s="2" t="s">
        <v>12</v>
      </c>
      <c r="F6139">
        <f t="shared" si="95"/>
        <v>392.63400000000001</v>
      </c>
      <c r="G6139" t="s">
        <v>16</v>
      </c>
      <c r="J6139" t="str">
        <f>"07/21/2018 23:45"</f>
        <v>07/21/2018 23:45</v>
      </c>
    </row>
    <row r="6140" spans="1:10" x14ac:dyDescent="0.3">
      <c r="A6140" t="s">
        <v>6</v>
      </c>
      <c r="B6140" t="str">
        <f>"07/22/2018 00:00"</f>
        <v>07/22/2018 00:00</v>
      </c>
      <c r="C6140">
        <v>231</v>
      </c>
      <c r="D6140" t="s">
        <v>7</v>
      </c>
      <c r="E6140" s="2" t="s">
        <v>12</v>
      </c>
      <c r="F6140">
        <f t="shared" si="95"/>
        <v>458.07300000000004</v>
      </c>
      <c r="G6140" t="s">
        <v>16</v>
      </c>
      <c r="J6140" t="str">
        <f>"07/22/2018 23:45"</f>
        <v>07/22/2018 23:45</v>
      </c>
    </row>
    <row r="6141" spans="1:10" x14ac:dyDescent="0.3">
      <c r="A6141" t="s">
        <v>6</v>
      </c>
      <c r="B6141" t="str">
        <f>"07/23/2018 00:00"</f>
        <v>07/23/2018 00:00</v>
      </c>
      <c r="C6141">
        <v>251</v>
      </c>
      <c r="D6141" t="s">
        <v>7</v>
      </c>
      <c r="E6141" s="2" t="s">
        <v>12</v>
      </c>
      <c r="F6141">
        <f t="shared" si="95"/>
        <v>497.733</v>
      </c>
      <c r="G6141" t="s">
        <v>16</v>
      </c>
      <c r="J6141" t="str">
        <f>"07/23/2018 23:45"</f>
        <v>07/23/2018 23:45</v>
      </c>
    </row>
    <row r="6142" spans="1:10" x14ac:dyDescent="0.3">
      <c r="A6142" t="s">
        <v>6</v>
      </c>
      <c r="B6142" t="str">
        <f>"07/24/2018 00:00"</f>
        <v>07/24/2018 00:00</v>
      </c>
      <c r="C6142">
        <v>219</v>
      </c>
      <c r="D6142" t="s">
        <v>7</v>
      </c>
      <c r="E6142" s="2" t="s">
        <v>12</v>
      </c>
      <c r="F6142">
        <f t="shared" si="95"/>
        <v>434.27700000000004</v>
      </c>
      <c r="G6142" t="s">
        <v>16</v>
      </c>
      <c r="J6142" t="str">
        <f>"07/24/2018 23:45"</f>
        <v>07/24/2018 23:45</v>
      </c>
    </row>
    <row r="6143" spans="1:10" x14ac:dyDescent="0.3">
      <c r="A6143" t="s">
        <v>6</v>
      </c>
      <c r="B6143" t="str">
        <f>"07/25/2018 00:00"</f>
        <v>07/25/2018 00:00</v>
      </c>
      <c r="C6143">
        <v>160</v>
      </c>
      <c r="D6143" t="s">
        <v>7</v>
      </c>
      <c r="E6143" s="2" t="s">
        <v>12</v>
      </c>
      <c r="F6143">
        <f t="shared" si="95"/>
        <v>317.28000000000003</v>
      </c>
      <c r="G6143" t="s">
        <v>16</v>
      </c>
      <c r="J6143" t="str">
        <f>"07/25/2018 23:45"</f>
        <v>07/25/2018 23:45</v>
      </c>
    </row>
    <row r="6144" spans="1:10" x14ac:dyDescent="0.3">
      <c r="A6144" t="s">
        <v>6</v>
      </c>
      <c r="B6144" t="str">
        <f>"07/26/2018 00:00"</f>
        <v>07/26/2018 00:00</v>
      </c>
      <c r="C6144">
        <v>142</v>
      </c>
      <c r="D6144" t="s">
        <v>7</v>
      </c>
      <c r="E6144" s="2" t="s">
        <v>12</v>
      </c>
      <c r="F6144">
        <f t="shared" si="95"/>
        <v>281.58600000000001</v>
      </c>
      <c r="G6144" t="s">
        <v>16</v>
      </c>
      <c r="J6144" t="str">
        <f>"07/26/2018 23:45"</f>
        <v>07/26/2018 23:45</v>
      </c>
    </row>
    <row r="6145" spans="1:10" x14ac:dyDescent="0.3">
      <c r="A6145" t="s">
        <v>6</v>
      </c>
      <c r="B6145" t="str">
        <f>"07/27/2018 00:00"</f>
        <v>07/27/2018 00:00</v>
      </c>
      <c r="C6145">
        <v>141</v>
      </c>
      <c r="D6145" t="s">
        <v>7</v>
      </c>
      <c r="E6145" s="2" t="s">
        <v>12</v>
      </c>
      <c r="F6145">
        <f t="shared" si="95"/>
        <v>279.60300000000001</v>
      </c>
      <c r="G6145" t="s">
        <v>16</v>
      </c>
      <c r="J6145" t="str">
        <f>"07/27/2018 23:45"</f>
        <v>07/27/2018 23:45</v>
      </c>
    </row>
    <row r="6146" spans="1:10" x14ac:dyDescent="0.3">
      <c r="A6146" t="s">
        <v>6</v>
      </c>
      <c r="B6146" t="str">
        <f>"07/28/2018 00:00"</f>
        <v>07/28/2018 00:00</v>
      </c>
      <c r="C6146">
        <v>141</v>
      </c>
      <c r="D6146" t="s">
        <v>7</v>
      </c>
      <c r="E6146" s="2" t="s">
        <v>12</v>
      </c>
      <c r="F6146">
        <f t="shared" si="95"/>
        <v>279.60300000000001</v>
      </c>
      <c r="G6146" t="s">
        <v>16</v>
      </c>
      <c r="J6146" t="str">
        <f>"07/28/2018 23:45"</f>
        <v>07/28/2018 23:45</v>
      </c>
    </row>
    <row r="6147" spans="1:10" x14ac:dyDescent="0.3">
      <c r="A6147" t="s">
        <v>6</v>
      </c>
      <c r="B6147" t="str">
        <f>"07/29/2018 00:00"</f>
        <v>07/29/2018 00:00</v>
      </c>
      <c r="C6147">
        <v>170</v>
      </c>
      <c r="D6147" t="s">
        <v>7</v>
      </c>
      <c r="E6147" s="2" t="s">
        <v>12</v>
      </c>
      <c r="F6147">
        <f t="shared" si="95"/>
        <v>337.11</v>
      </c>
      <c r="G6147" t="s">
        <v>16</v>
      </c>
      <c r="J6147" t="str">
        <f>"07/29/2018 23:45"</f>
        <v>07/29/2018 23:45</v>
      </c>
    </row>
    <row r="6148" spans="1:10" x14ac:dyDescent="0.3">
      <c r="A6148" t="s">
        <v>6</v>
      </c>
      <c r="B6148" t="str">
        <f>"07/30/2018 00:00"</f>
        <v>07/30/2018 00:00</v>
      </c>
      <c r="C6148">
        <v>192</v>
      </c>
      <c r="D6148" t="s">
        <v>7</v>
      </c>
      <c r="E6148" s="2" t="s">
        <v>12</v>
      </c>
      <c r="F6148">
        <f t="shared" ref="F6148:F6211" si="96">C6148*1.983</f>
        <v>380.73599999999999</v>
      </c>
      <c r="G6148" t="s">
        <v>16</v>
      </c>
      <c r="J6148" t="str">
        <f>"07/30/2018 23:45"</f>
        <v>07/30/2018 23:45</v>
      </c>
    </row>
    <row r="6149" spans="1:10" x14ac:dyDescent="0.3">
      <c r="A6149" t="s">
        <v>6</v>
      </c>
      <c r="B6149" t="str">
        <f>"07/31/2018 00:00"</f>
        <v>07/31/2018 00:00</v>
      </c>
      <c r="C6149">
        <v>252</v>
      </c>
      <c r="D6149" t="s">
        <v>7</v>
      </c>
      <c r="E6149" s="2" t="s">
        <v>12</v>
      </c>
      <c r="F6149">
        <f t="shared" si="96"/>
        <v>499.71600000000001</v>
      </c>
      <c r="G6149" t="s">
        <v>16</v>
      </c>
      <c r="J6149" t="str">
        <f>"07/31/2018 23:45"</f>
        <v>07/31/2018 23:45</v>
      </c>
    </row>
    <row r="6150" spans="1:10" x14ac:dyDescent="0.3">
      <c r="A6150" t="s">
        <v>6</v>
      </c>
      <c r="B6150" t="str">
        <f>"08/01/2018 00:00"</f>
        <v>08/01/2018 00:00</v>
      </c>
      <c r="C6150">
        <v>291</v>
      </c>
      <c r="D6150" t="s">
        <v>7</v>
      </c>
      <c r="E6150" s="2" t="s">
        <v>12</v>
      </c>
      <c r="F6150">
        <f t="shared" si="96"/>
        <v>577.053</v>
      </c>
      <c r="G6150" t="s">
        <v>16</v>
      </c>
      <c r="J6150" t="str">
        <f>"08/01/2018 23:45"</f>
        <v>08/01/2018 23:45</v>
      </c>
    </row>
    <row r="6151" spans="1:10" x14ac:dyDescent="0.3">
      <c r="A6151" t="s">
        <v>6</v>
      </c>
      <c r="B6151" t="str">
        <f>"08/02/2018 00:00"</f>
        <v>08/02/2018 00:00</v>
      </c>
      <c r="C6151">
        <v>291</v>
      </c>
      <c r="D6151" t="s">
        <v>7</v>
      </c>
      <c r="E6151" s="2" t="s">
        <v>12</v>
      </c>
      <c r="F6151">
        <f t="shared" si="96"/>
        <v>577.053</v>
      </c>
      <c r="G6151" t="s">
        <v>16</v>
      </c>
      <c r="J6151" t="str">
        <f>"08/02/2018 23:45"</f>
        <v>08/02/2018 23:45</v>
      </c>
    </row>
    <row r="6152" spans="1:10" x14ac:dyDescent="0.3">
      <c r="A6152" t="s">
        <v>6</v>
      </c>
      <c r="B6152" t="str">
        <f>"08/03/2018 00:00"</f>
        <v>08/03/2018 00:00</v>
      </c>
      <c r="C6152">
        <v>291</v>
      </c>
      <c r="D6152" t="s">
        <v>7</v>
      </c>
      <c r="E6152" s="2" t="s">
        <v>12</v>
      </c>
      <c r="F6152">
        <f t="shared" si="96"/>
        <v>577.053</v>
      </c>
      <c r="G6152" t="s">
        <v>16</v>
      </c>
      <c r="J6152" t="str">
        <f>"08/03/2018 23:45"</f>
        <v>08/03/2018 23:45</v>
      </c>
    </row>
    <row r="6153" spans="1:10" x14ac:dyDescent="0.3">
      <c r="A6153" t="s">
        <v>6</v>
      </c>
      <c r="B6153" t="str">
        <f>"08/04/2018 00:00"</f>
        <v>08/04/2018 00:00</v>
      </c>
      <c r="C6153">
        <v>291</v>
      </c>
      <c r="D6153" t="s">
        <v>7</v>
      </c>
      <c r="E6153" s="2" t="s">
        <v>12</v>
      </c>
      <c r="F6153">
        <f t="shared" si="96"/>
        <v>577.053</v>
      </c>
      <c r="G6153" t="s">
        <v>16</v>
      </c>
      <c r="J6153" t="str">
        <f>"08/04/2018 23:45"</f>
        <v>08/04/2018 23:45</v>
      </c>
    </row>
    <row r="6154" spans="1:10" x14ac:dyDescent="0.3">
      <c r="A6154" t="s">
        <v>6</v>
      </c>
      <c r="B6154" t="str">
        <f>"08/05/2018 00:00"</f>
        <v>08/05/2018 00:00</v>
      </c>
      <c r="C6154">
        <v>291</v>
      </c>
      <c r="D6154" t="s">
        <v>7</v>
      </c>
      <c r="E6154" s="2" t="s">
        <v>12</v>
      </c>
      <c r="F6154">
        <f t="shared" si="96"/>
        <v>577.053</v>
      </c>
      <c r="G6154" t="s">
        <v>16</v>
      </c>
      <c r="J6154" t="str">
        <f>"08/05/2018 23:45"</f>
        <v>08/05/2018 23:45</v>
      </c>
    </row>
    <row r="6155" spans="1:10" x14ac:dyDescent="0.3">
      <c r="A6155" t="s">
        <v>6</v>
      </c>
      <c r="B6155" t="str">
        <f>"08/06/2018 00:00"</f>
        <v>08/06/2018 00:00</v>
      </c>
      <c r="C6155">
        <v>260</v>
      </c>
      <c r="D6155" t="s">
        <v>7</v>
      </c>
      <c r="E6155" s="2" t="s">
        <v>12</v>
      </c>
      <c r="F6155">
        <f t="shared" si="96"/>
        <v>515.58000000000004</v>
      </c>
      <c r="G6155" t="s">
        <v>16</v>
      </c>
      <c r="J6155" t="str">
        <f>"08/06/2018 23:45"</f>
        <v>08/06/2018 23:45</v>
      </c>
    </row>
    <row r="6156" spans="1:10" x14ac:dyDescent="0.3">
      <c r="A6156" t="s">
        <v>6</v>
      </c>
      <c r="B6156" t="str">
        <f>"08/07/2018 00:00"</f>
        <v>08/07/2018 00:00</v>
      </c>
      <c r="C6156">
        <v>211</v>
      </c>
      <c r="D6156" t="s">
        <v>7</v>
      </c>
      <c r="E6156" s="2" t="s">
        <v>12</v>
      </c>
      <c r="F6156">
        <f t="shared" si="96"/>
        <v>418.41300000000001</v>
      </c>
      <c r="G6156" t="s">
        <v>16</v>
      </c>
      <c r="J6156" t="str">
        <f>"08/07/2018 23:45"</f>
        <v>08/07/2018 23:45</v>
      </c>
    </row>
    <row r="6157" spans="1:10" x14ac:dyDescent="0.3">
      <c r="A6157" t="s">
        <v>6</v>
      </c>
      <c r="B6157" t="str">
        <f>"08/08/2018 00:00"</f>
        <v>08/08/2018 00:00</v>
      </c>
      <c r="C6157">
        <v>190</v>
      </c>
      <c r="D6157" t="s">
        <v>7</v>
      </c>
      <c r="E6157" s="2" t="s">
        <v>12</v>
      </c>
      <c r="F6157">
        <f t="shared" si="96"/>
        <v>376.77000000000004</v>
      </c>
      <c r="G6157" t="s">
        <v>16</v>
      </c>
      <c r="J6157" t="str">
        <f>"08/08/2018 23:45"</f>
        <v>08/08/2018 23:45</v>
      </c>
    </row>
    <row r="6158" spans="1:10" x14ac:dyDescent="0.3">
      <c r="A6158" t="s">
        <v>6</v>
      </c>
      <c r="B6158" t="str">
        <f>"08/09/2018 00:00"</f>
        <v>08/09/2018 00:00</v>
      </c>
      <c r="C6158">
        <v>213</v>
      </c>
      <c r="D6158" t="s">
        <v>7</v>
      </c>
      <c r="E6158" s="2" t="s">
        <v>12</v>
      </c>
      <c r="F6158">
        <f t="shared" si="96"/>
        <v>422.37900000000002</v>
      </c>
      <c r="G6158" t="s">
        <v>16</v>
      </c>
      <c r="J6158" t="str">
        <f>"08/09/2018 23:45"</f>
        <v>08/09/2018 23:45</v>
      </c>
    </row>
    <row r="6159" spans="1:10" x14ac:dyDescent="0.3">
      <c r="A6159" t="s">
        <v>6</v>
      </c>
      <c r="B6159" t="str">
        <f>"08/10/2018 00:00"</f>
        <v>08/10/2018 00:00</v>
      </c>
      <c r="C6159">
        <v>238</v>
      </c>
      <c r="D6159" t="s">
        <v>7</v>
      </c>
      <c r="E6159" s="2" t="s">
        <v>12</v>
      </c>
      <c r="F6159">
        <f t="shared" si="96"/>
        <v>471.95400000000001</v>
      </c>
      <c r="G6159" t="s">
        <v>16</v>
      </c>
      <c r="J6159" t="str">
        <f>"08/10/2018 23:45"</f>
        <v>08/10/2018 23:45</v>
      </c>
    </row>
    <row r="6160" spans="1:10" x14ac:dyDescent="0.3">
      <c r="A6160" t="s">
        <v>6</v>
      </c>
      <c r="B6160" t="str">
        <f>"08/11/2018 00:00"</f>
        <v>08/11/2018 00:00</v>
      </c>
      <c r="C6160">
        <v>262</v>
      </c>
      <c r="D6160" t="s">
        <v>7</v>
      </c>
      <c r="E6160" s="2" t="s">
        <v>12</v>
      </c>
      <c r="F6160">
        <f t="shared" si="96"/>
        <v>519.54600000000005</v>
      </c>
      <c r="G6160" t="s">
        <v>16</v>
      </c>
      <c r="J6160" t="str">
        <f>"08/11/2018 23:45"</f>
        <v>08/11/2018 23:45</v>
      </c>
    </row>
    <row r="6161" spans="1:10" x14ac:dyDescent="0.3">
      <c r="A6161" t="s">
        <v>6</v>
      </c>
      <c r="B6161" t="str">
        <f>"08/12/2018 00:00"</f>
        <v>08/12/2018 00:00</v>
      </c>
      <c r="C6161">
        <v>279</v>
      </c>
      <c r="D6161" t="s">
        <v>7</v>
      </c>
      <c r="E6161" s="2" t="s">
        <v>12</v>
      </c>
      <c r="F6161">
        <f t="shared" si="96"/>
        <v>553.25700000000006</v>
      </c>
      <c r="G6161" t="s">
        <v>16</v>
      </c>
      <c r="J6161" t="str">
        <f>"08/12/2018 23:45"</f>
        <v>08/12/2018 23:45</v>
      </c>
    </row>
    <row r="6162" spans="1:10" x14ac:dyDescent="0.3">
      <c r="A6162" t="s">
        <v>6</v>
      </c>
      <c r="B6162" t="str">
        <f>"08/13/2018 00:00"</f>
        <v>08/13/2018 00:00</v>
      </c>
      <c r="C6162">
        <v>279</v>
      </c>
      <c r="D6162" t="s">
        <v>7</v>
      </c>
      <c r="E6162" s="2" t="s">
        <v>12</v>
      </c>
      <c r="F6162">
        <f t="shared" si="96"/>
        <v>553.25700000000006</v>
      </c>
      <c r="G6162" t="s">
        <v>16</v>
      </c>
      <c r="J6162" t="str">
        <f>"08/13/2018 23:45"</f>
        <v>08/13/2018 23:45</v>
      </c>
    </row>
    <row r="6163" spans="1:10" x14ac:dyDescent="0.3">
      <c r="A6163" t="s">
        <v>6</v>
      </c>
      <c r="B6163" t="str">
        <f>"08/14/2018 00:00"</f>
        <v>08/14/2018 00:00</v>
      </c>
      <c r="C6163">
        <v>279</v>
      </c>
      <c r="D6163" t="s">
        <v>7</v>
      </c>
      <c r="E6163" s="2" t="s">
        <v>12</v>
      </c>
      <c r="F6163">
        <f t="shared" si="96"/>
        <v>553.25700000000006</v>
      </c>
      <c r="G6163" t="s">
        <v>16</v>
      </c>
      <c r="J6163" t="str">
        <f>"08/14/2018 23:45"</f>
        <v>08/14/2018 23:45</v>
      </c>
    </row>
    <row r="6164" spans="1:10" x14ac:dyDescent="0.3">
      <c r="A6164" t="s">
        <v>6</v>
      </c>
      <c r="B6164" t="str">
        <f>"08/15/2018 00:00"</f>
        <v>08/15/2018 00:00</v>
      </c>
      <c r="C6164">
        <v>257</v>
      </c>
      <c r="D6164" t="s">
        <v>7</v>
      </c>
      <c r="E6164" s="2" t="s">
        <v>12</v>
      </c>
      <c r="F6164">
        <f t="shared" si="96"/>
        <v>509.63100000000003</v>
      </c>
      <c r="G6164" t="s">
        <v>16</v>
      </c>
      <c r="J6164" t="str">
        <f>"08/15/2018 23:45"</f>
        <v>08/15/2018 23:45</v>
      </c>
    </row>
    <row r="6165" spans="1:10" x14ac:dyDescent="0.3">
      <c r="A6165" t="s">
        <v>6</v>
      </c>
      <c r="B6165" t="str">
        <f>"08/16/2018 00:00"</f>
        <v>08/16/2018 00:00</v>
      </c>
      <c r="C6165">
        <v>220</v>
      </c>
      <c r="D6165" t="s">
        <v>7</v>
      </c>
      <c r="E6165" s="2" t="s">
        <v>12</v>
      </c>
      <c r="F6165">
        <f t="shared" si="96"/>
        <v>436.26000000000005</v>
      </c>
      <c r="G6165" t="s">
        <v>16</v>
      </c>
      <c r="J6165" t="str">
        <f>"08/16/2018 23:45"</f>
        <v>08/16/2018 23:45</v>
      </c>
    </row>
    <row r="6166" spans="1:10" x14ac:dyDescent="0.3">
      <c r="A6166" t="s">
        <v>6</v>
      </c>
      <c r="B6166" t="str">
        <f>"08/17/2018 00:00"</f>
        <v>08/17/2018 00:00</v>
      </c>
      <c r="C6166">
        <v>220</v>
      </c>
      <c r="D6166" t="s">
        <v>7</v>
      </c>
      <c r="E6166" s="2" t="s">
        <v>12</v>
      </c>
      <c r="F6166">
        <f t="shared" si="96"/>
        <v>436.26000000000005</v>
      </c>
      <c r="G6166" t="s">
        <v>16</v>
      </c>
      <c r="J6166" t="str">
        <f>"08/17/2018 23:45"</f>
        <v>08/17/2018 23:45</v>
      </c>
    </row>
    <row r="6167" spans="1:10" x14ac:dyDescent="0.3">
      <c r="A6167" t="s">
        <v>6</v>
      </c>
      <c r="B6167" t="str">
        <f>"08/18/2018 00:00"</f>
        <v>08/18/2018 00:00</v>
      </c>
      <c r="C6167">
        <v>218</v>
      </c>
      <c r="D6167" t="s">
        <v>7</v>
      </c>
      <c r="E6167" s="2" t="s">
        <v>12</v>
      </c>
      <c r="F6167">
        <f t="shared" si="96"/>
        <v>432.29400000000004</v>
      </c>
      <c r="G6167" t="s">
        <v>16</v>
      </c>
      <c r="J6167" t="str">
        <f>"08/18/2018 23:45"</f>
        <v>08/18/2018 23:45</v>
      </c>
    </row>
    <row r="6168" spans="1:10" x14ac:dyDescent="0.3">
      <c r="A6168" t="s">
        <v>6</v>
      </c>
      <c r="B6168" t="str">
        <f>"08/19/2018 00:00"</f>
        <v>08/19/2018 00:00</v>
      </c>
      <c r="C6168">
        <v>219</v>
      </c>
      <c r="D6168" t="s">
        <v>7</v>
      </c>
      <c r="E6168" s="2" t="s">
        <v>12</v>
      </c>
      <c r="F6168">
        <f t="shared" si="96"/>
        <v>434.27700000000004</v>
      </c>
      <c r="G6168" t="s">
        <v>16</v>
      </c>
      <c r="J6168" t="str">
        <f>"08/19/2018 23:45"</f>
        <v>08/19/2018 23:45</v>
      </c>
    </row>
    <row r="6169" spans="1:10" x14ac:dyDescent="0.3">
      <c r="A6169" t="s">
        <v>6</v>
      </c>
      <c r="B6169" t="str">
        <f>"08/20/2018 00:00"</f>
        <v>08/20/2018 00:00</v>
      </c>
      <c r="C6169">
        <v>220</v>
      </c>
      <c r="D6169" t="s">
        <v>7</v>
      </c>
      <c r="E6169" s="2" t="s">
        <v>12</v>
      </c>
      <c r="F6169">
        <f t="shared" si="96"/>
        <v>436.26000000000005</v>
      </c>
      <c r="G6169" t="s">
        <v>16</v>
      </c>
      <c r="J6169" t="str">
        <f>"08/20/2018 23:45"</f>
        <v>08/20/2018 23:45</v>
      </c>
    </row>
    <row r="6170" spans="1:10" x14ac:dyDescent="0.3">
      <c r="A6170" t="s">
        <v>6</v>
      </c>
      <c r="B6170" t="str">
        <f>"08/21/2018 00:00"</f>
        <v>08/21/2018 00:00</v>
      </c>
      <c r="C6170">
        <v>220</v>
      </c>
      <c r="D6170" t="s">
        <v>7</v>
      </c>
      <c r="E6170" s="2" t="s">
        <v>12</v>
      </c>
      <c r="F6170">
        <f t="shared" si="96"/>
        <v>436.26000000000005</v>
      </c>
      <c r="G6170" t="s">
        <v>16</v>
      </c>
      <c r="J6170" t="str">
        <f>"08/21/2018 23:45"</f>
        <v>08/21/2018 23:45</v>
      </c>
    </row>
    <row r="6171" spans="1:10" x14ac:dyDescent="0.3">
      <c r="A6171" t="s">
        <v>6</v>
      </c>
      <c r="B6171" t="str">
        <f>"08/22/2018 00:00"</f>
        <v>08/22/2018 00:00</v>
      </c>
      <c r="C6171">
        <v>220</v>
      </c>
      <c r="D6171" t="s">
        <v>7</v>
      </c>
      <c r="E6171" s="2" t="s">
        <v>12</v>
      </c>
      <c r="F6171">
        <f t="shared" si="96"/>
        <v>436.26000000000005</v>
      </c>
      <c r="G6171" t="s">
        <v>16</v>
      </c>
      <c r="J6171" t="str">
        <f>"08/22/2018 23:45"</f>
        <v>08/22/2018 23:45</v>
      </c>
    </row>
    <row r="6172" spans="1:10" x14ac:dyDescent="0.3">
      <c r="A6172" t="s">
        <v>6</v>
      </c>
      <c r="B6172" t="str">
        <f>"08/23/2018 00:00"</f>
        <v>08/23/2018 00:00</v>
      </c>
      <c r="C6172">
        <v>221</v>
      </c>
      <c r="D6172" t="s">
        <v>7</v>
      </c>
      <c r="E6172" s="2" t="s">
        <v>12</v>
      </c>
      <c r="F6172">
        <f t="shared" si="96"/>
        <v>438.24299999999999</v>
      </c>
      <c r="G6172" t="s">
        <v>16</v>
      </c>
      <c r="J6172" t="str">
        <f>"08/23/2018 23:45"</f>
        <v>08/23/2018 23:45</v>
      </c>
    </row>
    <row r="6173" spans="1:10" x14ac:dyDescent="0.3">
      <c r="A6173" t="s">
        <v>6</v>
      </c>
      <c r="B6173" t="str">
        <f>"08/24/2018 00:00"</f>
        <v>08/24/2018 00:00</v>
      </c>
      <c r="C6173">
        <v>269</v>
      </c>
      <c r="D6173" t="s">
        <v>7</v>
      </c>
      <c r="E6173" s="2" t="s">
        <v>12</v>
      </c>
      <c r="F6173">
        <f t="shared" si="96"/>
        <v>533.42700000000002</v>
      </c>
      <c r="G6173" t="s">
        <v>16</v>
      </c>
      <c r="J6173" t="str">
        <f>"08/24/2018 23:45"</f>
        <v>08/24/2018 23:45</v>
      </c>
    </row>
    <row r="6174" spans="1:10" x14ac:dyDescent="0.3">
      <c r="A6174" t="s">
        <v>6</v>
      </c>
      <c r="B6174" t="str">
        <f>"08/25/2018 00:00"</f>
        <v>08/25/2018 00:00</v>
      </c>
      <c r="C6174">
        <v>301</v>
      </c>
      <c r="D6174" t="s">
        <v>7</v>
      </c>
      <c r="E6174" s="2" t="s">
        <v>12</v>
      </c>
      <c r="F6174">
        <f t="shared" si="96"/>
        <v>596.88300000000004</v>
      </c>
      <c r="G6174" t="s">
        <v>16</v>
      </c>
      <c r="J6174" t="str">
        <f>"08/25/2018 23:45"</f>
        <v>08/25/2018 23:45</v>
      </c>
    </row>
    <row r="6175" spans="1:10" x14ac:dyDescent="0.3">
      <c r="A6175" t="s">
        <v>6</v>
      </c>
      <c r="B6175" t="str">
        <f>"08/26/2018 00:00"</f>
        <v>08/26/2018 00:00</v>
      </c>
      <c r="C6175">
        <v>301</v>
      </c>
      <c r="D6175" t="s">
        <v>7</v>
      </c>
      <c r="E6175" s="2" t="s">
        <v>12</v>
      </c>
      <c r="F6175">
        <f t="shared" si="96"/>
        <v>596.88300000000004</v>
      </c>
      <c r="G6175" t="s">
        <v>16</v>
      </c>
      <c r="J6175" t="str">
        <f>"08/26/2018 23:45"</f>
        <v>08/26/2018 23:45</v>
      </c>
    </row>
    <row r="6176" spans="1:10" x14ac:dyDescent="0.3">
      <c r="A6176" t="s">
        <v>6</v>
      </c>
      <c r="B6176" t="str">
        <f>"08/27/2018 00:00"</f>
        <v>08/27/2018 00:00</v>
      </c>
      <c r="C6176">
        <v>301</v>
      </c>
      <c r="D6176" t="s">
        <v>7</v>
      </c>
      <c r="E6176" s="2" t="s">
        <v>12</v>
      </c>
      <c r="F6176">
        <f t="shared" si="96"/>
        <v>596.88300000000004</v>
      </c>
      <c r="G6176" t="s">
        <v>16</v>
      </c>
      <c r="J6176" t="str">
        <f>"08/27/2018 23:45"</f>
        <v>08/27/2018 23:45</v>
      </c>
    </row>
    <row r="6177" spans="1:10" x14ac:dyDescent="0.3">
      <c r="A6177" t="s">
        <v>6</v>
      </c>
      <c r="B6177" t="str">
        <f>"08/28/2018 00:00"</f>
        <v>08/28/2018 00:00</v>
      </c>
      <c r="C6177">
        <v>301</v>
      </c>
      <c r="D6177" t="s">
        <v>7</v>
      </c>
      <c r="E6177" s="2" t="s">
        <v>12</v>
      </c>
      <c r="F6177">
        <f t="shared" si="96"/>
        <v>596.88300000000004</v>
      </c>
      <c r="G6177" t="s">
        <v>16</v>
      </c>
      <c r="J6177" t="str">
        <f>"08/28/2018 23:45"</f>
        <v>08/28/2018 23:45</v>
      </c>
    </row>
    <row r="6178" spans="1:10" x14ac:dyDescent="0.3">
      <c r="A6178" t="s">
        <v>6</v>
      </c>
      <c r="B6178" t="str">
        <f>"08/29/2018 00:00"</f>
        <v>08/29/2018 00:00</v>
      </c>
      <c r="C6178">
        <v>301</v>
      </c>
      <c r="D6178" t="s">
        <v>7</v>
      </c>
      <c r="E6178" s="2" t="s">
        <v>12</v>
      </c>
      <c r="F6178">
        <f t="shared" si="96"/>
        <v>596.88300000000004</v>
      </c>
      <c r="G6178" t="s">
        <v>16</v>
      </c>
      <c r="J6178" t="str">
        <f>"08/29/2018 23:45"</f>
        <v>08/29/2018 23:45</v>
      </c>
    </row>
    <row r="6179" spans="1:10" x14ac:dyDescent="0.3">
      <c r="A6179" t="s">
        <v>6</v>
      </c>
      <c r="B6179" t="str">
        <f>"08/30/2018 00:00"</f>
        <v>08/30/2018 00:00</v>
      </c>
      <c r="C6179">
        <v>301</v>
      </c>
      <c r="D6179" t="s">
        <v>7</v>
      </c>
      <c r="E6179" s="2" t="s">
        <v>12</v>
      </c>
      <c r="F6179">
        <f t="shared" si="96"/>
        <v>596.88300000000004</v>
      </c>
      <c r="G6179" t="s">
        <v>16</v>
      </c>
      <c r="J6179" t="str">
        <f>"08/30/2018 23:45"</f>
        <v>08/30/2018 23:45</v>
      </c>
    </row>
    <row r="6180" spans="1:10" x14ac:dyDescent="0.3">
      <c r="A6180" t="s">
        <v>6</v>
      </c>
      <c r="B6180" t="str">
        <f>"08/31/2018 00:00"</f>
        <v>08/31/2018 00:00</v>
      </c>
      <c r="C6180">
        <v>301</v>
      </c>
      <c r="D6180" t="s">
        <v>7</v>
      </c>
      <c r="E6180" s="2" t="s">
        <v>12</v>
      </c>
      <c r="F6180">
        <f t="shared" si="96"/>
        <v>596.88300000000004</v>
      </c>
      <c r="G6180" t="s">
        <v>16</v>
      </c>
      <c r="J6180" t="str">
        <f>"08/31/2018 23:45"</f>
        <v>08/31/2018 23:45</v>
      </c>
    </row>
    <row r="6181" spans="1:10" x14ac:dyDescent="0.3">
      <c r="A6181" t="s">
        <v>6</v>
      </c>
      <c r="B6181" t="str">
        <f>"09/01/2018 00:00"</f>
        <v>09/01/2018 00:00</v>
      </c>
      <c r="C6181">
        <v>300</v>
      </c>
      <c r="D6181" t="s">
        <v>7</v>
      </c>
      <c r="E6181" s="2" t="s">
        <v>12</v>
      </c>
      <c r="F6181">
        <f t="shared" si="96"/>
        <v>594.9</v>
      </c>
      <c r="G6181" t="s">
        <v>16</v>
      </c>
      <c r="J6181" t="str">
        <f>"09/01/2018 23:45"</f>
        <v>09/01/2018 23:45</v>
      </c>
    </row>
    <row r="6182" spans="1:10" x14ac:dyDescent="0.3">
      <c r="A6182" t="s">
        <v>6</v>
      </c>
      <c r="B6182" t="str">
        <f>"09/02/2018 00:00"</f>
        <v>09/02/2018 00:00</v>
      </c>
      <c r="C6182">
        <v>300</v>
      </c>
      <c r="D6182" t="s">
        <v>7</v>
      </c>
      <c r="E6182" s="2" t="s">
        <v>12</v>
      </c>
      <c r="F6182">
        <f t="shared" si="96"/>
        <v>594.9</v>
      </c>
      <c r="G6182" t="s">
        <v>16</v>
      </c>
      <c r="J6182" t="str">
        <f>"09/02/2018 23:45"</f>
        <v>09/02/2018 23:45</v>
      </c>
    </row>
    <row r="6183" spans="1:10" x14ac:dyDescent="0.3">
      <c r="A6183" t="s">
        <v>6</v>
      </c>
      <c r="B6183" t="str">
        <f>"09/03/2018 00:00"</f>
        <v>09/03/2018 00:00</v>
      </c>
      <c r="C6183">
        <v>271</v>
      </c>
      <c r="D6183" t="s">
        <v>7</v>
      </c>
      <c r="E6183" s="2" t="s">
        <v>12</v>
      </c>
      <c r="F6183">
        <f t="shared" si="96"/>
        <v>537.39300000000003</v>
      </c>
      <c r="G6183" t="s">
        <v>16</v>
      </c>
      <c r="J6183" t="str">
        <f>"09/03/2018 23:45"</f>
        <v>09/03/2018 23:45</v>
      </c>
    </row>
    <row r="6184" spans="1:10" x14ac:dyDescent="0.3">
      <c r="A6184" t="s">
        <v>6</v>
      </c>
      <c r="B6184" t="str">
        <f>"09/04/2018 00:00"</f>
        <v>09/04/2018 00:00</v>
      </c>
      <c r="C6184">
        <v>251</v>
      </c>
      <c r="D6184" t="s">
        <v>7</v>
      </c>
      <c r="E6184" s="2" t="s">
        <v>12</v>
      </c>
      <c r="F6184">
        <f t="shared" si="96"/>
        <v>497.733</v>
      </c>
      <c r="G6184" t="s">
        <v>16</v>
      </c>
      <c r="J6184" t="str">
        <f>"09/04/2018 23:45"</f>
        <v>09/04/2018 23:45</v>
      </c>
    </row>
    <row r="6185" spans="1:10" x14ac:dyDescent="0.3">
      <c r="A6185" t="s">
        <v>6</v>
      </c>
      <c r="B6185" t="str">
        <f>"09/05/2018 00:00"</f>
        <v>09/05/2018 00:00</v>
      </c>
      <c r="C6185">
        <v>280</v>
      </c>
      <c r="D6185" t="s">
        <v>7</v>
      </c>
      <c r="E6185" s="2" t="s">
        <v>12</v>
      </c>
      <c r="F6185">
        <f t="shared" si="96"/>
        <v>555.24</v>
      </c>
      <c r="G6185" t="s">
        <v>16</v>
      </c>
      <c r="J6185" t="str">
        <f>"09/05/2018 23:45"</f>
        <v>09/05/2018 23:45</v>
      </c>
    </row>
    <row r="6186" spans="1:10" x14ac:dyDescent="0.3">
      <c r="A6186" t="s">
        <v>6</v>
      </c>
      <c r="B6186" t="str">
        <f>"09/06/2018 00:00"</f>
        <v>09/06/2018 00:00</v>
      </c>
      <c r="C6186">
        <v>298</v>
      </c>
      <c r="D6186" t="s">
        <v>7</v>
      </c>
      <c r="E6186" s="2" t="s">
        <v>12</v>
      </c>
      <c r="F6186">
        <f t="shared" si="96"/>
        <v>590.93400000000008</v>
      </c>
      <c r="G6186" t="s">
        <v>16</v>
      </c>
      <c r="J6186" t="str">
        <f>"09/06/2018 23:45"</f>
        <v>09/06/2018 23:45</v>
      </c>
    </row>
    <row r="6187" spans="1:10" x14ac:dyDescent="0.3">
      <c r="A6187" t="s">
        <v>6</v>
      </c>
      <c r="B6187" t="str">
        <f>"09/07/2018 00:00"</f>
        <v>09/07/2018 00:00</v>
      </c>
      <c r="C6187">
        <v>252</v>
      </c>
      <c r="D6187" t="s">
        <v>7</v>
      </c>
      <c r="E6187" s="2" t="s">
        <v>12</v>
      </c>
      <c r="F6187">
        <f t="shared" si="96"/>
        <v>499.71600000000001</v>
      </c>
      <c r="G6187" t="s">
        <v>16</v>
      </c>
      <c r="J6187" t="str">
        <f>"09/07/2018 23:45"</f>
        <v>09/07/2018 23:45</v>
      </c>
    </row>
    <row r="6188" spans="1:10" x14ac:dyDescent="0.3">
      <c r="A6188" t="s">
        <v>6</v>
      </c>
      <c r="B6188" t="str">
        <f>"09/08/2018 00:00"</f>
        <v>09/08/2018 00:00</v>
      </c>
      <c r="C6188">
        <v>218</v>
      </c>
      <c r="D6188" t="s">
        <v>7</v>
      </c>
      <c r="E6188" s="2" t="s">
        <v>12</v>
      </c>
      <c r="F6188">
        <f t="shared" si="96"/>
        <v>432.29400000000004</v>
      </c>
      <c r="G6188" t="s">
        <v>16</v>
      </c>
      <c r="J6188" t="str">
        <f>"09/08/2018 23:45"</f>
        <v>09/08/2018 23:45</v>
      </c>
    </row>
    <row r="6189" spans="1:10" x14ac:dyDescent="0.3">
      <c r="A6189" t="s">
        <v>6</v>
      </c>
      <c r="B6189" t="str">
        <f>"09/09/2018 00:00"</f>
        <v>09/09/2018 00:00</v>
      </c>
      <c r="C6189">
        <v>280</v>
      </c>
      <c r="D6189" t="s">
        <v>7</v>
      </c>
      <c r="E6189" s="2" t="s">
        <v>12</v>
      </c>
      <c r="F6189">
        <f t="shared" si="96"/>
        <v>555.24</v>
      </c>
      <c r="G6189" t="s">
        <v>16</v>
      </c>
      <c r="J6189" t="str">
        <f>"09/09/2018 23:45"</f>
        <v>09/09/2018 23:45</v>
      </c>
    </row>
    <row r="6190" spans="1:10" x14ac:dyDescent="0.3">
      <c r="A6190" t="s">
        <v>6</v>
      </c>
      <c r="B6190" t="str">
        <f>"09/10/2018 00:00"</f>
        <v>09/10/2018 00:00</v>
      </c>
      <c r="C6190">
        <v>363</v>
      </c>
      <c r="D6190" t="s">
        <v>7</v>
      </c>
      <c r="E6190" s="2" t="s">
        <v>12</v>
      </c>
      <c r="F6190">
        <f t="shared" si="96"/>
        <v>719.82900000000006</v>
      </c>
      <c r="G6190" t="s">
        <v>16</v>
      </c>
      <c r="J6190" t="str">
        <f>"09/10/2018 23:45"</f>
        <v>09/10/2018 23:45</v>
      </c>
    </row>
    <row r="6191" spans="1:10" x14ac:dyDescent="0.3">
      <c r="A6191" t="s">
        <v>6</v>
      </c>
      <c r="B6191" t="str">
        <f>"09/11/2018 00:00"</f>
        <v>09/11/2018 00:00</v>
      </c>
      <c r="C6191">
        <v>414</v>
      </c>
      <c r="D6191" t="s">
        <v>7</v>
      </c>
      <c r="E6191" s="2" t="s">
        <v>12</v>
      </c>
      <c r="F6191">
        <f t="shared" si="96"/>
        <v>820.96199999999999</v>
      </c>
      <c r="G6191" t="s">
        <v>16</v>
      </c>
      <c r="J6191" t="str">
        <f>"09/11/2018 23:45"</f>
        <v>09/11/2018 23:45</v>
      </c>
    </row>
    <row r="6192" spans="1:10" x14ac:dyDescent="0.3">
      <c r="A6192" t="s">
        <v>6</v>
      </c>
      <c r="B6192" t="str">
        <f>"09/12/2018 00:00"</f>
        <v>09/12/2018 00:00</v>
      </c>
      <c r="C6192">
        <v>440</v>
      </c>
      <c r="D6192" t="s">
        <v>7</v>
      </c>
      <c r="E6192" s="2" t="s">
        <v>12</v>
      </c>
      <c r="F6192">
        <f t="shared" si="96"/>
        <v>872.5200000000001</v>
      </c>
      <c r="G6192" t="s">
        <v>16</v>
      </c>
      <c r="J6192" t="str">
        <f>"09/12/2018 23:45"</f>
        <v>09/12/2018 23:45</v>
      </c>
    </row>
    <row r="6193" spans="1:10" x14ac:dyDescent="0.3">
      <c r="A6193" t="s">
        <v>6</v>
      </c>
      <c r="B6193" t="str">
        <f>"09/13/2018 00:00"</f>
        <v>09/13/2018 00:00</v>
      </c>
      <c r="C6193">
        <v>476</v>
      </c>
      <c r="D6193" t="s">
        <v>7</v>
      </c>
      <c r="E6193" s="2" t="s">
        <v>12</v>
      </c>
      <c r="F6193">
        <f t="shared" si="96"/>
        <v>943.90800000000002</v>
      </c>
      <c r="G6193" t="s">
        <v>16</v>
      </c>
      <c r="J6193" t="str">
        <f>"09/13/2018 23:45"</f>
        <v>09/13/2018 23:45</v>
      </c>
    </row>
    <row r="6194" spans="1:10" x14ac:dyDescent="0.3">
      <c r="A6194" t="s">
        <v>6</v>
      </c>
      <c r="B6194" t="str">
        <f>"09/14/2018 00:00"</f>
        <v>09/14/2018 00:00</v>
      </c>
      <c r="C6194">
        <v>501</v>
      </c>
      <c r="D6194" t="s">
        <v>7</v>
      </c>
      <c r="E6194" s="2" t="s">
        <v>12</v>
      </c>
      <c r="F6194">
        <f t="shared" si="96"/>
        <v>993.48300000000006</v>
      </c>
      <c r="G6194" t="s">
        <v>16</v>
      </c>
      <c r="J6194" t="str">
        <f>"09/14/2018 23:45"</f>
        <v>09/14/2018 23:45</v>
      </c>
    </row>
    <row r="6195" spans="1:10" x14ac:dyDescent="0.3">
      <c r="A6195" t="s">
        <v>6</v>
      </c>
      <c r="B6195" t="str">
        <f>"09/15/2018 00:00"</f>
        <v>09/15/2018 00:00</v>
      </c>
      <c r="C6195">
        <v>501</v>
      </c>
      <c r="D6195" t="s">
        <v>7</v>
      </c>
      <c r="E6195" s="2" t="s">
        <v>12</v>
      </c>
      <c r="F6195">
        <f t="shared" si="96"/>
        <v>993.48300000000006</v>
      </c>
      <c r="G6195" t="s">
        <v>16</v>
      </c>
      <c r="J6195" t="str">
        <f>"09/15/2018 23:45"</f>
        <v>09/15/2018 23:45</v>
      </c>
    </row>
    <row r="6196" spans="1:10" x14ac:dyDescent="0.3">
      <c r="A6196" t="s">
        <v>6</v>
      </c>
      <c r="B6196" t="str">
        <f>"09/16/2018 00:00"</f>
        <v>09/16/2018 00:00</v>
      </c>
      <c r="C6196">
        <v>501</v>
      </c>
      <c r="D6196" t="s">
        <v>7</v>
      </c>
      <c r="E6196" s="2" t="s">
        <v>12</v>
      </c>
      <c r="F6196">
        <f t="shared" si="96"/>
        <v>993.48300000000006</v>
      </c>
      <c r="G6196" t="s">
        <v>16</v>
      </c>
      <c r="J6196" t="str">
        <f>"09/16/2018 23:45"</f>
        <v>09/16/2018 23:45</v>
      </c>
    </row>
    <row r="6197" spans="1:10" x14ac:dyDescent="0.3">
      <c r="A6197" t="s">
        <v>6</v>
      </c>
      <c r="B6197" t="str">
        <f>"09/17/2018 00:00"</f>
        <v>09/17/2018 00:00</v>
      </c>
      <c r="C6197">
        <v>431</v>
      </c>
      <c r="D6197" t="s">
        <v>7</v>
      </c>
      <c r="E6197" s="2" t="s">
        <v>12</v>
      </c>
      <c r="F6197">
        <f t="shared" si="96"/>
        <v>854.673</v>
      </c>
      <c r="G6197" t="s">
        <v>16</v>
      </c>
      <c r="J6197" t="str">
        <f>"09/17/2018 23:45"</f>
        <v>09/17/2018 23:45</v>
      </c>
    </row>
    <row r="6198" spans="1:10" x14ac:dyDescent="0.3">
      <c r="A6198" t="s">
        <v>6</v>
      </c>
      <c r="B6198" t="str">
        <f>"09/18/2018 00:00"</f>
        <v>09/18/2018 00:00</v>
      </c>
      <c r="C6198">
        <v>381</v>
      </c>
      <c r="D6198" t="s">
        <v>7</v>
      </c>
      <c r="E6198" s="2" t="s">
        <v>12</v>
      </c>
      <c r="F6198">
        <f t="shared" si="96"/>
        <v>755.52300000000002</v>
      </c>
      <c r="G6198" t="s">
        <v>16</v>
      </c>
      <c r="J6198" t="str">
        <f>"09/18/2018 23:45"</f>
        <v>09/18/2018 23:45</v>
      </c>
    </row>
    <row r="6199" spans="1:10" x14ac:dyDescent="0.3">
      <c r="A6199" t="s">
        <v>6</v>
      </c>
      <c r="B6199" t="str">
        <f>"09/19/2018 00:00"</f>
        <v>09/19/2018 00:00</v>
      </c>
      <c r="C6199">
        <v>380</v>
      </c>
      <c r="D6199" t="s">
        <v>7</v>
      </c>
      <c r="E6199" s="2" t="s">
        <v>12</v>
      </c>
      <c r="F6199">
        <f t="shared" si="96"/>
        <v>753.54000000000008</v>
      </c>
      <c r="G6199" t="s">
        <v>16</v>
      </c>
      <c r="J6199" t="str">
        <f>"09/19/2018 23:45"</f>
        <v>09/19/2018 23:45</v>
      </c>
    </row>
    <row r="6200" spans="1:10" x14ac:dyDescent="0.3">
      <c r="A6200" t="s">
        <v>6</v>
      </c>
      <c r="B6200" t="str">
        <f>"09/20/2018 00:00"</f>
        <v>09/20/2018 00:00</v>
      </c>
      <c r="C6200">
        <v>366</v>
      </c>
      <c r="D6200" t="s">
        <v>7</v>
      </c>
      <c r="E6200" s="2" t="s">
        <v>12</v>
      </c>
      <c r="F6200">
        <f t="shared" si="96"/>
        <v>725.77800000000002</v>
      </c>
      <c r="G6200" t="s">
        <v>16</v>
      </c>
      <c r="J6200" t="str">
        <f>"09/20/2018 23:45"</f>
        <v>09/20/2018 23:45</v>
      </c>
    </row>
    <row r="6201" spans="1:10" x14ac:dyDescent="0.3">
      <c r="A6201" t="s">
        <v>6</v>
      </c>
      <c r="B6201" t="str">
        <f>"09/21/2018 00:00"</f>
        <v>09/21/2018 00:00</v>
      </c>
      <c r="C6201">
        <v>347</v>
      </c>
      <c r="D6201" t="s">
        <v>7</v>
      </c>
      <c r="E6201" s="2" t="s">
        <v>12</v>
      </c>
      <c r="F6201">
        <f t="shared" si="96"/>
        <v>688.101</v>
      </c>
      <c r="G6201" t="s">
        <v>16</v>
      </c>
      <c r="J6201" t="str">
        <f>"09/21/2018 23:45"</f>
        <v>09/21/2018 23:45</v>
      </c>
    </row>
    <row r="6202" spans="1:10" x14ac:dyDescent="0.3">
      <c r="A6202" t="s">
        <v>6</v>
      </c>
      <c r="B6202" t="str">
        <f>"09/22/2018 00:00"</f>
        <v>09/22/2018 00:00</v>
      </c>
      <c r="C6202">
        <v>347</v>
      </c>
      <c r="D6202" t="s">
        <v>7</v>
      </c>
      <c r="E6202" s="2" t="s">
        <v>12</v>
      </c>
      <c r="F6202">
        <f t="shared" si="96"/>
        <v>688.101</v>
      </c>
      <c r="G6202" t="s">
        <v>16</v>
      </c>
      <c r="J6202" t="str">
        <f>"09/22/2018 23:45"</f>
        <v>09/22/2018 23:45</v>
      </c>
    </row>
    <row r="6203" spans="1:10" x14ac:dyDescent="0.3">
      <c r="A6203" t="s">
        <v>6</v>
      </c>
      <c r="B6203" t="str">
        <f>"09/23/2018 00:00"</f>
        <v>09/23/2018 00:00</v>
      </c>
      <c r="C6203">
        <v>347</v>
      </c>
      <c r="D6203" t="s">
        <v>7</v>
      </c>
      <c r="E6203" s="2" t="s">
        <v>12</v>
      </c>
      <c r="F6203">
        <f t="shared" si="96"/>
        <v>688.101</v>
      </c>
      <c r="G6203" t="s">
        <v>16</v>
      </c>
      <c r="J6203" t="str">
        <f>"09/23/2018 23:45"</f>
        <v>09/23/2018 23:45</v>
      </c>
    </row>
    <row r="6204" spans="1:10" x14ac:dyDescent="0.3">
      <c r="A6204" t="s">
        <v>6</v>
      </c>
      <c r="B6204" t="str">
        <f>"09/24/2018 00:00"</f>
        <v>09/24/2018 00:00</v>
      </c>
      <c r="C6204">
        <v>359</v>
      </c>
      <c r="D6204" t="s">
        <v>7</v>
      </c>
      <c r="E6204" s="2" t="s">
        <v>12</v>
      </c>
      <c r="F6204">
        <f t="shared" si="96"/>
        <v>711.89700000000005</v>
      </c>
      <c r="G6204" t="s">
        <v>16</v>
      </c>
      <c r="J6204" t="str">
        <f>"09/24/2018 23:45"</f>
        <v>09/24/2018 23:45</v>
      </c>
    </row>
    <row r="6205" spans="1:10" x14ac:dyDescent="0.3">
      <c r="A6205" t="s">
        <v>6</v>
      </c>
      <c r="B6205" t="str">
        <f>"09/25/2018 00:00"</f>
        <v>09/25/2018 00:00</v>
      </c>
      <c r="C6205">
        <v>378</v>
      </c>
      <c r="D6205" t="s">
        <v>7</v>
      </c>
      <c r="E6205" s="2" t="s">
        <v>12</v>
      </c>
      <c r="F6205">
        <f t="shared" si="96"/>
        <v>749.57400000000007</v>
      </c>
      <c r="G6205" t="s">
        <v>16</v>
      </c>
      <c r="J6205" t="str">
        <f>"09/25/2018 23:45"</f>
        <v>09/25/2018 23:45</v>
      </c>
    </row>
    <row r="6206" spans="1:10" x14ac:dyDescent="0.3">
      <c r="A6206" t="s">
        <v>6</v>
      </c>
      <c r="B6206" t="str">
        <f>"09/26/2018 00:00"</f>
        <v>09/26/2018 00:00</v>
      </c>
      <c r="C6206">
        <v>378</v>
      </c>
      <c r="D6206" t="s">
        <v>7</v>
      </c>
      <c r="E6206" s="2" t="s">
        <v>12</v>
      </c>
      <c r="F6206">
        <f t="shared" si="96"/>
        <v>749.57400000000007</v>
      </c>
      <c r="G6206" t="s">
        <v>16</v>
      </c>
      <c r="J6206" t="str">
        <f>"09/27/2018 00:39"</f>
        <v>09/27/2018 00:39</v>
      </c>
    </row>
    <row r="6207" spans="1:10" x14ac:dyDescent="0.3">
      <c r="A6207" t="s">
        <v>6</v>
      </c>
      <c r="B6207" t="str">
        <f>"09/27/2018 00:00"</f>
        <v>09/27/2018 00:00</v>
      </c>
      <c r="C6207">
        <v>378</v>
      </c>
      <c r="D6207" t="s">
        <v>7</v>
      </c>
      <c r="E6207" s="2" t="s">
        <v>12</v>
      </c>
      <c r="F6207">
        <f t="shared" si="96"/>
        <v>749.57400000000007</v>
      </c>
      <c r="G6207" t="s">
        <v>16</v>
      </c>
      <c r="J6207" t="str">
        <f>"09/28/2018 00:39"</f>
        <v>09/28/2018 00:39</v>
      </c>
    </row>
    <row r="6208" spans="1:10" x14ac:dyDescent="0.3">
      <c r="A6208" t="s">
        <v>6</v>
      </c>
      <c r="B6208" t="str">
        <f>"09/28/2018 00:00"</f>
        <v>09/28/2018 00:00</v>
      </c>
      <c r="C6208">
        <v>378</v>
      </c>
      <c r="D6208" t="s">
        <v>7</v>
      </c>
      <c r="E6208" s="2" t="s">
        <v>12</v>
      </c>
      <c r="F6208">
        <f t="shared" si="96"/>
        <v>749.57400000000007</v>
      </c>
      <c r="G6208" t="s">
        <v>16</v>
      </c>
      <c r="J6208" t="str">
        <f>"09/29/2018 00:39"</f>
        <v>09/29/2018 00:39</v>
      </c>
    </row>
    <row r="6209" spans="1:10" x14ac:dyDescent="0.3">
      <c r="A6209" t="s">
        <v>6</v>
      </c>
      <c r="B6209" t="str">
        <f>"09/29/2018 00:00"</f>
        <v>09/29/2018 00:00</v>
      </c>
      <c r="C6209">
        <v>378</v>
      </c>
      <c r="D6209" t="s">
        <v>7</v>
      </c>
      <c r="E6209" s="2" t="s">
        <v>12</v>
      </c>
      <c r="F6209">
        <f t="shared" si="96"/>
        <v>749.57400000000007</v>
      </c>
      <c r="G6209" t="s">
        <v>16</v>
      </c>
      <c r="J6209" t="str">
        <f>"09/30/2018 00:39"</f>
        <v>09/30/2018 00:39</v>
      </c>
    </row>
    <row r="6210" spans="1:10" x14ac:dyDescent="0.3">
      <c r="A6210" t="s">
        <v>6</v>
      </c>
      <c r="B6210" t="str">
        <f>"09/30/2018 00:00"</f>
        <v>09/30/2018 00:00</v>
      </c>
      <c r="C6210">
        <v>378</v>
      </c>
      <c r="D6210" t="s">
        <v>7</v>
      </c>
      <c r="E6210" s="2" t="s">
        <v>12</v>
      </c>
      <c r="F6210">
        <f t="shared" si="96"/>
        <v>749.57400000000007</v>
      </c>
      <c r="G6210" t="s">
        <v>16</v>
      </c>
      <c r="J6210" t="str">
        <f>"10/01/2018 00:39"</f>
        <v>10/01/2018 00:39</v>
      </c>
    </row>
    <row r="6211" spans="1:10" x14ac:dyDescent="0.3">
      <c r="A6211" t="s">
        <v>6</v>
      </c>
      <c r="B6211" t="str">
        <f>"10/01/2018 00:00"</f>
        <v>10/01/2018 00:00</v>
      </c>
      <c r="C6211">
        <v>319</v>
      </c>
      <c r="D6211" t="s">
        <v>7</v>
      </c>
      <c r="E6211" s="2" t="s">
        <v>12</v>
      </c>
      <c r="F6211">
        <f t="shared" si="96"/>
        <v>632.577</v>
      </c>
      <c r="G6211" t="s">
        <v>16</v>
      </c>
      <c r="J6211" t="str">
        <f>"10/02/2018 00:39"</f>
        <v>10/02/2018 00:39</v>
      </c>
    </row>
    <row r="6212" spans="1:10" x14ac:dyDescent="0.3">
      <c r="A6212" t="s">
        <v>6</v>
      </c>
      <c r="B6212" t="str">
        <f>"10/02/2018 00:00"</f>
        <v>10/02/2018 00:00</v>
      </c>
      <c r="C6212">
        <v>280</v>
      </c>
      <c r="D6212" t="s">
        <v>7</v>
      </c>
      <c r="E6212" s="2" t="s">
        <v>12</v>
      </c>
      <c r="F6212">
        <f t="shared" ref="F6212:F6275" si="97">C6212*1.983</f>
        <v>555.24</v>
      </c>
      <c r="G6212" t="s">
        <v>16</v>
      </c>
      <c r="J6212" t="str">
        <f>"10/03/2018 00:39"</f>
        <v>10/03/2018 00:39</v>
      </c>
    </row>
    <row r="6213" spans="1:10" x14ac:dyDescent="0.3">
      <c r="A6213" t="s">
        <v>6</v>
      </c>
      <c r="B6213" t="str">
        <f>"10/03/2018 00:00"</f>
        <v>10/03/2018 00:00</v>
      </c>
      <c r="C6213">
        <v>280</v>
      </c>
      <c r="D6213" t="s">
        <v>7</v>
      </c>
      <c r="E6213" s="2" t="s">
        <v>12</v>
      </c>
      <c r="F6213">
        <f t="shared" si="97"/>
        <v>555.24</v>
      </c>
      <c r="G6213" t="s">
        <v>16</v>
      </c>
      <c r="J6213" t="str">
        <f>"10/04/2018 00:39"</f>
        <v>10/04/2018 00:39</v>
      </c>
    </row>
    <row r="6214" spans="1:10" x14ac:dyDescent="0.3">
      <c r="A6214" t="s">
        <v>6</v>
      </c>
      <c r="B6214" t="str">
        <f>"10/04/2018 00:00"</f>
        <v>10/04/2018 00:00</v>
      </c>
      <c r="C6214">
        <v>280</v>
      </c>
      <c r="D6214" t="s">
        <v>7</v>
      </c>
      <c r="E6214" s="2" t="s">
        <v>12</v>
      </c>
      <c r="F6214">
        <f t="shared" si="97"/>
        <v>555.24</v>
      </c>
      <c r="G6214" t="s">
        <v>16</v>
      </c>
      <c r="J6214" t="str">
        <f>"10/05/2018 00:39"</f>
        <v>10/05/2018 00:39</v>
      </c>
    </row>
    <row r="6215" spans="1:10" x14ac:dyDescent="0.3">
      <c r="A6215" t="s">
        <v>6</v>
      </c>
      <c r="B6215" t="str">
        <f>"10/05/2018 00:00"</f>
        <v>10/05/2018 00:00</v>
      </c>
      <c r="C6215">
        <v>281</v>
      </c>
      <c r="D6215" t="s">
        <v>7</v>
      </c>
      <c r="E6215" s="2" t="s">
        <v>12</v>
      </c>
      <c r="F6215">
        <f t="shared" si="97"/>
        <v>557.22300000000007</v>
      </c>
      <c r="G6215" t="s">
        <v>16</v>
      </c>
      <c r="J6215" t="str">
        <f>"10/06/2018 00:39"</f>
        <v>10/06/2018 00:39</v>
      </c>
    </row>
    <row r="6216" spans="1:10" x14ac:dyDescent="0.3">
      <c r="A6216" t="s">
        <v>6</v>
      </c>
      <c r="B6216" t="str">
        <f>"10/06/2018 00:00"</f>
        <v>10/06/2018 00:00</v>
      </c>
      <c r="C6216">
        <v>281</v>
      </c>
      <c r="D6216" t="s">
        <v>7</v>
      </c>
      <c r="E6216" s="2" t="s">
        <v>12</v>
      </c>
      <c r="F6216">
        <f t="shared" si="97"/>
        <v>557.22300000000007</v>
      </c>
      <c r="G6216" t="s">
        <v>16</v>
      </c>
      <c r="J6216" t="str">
        <f>"10/07/2018 00:39"</f>
        <v>10/07/2018 00:39</v>
      </c>
    </row>
    <row r="6217" spans="1:10" x14ac:dyDescent="0.3">
      <c r="A6217" t="s">
        <v>6</v>
      </c>
      <c r="B6217" t="str">
        <f>"10/07/2018 00:00"</f>
        <v>10/07/2018 00:00</v>
      </c>
      <c r="C6217">
        <v>281</v>
      </c>
      <c r="D6217" t="s">
        <v>7</v>
      </c>
      <c r="E6217" s="2" t="s">
        <v>12</v>
      </c>
      <c r="F6217">
        <f t="shared" si="97"/>
        <v>557.22300000000007</v>
      </c>
      <c r="G6217" t="s">
        <v>16</v>
      </c>
      <c r="J6217" t="str">
        <f>"10/08/2018 00:39"</f>
        <v>10/08/2018 00:39</v>
      </c>
    </row>
    <row r="6218" spans="1:10" x14ac:dyDescent="0.3">
      <c r="A6218" t="s">
        <v>6</v>
      </c>
      <c r="B6218" t="str">
        <f>"10/08/2018 00:00"</f>
        <v>10/08/2018 00:00</v>
      </c>
      <c r="C6218">
        <v>245</v>
      </c>
      <c r="D6218" t="s">
        <v>7</v>
      </c>
      <c r="E6218" s="2" t="s">
        <v>12</v>
      </c>
      <c r="F6218">
        <f t="shared" si="97"/>
        <v>485.83500000000004</v>
      </c>
      <c r="G6218" t="s">
        <v>16</v>
      </c>
      <c r="J6218" t="str">
        <f>"10/09/2018 00:39"</f>
        <v>10/09/2018 00:39</v>
      </c>
    </row>
    <row r="6219" spans="1:10" x14ac:dyDescent="0.3">
      <c r="A6219" t="s">
        <v>6</v>
      </c>
      <c r="B6219" t="str">
        <f>"10/09/2018 00:00"</f>
        <v>10/09/2018 00:00</v>
      </c>
      <c r="C6219">
        <v>218</v>
      </c>
      <c r="D6219" t="s">
        <v>7</v>
      </c>
      <c r="E6219" s="2" t="s">
        <v>12</v>
      </c>
      <c r="F6219">
        <f t="shared" si="97"/>
        <v>432.29400000000004</v>
      </c>
      <c r="G6219" t="s">
        <v>16</v>
      </c>
      <c r="J6219" t="str">
        <f>"10/10/2018 00:39"</f>
        <v>10/10/2018 00:39</v>
      </c>
    </row>
    <row r="6220" spans="1:10" x14ac:dyDescent="0.3">
      <c r="A6220" t="s">
        <v>6</v>
      </c>
      <c r="B6220" t="str">
        <f>"10/10/2018 00:00"</f>
        <v>10/10/2018 00:00</v>
      </c>
      <c r="C6220">
        <v>193</v>
      </c>
      <c r="D6220" t="s">
        <v>7</v>
      </c>
      <c r="E6220" s="2" t="s">
        <v>12</v>
      </c>
      <c r="F6220">
        <f t="shared" si="97"/>
        <v>382.71899999999999</v>
      </c>
      <c r="G6220" t="s">
        <v>16</v>
      </c>
      <c r="J6220" t="str">
        <f>"10/11/2018 00:39"</f>
        <v>10/11/2018 00:39</v>
      </c>
    </row>
    <row r="6221" spans="1:10" x14ac:dyDescent="0.3">
      <c r="A6221" t="s">
        <v>6</v>
      </c>
      <c r="B6221" t="str">
        <f>"10/11/2018 00:00"</f>
        <v>10/11/2018 00:00</v>
      </c>
      <c r="C6221">
        <v>178</v>
      </c>
      <c r="D6221" t="s">
        <v>7</v>
      </c>
      <c r="E6221" s="2" t="s">
        <v>12</v>
      </c>
      <c r="F6221">
        <f t="shared" si="97"/>
        <v>352.97399999999999</v>
      </c>
      <c r="G6221" t="s">
        <v>16</v>
      </c>
      <c r="J6221" t="str">
        <f>"10/12/2018 00:39"</f>
        <v>10/12/2018 00:39</v>
      </c>
    </row>
    <row r="6222" spans="1:10" x14ac:dyDescent="0.3">
      <c r="A6222" t="s">
        <v>6</v>
      </c>
      <c r="B6222" t="str">
        <f>"10/12/2018 00:00"</f>
        <v>10/12/2018 00:00</v>
      </c>
      <c r="C6222">
        <v>179</v>
      </c>
      <c r="D6222" t="s">
        <v>7</v>
      </c>
      <c r="E6222" s="2" t="s">
        <v>12</v>
      </c>
      <c r="F6222">
        <f t="shared" si="97"/>
        <v>354.95699999999999</v>
      </c>
      <c r="G6222" t="s">
        <v>16</v>
      </c>
      <c r="J6222" t="str">
        <f>"10/13/2018 00:39"</f>
        <v>10/13/2018 00:39</v>
      </c>
    </row>
    <row r="6223" spans="1:10" x14ac:dyDescent="0.3">
      <c r="A6223" t="s">
        <v>6</v>
      </c>
      <c r="B6223" t="str">
        <f>"10/13/2018 00:00"</f>
        <v>10/13/2018 00:00</v>
      </c>
      <c r="C6223">
        <v>151</v>
      </c>
      <c r="D6223" t="s">
        <v>7</v>
      </c>
      <c r="E6223" s="2" t="s">
        <v>12</v>
      </c>
      <c r="F6223">
        <f t="shared" si="97"/>
        <v>299.43299999999999</v>
      </c>
      <c r="G6223" t="s">
        <v>16</v>
      </c>
      <c r="J6223" t="str">
        <f>"10/14/2018 00:39"</f>
        <v>10/14/2018 00:39</v>
      </c>
    </row>
    <row r="6224" spans="1:10" x14ac:dyDescent="0.3">
      <c r="A6224" t="s">
        <v>6</v>
      </c>
      <c r="B6224" t="str">
        <f>"10/14/2018 00:00"</f>
        <v>10/14/2018 00:00</v>
      </c>
      <c r="C6224">
        <v>104</v>
      </c>
      <c r="D6224" t="s">
        <v>7</v>
      </c>
      <c r="E6224" s="2" t="s">
        <v>12</v>
      </c>
      <c r="F6224">
        <f t="shared" si="97"/>
        <v>206.232</v>
      </c>
      <c r="G6224" t="s">
        <v>16</v>
      </c>
      <c r="J6224" t="str">
        <f>"10/15/2018 00:45"</f>
        <v>10/15/2018 00:45</v>
      </c>
    </row>
    <row r="6225" spans="1:10" x14ac:dyDescent="0.3">
      <c r="A6225" t="s">
        <v>6</v>
      </c>
      <c r="B6225" t="str">
        <f>"10/15/2018 00:00"</f>
        <v>10/15/2018 00:00</v>
      </c>
      <c r="C6225">
        <v>103</v>
      </c>
      <c r="D6225" t="s">
        <v>7</v>
      </c>
      <c r="E6225" s="2" t="s">
        <v>12</v>
      </c>
      <c r="F6225">
        <f t="shared" si="97"/>
        <v>204.24900000000002</v>
      </c>
      <c r="G6225" t="s">
        <v>16</v>
      </c>
      <c r="J6225" t="str">
        <f>"10/16/2018 00:39"</f>
        <v>10/16/2018 00:39</v>
      </c>
    </row>
    <row r="6226" spans="1:10" x14ac:dyDescent="0.3">
      <c r="A6226" t="s">
        <v>6</v>
      </c>
      <c r="B6226" t="str">
        <f>"10/16/2018 00:00"</f>
        <v>10/16/2018 00:00</v>
      </c>
      <c r="C6226">
        <v>142</v>
      </c>
      <c r="D6226" t="s">
        <v>7</v>
      </c>
      <c r="E6226" s="2" t="s">
        <v>12</v>
      </c>
      <c r="F6226">
        <f t="shared" si="97"/>
        <v>281.58600000000001</v>
      </c>
      <c r="G6226" t="s">
        <v>16</v>
      </c>
      <c r="J6226" t="str">
        <f>"10/17/2018 00:39"</f>
        <v>10/17/2018 00:39</v>
      </c>
    </row>
    <row r="6227" spans="1:10" x14ac:dyDescent="0.3">
      <c r="A6227" t="s">
        <v>6</v>
      </c>
      <c r="B6227" t="str">
        <f>"10/17/2018 00:00"</f>
        <v>10/17/2018 00:00</v>
      </c>
      <c r="C6227">
        <v>178</v>
      </c>
      <c r="D6227" t="s">
        <v>7</v>
      </c>
      <c r="E6227" s="2" t="s">
        <v>12</v>
      </c>
      <c r="F6227">
        <f t="shared" si="97"/>
        <v>352.97399999999999</v>
      </c>
      <c r="G6227" t="s">
        <v>16</v>
      </c>
      <c r="J6227" t="str">
        <f>"10/18/2018 00:39"</f>
        <v>10/18/2018 00:39</v>
      </c>
    </row>
    <row r="6228" spans="1:10" x14ac:dyDescent="0.3">
      <c r="A6228" t="s">
        <v>6</v>
      </c>
      <c r="B6228" t="str">
        <f>"10/18/2018 00:00"</f>
        <v>10/18/2018 00:00</v>
      </c>
      <c r="C6228">
        <v>178</v>
      </c>
      <c r="D6228" t="s">
        <v>7</v>
      </c>
      <c r="E6228" s="2" t="s">
        <v>12</v>
      </c>
      <c r="F6228">
        <f t="shared" si="97"/>
        <v>352.97399999999999</v>
      </c>
      <c r="G6228" t="s">
        <v>16</v>
      </c>
      <c r="J6228" t="str">
        <f>"10/19/2018 00:39"</f>
        <v>10/19/2018 00:39</v>
      </c>
    </row>
    <row r="6229" spans="1:10" x14ac:dyDescent="0.3">
      <c r="A6229" t="s">
        <v>6</v>
      </c>
      <c r="B6229" t="str">
        <f>"10/19/2018 00:00"</f>
        <v>10/19/2018 00:00</v>
      </c>
      <c r="C6229">
        <v>178</v>
      </c>
      <c r="D6229" t="s">
        <v>7</v>
      </c>
      <c r="E6229" s="2" t="s">
        <v>12</v>
      </c>
      <c r="F6229">
        <f t="shared" si="97"/>
        <v>352.97399999999999</v>
      </c>
      <c r="G6229" t="s">
        <v>16</v>
      </c>
      <c r="J6229" t="str">
        <f>"10/20/2018 00:39"</f>
        <v>10/20/2018 00:39</v>
      </c>
    </row>
    <row r="6230" spans="1:10" x14ac:dyDescent="0.3">
      <c r="A6230" t="s">
        <v>6</v>
      </c>
      <c r="B6230" t="str">
        <f>"10/20/2018 00:00"</f>
        <v>10/20/2018 00:00</v>
      </c>
      <c r="C6230">
        <v>178</v>
      </c>
      <c r="D6230" t="s">
        <v>7</v>
      </c>
      <c r="E6230" s="2" t="s">
        <v>12</v>
      </c>
      <c r="F6230">
        <f t="shared" si="97"/>
        <v>352.97399999999999</v>
      </c>
      <c r="G6230" t="s">
        <v>16</v>
      </c>
      <c r="J6230" t="str">
        <f>"10/21/2018 00:39"</f>
        <v>10/21/2018 00:39</v>
      </c>
    </row>
    <row r="6231" spans="1:10" x14ac:dyDescent="0.3">
      <c r="A6231" t="s">
        <v>6</v>
      </c>
      <c r="B6231" t="str">
        <f>"10/21/2018 00:00"</f>
        <v>10/21/2018 00:00</v>
      </c>
      <c r="C6231">
        <v>178</v>
      </c>
      <c r="D6231" t="s">
        <v>7</v>
      </c>
      <c r="E6231" s="2" t="s">
        <v>12</v>
      </c>
      <c r="F6231">
        <f t="shared" si="97"/>
        <v>352.97399999999999</v>
      </c>
      <c r="G6231" t="s">
        <v>16</v>
      </c>
      <c r="J6231" t="str">
        <f>"10/22/2018 00:43"</f>
        <v>10/22/2018 00:43</v>
      </c>
    </row>
    <row r="6232" spans="1:10" x14ac:dyDescent="0.3">
      <c r="A6232" t="s">
        <v>6</v>
      </c>
      <c r="B6232" t="str">
        <f>"10/22/2018 00:00"</f>
        <v>10/22/2018 00:00</v>
      </c>
      <c r="C6232">
        <v>178</v>
      </c>
      <c r="D6232" t="s">
        <v>7</v>
      </c>
      <c r="E6232" s="2" t="s">
        <v>12</v>
      </c>
      <c r="F6232">
        <f t="shared" si="97"/>
        <v>352.97399999999999</v>
      </c>
      <c r="G6232" t="s">
        <v>16</v>
      </c>
      <c r="J6232" t="str">
        <f>"10/23/2018 00:39"</f>
        <v>10/23/2018 00:39</v>
      </c>
    </row>
    <row r="6233" spans="1:10" x14ac:dyDescent="0.3">
      <c r="A6233" t="s">
        <v>6</v>
      </c>
      <c r="B6233" t="str">
        <f>"10/23/2018 00:00"</f>
        <v>10/23/2018 00:00</v>
      </c>
      <c r="C6233">
        <v>178</v>
      </c>
      <c r="D6233" t="s">
        <v>7</v>
      </c>
      <c r="E6233" s="2" t="s">
        <v>12</v>
      </c>
      <c r="F6233">
        <f t="shared" si="97"/>
        <v>352.97399999999999</v>
      </c>
      <c r="G6233" t="s">
        <v>16</v>
      </c>
      <c r="J6233" t="str">
        <f>"10/24/2018 00:39"</f>
        <v>10/24/2018 00:39</v>
      </c>
    </row>
    <row r="6234" spans="1:10" x14ac:dyDescent="0.3">
      <c r="A6234" t="s">
        <v>6</v>
      </c>
      <c r="B6234" t="str">
        <f>"10/24/2018 00:00"</f>
        <v>10/24/2018 00:00</v>
      </c>
      <c r="C6234">
        <v>178</v>
      </c>
      <c r="D6234" t="s">
        <v>7</v>
      </c>
      <c r="E6234" s="2" t="s">
        <v>12</v>
      </c>
      <c r="F6234">
        <f t="shared" si="97"/>
        <v>352.97399999999999</v>
      </c>
      <c r="G6234" t="s">
        <v>16</v>
      </c>
      <c r="J6234" t="str">
        <f>"10/25/2018 00:39"</f>
        <v>10/25/2018 00:39</v>
      </c>
    </row>
    <row r="6235" spans="1:10" x14ac:dyDescent="0.3">
      <c r="A6235" t="s">
        <v>6</v>
      </c>
      <c r="B6235" t="str">
        <f>"10/25/2018 00:00"</f>
        <v>10/25/2018 00:00</v>
      </c>
      <c r="C6235">
        <v>178</v>
      </c>
      <c r="D6235" t="s">
        <v>7</v>
      </c>
      <c r="E6235" s="2" t="s">
        <v>12</v>
      </c>
      <c r="F6235">
        <f t="shared" si="97"/>
        <v>352.97399999999999</v>
      </c>
      <c r="G6235" t="s">
        <v>16</v>
      </c>
      <c r="J6235" t="str">
        <f>"10/26/2018 00:39"</f>
        <v>10/26/2018 00:39</v>
      </c>
    </row>
    <row r="6236" spans="1:10" x14ac:dyDescent="0.3">
      <c r="A6236" t="s">
        <v>6</v>
      </c>
      <c r="B6236" t="str">
        <f>"10/26/2018 00:00"</f>
        <v>10/26/2018 00:00</v>
      </c>
      <c r="C6236">
        <v>178</v>
      </c>
      <c r="D6236" t="s">
        <v>7</v>
      </c>
      <c r="E6236" s="2" t="s">
        <v>12</v>
      </c>
      <c r="F6236">
        <f t="shared" si="97"/>
        <v>352.97399999999999</v>
      </c>
      <c r="G6236" t="s">
        <v>16</v>
      </c>
      <c r="J6236" t="str">
        <f>"10/27/2018 00:39"</f>
        <v>10/27/2018 00:39</v>
      </c>
    </row>
    <row r="6237" spans="1:10" x14ac:dyDescent="0.3">
      <c r="A6237" t="s">
        <v>6</v>
      </c>
      <c r="B6237" t="str">
        <f>"10/27/2018 00:00"</f>
        <v>10/27/2018 00:00</v>
      </c>
      <c r="C6237">
        <v>178</v>
      </c>
      <c r="D6237" t="s">
        <v>7</v>
      </c>
      <c r="E6237" s="2" t="s">
        <v>12</v>
      </c>
      <c r="F6237">
        <f t="shared" si="97"/>
        <v>352.97399999999999</v>
      </c>
      <c r="G6237" t="s">
        <v>16</v>
      </c>
      <c r="J6237" t="str">
        <f>"10/28/2018 00:39"</f>
        <v>10/28/2018 00:39</v>
      </c>
    </row>
    <row r="6238" spans="1:10" x14ac:dyDescent="0.3">
      <c r="A6238" t="s">
        <v>6</v>
      </c>
      <c r="B6238" t="str">
        <f>"10/28/2018 00:00"</f>
        <v>10/28/2018 00:00</v>
      </c>
      <c r="C6238">
        <v>178</v>
      </c>
      <c r="D6238" t="s">
        <v>7</v>
      </c>
      <c r="E6238" s="2" t="s">
        <v>12</v>
      </c>
      <c r="F6238">
        <f t="shared" si="97"/>
        <v>352.97399999999999</v>
      </c>
      <c r="G6238" t="s">
        <v>16</v>
      </c>
      <c r="J6238" t="str">
        <f>"10/29/2018 00:39"</f>
        <v>10/29/2018 00:39</v>
      </c>
    </row>
    <row r="6239" spans="1:10" x14ac:dyDescent="0.3">
      <c r="A6239" t="s">
        <v>6</v>
      </c>
      <c r="B6239" t="str">
        <f>"10/29/2018 00:00"</f>
        <v>10/29/2018 00:00</v>
      </c>
      <c r="C6239">
        <v>178</v>
      </c>
      <c r="D6239" t="s">
        <v>7</v>
      </c>
      <c r="E6239" s="2" t="s">
        <v>12</v>
      </c>
      <c r="F6239">
        <f t="shared" si="97"/>
        <v>352.97399999999999</v>
      </c>
      <c r="G6239" t="s">
        <v>16</v>
      </c>
      <c r="J6239" t="str">
        <f>"10/30/2018 00:39"</f>
        <v>10/30/2018 00:39</v>
      </c>
    </row>
    <row r="6240" spans="1:10" x14ac:dyDescent="0.3">
      <c r="A6240" t="s">
        <v>6</v>
      </c>
      <c r="B6240" t="str">
        <f>"10/30/2018 00:00"</f>
        <v>10/30/2018 00:00</v>
      </c>
      <c r="C6240">
        <v>178</v>
      </c>
      <c r="D6240" t="s">
        <v>7</v>
      </c>
      <c r="E6240" s="2" t="s">
        <v>12</v>
      </c>
      <c r="F6240">
        <f t="shared" si="97"/>
        <v>352.97399999999999</v>
      </c>
      <c r="G6240" t="s">
        <v>16</v>
      </c>
      <c r="J6240" t="str">
        <f>"10/31/2018 00:39"</f>
        <v>10/31/2018 00:39</v>
      </c>
    </row>
    <row r="6241" spans="1:10" x14ac:dyDescent="0.3">
      <c r="A6241" t="s">
        <v>6</v>
      </c>
      <c r="B6241" t="str">
        <f>"10/31/2018 00:00"</f>
        <v>10/31/2018 00:00</v>
      </c>
      <c r="C6241">
        <v>127</v>
      </c>
      <c r="D6241" t="s">
        <v>7</v>
      </c>
      <c r="E6241" s="2" t="s">
        <v>12</v>
      </c>
      <c r="F6241">
        <f t="shared" si="97"/>
        <v>251.84100000000001</v>
      </c>
      <c r="G6241" t="s">
        <v>16</v>
      </c>
      <c r="J6241" t="str">
        <f>"11/01/2018 00:39"</f>
        <v>11/01/2018 00:39</v>
      </c>
    </row>
    <row r="6242" spans="1:10" x14ac:dyDescent="0.3">
      <c r="A6242" t="s">
        <v>6</v>
      </c>
      <c r="B6242" t="str">
        <f>"11/01/2018 00:00"</f>
        <v>11/01/2018 00:00</v>
      </c>
      <c r="C6242">
        <v>99.8</v>
      </c>
      <c r="D6242" t="s">
        <v>7</v>
      </c>
      <c r="E6242" s="2" t="s">
        <v>12</v>
      </c>
      <c r="F6242">
        <f t="shared" si="97"/>
        <v>197.9034</v>
      </c>
      <c r="G6242" t="s">
        <v>16</v>
      </c>
      <c r="J6242" t="str">
        <f>"11/02/2018 00:39"</f>
        <v>11/02/2018 00:39</v>
      </c>
    </row>
    <row r="6243" spans="1:10" x14ac:dyDescent="0.3">
      <c r="A6243" t="s">
        <v>6</v>
      </c>
      <c r="B6243" t="str">
        <f>"11/02/2018 00:00"</f>
        <v>11/02/2018 00:00</v>
      </c>
      <c r="C6243">
        <v>99.6</v>
      </c>
      <c r="D6243" t="s">
        <v>7</v>
      </c>
      <c r="E6243" s="2" t="s">
        <v>12</v>
      </c>
      <c r="F6243">
        <f t="shared" si="97"/>
        <v>197.5068</v>
      </c>
      <c r="G6243" t="s">
        <v>16</v>
      </c>
      <c r="J6243" t="str">
        <f>"11/03/2018 00:39"</f>
        <v>11/03/2018 00:39</v>
      </c>
    </row>
    <row r="6244" spans="1:10" x14ac:dyDescent="0.3">
      <c r="A6244" t="s">
        <v>6</v>
      </c>
      <c r="B6244" t="str">
        <f>"11/03/2018 00:00"</f>
        <v>11/03/2018 00:00</v>
      </c>
      <c r="C6244">
        <v>99.7</v>
      </c>
      <c r="D6244" t="s">
        <v>7</v>
      </c>
      <c r="E6244" s="2" t="s">
        <v>12</v>
      </c>
      <c r="F6244">
        <f t="shared" si="97"/>
        <v>197.70510000000002</v>
      </c>
      <c r="G6244" t="s">
        <v>16</v>
      </c>
      <c r="J6244" t="str">
        <f>"11/04/2018 00:39"</f>
        <v>11/04/2018 00:39</v>
      </c>
    </row>
    <row r="6245" spans="1:10" x14ac:dyDescent="0.3">
      <c r="A6245" t="s">
        <v>6</v>
      </c>
      <c r="B6245" t="str">
        <f>"11/04/2018 00:00"</f>
        <v>11/04/2018 00:00</v>
      </c>
      <c r="C6245">
        <v>99.5</v>
      </c>
      <c r="D6245" t="s">
        <v>7</v>
      </c>
      <c r="E6245" s="2" t="s">
        <v>12</v>
      </c>
      <c r="F6245">
        <f t="shared" si="97"/>
        <v>197.30850000000001</v>
      </c>
      <c r="G6245" t="s">
        <v>16</v>
      </c>
      <c r="J6245" t="str">
        <f>"11/05/2018 00:39"</f>
        <v>11/05/2018 00:39</v>
      </c>
    </row>
    <row r="6246" spans="1:10" x14ac:dyDescent="0.3">
      <c r="A6246" t="s">
        <v>6</v>
      </c>
      <c r="B6246" t="str">
        <f>"11/05/2018 00:00"</f>
        <v>11/05/2018 00:00</v>
      </c>
      <c r="C6246">
        <v>99.5</v>
      </c>
      <c r="D6246" t="s">
        <v>7</v>
      </c>
      <c r="E6246" s="2" t="s">
        <v>12</v>
      </c>
      <c r="F6246">
        <f t="shared" si="97"/>
        <v>197.30850000000001</v>
      </c>
      <c r="G6246" t="s">
        <v>16</v>
      </c>
      <c r="J6246" t="str">
        <f>"11/06/2018 00:39"</f>
        <v>11/06/2018 00:39</v>
      </c>
    </row>
    <row r="6247" spans="1:10" x14ac:dyDescent="0.3">
      <c r="A6247" t="s">
        <v>6</v>
      </c>
      <c r="B6247" t="str">
        <f>"11/06/2018 00:00"</f>
        <v>11/06/2018 00:00</v>
      </c>
      <c r="C6247">
        <v>99.6</v>
      </c>
      <c r="D6247" t="s">
        <v>7</v>
      </c>
      <c r="E6247" s="2" t="s">
        <v>12</v>
      </c>
      <c r="F6247">
        <f t="shared" si="97"/>
        <v>197.5068</v>
      </c>
      <c r="G6247" t="s">
        <v>16</v>
      </c>
      <c r="J6247" t="str">
        <f>"11/07/2018 00:39"</f>
        <v>11/07/2018 00:39</v>
      </c>
    </row>
    <row r="6248" spans="1:10" x14ac:dyDescent="0.3">
      <c r="A6248" t="s">
        <v>6</v>
      </c>
      <c r="B6248" t="str">
        <f>"11/07/2018 00:00"</f>
        <v>11/07/2018 00:00</v>
      </c>
      <c r="C6248">
        <v>99.5</v>
      </c>
      <c r="D6248" t="s">
        <v>7</v>
      </c>
      <c r="E6248" s="2" t="s">
        <v>12</v>
      </c>
      <c r="F6248">
        <f t="shared" si="97"/>
        <v>197.30850000000001</v>
      </c>
      <c r="G6248" t="s">
        <v>16</v>
      </c>
      <c r="J6248" t="str">
        <f>"11/08/2018 00:39"</f>
        <v>11/08/2018 00:39</v>
      </c>
    </row>
    <row r="6249" spans="1:10" x14ac:dyDescent="0.3">
      <c r="A6249" t="s">
        <v>6</v>
      </c>
      <c r="B6249" t="str">
        <f>"11/08/2018 00:00"</f>
        <v>11/08/2018 00:00</v>
      </c>
      <c r="C6249">
        <v>99.5</v>
      </c>
      <c r="D6249" t="s">
        <v>7</v>
      </c>
      <c r="E6249" s="2" t="s">
        <v>12</v>
      </c>
      <c r="F6249">
        <f t="shared" si="97"/>
        <v>197.30850000000001</v>
      </c>
      <c r="G6249" t="s">
        <v>16</v>
      </c>
      <c r="J6249" t="str">
        <f>"11/09/2018 00:39"</f>
        <v>11/09/2018 00:39</v>
      </c>
    </row>
    <row r="6250" spans="1:10" x14ac:dyDescent="0.3">
      <c r="A6250" t="s">
        <v>6</v>
      </c>
      <c r="B6250" t="str">
        <f>"11/09/2018 00:00"</f>
        <v>11/09/2018 00:00</v>
      </c>
      <c r="C6250">
        <v>119</v>
      </c>
      <c r="D6250" t="s">
        <v>7</v>
      </c>
      <c r="E6250" s="2" t="s">
        <v>12</v>
      </c>
      <c r="F6250">
        <f t="shared" si="97"/>
        <v>235.977</v>
      </c>
      <c r="G6250" t="s">
        <v>16</v>
      </c>
      <c r="J6250" t="str">
        <f>"11/10/2018 00:39"</f>
        <v>11/10/2018 00:39</v>
      </c>
    </row>
    <row r="6251" spans="1:10" x14ac:dyDescent="0.3">
      <c r="A6251" t="s">
        <v>6</v>
      </c>
      <c r="B6251" t="str">
        <f>"11/10/2018 00:00"</f>
        <v>11/10/2018 00:00</v>
      </c>
      <c r="C6251">
        <v>131</v>
      </c>
      <c r="D6251" t="s">
        <v>7</v>
      </c>
      <c r="E6251" s="2" t="s">
        <v>12</v>
      </c>
      <c r="F6251">
        <f t="shared" si="97"/>
        <v>259.77300000000002</v>
      </c>
      <c r="G6251" t="s">
        <v>16</v>
      </c>
      <c r="J6251" t="str">
        <f>"11/11/2018 00:39"</f>
        <v>11/11/2018 00:39</v>
      </c>
    </row>
    <row r="6252" spans="1:10" x14ac:dyDescent="0.3">
      <c r="A6252" t="s">
        <v>6</v>
      </c>
      <c r="B6252" t="str">
        <f>"11/11/2018 00:00"</f>
        <v>11/11/2018 00:00</v>
      </c>
      <c r="C6252">
        <v>131</v>
      </c>
      <c r="D6252" t="s">
        <v>7</v>
      </c>
      <c r="E6252" s="2" t="s">
        <v>12</v>
      </c>
      <c r="F6252">
        <f t="shared" si="97"/>
        <v>259.77300000000002</v>
      </c>
      <c r="G6252" t="s">
        <v>16</v>
      </c>
      <c r="J6252" t="str">
        <f>"11/12/2018 00:39"</f>
        <v>11/12/2018 00:39</v>
      </c>
    </row>
    <row r="6253" spans="1:10" x14ac:dyDescent="0.3">
      <c r="A6253" t="s">
        <v>6</v>
      </c>
      <c r="B6253" t="str">
        <f>"11/12/2018 00:00"</f>
        <v>11/12/2018 00:00</v>
      </c>
      <c r="C6253">
        <v>131</v>
      </c>
      <c r="D6253" t="s">
        <v>7</v>
      </c>
      <c r="E6253" s="2" t="s">
        <v>12</v>
      </c>
      <c r="F6253">
        <f t="shared" si="97"/>
        <v>259.77300000000002</v>
      </c>
      <c r="G6253" t="s">
        <v>16</v>
      </c>
      <c r="J6253" t="str">
        <f>"11/13/2018 00:39"</f>
        <v>11/13/2018 00:39</v>
      </c>
    </row>
    <row r="6254" spans="1:10" x14ac:dyDescent="0.3">
      <c r="A6254" t="s">
        <v>6</v>
      </c>
      <c r="B6254" t="str">
        <f>"11/13/2018 00:00"</f>
        <v>11/13/2018 00:00</v>
      </c>
      <c r="C6254">
        <v>131</v>
      </c>
      <c r="D6254" t="s">
        <v>7</v>
      </c>
      <c r="E6254" s="2" t="s">
        <v>12</v>
      </c>
      <c r="F6254">
        <f t="shared" si="97"/>
        <v>259.77300000000002</v>
      </c>
      <c r="G6254" t="s">
        <v>16</v>
      </c>
      <c r="J6254" t="str">
        <f>"11/14/2018 00:39"</f>
        <v>11/14/2018 00:39</v>
      </c>
    </row>
    <row r="6255" spans="1:10" x14ac:dyDescent="0.3">
      <c r="A6255" t="s">
        <v>6</v>
      </c>
      <c r="B6255" t="str">
        <f>"11/14/2018 00:00"</f>
        <v>11/14/2018 00:00</v>
      </c>
      <c r="C6255">
        <v>131</v>
      </c>
      <c r="D6255" t="s">
        <v>7</v>
      </c>
      <c r="E6255" s="2" t="s">
        <v>12</v>
      </c>
      <c r="F6255">
        <f t="shared" si="97"/>
        <v>259.77300000000002</v>
      </c>
      <c r="G6255" t="s">
        <v>16</v>
      </c>
      <c r="J6255" t="str">
        <f>"11/15/2018 00:39"</f>
        <v>11/15/2018 00:39</v>
      </c>
    </row>
    <row r="6256" spans="1:10" x14ac:dyDescent="0.3">
      <c r="A6256" t="s">
        <v>6</v>
      </c>
      <c r="B6256" t="str">
        <f>"11/15/2018 00:00"</f>
        <v>11/15/2018 00:00</v>
      </c>
      <c r="C6256">
        <v>131</v>
      </c>
      <c r="D6256" t="s">
        <v>7</v>
      </c>
      <c r="E6256" s="2" t="s">
        <v>12</v>
      </c>
      <c r="F6256">
        <f t="shared" si="97"/>
        <v>259.77300000000002</v>
      </c>
      <c r="G6256" t="s">
        <v>16</v>
      </c>
      <c r="J6256" t="str">
        <f>"11/16/2018 00:39"</f>
        <v>11/16/2018 00:39</v>
      </c>
    </row>
    <row r="6257" spans="1:10" x14ac:dyDescent="0.3">
      <c r="A6257" t="s">
        <v>6</v>
      </c>
      <c r="B6257" t="str">
        <f>"11/16/2018 00:00"</f>
        <v>11/16/2018 00:00</v>
      </c>
      <c r="C6257">
        <v>131</v>
      </c>
      <c r="D6257" t="s">
        <v>7</v>
      </c>
      <c r="E6257" s="2" t="s">
        <v>12</v>
      </c>
      <c r="F6257">
        <f t="shared" si="97"/>
        <v>259.77300000000002</v>
      </c>
      <c r="G6257" t="s">
        <v>16</v>
      </c>
      <c r="J6257" t="str">
        <f>"11/17/2018 00:39"</f>
        <v>11/17/2018 00:39</v>
      </c>
    </row>
    <row r="6258" spans="1:10" x14ac:dyDescent="0.3">
      <c r="A6258" t="s">
        <v>6</v>
      </c>
      <c r="B6258" t="str">
        <f>"11/17/2018 00:00"</f>
        <v>11/17/2018 00:00</v>
      </c>
      <c r="C6258">
        <v>132</v>
      </c>
      <c r="D6258" t="s">
        <v>7</v>
      </c>
      <c r="E6258" s="2" t="s">
        <v>12</v>
      </c>
      <c r="F6258">
        <f t="shared" si="97"/>
        <v>261.75600000000003</v>
      </c>
      <c r="G6258" t="s">
        <v>16</v>
      </c>
      <c r="J6258" t="str">
        <f>"11/18/2018 00:39"</f>
        <v>11/18/2018 00:39</v>
      </c>
    </row>
    <row r="6259" spans="1:10" x14ac:dyDescent="0.3">
      <c r="A6259" t="s">
        <v>6</v>
      </c>
      <c r="B6259" t="str">
        <f>"11/18/2018 00:00"</f>
        <v>11/18/2018 00:00</v>
      </c>
      <c r="C6259">
        <v>132</v>
      </c>
      <c r="D6259" t="s">
        <v>7</v>
      </c>
      <c r="E6259" s="2" t="s">
        <v>12</v>
      </c>
      <c r="F6259">
        <f t="shared" si="97"/>
        <v>261.75600000000003</v>
      </c>
      <c r="G6259" t="s">
        <v>16</v>
      </c>
      <c r="J6259" t="str">
        <f>"11/19/2018 00:39"</f>
        <v>11/19/2018 00:39</v>
      </c>
    </row>
    <row r="6260" spans="1:10" x14ac:dyDescent="0.3">
      <c r="A6260" t="s">
        <v>6</v>
      </c>
      <c r="B6260" t="str">
        <f>"11/19/2018 00:00"</f>
        <v>11/19/2018 00:00</v>
      </c>
      <c r="C6260">
        <v>133</v>
      </c>
      <c r="D6260" t="s">
        <v>7</v>
      </c>
      <c r="E6260" s="2" t="s">
        <v>12</v>
      </c>
      <c r="F6260">
        <f t="shared" si="97"/>
        <v>263.73900000000003</v>
      </c>
      <c r="G6260" t="s">
        <v>16</v>
      </c>
      <c r="J6260" t="str">
        <f>"11/20/2018 00:39"</f>
        <v>11/20/2018 00:39</v>
      </c>
    </row>
    <row r="6261" spans="1:10" x14ac:dyDescent="0.3">
      <c r="A6261" t="s">
        <v>6</v>
      </c>
      <c r="B6261" t="str">
        <f>"11/20/2018 00:00"</f>
        <v>11/20/2018 00:00</v>
      </c>
      <c r="C6261">
        <v>133</v>
      </c>
      <c r="D6261" t="s">
        <v>7</v>
      </c>
      <c r="E6261" s="2" t="s">
        <v>12</v>
      </c>
      <c r="F6261">
        <f t="shared" si="97"/>
        <v>263.73900000000003</v>
      </c>
      <c r="G6261" t="s">
        <v>16</v>
      </c>
      <c r="J6261" t="str">
        <f>"11/21/2018 00:39"</f>
        <v>11/21/2018 00:39</v>
      </c>
    </row>
    <row r="6262" spans="1:10" x14ac:dyDescent="0.3">
      <c r="A6262" t="s">
        <v>6</v>
      </c>
      <c r="B6262" t="str">
        <f>"11/21/2018 00:00"</f>
        <v>11/21/2018 00:00</v>
      </c>
      <c r="C6262">
        <v>133</v>
      </c>
      <c r="D6262" t="s">
        <v>7</v>
      </c>
      <c r="E6262" s="2" t="s">
        <v>12</v>
      </c>
      <c r="F6262">
        <f t="shared" si="97"/>
        <v>263.73900000000003</v>
      </c>
      <c r="G6262" t="s">
        <v>16</v>
      </c>
      <c r="J6262" t="str">
        <f>"11/22/2018 00:39"</f>
        <v>11/22/2018 00:39</v>
      </c>
    </row>
    <row r="6263" spans="1:10" x14ac:dyDescent="0.3">
      <c r="A6263" t="s">
        <v>6</v>
      </c>
      <c r="B6263" t="str">
        <f>"11/22/2018 00:00"</f>
        <v>11/22/2018 00:00</v>
      </c>
      <c r="C6263">
        <v>133</v>
      </c>
      <c r="D6263" t="s">
        <v>7</v>
      </c>
      <c r="E6263" s="2" t="s">
        <v>12</v>
      </c>
      <c r="F6263">
        <f t="shared" si="97"/>
        <v>263.73900000000003</v>
      </c>
      <c r="G6263" t="s">
        <v>16</v>
      </c>
      <c r="J6263" t="str">
        <f>"11/23/2018 00:39"</f>
        <v>11/23/2018 00:39</v>
      </c>
    </row>
    <row r="6264" spans="1:10" x14ac:dyDescent="0.3">
      <c r="A6264" t="s">
        <v>6</v>
      </c>
      <c r="B6264" t="str">
        <f>"11/23/2018 00:00"</f>
        <v>11/23/2018 00:00</v>
      </c>
      <c r="C6264">
        <v>133</v>
      </c>
      <c r="D6264" t="s">
        <v>7</v>
      </c>
      <c r="E6264" s="2" t="s">
        <v>12</v>
      </c>
      <c r="F6264">
        <f t="shared" si="97"/>
        <v>263.73900000000003</v>
      </c>
      <c r="G6264" t="s">
        <v>16</v>
      </c>
      <c r="J6264" t="str">
        <f>"11/24/2018 00:39"</f>
        <v>11/24/2018 00:39</v>
      </c>
    </row>
    <row r="6265" spans="1:10" x14ac:dyDescent="0.3">
      <c r="A6265" t="s">
        <v>6</v>
      </c>
      <c r="B6265" t="str">
        <f>"11/24/2018 00:00"</f>
        <v>11/24/2018 00:00</v>
      </c>
      <c r="C6265">
        <v>133</v>
      </c>
      <c r="D6265" t="s">
        <v>7</v>
      </c>
      <c r="E6265" s="2" t="s">
        <v>12</v>
      </c>
      <c r="F6265">
        <f t="shared" si="97"/>
        <v>263.73900000000003</v>
      </c>
      <c r="G6265" t="s">
        <v>16</v>
      </c>
      <c r="J6265" t="str">
        <f>"11/25/2018 00:39"</f>
        <v>11/25/2018 00:39</v>
      </c>
    </row>
    <row r="6266" spans="1:10" x14ac:dyDescent="0.3">
      <c r="A6266" t="s">
        <v>6</v>
      </c>
      <c r="B6266" t="str">
        <f>"11/25/2018 00:00"</f>
        <v>11/25/2018 00:00</v>
      </c>
      <c r="C6266">
        <v>133</v>
      </c>
      <c r="D6266" t="s">
        <v>7</v>
      </c>
      <c r="E6266" s="2" t="s">
        <v>12</v>
      </c>
      <c r="F6266">
        <f t="shared" si="97"/>
        <v>263.73900000000003</v>
      </c>
      <c r="G6266" t="s">
        <v>16</v>
      </c>
      <c r="J6266" t="str">
        <f>"11/26/2018 00:39"</f>
        <v>11/26/2018 00:39</v>
      </c>
    </row>
    <row r="6267" spans="1:10" x14ac:dyDescent="0.3">
      <c r="A6267" t="s">
        <v>6</v>
      </c>
      <c r="B6267" t="str">
        <f>"11/26/2018 00:00"</f>
        <v>11/26/2018 00:00</v>
      </c>
      <c r="C6267">
        <v>103</v>
      </c>
      <c r="D6267" t="s">
        <v>7</v>
      </c>
      <c r="E6267" s="2" t="s">
        <v>12</v>
      </c>
      <c r="F6267">
        <f t="shared" si="97"/>
        <v>204.24900000000002</v>
      </c>
      <c r="G6267" t="s">
        <v>16</v>
      </c>
      <c r="J6267" t="str">
        <f>"11/27/2018 00:39"</f>
        <v>11/27/2018 00:39</v>
      </c>
    </row>
    <row r="6268" spans="1:10" x14ac:dyDescent="0.3">
      <c r="A6268" t="s">
        <v>6</v>
      </c>
      <c r="B6268" t="str">
        <f>"11/27/2018 00:00"</f>
        <v>11/27/2018 00:00</v>
      </c>
      <c r="C6268">
        <v>69.7</v>
      </c>
      <c r="D6268" t="s">
        <v>7</v>
      </c>
      <c r="E6268" s="2" t="s">
        <v>12</v>
      </c>
      <c r="F6268">
        <f t="shared" si="97"/>
        <v>138.21510000000001</v>
      </c>
      <c r="G6268" t="s">
        <v>16</v>
      </c>
      <c r="J6268" t="str">
        <f>"11/28/2018 00:39"</f>
        <v>11/28/2018 00:39</v>
      </c>
    </row>
    <row r="6269" spans="1:10" x14ac:dyDescent="0.3">
      <c r="A6269" t="s">
        <v>6</v>
      </c>
      <c r="B6269" t="str">
        <f>"11/28/2018 00:00"</f>
        <v>11/28/2018 00:00</v>
      </c>
      <c r="C6269">
        <v>69.7</v>
      </c>
      <c r="D6269" t="s">
        <v>7</v>
      </c>
      <c r="E6269" s="2" t="s">
        <v>12</v>
      </c>
      <c r="F6269">
        <f t="shared" si="97"/>
        <v>138.21510000000001</v>
      </c>
      <c r="G6269" t="s">
        <v>16</v>
      </c>
      <c r="J6269" t="str">
        <f>"11/29/2018 00:39"</f>
        <v>11/29/2018 00:39</v>
      </c>
    </row>
    <row r="6270" spans="1:10" x14ac:dyDescent="0.3">
      <c r="A6270" t="s">
        <v>6</v>
      </c>
      <c r="B6270" t="str">
        <f>"11/29/2018 00:00"</f>
        <v>11/29/2018 00:00</v>
      </c>
      <c r="C6270">
        <v>69.7</v>
      </c>
      <c r="D6270" t="s">
        <v>7</v>
      </c>
      <c r="E6270" s="2" t="s">
        <v>12</v>
      </c>
      <c r="F6270">
        <f t="shared" si="97"/>
        <v>138.21510000000001</v>
      </c>
      <c r="G6270" t="s">
        <v>16</v>
      </c>
      <c r="J6270" t="str">
        <f>"11/30/2018 00:39"</f>
        <v>11/30/2018 00:39</v>
      </c>
    </row>
    <row r="6271" spans="1:10" x14ac:dyDescent="0.3">
      <c r="A6271" t="s">
        <v>6</v>
      </c>
      <c r="B6271" t="str">
        <f>"11/30/2018 00:00"</f>
        <v>11/30/2018 00:00</v>
      </c>
      <c r="C6271">
        <v>69.7</v>
      </c>
      <c r="D6271" t="s">
        <v>7</v>
      </c>
      <c r="E6271" s="2" t="s">
        <v>12</v>
      </c>
      <c r="F6271">
        <f t="shared" si="97"/>
        <v>138.21510000000001</v>
      </c>
      <c r="G6271" t="s">
        <v>16</v>
      </c>
      <c r="J6271" t="str">
        <f>"12/01/2018 00:39"</f>
        <v>12/01/2018 00:39</v>
      </c>
    </row>
    <row r="6272" spans="1:10" x14ac:dyDescent="0.3">
      <c r="A6272" t="s">
        <v>6</v>
      </c>
      <c r="B6272" t="str">
        <f>"12/01/2018 00:00"</f>
        <v>12/01/2018 00:00</v>
      </c>
      <c r="C6272">
        <v>69.7</v>
      </c>
      <c r="D6272" t="s">
        <v>7</v>
      </c>
      <c r="E6272" s="2" t="s">
        <v>12</v>
      </c>
      <c r="F6272">
        <f t="shared" si="97"/>
        <v>138.21510000000001</v>
      </c>
      <c r="G6272" t="s">
        <v>16</v>
      </c>
      <c r="J6272" t="str">
        <f>"12/02/2018 00:39"</f>
        <v>12/02/2018 00:39</v>
      </c>
    </row>
    <row r="6273" spans="1:10" x14ac:dyDescent="0.3">
      <c r="A6273" t="s">
        <v>6</v>
      </c>
      <c r="B6273" t="str">
        <f>"12/02/2018 00:00"</f>
        <v>12/02/2018 00:00</v>
      </c>
      <c r="C6273">
        <v>69.7</v>
      </c>
      <c r="D6273" t="s">
        <v>7</v>
      </c>
      <c r="E6273" s="2" t="s">
        <v>12</v>
      </c>
      <c r="F6273">
        <f t="shared" si="97"/>
        <v>138.21510000000001</v>
      </c>
      <c r="G6273" t="s">
        <v>16</v>
      </c>
      <c r="J6273" t="str">
        <f>"12/03/2018 00:39"</f>
        <v>12/03/2018 00:39</v>
      </c>
    </row>
    <row r="6274" spans="1:10" x14ac:dyDescent="0.3">
      <c r="A6274" t="s">
        <v>6</v>
      </c>
      <c r="B6274" t="str">
        <f>"12/03/2018 00:00"</f>
        <v>12/03/2018 00:00</v>
      </c>
      <c r="C6274">
        <v>69.7</v>
      </c>
      <c r="D6274" t="s">
        <v>7</v>
      </c>
      <c r="E6274" s="2" t="s">
        <v>12</v>
      </c>
      <c r="F6274">
        <f t="shared" si="97"/>
        <v>138.21510000000001</v>
      </c>
      <c r="G6274" t="s">
        <v>16</v>
      </c>
      <c r="J6274" t="str">
        <f>"12/04/2018 00:39"</f>
        <v>12/04/2018 00:39</v>
      </c>
    </row>
    <row r="6275" spans="1:10" x14ac:dyDescent="0.3">
      <c r="A6275" t="s">
        <v>6</v>
      </c>
      <c r="B6275" t="str">
        <f>"12/04/2018 00:00"</f>
        <v>12/04/2018 00:00</v>
      </c>
      <c r="C6275">
        <v>69.7</v>
      </c>
      <c r="D6275" t="s">
        <v>7</v>
      </c>
      <c r="E6275" s="2" t="s">
        <v>12</v>
      </c>
      <c r="F6275">
        <f t="shared" si="97"/>
        <v>138.21510000000001</v>
      </c>
      <c r="G6275" t="s">
        <v>16</v>
      </c>
      <c r="J6275" t="str">
        <f>"12/05/2018 00:39"</f>
        <v>12/05/2018 00:39</v>
      </c>
    </row>
    <row r="6276" spans="1:10" x14ac:dyDescent="0.3">
      <c r="A6276" t="s">
        <v>6</v>
      </c>
      <c r="B6276" t="str">
        <f>"12/05/2018 00:00"</f>
        <v>12/05/2018 00:00</v>
      </c>
      <c r="C6276">
        <v>69.7</v>
      </c>
      <c r="D6276" t="s">
        <v>7</v>
      </c>
      <c r="E6276" s="2" t="s">
        <v>12</v>
      </c>
      <c r="F6276">
        <f t="shared" ref="F6276:F6339" si="98">C6276*1.983</f>
        <v>138.21510000000001</v>
      </c>
      <c r="G6276" t="s">
        <v>16</v>
      </c>
      <c r="J6276" t="str">
        <f>"12/06/2018 00:39"</f>
        <v>12/06/2018 00:39</v>
      </c>
    </row>
    <row r="6277" spans="1:10" x14ac:dyDescent="0.3">
      <c r="A6277" t="s">
        <v>6</v>
      </c>
      <c r="B6277" t="str">
        <f>"12/06/2018 00:00"</f>
        <v>12/06/2018 00:00</v>
      </c>
      <c r="C6277">
        <v>67.400000000000006</v>
      </c>
      <c r="D6277" t="s">
        <v>7</v>
      </c>
      <c r="E6277" s="2" t="s">
        <v>12</v>
      </c>
      <c r="F6277">
        <f t="shared" si="98"/>
        <v>133.65420000000003</v>
      </c>
      <c r="G6277" t="s">
        <v>16</v>
      </c>
      <c r="J6277" t="str">
        <f>"12/07/2018 00:39"</f>
        <v>12/07/2018 00:39</v>
      </c>
    </row>
    <row r="6278" spans="1:10" x14ac:dyDescent="0.3">
      <c r="A6278" t="s">
        <v>6</v>
      </c>
      <c r="B6278" t="str">
        <f>"12/07/2018 00:00"</f>
        <v>12/07/2018 00:00</v>
      </c>
      <c r="C6278">
        <v>62.4</v>
      </c>
      <c r="D6278" t="s">
        <v>7</v>
      </c>
      <c r="E6278" s="2" t="s">
        <v>12</v>
      </c>
      <c r="F6278">
        <f t="shared" si="98"/>
        <v>123.7392</v>
      </c>
      <c r="G6278" t="s">
        <v>16</v>
      </c>
      <c r="J6278" t="str">
        <f>"12/08/2018 00:39"</f>
        <v>12/08/2018 00:39</v>
      </c>
    </row>
    <row r="6279" spans="1:10" x14ac:dyDescent="0.3">
      <c r="A6279" t="s">
        <v>6</v>
      </c>
      <c r="B6279" t="str">
        <f>"12/08/2018 00:00"</f>
        <v>12/08/2018 00:00</v>
      </c>
      <c r="C6279">
        <v>56.1</v>
      </c>
      <c r="D6279" t="s">
        <v>7</v>
      </c>
      <c r="E6279" s="2" t="s">
        <v>12</v>
      </c>
      <c r="F6279">
        <f t="shared" si="98"/>
        <v>111.24630000000001</v>
      </c>
      <c r="G6279" t="s">
        <v>16</v>
      </c>
      <c r="J6279" t="str">
        <f>"12/09/2018 00:39"</f>
        <v>12/09/2018 00:39</v>
      </c>
    </row>
    <row r="6280" spans="1:10" x14ac:dyDescent="0.3">
      <c r="A6280" t="s">
        <v>6</v>
      </c>
      <c r="B6280" t="str">
        <f>"12/09/2018 00:00"</f>
        <v>12/09/2018 00:00</v>
      </c>
      <c r="C6280">
        <v>51.4</v>
      </c>
      <c r="D6280" t="s">
        <v>7</v>
      </c>
      <c r="E6280" s="2" t="s">
        <v>12</v>
      </c>
      <c r="F6280">
        <f t="shared" si="98"/>
        <v>101.92620000000001</v>
      </c>
      <c r="G6280" t="s">
        <v>16</v>
      </c>
      <c r="J6280" t="str">
        <f>"12/10/2018 00:39"</f>
        <v>12/10/2018 00:39</v>
      </c>
    </row>
    <row r="6281" spans="1:10" x14ac:dyDescent="0.3">
      <c r="A6281" t="s">
        <v>6</v>
      </c>
      <c r="B6281" t="str">
        <f>"12/10/2018 00:00"</f>
        <v>12/10/2018 00:00</v>
      </c>
      <c r="C6281">
        <v>49.6</v>
      </c>
      <c r="D6281" t="s">
        <v>7</v>
      </c>
      <c r="E6281" s="2" t="s">
        <v>12</v>
      </c>
      <c r="F6281">
        <f t="shared" si="98"/>
        <v>98.356800000000007</v>
      </c>
      <c r="G6281" t="s">
        <v>16</v>
      </c>
      <c r="J6281" t="str">
        <f>"12/11/2018 00:39"</f>
        <v>12/11/2018 00:39</v>
      </c>
    </row>
    <row r="6282" spans="1:10" x14ac:dyDescent="0.3">
      <c r="A6282" t="s">
        <v>6</v>
      </c>
      <c r="B6282" t="str">
        <f>"12/11/2018 00:00"</f>
        <v>12/11/2018 00:00</v>
      </c>
      <c r="C6282">
        <v>51.1</v>
      </c>
      <c r="D6282" t="s">
        <v>7</v>
      </c>
      <c r="E6282" s="2" t="s">
        <v>12</v>
      </c>
      <c r="F6282">
        <f t="shared" si="98"/>
        <v>101.33130000000001</v>
      </c>
      <c r="G6282" t="s">
        <v>16</v>
      </c>
      <c r="J6282" t="str">
        <f>"12/12/2018 00:39"</f>
        <v>12/12/2018 00:39</v>
      </c>
    </row>
    <row r="6283" spans="1:10" x14ac:dyDescent="0.3">
      <c r="A6283" t="s">
        <v>6</v>
      </c>
      <c r="B6283" t="str">
        <f>"12/12/2018 00:00"</f>
        <v>12/12/2018 00:00</v>
      </c>
      <c r="C6283">
        <v>52</v>
      </c>
      <c r="D6283" t="s">
        <v>7</v>
      </c>
      <c r="E6283" s="2" t="s">
        <v>12</v>
      </c>
      <c r="F6283">
        <f t="shared" si="98"/>
        <v>103.116</v>
      </c>
      <c r="G6283" t="s">
        <v>16</v>
      </c>
      <c r="J6283" t="str">
        <f>"12/13/2018 00:39"</f>
        <v>12/13/2018 00:39</v>
      </c>
    </row>
    <row r="6284" spans="1:10" x14ac:dyDescent="0.3">
      <c r="A6284" t="s">
        <v>6</v>
      </c>
      <c r="B6284" t="str">
        <f>"12/13/2018 00:00"</f>
        <v>12/13/2018 00:00</v>
      </c>
      <c r="C6284">
        <v>52.2</v>
      </c>
      <c r="D6284" t="s">
        <v>7</v>
      </c>
      <c r="E6284" s="2" t="s">
        <v>12</v>
      </c>
      <c r="F6284">
        <f t="shared" si="98"/>
        <v>103.51260000000001</v>
      </c>
      <c r="G6284" t="s">
        <v>16</v>
      </c>
      <c r="J6284" t="str">
        <f>"12/14/2018 00:39"</f>
        <v>12/14/2018 00:39</v>
      </c>
    </row>
    <row r="6285" spans="1:10" x14ac:dyDescent="0.3">
      <c r="A6285" t="s">
        <v>6</v>
      </c>
      <c r="B6285" t="str">
        <f>"12/14/2018 00:00"</f>
        <v>12/14/2018 00:00</v>
      </c>
      <c r="C6285">
        <v>52.2</v>
      </c>
      <c r="D6285" t="s">
        <v>7</v>
      </c>
      <c r="E6285" s="2" t="s">
        <v>12</v>
      </c>
      <c r="F6285">
        <f t="shared" si="98"/>
        <v>103.51260000000001</v>
      </c>
      <c r="G6285" t="s">
        <v>16</v>
      </c>
      <c r="J6285" t="str">
        <f>"12/15/2018 00:39"</f>
        <v>12/15/2018 00:39</v>
      </c>
    </row>
    <row r="6286" spans="1:10" x14ac:dyDescent="0.3">
      <c r="A6286" t="s">
        <v>6</v>
      </c>
      <c r="B6286" t="str">
        <f>"12/15/2018 00:00"</f>
        <v>12/15/2018 00:00</v>
      </c>
      <c r="C6286">
        <v>52.1</v>
      </c>
      <c r="D6286" t="s">
        <v>7</v>
      </c>
      <c r="E6286" s="2" t="s">
        <v>12</v>
      </c>
      <c r="F6286">
        <f t="shared" si="98"/>
        <v>103.3143</v>
      </c>
      <c r="G6286" t="s">
        <v>16</v>
      </c>
      <c r="J6286" t="str">
        <f>"12/16/2018 00:39"</f>
        <v>12/16/2018 00:39</v>
      </c>
    </row>
    <row r="6287" spans="1:10" x14ac:dyDescent="0.3">
      <c r="A6287" t="s">
        <v>6</v>
      </c>
      <c r="B6287" t="str">
        <f>"12/16/2018 00:00"</f>
        <v>12/16/2018 00:00</v>
      </c>
      <c r="C6287">
        <v>52.1</v>
      </c>
      <c r="D6287" t="s">
        <v>7</v>
      </c>
      <c r="E6287" s="2" t="s">
        <v>12</v>
      </c>
      <c r="F6287">
        <f t="shared" si="98"/>
        <v>103.3143</v>
      </c>
      <c r="G6287" t="s">
        <v>16</v>
      </c>
      <c r="J6287" t="str">
        <f>"12/17/2018 00:39"</f>
        <v>12/17/2018 00:39</v>
      </c>
    </row>
    <row r="6288" spans="1:10" x14ac:dyDescent="0.3">
      <c r="A6288" t="s">
        <v>6</v>
      </c>
      <c r="B6288" t="str">
        <f>"12/17/2018 00:00"</f>
        <v>12/17/2018 00:00</v>
      </c>
      <c r="C6288">
        <v>52</v>
      </c>
      <c r="D6288" t="s">
        <v>7</v>
      </c>
      <c r="E6288" s="2" t="s">
        <v>12</v>
      </c>
      <c r="F6288">
        <f t="shared" si="98"/>
        <v>103.116</v>
      </c>
      <c r="G6288" t="s">
        <v>16</v>
      </c>
      <c r="J6288" t="str">
        <f>"12/18/2018 00:39"</f>
        <v>12/18/2018 00:39</v>
      </c>
    </row>
    <row r="6289" spans="1:10" x14ac:dyDescent="0.3">
      <c r="A6289" t="s">
        <v>6</v>
      </c>
      <c r="B6289" t="str">
        <f>"12/18/2018 00:00"</f>
        <v>12/18/2018 00:00</v>
      </c>
      <c r="C6289">
        <v>51.9</v>
      </c>
      <c r="D6289" t="s">
        <v>7</v>
      </c>
      <c r="E6289" s="2" t="s">
        <v>12</v>
      </c>
      <c r="F6289">
        <f t="shared" si="98"/>
        <v>102.9177</v>
      </c>
      <c r="G6289" t="s">
        <v>16</v>
      </c>
      <c r="J6289" t="str">
        <f>"12/19/2018 00:39"</f>
        <v>12/19/2018 00:39</v>
      </c>
    </row>
    <row r="6290" spans="1:10" x14ac:dyDescent="0.3">
      <c r="A6290" t="s">
        <v>6</v>
      </c>
      <c r="B6290" t="str">
        <f>"12/19/2018 00:00"</f>
        <v>12/19/2018 00:00</v>
      </c>
      <c r="C6290">
        <v>51.8</v>
      </c>
      <c r="D6290" t="s">
        <v>7</v>
      </c>
      <c r="E6290" s="2" t="s">
        <v>12</v>
      </c>
      <c r="F6290">
        <f t="shared" si="98"/>
        <v>102.71939999999999</v>
      </c>
      <c r="G6290" t="s">
        <v>16</v>
      </c>
      <c r="J6290" t="str">
        <f>"12/20/2018 00:38"</f>
        <v>12/20/2018 00:38</v>
      </c>
    </row>
    <row r="6291" spans="1:10" x14ac:dyDescent="0.3">
      <c r="A6291" t="s">
        <v>6</v>
      </c>
      <c r="B6291" t="str">
        <f>"12/20/2018 00:00"</f>
        <v>12/20/2018 00:00</v>
      </c>
      <c r="C6291">
        <v>51.7</v>
      </c>
      <c r="D6291" t="s">
        <v>7</v>
      </c>
      <c r="E6291" s="2" t="s">
        <v>12</v>
      </c>
      <c r="F6291">
        <f t="shared" si="98"/>
        <v>102.5211</v>
      </c>
      <c r="G6291" t="s">
        <v>16</v>
      </c>
      <c r="J6291" t="str">
        <f>"12/21/2018 00:39"</f>
        <v>12/21/2018 00:39</v>
      </c>
    </row>
    <row r="6292" spans="1:10" x14ac:dyDescent="0.3">
      <c r="A6292" t="s">
        <v>6</v>
      </c>
      <c r="B6292" t="str">
        <f>"12/21/2018 00:00"</f>
        <v>12/21/2018 00:00</v>
      </c>
      <c r="C6292">
        <v>51.7</v>
      </c>
      <c r="D6292" t="s">
        <v>7</v>
      </c>
      <c r="E6292" s="2" t="s">
        <v>12</v>
      </c>
      <c r="F6292">
        <f t="shared" si="98"/>
        <v>102.5211</v>
      </c>
      <c r="G6292" t="s">
        <v>16</v>
      </c>
      <c r="J6292" t="str">
        <f>"12/22/2018 00:39"</f>
        <v>12/22/2018 00:39</v>
      </c>
    </row>
    <row r="6293" spans="1:10" x14ac:dyDescent="0.3">
      <c r="A6293" t="s">
        <v>6</v>
      </c>
      <c r="B6293" t="str">
        <f>"12/22/2018 00:00"</f>
        <v>12/22/2018 00:00</v>
      </c>
      <c r="C6293">
        <v>52.1</v>
      </c>
      <c r="D6293" t="s">
        <v>7</v>
      </c>
      <c r="E6293" s="2" t="s">
        <v>12</v>
      </c>
      <c r="F6293">
        <f t="shared" si="98"/>
        <v>103.3143</v>
      </c>
      <c r="G6293" t="s">
        <v>16</v>
      </c>
      <c r="J6293" t="str">
        <f>"12/23/2018 00:39"</f>
        <v>12/23/2018 00:39</v>
      </c>
    </row>
    <row r="6294" spans="1:10" x14ac:dyDescent="0.3">
      <c r="A6294" t="s">
        <v>6</v>
      </c>
      <c r="B6294" t="str">
        <f>"12/23/2018 00:00"</f>
        <v>12/23/2018 00:00</v>
      </c>
      <c r="C6294">
        <v>52.1</v>
      </c>
      <c r="D6294" t="s">
        <v>7</v>
      </c>
      <c r="E6294" s="2" t="s">
        <v>12</v>
      </c>
      <c r="F6294">
        <f t="shared" si="98"/>
        <v>103.3143</v>
      </c>
      <c r="G6294" t="s">
        <v>16</v>
      </c>
      <c r="J6294" t="str">
        <f>"12/24/2018 00:39"</f>
        <v>12/24/2018 00:39</v>
      </c>
    </row>
    <row r="6295" spans="1:10" x14ac:dyDescent="0.3">
      <c r="A6295" t="s">
        <v>6</v>
      </c>
      <c r="B6295" t="str">
        <f>"12/24/2018 00:00"</f>
        <v>12/24/2018 00:00</v>
      </c>
      <c r="C6295">
        <v>52.1</v>
      </c>
      <c r="D6295" t="s">
        <v>7</v>
      </c>
      <c r="E6295" s="2" t="s">
        <v>12</v>
      </c>
      <c r="F6295">
        <f t="shared" si="98"/>
        <v>103.3143</v>
      </c>
      <c r="G6295" t="s">
        <v>16</v>
      </c>
      <c r="J6295" t="str">
        <f>"12/25/2018 00:39"</f>
        <v>12/25/2018 00:39</v>
      </c>
    </row>
    <row r="6296" spans="1:10" x14ac:dyDescent="0.3">
      <c r="A6296" t="s">
        <v>6</v>
      </c>
      <c r="B6296" t="str">
        <f>"12/25/2018 00:00"</f>
        <v>12/25/2018 00:00</v>
      </c>
      <c r="C6296">
        <v>52</v>
      </c>
      <c r="D6296" t="s">
        <v>7</v>
      </c>
      <c r="E6296" s="2" t="s">
        <v>12</v>
      </c>
      <c r="F6296">
        <f t="shared" si="98"/>
        <v>103.116</v>
      </c>
      <c r="G6296" t="s">
        <v>16</v>
      </c>
      <c r="J6296" t="str">
        <f>"12/26/2018 00:39"</f>
        <v>12/26/2018 00:39</v>
      </c>
    </row>
    <row r="6297" spans="1:10" x14ac:dyDescent="0.3">
      <c r="A6297" t="s">
        <v>6</v>
      </c>
      <c r="B6297" t="str">
        <f>"12/26/2018 00:00"</f>
        <v>12/26/2018 00:00</v>
      </c>
      <c r="C6297">
        <v>52.1</v>
      </c>
      <c r="D6297" t="s">
        <v>7</v>
      </c>
      <c r="E6297" s="2" t="s">
        <v>12</v>
      </c>
      <c r="F6297">
        <f t="shared" si="98"/>
        <v>103.3143</v>
      </c>
      <c r="G6297" t="s">
        <v>16</v>
      </c>
      <c r="J6297" t="str">
        <f>"12/27/2018 00:39"</f>
        <v>12/27/2018 00:39</v>
      </c>
    </row>
    <row r="6298" spans="1:10" x14ac:dyDescent="0.3">
      <c r="A6298" t="s">
        <v>6</v>
      </c>
      <c r="B6298" t="str">
        <f>"12/27/2018 00:00"</f>
        <v>12/27/2018 00:00</v>
      </c>
      <c r="C6298">
        <v>52.2</v>
      </c>
      <c r="D6298" t="s">
        <v>7</v>
      </c>
      <c r="E6298" s="2" t="s">
        <v>12</v>
      </c>
      <c r="F6298">
        <f t="shared" si="98"/>
        <v>103.51260000000001</v>
      </c>
      <c r="G6298" t="s">
        <v>16</v>
      </c>
      <c r="J6298" t="str">
        <f>"12/28/2018 00:39"</f>
        <v>12/28/2018 00:39</v>
      </c>
    </row>
    <row r="6299" spans="1:10" x14ac:dyDescent="0.3">
      <c r="A6299" t="s">
        <v>6</v>
      </c>
      <c r="B6299" t="str">
        <f>"12/28/2018 00:00"</f>
        <v>12/28/2018 00:00</v>
      </c>
      <c r="C6299">
        <v>52.2</v>
      </c>
      <c r="D6299" t="s">
        <v>7</v>
      </c>
      <c r="E6299" s="2" t="s">
        <v>12</v>
      </c>
      <c r="F6299">
        <f t="shared" si="98"/>
        <v>103.51260000000001</v>
      </c>
      <c r="G6299" t="s">
        <v>16</v>
      </c>
      <c r="J6299" t="str">
        <f>"12/29/2018 00:39"</f>
        <v>12/29/2018 00:39</v>
      </c>
    </row>
    <row r="6300" spans="1:10" x14ac:dyDescent="0.3">
      <c r="A6300" t="s">
        <v>6</v>
      </c>
      <c r="B6300" t="str">
        <f>"12/29/2018 00:00"</f>
        <v>12/29/2018 00:00</v>
      </c>
      <c r="C6300">
        <v>52.2</v>
      </c>
      <c r="D6300" t="s">
        <v>7</v>
      </c>
      <c r="E6300" s="2" t="s">
        <v>12</v>
      </c>
      <c r="F6300">
        <f t="shared" si="98"/>
        <v>103.51260000000001</v>
      </c>
      <c r="G6300" t="s">
        <v>16</v>
      </c>
      <c r="J6300" t="str">
        <f>"12/30/2018 00:39"</f>
        <v>12/30/2018 00:39</v>
      </c>
    </row>
    <row r="6301" spans="1:10" x14ac:dyDescent="0.3">
      <c r="A6301" t="s">
        <v>6</v>
      </c>
      <c r="B6301" t="str">
        <f>"12/30/2018 00:00"</f>
        <v>12/30/2018 00:00</v>
      </c>
      <c r="C6301">
        <v>52.2</v>
      </c>
      <c r="D6301" t="s">
        <v>7</v>
      </c>
      <c r="E6301" s="2" t="s">
        <v>12</v>
      </c>
      <c r="F6301">
        <f t="shared" si="98"/>
        <v>103.51260000000001</v>
      </c>
      <c r="G6301" t="s">
        <v>16</v>
      </c>
      <c r="J6301" t="str">
        <f>"12/31/2018 00:39"</f>
        <v>12/31/2018 00:39</v>
      </c>
    </row>
    <row r="6302" spans="1:10" x14ac:dyDescent="0.3">
      <c r="A6302" t="s">
        <v>6</v>
      </c>
      <c r="B6302" t="str">
        <f>"12/31/2018 00:00"</f>
        <v>12/31/2018 00:00</v>
      </c>
      <c r="C6302">
        <v>52.2</v>
      </c>
      <c r="D6302" t="s">
        <v>7</v>
      </c>
      <c r="E6302" s="2" t="s">
        <v>12</v>
      </c>
      <c r="F6302">
        <f t="shared" si="98"/>
        <v>103.51260000000001</v>
      </c>
      <c r="G6302" t="s">
        <v>16</v>
      </c>
      <c r="J6302" t="str">
        <f>"01/01/2019 00:39"</f>
        <v>01/01/2019 00:39</v>
      </c>
    </row>
    <row r="6303" spans="1:10" x14ac:dyDescent="0.3">
      <c r="A6303" t="s">
        <v>6</v>
      </c>
      <c r="B6303" t="str">
        <f>"01/01/2019 00:00"</f>
        <v>01/01/2019 00:00</v>
      </c>
      <c r="C6303">
        <v>52.2</v>
      </c>
      <c r="D6303" t="s">
        <v>7</v>
      </c>
      <c r="E6303" s="2" t="s">
        <v>12</v>
      </c>
      <c r="F6303">
        <f t="shared" si="98"/>
        <v>103.51260000000001</v>
      </c>
      <c r="G6303" t="s">
        <v>16</v>
      </c>
      <c r="J6303" t="str">
        <f>"01/02/2019 00:39"</f>
        <v>01/02/2019 00:39</v>
      </c>
    </row>
    <row r="6304" spans="1:10" x14ac:dyDescent="0.3">
      <c r="A6304" t="s">
        <v>6</v>
      </c>
      <c r="B6304" t="str">
        <f>"01/02/2019 00:00"</f>
        <v>01/02/2019 00:00</v>
      </c>
      <c r="C6304">
        <v>52.2</v>
      </c>
      <c r="D6304" t="s">
        <v>7</v>
      </c>
      <c r="E6304" s="2" t="s">
        <v>12</v>
      </c>
      <c r="F6304">
        <f t="shared" si="98"/>
        <v>103.51260000000001</v>
      </c>
      <c r="G6304" t="s">
        <v>16</v>
      </c>
      <c r="J6304" t="str">
        <f>"01/03/2019 00:39"</f>
        <v>01/03/2019 00:39</v>
      </c>
    </row>
    <row r="6305" spans="1:10" x14ac:dyDescent="0.3">
      <c r="A6305" t="s">
        <v>6</v>
      </c>
      <c r="B6305" t="str">
        <f>"01/03/2019 00:00"</f>
        <v>01/03/2019 00:00</v>
      </c>
      <c r="C6305">
        <v>52.2</v>
      </c>
      <c r="D6305" t="s">
        <v>7</v>
      </c>
      <c r="E6305" s="2" t="s">
        <v>12</v>
      </c>
      <c r="F6305">
        <f t="shared" si="98"/>
        <v>103.51260000000001</v>
      </c>
      <c r="G6305" t="s">
        <v>16</v>
      </c>
      <c r="J6305" t="str">
        <f>"01/04/2019 00:39"</f>
        <v>01/04/2019 00:39</v>
      </c>
    </row>
    <row r="6306" spans="1:10" x14ac:dyDescent="0.3">
      <c r="A6306" t="s">
        <v>6</v>
      </c>
      <c r="B6306" t="str">
        <f>"01/04/2019 00:00"</f>
        <v>01/04/2019 00:00</v>
      </c>
      <c r="C6306">
        <v>52.2</v>
      </c>
      <c r="D6306" t="s">
        <v>7</v>
      </c>
      <c r="E6306" s="2" t="s">
        <v>12</v>
      </c>
      <c r="F6306">
        <f t="shared" si="98"/>
        <v>103.51260000000001</v>
      </c>
      <c r="G6306" t="s">
        <v>16</v>
      </c>
      <c r="J6306" t="str">
        <f>"01/05/2019 00:39"</f>
        <v>01/05/2019 00:39</v>
      </c>
    </row>
    <row r="6307" spans="1:10" x14ac:dyDescent="0.3">
      <c r="A6307" t="s">
        <v>6</v>
      </c>
      <c r="B6307" t="str">
        <f>"01/05/2019 00:00"</f>
        <v>01/05/2019 00:00</v>
      </c>
      <c r="C6307">
        <v>52.2</v>
      </c>
      <c r="D6307" t="s">
        <v>7</v>
      </c>
      <c r="E6307" s="2" t="s">
        <v>12</v>
      </c>
      <c r="F6307">
        <f t="shared" si="98"/>
        <v>103.51260000000001</v>
      </c>
      <c r="G6307" t="s">
        <v>16</v>
      </c>
      <c r="J6307" t="str">
        <f>"01/06/2019 00:39"</f>
        <v>01/06/2019 00:39</v>
      </c>
    </row>
    <row r="6308" spans="1:10" x14ac:dyDescent="0.3">
      <c r="A6308" t="s">
        <v>6</v>
      </c>
      <c r="B6308" t="str">
        <f>"01/06/2019 00:00"</f>
        <v>01/06/2019 00:00</v>
      </c>
      <c r="C6308">
        <v>52.2</v>
      </c>
      <c r="D6308" t="s">
        <v>7</v>
      </c>
      <c r="E6308" s="2" t="s">
        <v>12</v>
      </c>
      <c r="F6308">
        <f t="shared" si="98"/>
        <v>103.51260000000001</v>
      </c>
      <c r="G6308" t="s">
        <v>16</v>
      </c>
      <c r="J6308" t="str">
        <f>"01/07/2019 00:39"</f>
        <v>01/07/2019 00:39</v>
      </c>
    </row>
    <row r="6309" spans="1:10" x14ac:dyDescent="0.3">
      <c r="A6309" t="s">
        <v>6</v>
      </c>
      <c r="B6309" t="str">
        <f>"01/07/2019 00:00"</f>
        <v>01/07/2019 00:00</v>
      </c>
      <c r="C6309">
        <v>52.2</v>
      </c>
      <c r="D6309" t="s">
        <v>7</v>
      </c>
      <c r="E6309" s="2" t="s">
        <v>12</v>
      </c>
      <c r="F6309">
        <f t="shared" si="98"/>
        <v>103.51260000000001</v>
      </c>
      <c r="G6309" t="s">
        <v>16</v>
      </c>
      <c r="J6309" t="str">
        <f>"01/08/2019 00:39"</f>
        <v>01/08/2019 00:39</v>
      </c>
    </row>
    <row r="6310" spans="1:10" x14ac:dyDescent="0.3">
      <c r="A6310" t="s">
        <v>6</v>
      </c>
      <c r="B6310" t="str">
        <f>"01/08/2019 00:00"</f>
        <v>01/08/2019 00:00</v>
      </c>
      <c r="C6310">
        <v>52.2</v>
      </c>
      <c r="D6310" t="s">
        <v>7</v>
      </c>
      <c r="E6310" s="2" t="s">
        <v>12</v>
      </c>
      <c r="F6310">
        <f t="shared" si="98"/>
        <v>103.51260000000001</v>
      </c>
      <c r="G6310" t="s">
        <v>16</v>
      </c>
      <c r="J6310" t="str">
        <f>"01/09/2019 00:39"</f>
        <v>01/09/2019 00:39</v>
      </c>
    </row>
    <row r="6311" spans="1:10" x14ac:dyDescent="0.3">
      <c r="A6311" t="s">
        <v>6</v>
      </c>
      <c r="B6311" t="str">
        <f>"01/09/2019 00:00"</f>
        <v>01/09/2019 00:00</v>
      </c>
      <c r="C6311">
        <v>52.2</v>
      </c>
      <c r="D6311" t="s">
        <v>7</v>
      </c>
      <c r="E6311" s="2" t="s">
        <v>12</v>
      </c>
      <c r="F6311">
        <f t="shared" si="98"/>
        <v>103.51260000000001</v>
      </c>
      <c r="G6311" t="s">
        <v>16</v>
      </c>
      <c r="J6311" t="str">
        <f>"01/10/2019 00:39"</f>
        <v>01/10/2019 00:39</v>
      </c>
    </row>
    <row r="6312" spans="1:10" x14ac:dyDescent="0.3">
      <c r="A6312" t="s">
        <v>6</v>
      </c>
      <c r="B6312" t="str">
        <f>"01/10/2019 00:00"</f>
        <v>01/10/2019 00:00</v>
      </c>
      <c r="C6312">
        <v>52.2</v>
      </c>
      <c r="D6312" t="s">
        <v>7</v>
      </c>
      <c r="E6312" s="2" t="s">
        <v>12</v>
      </c>
      <c r="F6312">
        <f t="shared" si="98"/>
        <v>103.51260000000001</v>
      </c>
      <c r="G6312" t="s">
        <v>16</v>
      </c>
      <c r="J6312" t="str">
        <f>"01/11/2019 00:39"</f>
        <v>01/11/2019 00:39</v>
      </c>
    </row>
    <row r="6313" spans="1:10" x14ac:dyDescent="0.3">
      <c r="A6313" t="s">
        <v>6</v>
      </c>
      <c r="B6313" t="str">
        <f>"01/11/2019 00:00"</f>
        <v>01/11/2019 00:00</v>
      </c>
      <c r="C6313">
        <v>52.2</v>
      </c>
      <c r="D6313" t="s">
        <v>7</v>
      </c>
      <c r="E6313" s="2" t="s">
        <v>12</v>
      </c>
      <c r="F6313">
        <f t="shared" si="98"/>
        <v>103.51260000000001</v>
      </c>
      <c r="G6313" t="s">
        <v>16</v>
      </c>
      <c r="J6313" t="str">
        <f>"01/12/2019 00:39"</f>
        <v>01/12/2019 00:39</v>
      </c>
    </row>
    <row r="6314" spans="1:10" x14ac:dyDescent="0.3">
      <c r="A6314" t="s">
        <v>6</v>
      </c>
      <c r="B6314" t="str">
        <f>"01/12/2019 00:00"</f>
        <v>01/12/2019 00:00</v>
      </c>
      <c r="C6314">
        <v>52.2</v>
      </c>
      <c r="D6314" t="s">
        <v>7</v>
      </c>
      <c r="E6314" s="2" t="s">
        <v>12</v>
      </c>
      <c r="F6314">
        <f t="shared" si="98"/>
        <v>103.51260000000001</v>
      </c>
      <c r="G6314" t="s">
        <v>16</v>
      </c>
      <c r="J6314" t="str">
        <f>"01/13/2019 00:39"</f>
        <v>01/13/2019 00:39</v>
      </c>
    </row>
    <row r="6315" spans="1:10" x14ac:dyDescent="0.3">
      <c r="A6315" t="s">
        <v>6</v>
      </c>
      <c r="B6315" t="str">
        <f>"01/13/2019 00:00"</f>
        <v>01/13/2019 00:00</v>
      </c>
      <c r="C6315">
        <v>52.2</v>
      </c>
      <c r="D6315" t="s">
        <v>7</v>
      </c>
      <c r="E6315" s="2" t="s">
        <v>12</v>
      </c>
      <c r="F6315">
        <f t="shared" si="98"/>
        <v>103.51260000000001</v>
      </c>
      <c r="G6315" t="s">
        <v>16</v>
      </c>
      <c r="J6315" t="str">
        <f>"01/14/2019 00:39"</f>
        <v>01/14/2019 00:39</v>
      </c>
    </row>
    <row r="6316" spans="1:10" x14ac:dyDescent="0.3">
      <c r="A6316" t="s">
        <v>6</v>
      </c>
      <c r="B6316" t="str">
        <f>"01/14/2019 00:00"</f>
        <v>01/14/2019 00:00</v>
      </c>
      <c r="C6316">
        <v>52.2</v>
      </c>
      <c r="D6316" t="s">
        <v>7</v>
      </c>
      <c r="E6316" s="2" t="s">
        <v>12</v>
      </c>
      <c r="F6316">
        <f t="shared" si="98"/>
        <v>103.51260000000001</v>
      </c>
      <c r="G6316" t="s">
        <v>16</v>
      </c>
      <c r="J6316" t="str">
        <f>"01/15/2019 00:39"</f>
        <v>01/15/2019 00:39</v>
      </c>
    </row>
    <row r="6317" spans="1:10" x14ac:dyDescent="0.3">
      <c r="A6317" t="s">
        <v>6</v>
      </c>
      <c r="B6317" t="str">
        <f>"01/15/2019 00:00"</f>
        <v>01/15/2019 00:00</v>
      </c>
      <c r="C6317">
        <v>52.2</v>
      </c>
      <c r="D6317" t="s">
        <v>7</v>
      </c>
      <c r="E6317" s="2" t="s">
        <v>12</v>
      </c>
      <c r="F6317">
        <f t="shared" si="98"/>
        <v>103.51260000000001</v>
      </c>
      <c r="G6317" t="s">
        <v>16</v>
      </c>
      <c r="J6317" t="str">
        <f>"01/16/2019 00:39"</f>
        <v>01/16/2019 00:39</v>
      </c>
    </row>
    <row r="6318" spans="1:10" x14ac:dyDescent="0.3">
      <c r="A6318" t="s">
        <v>6</v>
      </c>
      <c r="B6318" t="str">
        <f>"01/16/2019 00:00"</f>
        <v>01/16/2019 00:00</v>
      </c>
      <c r="C6318">
        <v>52.2</v>
      </c>
      <c r="D6318" t="s">
        <v>7</v>
      </c>
      <c r="E6318" s="2" t="s">
        <v>12</v>
      </c>
      <c r="F6318">
        <f t="shared" si="98"/>
        <v>103.51260000000001</v>
      </c>
      <c r="G6318" t="s">
        <v>16</v>
      </c>
      <c r="J6318" t="str">
        <f>"01/17/2019 00:39"</f>
        <v>01/17/2019 00:39</v>
      </c>
    </row>
    <row r="6319" spans="1:10" x14ac:dyDescent="0.3">
      <c r="A6319" t="s">
        <v>6</v>
      </c>
      <c r="B6319" t="str">
        <f>"01/17/2019 00:00"</f>
        <v>01/17/2019 00:00</v>
      </c>
      <c r="C6319">
        <v>52.2</v>
      </c>
      <c r="D6319" t="s">
        <v>7</v>
      </c>
      <c r="E6319" s="2" t="s">
        <v>12</v>
      </c>
      <c r="F6319">
        <f t="shared" si="98"/>
        <v>103.51260000000001</v>
      </c>
      <c r="G6319" t="s">
        <v>16</v>
      </c>
      <c r="J6319" t="str">
        <f>"01/18/2019 13:51"</f>
        <v>01/18/2019 13:51</v>
      </c>
    </row>
    <row r="6320" spans="1:10" x14ac:dyDescent="0.3">
      <c r="A6320" t="s">
        <v>6</v>
      </c>
      <c r="B6320" t="str">
        <f>"01/18/2019 00:00"</f>
        <v>01/18/2019 00:00</v>
      </c>
      <c r="C6320">
        <v>52.2</v>
      </c>
      <c r="D6320" t="s">
        <v>7</v>
      </c>
      <c r="E6320" s="2" t="s">
        <v>12</v>
      </c>
      <c r="F6320">
        <f t="shared" si="98"/>
        <v>103.51260000000001</v>
      </c>
      <c r="G6320" t="s">
        <v>16</v>
      </c>
      <c r="J6320" t="str">
        <f>"01/19/2019 00:39"</f>
        <v>01/19/2019 00:39</v>
      </c>
    </row>
    <row r="6321" spans="1:10" x14ac:dyDescent="0.3">
      <c r="A6321" t="s">
        <v>6</v>
      </c>
      <c r="B6321" t="str">
        <f>"01/19/2019 00:00"</f>
        <v>01/19/2019 00:00</v>
      </c>
      <c r="C6321">
        <v>52.2</v>
      </c>
      <c r="D6321" t="s">
        <v>7</v>
      </c>
      <c r="E6321" s="2" t="s">
        <v>12</v>
      </c>
      <c r="F6321">
        <f t="shared" si="98"/>
        <v>103.51260000000001</v>
      </c>
      <c r="G6321" t="s">
        <v>16</v>
      </c>
      <c r="J6321" t="str">
        <f>"01/20/2019 00:39"</f>
        <v>01/20/2019 00:39</v>
      </c>
    </row>
    <row r="6322" spans="1:10" x14ac:dyDescent="0.3">
      <c r="A6322" t="s">
        <v>6</v>
      </c>
      <c r="B6322" t="str">
        <f>"01/20/2019 00:00"</f>
        <v>01/20/2019 00:00</v>
      </c>
      <c r="C6322">
        <v>52.2</v>
      </c>
      <c r="D6322" t="s">
        <v>7</v>
      </c>
      <c r="E6322" s="2" t="s">
        <v>12</v>
      </c>
      <c r="F6322">
        <f t="shared" si="98"/>
        <v>103.51260000000001</v>
      </c>
      <c r="G6322" t="s">
        <v>16</v>
      </c>
      <c r="J6322" t="str">
        <f>"01/21/2019 00:39"</f>
        <v>01/21/2019 00:39</v>
      </c>
    </row>
    <row r="6323" spans="1:10" x14ac:dyDescent="0.3">
      <c r="A6323" t="s">
        <v>6</v>
      </c>
      <c r="B6323" t="str">
        <f>"01/21/2019 00:00"</f>
        <v>01/21/2019 00:00</v>
      </c>
      <c r="C6323">
        <v>52.2</v>
      </c>
      <c r="D6323" t="s">
        <v>7</v>
      </c>
      <c r="E6323" s="2" t="s">
        <v>12</v>
      </c>
      <c r="F6323">
        <f t="shared" si="98"/>
        <v>103.51260000000001</v>
      </c>
      <c r="G6323" t="s">
        <v>16</v>
      </c>
      <c r="J6323" t="str">
        <f>"01/22/2019 00:39"</f>
        <v>01/22/2019 00:39</v>
      </c>
    </row>
    <row r="6324" spans="1:10" x14ac:dyDescent="0.3">
      <c r="A6324" t="s">
        <v>6</v>
      </c>
      <c r="B6324" t="str">
        <f>"01/22/2019 00:00"</f>
        <v>01/22/2019 00:00</v>
      </c>
      <c r="C6324">
        <v>52.2</v>
      </c>
      <c r="D6324" t="s">
        <v>7</v>
      </c>
      <c r="E6324" s="2" t="s">
        <v>12</v>
      </c>
      <c r="F6324">
        <f t="shared" si="98"/>
        <v>103.51260000000001</v>
      </c>
      <c r="G6324" t="s">
        <v>16</v>
      </c>
      <c r="J6324" t="str">
        <f>"01/23/2019 00:39"</f>
        <v>01/23/2019 00:39</v>
      </c>
    </row>
    <row r="6325" spans="1:10" x14ac:dyDescent="0.3">
      <c r="A6325" t="s">
        <v>6</v>
      </c>
      <c r="B6325" t="str">
        <f>"01/23/2019 00:00"</f>
        <v>01/23/2019 00:00</v>
      </c>
      <c r="C6325">
        <v>52.2</v>
      </c>
      <c r="D6325" t="s">
        <v>7</v>
      </c>
      <c r="E6325" s="2" t="s">
        <v>12</v>
      </c>
      <c r="F6325">
        <f t="shared" si="98"/>
        <v>103.51260000000001</v>
      </c>
      <c r="G6325" t="s">
        <v>16</v>
      </c>
      <c r="J6325" t="str">
        <f>"01/24/2019 00:39"</f>
        <v>01/24/2019 00:39</v>
      </c>
    </row>
    <row r="6326" spans="1:10" x14ac:dyDescent="0.3">
      <c r="A6326" t="s">
        <v>6</v>
      </c>
      <c r="B6326" t="str">
        <f>"01/24/2019 00:00"</f>
        <v>01/24/2019 00:00</v>
      </c>
      <c r="C6326">
        <v>52.2</v>
      </c>
      <c r="D6326" t="s">
        <v>7</v>
      </c>
      <c r="E6326" s="2" t="s">
        <v>12</v>
      </c>
      <c r="F6326">
        <f t="shared" si="98"/>
        <v>103.51260000000001</v>
      </c>
      <c r="G6326" t="s">
        <v>16</v>
      </c>
      <c r="J6326" t="str">
        <f>"01/25/2019 00:39"</f>
        <v>01/25/2019 00:39</v>
      </c>
    </row>
    <row r="6327" spans="1:10" x14ac:dyDescent="0.3">
      <c r="A6327" t="s">
        <v>6</v>
      </c>
      <c r="B6327" t="str">
        <f>"01/25/2019 00:00"</f>
        <v>01/25/2019 00:00</v>
      </c>
      <c r="C6327">
        <v>52.2</v>
      </c>
      <c r="D6327" t="s">
        <v>7</v>
      </c>
      <c r="E6327" s="2" t="s">
        <v>12</v>
      </c>
      <c r="F6327">
        <f t="shared" si="98"/>
        <v>103.51260000000001</v>
      </c>
      <c r="G6327" t="s">
        <v>16</v>
      </c>
      <c r="J6327" t="str">
        <f>"01/26/2019 00:39"</f>
        <v>01/26/2019 00:39</v>
      </c>
    </row>
    <row r="6328" spans="1:10" x14ac:dyDescent="0.3">
      <c r="A6328" t="s">
        <v>6</v>
      </c>
      <c r="B6328" t="str">
        <f>"01/26/2019 00:00"</f>
        <v>01/26/2019 00:00</v>
      </c>
      <c r="C6328">
        <v>52.2</v>
      </c>
      <c r="D6328" t="s">
        <v>7</v>
      </c>
      <c r="E6328" s="2" t="s">
        <v>12</v>
      </c>
      <c r="F6328">
        <f t="shared" si="98"/>
        <v>103.51260000000001</v>
      </c>
      <c r="G6328" t="s">
        <v>16</v>
      </c>
      <c r="J6328" t="str">
        <f>"01/27/2019 00:39"</f>
        <v>01/27/2019 00:39</v>
      </c>
    </row>
    <row r="6329" spans="1:10" x14ac:dyDescent="0.3">
      <c r="A6329" t="s">
        <v>6</v>
      </c>
      <c r="B6329" t="str">
        <f>"01/27/2019 00:00"</f>
        <v>01/27/2019 00:00</v>
      </c>
      <c r="C6329">
        <v>52.2</v>
      </c>
      <c r="D6329" t="s">
        <v>7</v>
      </c>
      <c r="E6329" s="2" t="s">
        <v>12</v>
      </c>
      <c r="F6329">
        <f t="shared" si="98"/>
        <v>103.51260000000001</v>
      </c>
      <c r="G6329" t="s">
        <v>16</v>
      </c>
      <c r="J6329" t="str">
        <f>"01/28/2019 00:39"</f>
        <v>01/28/2019 00:39</v>
      </c>
    </row>
    <row r="6330" spans="1:10" x14ac:dyDescent="0.3">
      <c r="A6330" t="s">
        <v>6</v>
      </c>
      <c r="B6330" t="str">
        <f>"01/28/2019 00:00"</f>
        <v>01/28/2019 00:00</v>
      </c>
      <c r="C6330">
        <v>52.5</v>
      </c>
      <c r="D6330" t="s">
        <v>7</v>
      </c>
      <c r="E6330" s="2" t="s">
        <v>12</v>
      </c>
      <c r="F6330">
        <f t="shared" si="98"/>
        <v>104.1075</v>
      </c>
      <c r="G6330" t="s">
        <v>16</v>
      </c>
      <c r="J6330" t="str">
        <f>"01/29/2019 00:39"</f>
        <v>01/29/2019 00:39</v>
      </c>
    </row>
    <row r="6331" spans="1:10" x14ac:dyDescent="0.3">
      <c r="A6331" t="s">
        <v>6</v>
      </c>
      <c r="B6331" t="str">
        <f>"01/29/2019 00:00"</f>
        <v>01/29/2019 00:00</v>
      </c>
      <c r="C6331">
        <v>52.4</v>
      </c>
      <c r="D6331" t="s">
        <v>7</v>
      </c>
      <c r="E6331" s="2" t="s">
        <v>12</v>
      </c>
      <c r="F6331">
        <f t="shared" si="98"/>
        <v>103.9092</v>
      </c>
      <c r="G6331" t="s">
        <v>16</v>
      </c>
      <c r="J6331" t="str">
        <f>"01/30/2019 00:39"</f>
        <v>01/30/2019 00:39</v>
      </c>
    </row>
    <row r="6332" spans="1:10" x14ac:dyDescent="0.3">
      <c r="A6332" t="s">
        <v>6</v>
      </c>
      <c r="B6332" t="str">
        <f>"01/30/2019 00:00"</f>
        <v>01/30/2019 00:00</v>
      </c>
      <c r="C6332">
        <v>52.3</v>
      </c>
      <c r="D6332" t="s">
        <v>7</v>
      </c>
      <c r="E6332" s="2" t="s">
        <v>12</v>
      </c>
      <c r="F6332">
        <f t="shared" si="98"/>
        <v>103.7109</v>
      </c>
      <c r="G6332" t="s">
        <v>16</v>
      </c>
      <c r="J6332" t="str">
        <f>"01/31/2019 00:39"</f>
        <v>01/31/2019 00:39</v>
      </c>
    </row>
    <row r="6333" spans="1:10" x14ac:dyDescent="0.3">
      <c r="A6333" t="s">
        <v>6</v>
      </c>
      <c r="B6333" t="str">
        <f>"01/31/2019 00:00"</f>
        <v>01/31/2019 00:00</v>
      </c>
      <c r="C6333">
        <v>51.7</v>
      </c>
      <c r="D6333" t="s">
        <v>7</v>
      </c>
      <c r="E6333" s="2" t="s">
        <v>12</v>
      </c>
      <c r="F6333">
        <f t="shared" si="98"/>
        <v>102.5211</v>
      </c>
      <c r="G6333" t="s">
        <v>16</v>
      </c>
      <c r="J6333" t="str">
        <f>"02/01/2019 00:39"</f>
        <v>02/01/2019 00:39</v>
      </c>
    </row>
    <row r="6334" spans="1:10" x14ac:dyDescent="0.3">
      <c r="A6334" t="s">
        <v>6</v>
      </c>
      <c r="B6334" t="str">
        <f>"02/01/2019 00:00"</f>
        <v>02/01/2019 00:00</v>
      </c>
      <c r="C6334">
        <v>51.2</v>
      </c>
      <c r="D6334" t="s">
        <v>7</v>
      </c>
      <c r="E6334" s="2" t="s">
        <v>12</v>
      </c>
      <c r="F6334">
        <f t="shared" si="98"/>
        <v>101.52960000000002</v>
      </c>
      <c r="G6334" t="s">
        <v>16</v>
      </c>
      <c r="J6334" t="str">
        <f>"02/02/2019 00:39"</f>
        <v>02/02/2019 00:39</v>
      </c>
    </row>
    <row r="6335" spans="1:10" x14ac:dyDescent="0.3">
      <c r="A6335" t="s">
        <v>6</v>
      </c>
      <c r="B6335" t="str">
        <f>"02/02/2019 00:00"</f>
        <v>02/02/2019 00:00</v>
      </c>
      <c r="C6335">
        <v>51.1</v>
      </c>
      <c r="D6335" t="s">
        <v>7</v>
      </c>
      <c r="E6335" s="2" t="s">
        <v>12</v>
      </c>
      <c r="F6335">
        <f t="shared" si="98"/>
        <v>101.33130000000001</v>
      </c>
      <c r="G6335" t="s">
        <v>16</v>
      </c>
      <c r="J6335" t="str">
        <f>"02/03/2019 00:39"</f>
        <v>02/03/2019 00:39</v>
      </c>
    </row>
    <row r="6336" spans="1:10" x14ac:dyDescent="0.3">
      <c r="A6336" t="s">
        <v>6</v>
      </c>
      <c r="B6336" t="str">
        <f>"02/03/2019 00:00"</f>
        <v>02/03/2019 00:00</v>
      </c>
      <c r="C6336">
        <v>51.8</v>
      </c>
      <c r="D6336" t="s">
        <v>7</v>
      </c>
      <c r="E6336" s="2" t="s">
        <v>12</v>
      </c>
      <c r="F6336">
        <f t="shared" si="98"/>
        <v>102.71939999999999</v>
      </c>
      <c r="G6336" t="s">
        <v>16</v>
      </c>
      <c r="J6336" t="str">
        <f>"02/04/2019 00:39"</f>
        <v>02/04/2019 00:39</v>
      </c>
    </row>
    <row r="6337" spans="1:10" x14ac:dyDescent="0.3">
      <c r="A6337" t="s">
        <v>6</v>
      </c>
      <c r="B6337" t="str">
        <f>"02/04/2019 00:00"</f>
        <v>02/04/2019 00:00</v>
      </c>
      <c r="C6337">
        <v>52.2</v>
      </c>
      <c r="D6337" t="s">
        <v>7</v>
      </c>
      <c r="E6337" s="2" t="s">
        <v>12</v>
      </c>
      <c r="F6337">
        <f t="shared" si="98"/>
        <v>103.51260000000001</v>
      </c>
      <c r="G6337" t="s">
        <v>16</v>
      </c>
      <c r="J6337" t="str">
        <f>"02/05/2019 00:39"</f>
        <v>02/05/2019 00:39</v>
      </c>
    </row>
    <row r="6338" spans="1:10" x14ac:dyDescent="0.3">
      <c r="A6338" t="s">
        <v>6</v>
      </c>
      <c r="B6338" t="str">
        <f>"02/05/2019 00:00"</f>
        <v>02/05/2019 00:00</v>
      </c>
      <c r="C6338">
        <v>52.8</v>
      </c>
      <c r="D6338" t="s">
        <v>7</v>
      </c>
      <c r="E6338" s="2" t="s">
        <v>12</v>
      </c>
      <c r="F6338">
        <f t="shared" si="98"/>
        <v>104.7024</v>
      </c>
      <c r="G6338" t="s">
        <v>16</v>
      </c>
      <c r="J6338" t="str">
        <f>"02/06/2019 00:39"</f>
        <v>02/06/2019 00:39</v>
      </c>
    </row>
    <row r="6339" spans="1:10" x14ac:dyDescent="0.3">
      <c r="A6339" t="s">
        <v>6</v>
      </c>
      <c r="B6339" t="str">
        <f>"02/06/2019 00:00"</f>
        <v>02/06/2019 00:00</v>
      </c>
      <c r="C6339">
        <v>53.7</v>
      </c>
      <c r="D6339" t="s">
        <v>7</v>
      </c>
      <c r="E6339" s="2" t="s">
        <v>12</v>
      </c>
      <c r="F6339">
        <f t="shared" si="98"/>
        <v>106.48710000000001</v>
      </c>
      <c r="G6339" t="s">
        <v>16</v>
      </c>
      <c r="J6339" t="str">
        <f>"02/07/2019 00:39"</f>
        <v>02/07/2019 00:39</v>
      </c>
    </row>
    <row r="6340" spans="1:10" x14ac:dyDescent="0.3">
      <c r="A6340" t="s">
        <v>6</v>
      </c>
      <c r="B6340" t="str">
        <f>"02/07/2019 00:00"</f>
        <v>02/07/2019 00:00</v>
      </c>
      <c r="C6340">
        <v>54.3</v>
      </c>
      <c r="D6340" t="s">
        <v>7</v>
      </c>
      <c r="E6340" s="2" t="s">
        <v>12</v>
      </c>
      <c r="F6340">
        <f t="shared" ref="F6340:F6403" si="99">C6340*1.983</f>
        <v>107.6769</v>
      </c>
      <c r="G6340" t="s">
        <v>16</v>
      </c>
      <c r="J6340" t="str">
        <f>"02/08/2019 00:39"</f>
        <v>02/08/2019 00:39</v>
      </c>
    </row>
    <row r="6341" spans="1:10" x14ac:dyDescent="0.3">
      <c r="A6341" t="s">
        <v>6</v>
      </c>
      <c r="B6341" t="str">
        <f>"02/08/2019 00:00"</f>
        <v>02/08/2019 00:00</v>
      </c>
      <c r="C6341">
        <v>54.6</v>
      </c>
      <c r="D6341" t="s">
        <v>7</v>
      </c>
      <c r="E6341" s="2" t="s">
        <v>12</v>
      </c>
      <c r="F6341">
        <f t="shared" si="99"/>
        <v>108.27180000000001</v>
      </c>
      <c r="G6341" t="s">
        <v>16</v>
      </c>
      <c r="J6341" t="str">
        <f>"02/09/2019 00:39"</f>
        <v>02/09/2019 00:39</v>
      </c>
    </row>
    <row r="6342" spans="1:10" x14ac:dyDescent="0.3">
      <c r="A6342" t="s">
        <v>6</v>
      </c>
      <c r="B6342" t="str">
        <f>"02/09/2019 00:00"</f>
        <v>02/09/2019 00:00</v>
      </c>
      <c r="C6342">
        <v>54.6</v>
      </c>
      <c r="D6342" t="s">
        <v>7</v>
      </c>
      <c r="E6342" s="2" t="s">
        <v>12</v>
      </c>
      <c r="F6342">
        <f t="shared" si="99"/>
        <v>108.27180000000001</v>
      </c>
      <c r="G6342" t="s">
        <v>16</v>
      </c>
      <c r="J6342" t="str">
        <f>"02/10/2019 00:39"</f>
        <v>02/10/2019 00:39</v>
      </c>
    </row>
    <row r="6343" spans="1:10" x14ac:dyDescent="0.3">
      <c r="A6343" t="s">
        <v>6</v>
      </c>
      <c r="B6343" t="str">
        <f>"02/10/2019 00:00"</f>
        <v>02/10/2019 00:00</v>
      </c>
      <c r="C6343">
        <v>54.5</v>
      </c>
      <c r="D6343" t="s">
        <v>7</v>
      </c>
      <c r="E6343" s="2" t="s">
        <v>12</v>
      </c>
      <c r="F6343">
        <f t="shared" si="99"/>
        <v>108.07350000000001</v>
      </c>
      <c r="G6343" t="s">
        <v>16</v>
      </c>
      <c r="J6343" t="str">
        <f>"02/11/2019 00:39"</f>
        <v>02/11/2019 00:39</v>
      </c>
    </row>
    <row r="6344" spans="1:10" x14ac:dyDescent="0.3">
      <c r="A6344" t="s">
        <v>6</v>
      </c>
      <c r="B6344" t="str">
        <f>"02/11/2019 00:00"</f>
        <v>02/11/2019 00:00</v>
      </c>
      <c r="C6344">
        <v>54.3</v>
      </c>
      <c r="D6344" t="s">
        <v>7</v>
      </c>
      <c r="E6344" s="2" t="s">
        <v>12</v>
      </c>
      <c r="F6344">
        <f t="shared" si="99"/>
        <v>107.6769</v>
      </c>
      <c r="G6344" t="s">
        <v>16</v>
      </c>
      <c r="J6344" t="str">
        <f>"02/12/2019 00:39"</f>
        <v>02/12/2019 00:39</v>
      </c>
    </row>
    <row r="6345" spans="1:10" x14ac:dyDescent="0.3">
      <c r="A6345" t="s">
        <v>6</v>
      </c>
      <c r="B6345" t="str">
        <f>"02/12/2019 00:00"</f>
        <v>02/12/2019 00:00</v>
      </c>
      <c r="C6345">
        <v>54.5</v>
      </c>
      <c r="D6345" t="s">
        <v>7</v>
      </c>
      <c r="E6345" s="2" t="s">
        <v>12</v>
      </c>
      <c r="F6345">
        <f t="shared" si="99"/>
        <v>108.07350000000001</v>
      </c>
      <c r="G6345" t="s">
        <v>16</v>
      </c>
      <c r="J6345" t="str">
        <f>"02/13/2019 00:39"</f>
        <v>02/13/2019 00:39</v>
      </c>
    </row>
    <row r="6346" spans="1:10" x14ac:dyDescent="0.3">
      <c r="A6346" t="s">
        <v>6</v>
      </c>
      <c r="B6346" t="str">
        <f>"02/13/2019 00:00"</f>
        <v>02/13/2019 00:00</v>
      </c>
      <c r="C6346">
        <v>54.4</v>
      </c>
      <c r="D6346" t="s">
        <v>7</v>
      </c>
      <c r="E6346" s="2" t="s">
        <v>12</v>
      </c>
      <c r="F6346">
        <f t="shared" si="99"/>
        <v>107.87520000000001</v>
      </c>
      <c r="G6346" t="s">
        <v>16</v>
      </c>
      <c r="J6346" t="str">
        <f>"02/14/2019 00:39"</f>
        <v>02/14/2019 00:39</v>
      </c>
    </row>
    <row r="6347" spans="1:10" x14ac:dyDescent="0.3">
      <c r="A6347" t="s">
        <v>6</v>
      </c>
      <c r="B6347" t="str">
        <f>"02/14/2019 00:00"</f>
        <v>02/14/2019 00:00</v>
      </c>
      <c r="C6347">
        <v>54</v>
      </c>
      <c r="D6347" t="s">
        <v>7</v>
      </c>
      <c r="E6347" s="2" t="s">
        <v>12</v>
      </c>
      <c r="F6347">
        <f t="shared" si="99"/>
        <v>107.08200000000001</v>
      </c>
      <c r="G6347" t="s">
        <v>16</v>
      </c>
      <c r="J6347" t="str">
        <f>"02/15/2019 00:39"</f>
        <v>02/15/2019 00:39</v>
      </c>
    </row>
    <row r="6348" spans="1:10" x14ac:dyDescent="0.3">
      <c r="A6348" t="s">
        <v>6</v>
      </c>
      <c r="B6348" t="str">
        <f>"02/15/2019 00:00"</f>
        <v>02/15/2019 00:00</v>
      </c>
      <c r="C6348">
        <v>54.6</v>
      </c>
      <c r="D6348" t="s">
        <v>7</v>
      </c>
      <c r="E6348" s="2" t="s">
        <v>12</v>
      </c>
      <c r="F6348">
        <f t="shared" si="99"/>
        <v>108.27180000000001</v>
      </c>
      <c r="G6348" t="s">
        <v>16</v>
      </c>
      <c r="J6348" t="str">
        <f>"02/16/2019 00:39"</f>
        <v>02/16/2019 00:39</v>
      </c>
    </row>
    <row r="6349" spans="1:10" x14ac:dyDescent="0.3">
      <c r="A6349" t="s">
        <v>6</v>
      </c>
      <c r="B6349" t="str">
        <f>"02/16/2019 00:00"</f>
        <v>02/16/2019 00:00</v>
      </c>
      <c r="C6349">
        <v>54.7</v>
      </c>
      <c r="D6349" t="s">
        <v>7</v>
      </c>
      <c r="E6349" s="2" t="s">
        <v>12</v>
      </c>
      <c r="F6349">
        <f t="shared" si="99"/>
        <v>108.47010000000002</v>
      </c>
      <c r="G6349" t="s">
        <v>16</v>
      </c>
      <c r="J6349" t="str">
        <f>"02/17/2019 00:39"</f>
        <v>02/17/2019 00:39</v>
      </c>
    </row>
    <row r="6350" spans="1:10" x14ac:dyDescent="0.3">
      <c r="A6350" t="s">
        <v>6</v>
      </c>
      <c r="B6350" t="str">
        <f>"02/17/2019 00:00"</f>
        <v>02/17/2019 00:00</v>
      </c>
      <c r="C6350">
        <v>55.2</v>
      </c>
      <c r="D6350" t="s">
        <v>7</v>
      </c>
      <c r="E6350" s="2" t="s">
        <v>12</v>
      </c>
      <c r="F6350">
        <f t="shared" si="99"/>
        <v>109.4616</v>
      </c>
      <c r="G6350" t="s">
        <v>16</v>
      </c>
      <c r="J6350" t="str">
        <f>"02/18/2019 00:39"</f>
        <v>02/18/2019 00:39</v>
      </c>
    </row>
    <row r="6351" spans="1:10" x14ac:dyDescent="0.3">
      <c r="A6351" t="s">
        <v>6</v>
      </c>
      <c r="B6351" t="str">
        <f>"02/18/2019 00:00"</f>
        <v>02/18/2019 00:00</v>
      </c>
      <c r="C6351">
        <v>54.8</v>
      </c>
      <c r="D6351" t="s">
        <v>7</v>
      </c>
      <c r="E6351" s="2" t="s">
        <v>12</v>
      </c>
      <c r="F6351">
        <f t="shared" si="99"/>
        <v>108.66840000000001</v>
      </c>
      <c r="G6351" t="s">
        <v>16</v>
      </c>
      <c r="J6351" t="str">
        <f>"02/19/2019 00:39"</f>
        <v>02/19/2019 00:39</v>
      </c>
    </row>
    <row r="6352" spans="1:10" x14ac:dyDescent="0.3">
      <c r="A6352" t="s">
        <v>6</v>
      </c>
      <c r="B6352" t="str">
        <f>"02/19/2019 00:00"</f>
        <v>02/19/2019 00:00</v>
      </c>
      <c r="C6352">
        <v>53.8</v>
      </c>
      <c r="D6352" t="s">
        <v>7</v>
      </c>
      <c r="E6352" s="2" t="s">
        <v>12</v>
      </c>
      <c r="F6352">
        <f t="shared" si="99"/>
        <v>106.6854</v>
      </c>
      <c r="G6352" t="s">
        <v>16</v>
      </c>
      <c r="J6352" t="str">
        <f>"02/20/2019 00:39"</f>
        <v>02/20/2019 00:39</v>
      </c>
    </row>
    <row r="6353" spans="1:10" x14ac:dyDescent="0.3">
      <c r="A6353" t="s">
        <v>6</v>
      </c>
      <c r="B6353" t="str">
        <f>"02/20/2019 00:00"</f>
        <v>02/20/2019 00:00</v>
      </c>
      <c r="C6353">
        <v>53.8</v>
      </c>
      <c r="D6353" t="s">
        <v>7</v>
      </c>
      <c r="E6353" s="2" t="s">
        <v>12</v>
      </c>
      <c r="F6353">
        <f t="shared" si="99"/>
        <v>106.6854</v>
      </c>
      <c r="G6353" t="s">
        <v>16</v>
      </c>
      <c r="J6353" t="str">
        <f>"02/21/2019 00:39"</f>
        <v>02/21/2019 00:39</v>
      </c>
    </row>
    <row r="6354" spans="1:10" x14ac:dyDescent="0.3">
      <c r="A6354" t="s">
        <v>6</v>
      </c>
      <c r="B6354" t="str">
        <f>"02/21/2019 00:00"</f>
        <v>02/21/2019 00:00</v>
      </c>
      <c r="C6354">
        <v>54</v>
      </c>
      <c r="D6354" t="s">
        <v>7</v>
      </c>
      <c r="E6354" s="2" t="s">
        <v>12</v>
      </c>
      <c r="F6354">
        <f t="shared" si="99"/>
        <v>107.08200000000001</v>
      </c>
      <c r="G6354" t="s">
        <v>16</v>
      </c>
      <c r="J6354" t="str">
        <f>"02/22/2019 00:38"</f>
        <v>02/22/2019 00:38</v>
      </c>
    </row>
    <row r="6355" spans="1:10" x14ac:dyDescent="0.3">
      <c r="A6355" t="s">
        <v>6</v>
      </c>
      <c r="B6355" t="str">
        <f>"02/22/2019 00:00"</f>
        <v>02/22/2019 00:00</v>
      </c>
      <c r="C6355">
        <v>54</v>
      </c>
      <c r="D6355" t="s">
        <v>7</v>
      </c>
      <c r="E6355" s="2" t="s">
        <v>12</v>
      </c>
      <c r="F6355">
        <f t="shared" si="99"/>
        <v>107.08200000000001</v>
      </c>
      <c r="G6355" t="s">
        <v>16</v>
      </c>
      <c r="J6355" t="str">
        <f>"02/23/2019 00:38"</f>
        <v>02/23/2019 00:38</v>
      </c>
    </row>
    <row r="6356" spans="1:10" x14ac:dyDescent="0.3">
      <c r="A6356" t="s">
        <v>6</v>
      </c>
      <c r="B6356" t="str">
        <f>"02/23/2019 00:00"</f>
        <v>02/23/2019 00:00</v>
      </c>
      <c r="C6356">
        <v>55.1</v>
      </c>
      <c r="D6356" t="s">
        <v>7</v>
      </c>
      <c r="E6356" s="2" t="s">
        <v>12</v>
      </c>
      <c r="F6356">
        <f t="shared" si="99"/>
        <v>109.26330000000002</v>
      </c>
      <c r="G6356" t="s">
        <v>16</v>
      </c>
      <c r="J6356" t="str">
        <f>"02/24/2019 00:39"</f>
        <v>02/24/2019 00:39</v>
      </c>
    </row>
    <row r="6357" spans="1:10" x14ac:dyDescent="0.3">
      <c r="A6357" t="s">
        <v>6</v>
      </c>
      <c r="B6357" t="str">
        <f>"02/24/2019 00:00"</f>
        <v>02/24/2019 00:00</v>
      </c>
      <c r="C6357">
        <v>55.1</v>
      </c>
      <c r="D6357" t="s">
        <v>7</v>
      </c>
      <c r="E6357" s="2" t="s">
        <v>12</v>
      </c>
      <c r="F6357">
        <f t="shared" si="99"/>
        <v>109.26330000000002</v>
      </c>
      <c r="G6357" t="s">
        <v>16</v>
      </c>
      <c r="J6357" t="str">
        <f>"02/25/2019 00:39"</f>
        <v>02/25/2019 00:39</v>
      </c>
    </row>
    <row r="6358" spans="1:10" x14ac:dyDescent="0.3">
      <c r="A6358" t="s">
        <v>6</v>
      </c>
      <c r="B6358" t="str">
        <f>"02/25/2019 00:00"</f>
        <v>02/25/2019 00:00</v>
      </c>
      <c r="C6358">
        <v>55.3</v>
      </c>
      <c r="D6358" t="s">
        <v>7</v>
      </c>
      <c r="E6358" s="2" t="s">
        <v>12</v>
      </c>
      <c r="F6358">
        <f t="shared" si="99"/>
        <v>109.65989999999999</v>
      </c>
      <c r="G6358" t="s">
        <v>16</v>
      </c>
      <c r="J6358" t="str">
        <f>"02/26/2019 00:38"</f>
        <v>02/26/2019 00:38</v>
      </c>
    </row>
    <row r="6359" spans="1:10" x14ac:dyDescent="0.3">
      <c r="A6359" t="s">
        <v>6</v>
      </c>
      <c r="B6359" t="str">
        <f>"02/26/2019 00:00"</f>
        <v>02/26/2019 00:00</v>
      </c>
      <c r="C6359">
        <v>55.2</v>
      </c>
      <c r="D6359" t="s">
        <v>7</v>
      </c>
      <c r="E6359" s="2" t="s">
        <v>12</v>
      </c>
      <c r="F6359">
        <f t="shared" si="99"/>
        <v>109.4616</v>
      </c>
      <c r="G6359" t="s">
        <v>16</v>
      </c>
      <c r="J6359" t="str">
        <f>"02/27/2019 00:39"</f>
        <v>02/27/2019 00:39</v>
      </c>
    </row>
    <row r="6360" spans="1:10" x14ac:dyDescent="0.3">
      <c r="A6360" t="s">
        <v>6</v>
      </c>
      <c r="B6360" t="str">
        <f>"02/27/2019 00:00"</f>
        <v>02/27/2019 00:00</v>
      </c>
      <c r="C6360">
        <v>55.2</v>
      </c>
      <c r="D6360" t="s">
        <v>7</v>
      </c>
      <c r="E6360" s="2" t="s">
        <v>12</v>
      </c>
      <c r="F6360">
        <f t="shared" si="99"/>
        <v>109.4616</v>
      </c>
      <c r="G6360" t="s">
        <v>16</v>
      </c>
      <c r="J6360" t="str">
        <f>"02/28/2019 00:39"</f>
        <v>02/28/2019 00:39</v>
      </c>
    </row>
    <row r="6361" spans="1:10" x14ac:dyDescent="0.3">
      <c r="A6361" t="s">
        <v>6</v>
      </c>
      <c r="B6361" t="str">
        <f>"02/28/2019 00:00"</f>
        <v>02/28/2019 00:00</v>
      </c>
      <c r="C6361">
        <v>55.6</v>
      </c>
      <c r="D6361" t="s">
        <v>7</v>
      </c>
      <c r="E6361" s="2" t="s">
        <v>12</v>
      </c>
      <c r="F6361">
        <f t="shared" si="99"/>
        <v>110.2548</v>
      </c>
      <c r="G6361" t="s">
        <v>16</v>
      </c>
      <c r="J6361" t="str">
        <f>"03/01/2019 00:38"</f>
        <v>03/01/2019 00:38</v>
      </c>
    </row>
    <row r="6362" spans="1:10" x14ac:dyDescent="0.3">
      <c r="A6362" t="s">
        <v>6</v>
      </c>
      <c r="B6362" t="str">
        <f>"03/01/2019 00:00"</f>
        <v>03/01/2019 00:00</v>
      </c>
      <c r="C6362">
        <v>55.9</v>
      </c>
      <c r="D6362" t="s">
        <v>7</v>
      </c>
      <c r="E6362" s="2" t="s">
        <v>12</v>
      </c>
      <c r="F6362">
        <f t="shared" si="99"/>
        <v>110.8497</v>
      </c>
      <c r="G6362" t="s">
        <v>16</v>
      </c>
      <c r="J6362" t="str">
        <f>"03/02/2019 00:39"</f>
        <v>03/02/2019 00:39</v>
      </c>
    </row>
    <row r="6363" spans="1:10" x14ac:dyDescent="0.3">
      <c r="A6363" t="s">
        <v>6</v>
      </c>
      <c r="B6363" t="str">
        <f>"03/02/2019 00:00"</f>
        <v>03/02/2019 00:00</v>
      </c>
      <c r="C6363">
        <v>55.5</v>
      </c>
      <c r="D6363" t="s">
        <v>7</v>
      </c>
      <c r="E6363" s="2" t="s">
        <v>12</v>
      </c>
      <c r="F6363">
        <f t="shared" si="99"/>
        <v>110.0565</v>
      </c>
      <c r="G6363" t="s">
        <v>16</v>
      </c>
      <c r="J6363" t="str">
        <f>"03/03/2019 00:39"</f>
        <v>03/03/2019 00:39</v>
      </c>
    </row>
    <row r="6364" spans="1:10" x14ac:dyDescent="0.3">
      <c r="A6364" t="s">
        <v>6</v>
      </c>
      <c r="B6364" t="str">
        <f>"03/03/2019 00:00"</f>
        <v>03/03/2019 00:00</v>
      </c>
      <c r="C6364">
        <v>55.3</v>
      </c>
      <c r="D6364" t="s">
        <v>7</v>
      </c>
      <c r="E6364" s="2" t="s">
        <v>12</v>
      </c>
      <c r="F6364">
        <f t="shared" si="99"/>
        <v>109.65989999999999</v>
      </c>
      <c r="G6364" t="s">
        <v>16</v>
      </c>
      <c r="J6364" t="str">
        <f>"03/04/2019 00:39"</f>
        <v>03/04/2019 00:39</v>
      </c>
    </row>
    <row r="6365" spans="1:10" x14ac:dyDescent="0.3">
      <c r="A6365" t="s">
        <v>6</v>
      </c>
      <c r="B6365" t="str">
        <f>"03/04/2019 00:00"</f>
        <v>03/04/2019 00:00</v>
      </c>
      <c r="C6365">
        <v>55.3</v>
      </c>
      <c r="D6365" t="s">
        <v>7</v>
      </c>
      <c r="E6365" s="2" t="s">
        <v>12</v>
      </c>
      <c r="F6365">
        <f t="shared" si="99"/>
        <v>109.65989999999999</v>
      </c>
      <c r="G6365" t="s">
        <v>16</v>
      </c>
      <c r="J6365" t="str">
        <f>"03/05/2019 00:38"</f>
        <v>03/05/2019 00:38</v>
      </c>
    </row>
    <row r="6366" spans="1:10" x14ac:dyDescent="0.3">
      <c r="A6366" t="s">
        <v>6</v>
      </c>
      <c r="B6366" t="str">
        <f>"03/05/2019 00:00"</f>
        <v>03/05/2019 00:00</v>
      </c>
      <c r="C6366">
        <v>55.2</v>
      </c>
      <c r="D6366" t="s">
        <v>7</v>
      </c>
      <c r="E6366" s="2" t="s">
        <v>12</v>
      </c>
      <c r="F6366">
        <f t="shared" si="99"/>
        <v>109.4616</v>
      </c>
      <c r="G6366" t="s">
        <v>16</v>
      </c>
      <c r="J6366" t="str">
        <f>"03/06/2019 00:39"</f>
        <v>03/06/2019 00:39</v>
      </c>
    </row>
    <row r="6367" spans="1:10" x14ac:dyDescent="0.3">
      <c r="A6367" t="s">
        <v>6</v>
      </c>
      <c r="B6367" t="str">
        <f>"03/06/2019 00:00"</f>
        <v>03/06/2019 00:00</v>
      </c>
      <c r="C6367">
        <v>55.2</v>
      </c>
      <c r="D6367" t="s">
        <v>7</v>
      </c>
      <c r="E6367" s="2" t="s">
        <v>12</v>
      </c>
      <c r="F6367">
        <f t="shared" si="99"/>
        <v>109.4616</v>
      </c>
      <c r="G6367" t="s">
        <v>16</v>
      </c>
      <c r="J6367" t="str">
        <f>"03/07/2019 00:39"</f>
        <v>03/07/2019 00:39</v>
      </c>
    </row>
    <row r="6368" spans="1:10" x14ac:dyDescent="0.3">
      <c r="A6368" t="s">
        <v>6</v>
      </c>
      <c r="B6368" t="str">
        <f>"03/07/2019 00:00"</f>
        <v>03/07/2019 00:00</v>
      </c>
      <c r="C6368">
        <v>55.3</v>
      </c>
      <c r="D6368" t="s">
        <v>7</v>
      </c>
      <c r="E6368" s="2" t="s">
        <v>12</v>
      </c>
      <c r="F6368">
        <f t="shared" si="99"/>
        <v>109.65989999999999</v>
      </c>
      <c r="G6368" t="s">
        <v>16</v>
      </c>
      <c r="J6368" t="str">
        <f>"03/08/2019 00:39"</f>
        <v>03/08/2019 00:39</v>
      </c>
    </row>
    <row r="6369" spans="1:10" x14ac:dyDescent="0.3">
      <c r="A6369" t="s">
        <v>6</v>
      </c>
      <c r="B6369" t="str">
        <f>"03/08/2019 00:00"</f>
        <v>03/08/2019 00:00</v>
      </c>
      <c r="C6369">
        <v>55.1</v>
      </c>
      <c r="D6369" t="s">
        <v>7</v>
      </c>
      <c r="E6369" s="2" t="s">
        <v>12</v>
      </c>
      <c r="F6369">
        <f t="shared" si="99"/>
        <v>109.26330000000002</v>
      </c>
      <c r="G6369" t="s">
        <v>16</v>
      </c>
      <c r="J6369" t="str">
        <f>"03/09/2019 00:38"</f>
        <v>03/09/2019 00:38</v>
      </c>
    </row>
    <row r="6370" spans="1:10" x14ac:dyDescent="0.3">
      <c r="A6370" t="s">
        <v>6</v>
      </c>
      <c r="B6370" t="str">
        <f>"03/09/2019 00:00"</f>
        <v>03/09/2019 00:00</v>
      </c>
      <c r="C6370">
        <v>55</v>
      </c>
      <c r="D6370" t="s">
        <v>7</v>
      </c>
      <c r="E6370" s="2" t="s">
        <v>12</v>
      </c>
      <c r="F6370">
        <f t="shared" si="99"/>
        <v>109.06500000000001</v>
      </c>
      <c r="G6370" t="s">
        <v>16</v>
      </c>
      <c r="J6370" t="str">
        <f>"03/10/2019 00:38"</f>
        <v>03/10/2019 00:38</v>
      </c>
    </row>
    <row r="6371" spans="1:10" x14ac:dyDescent="0.3">
      <c r="A6371" t="s">
        <v>6</v>
      </c>
      <c r="B6371" t="str">
        <f>"03/10/2019 00:00"</f>
        <v>03/10/2019 00:00</v>
      </c>
      <c r="C6371">
        <v>55</v>
      </c>
      <c r="D6371" t="s">
        <v>7</v>
      </c>
      <c r="E6371" s="2" t="s">
        <v>12</v>
      </c>
      <c r="F6371">
        <f t="shared" si="99"/>
        <v>109.06500000000001</v>
      </c>
      <c r="G6371" t="s">
        <v>16</v>
      </c>
      <c r="J6371" t="str">
        <f>"03/11/2019 00:39"</f>
        <v>03/11/2019 00:39</v>
      </c>
    </row>
    <row r="6372" spans="1:10" x14ac:dyDescent="0.3">
      <c r="A6372" t="s">
        <v>6</v>
      </c>
      <c r="B6372" t="str">
        <f>"03/11/2019 00:00"</f>
        <v>03/11/2019 00:00</v>
      </c>
      <c r="C6372">
        <v>55.5</v>
      </c>
      <c r="D6372" t="s">
        <v>7</v>
      </c>
      <c r="E6372" s="2" t="s">
        <v>12</v>
      </c>
      <c r="F6372">
        <f t="shared" si="99"/>
        <v>110.0565</v>
      </c>
      <c r="G6372" t="s">
        <v>16</v>
      </c>
      <c r="J6372" t="str">
        <f>"03/12/2019 00:38"</f>
        <v>03/12/2019 00:38</v>
      </c>
    </row>
    <row r="6373" spans="1:10" x14ac:dyDescent="0.3">
      <c r="A6373" t="s">
        <v>6</v>
      </c>
      <c r="B6373" t="str">
        <f>"03/12/2019 00:00"</f>
        <v>03/12/2019 00:00</v>
      </c>
      <c r="C6373">
        <v>48.8</v>
      </c>
      <c r="D6373" t="s">
        <v>7</v>
      </c>
      <c r="E6373" s="2" t="s">
        <v>12</v>
      </c>
      <c r="F6373">
        <f t="shared" si="99"/>
        <v>96.770399999999995</v>
      </c>
      <c r="G6373" t="s">
        <v>16</v>
      </c>
      <c r="J6373" t="str">
        <f>"03/13/2019 00:39"</f>
        <v>03/13/2019 00:39</v>
      </c>
    </row>
    <row r="6374" spans="1:10" x14ac:dyDescent="0.3">
      <c r="A6374" t="s">
        <v>6</v>
      </c>
      <c r="B6374" t="str">
        <f>"03/13/2019 00:00"</f>
        <v>03/13/2019 00:00</v>
      </c>
      <c r="C6374">
        <v>39.799999999999997</v>
      </c>
      <c r="D6374" t="s">
        <v>7</v>
      </c>
      <c r="E6374" s="2" t="s">
        <v>12</v>
      </c>
      <c r="F6374">
        <f t="shared" si="99"/>
        <v>78.923400000000001</v>
      </c>
      <c r="G6374" t="s">
        <v>16</v>
      </c>
      <c r="J6374" t="str">
        <f>"03/14/2019 00:39"</f>
        <v>03/14/2019 00:39</v>
      </c>
    </row>
    <row r="6375" spans="1:10" x14ac:dyDescent="0.3">
      <c r="A6375" t="s">
        <v>6</v>
      </c>
      <c r="B6375" t="str">
        <f>"03/14/2019 00:00"</f>
        <v>03/14/2019 00:00</v>
      </c>
      <c r="C6375">
        <v>29.5</v>
      </c>
      <c r="D6375" t="s">
        <v>7</v>
      </c>
      <c r="E6375" s="2" t="s">
        <v>12</v>
      </c>
      <c r="F6375">
        <f t="shared" si="99"/>
        <v>58.4985</v>
      </c>
      <c r="G6375" t="s">
        <v>16</v>
      </c>
      <c r="J6375" t="str">
        <f>"03/15/2019 00:39"</f>
        <v>03/15/2019 00:39</v>
      </c>
    </row>
    <row r="6376" spans="1:10" x14ac:dyDescent="0.3">
      <c r="A6376" t="s">
        <v>6</v>
      </c>
      <c r="B6376" t="str">
        <f>"03/15/2019 00:00"</f>
        <v>03/15/2019 00:00</v>
      </c>
      <c r="C6376">
        <v>18.899999999999999</v>
      </c>
      <c r="D6376" t="s">
        <v>7</v>
      </c>
      <c r="E6376" s="2" t="s">
        <v>12</v>
      </c>
      <c r="F6376">
        <f t="shared" si="99"/>
        <v>37.478699999999996</v>
      </c>
      <c r="G6376" t="s">
        <v>16</v>
      </c>
      <c r="J6376" t="str">
        <f>"03/16/2019 00:39"</f>
        <v>03/16/2019 00:39</v>
      </c>
    </row>
    <row r="6377" spans="1:10" x14ac:dyDescent="0.3">
      <c r="A6377" t="s">
        <v>6</v>
      </c>
      <c r="B6377" t="str">
        <f>"03/16/2019 00:00"</f>
        <v>03/16/2019 00:00</v>
      </c>
      <c r="C6377">
        <v>10.6</v>
      </c>
      <c r="D6377" t="s">
        <v>7</v>
      </c>
      <c r="E6377" s="2" t="s">
        <v>12</v>
      </c>
      <c r="F6377">
        <f t="shared" si="99"/>
        <v>21.0198</v>
      </c>
      <c r="G6377" t="s">
        <v>16</v>
      </c>
      <c r="J6377" t="str">
        <f>"03/17/2019 00:39"</f>
        <v>03/17/2019 00:39</v>
      </c>
    </row>
    <row r="6378" spans="1:10" x14ac:dyDescent="0.3">
      <c r="A6378" t="s">
        <v>6</v>
      </c>
      <c r="B6378" t="str">
        <f>"03/17/2019 00:00"</f>
        <v>03/17/2019 00:00</v>
      </c>
      <c r="C6378">
        <v>2.72</v>
      </c>
      <c r="D6378" t="s">
        <v>7</v>
      </c>
      <c r="E6378" s="2" t="s">
        <v>12</v>
      </c>
      <c r="F6378">
        <f t="shared" si="99"/>
        <v>5.3937600000000003</v>
      </c>
      <c r="G6378" t="s">
        <v>16</v>
      </c>
      <c r="J6378" t="str">
        <f>"03/18/2019 00:40"</f>
        <v>03/18/2019 00:40</v>
      </c>
    </row>
    <row r="6379" spans="1:10" x14ac:dyDescent="0.3">
      <c r="A6379" t="s">
        <v>6</v>
      </c>
      <c r="B6379" t="str">
        <f>"03/18/2019 00:00"</f>
        <v>03/18/2019 00:00</v>
      </c>
      <c r="C6379">
        <v>0.1</v>
      </c>
      <c r="D6379" t="s">
        <v>7</v>
      </c>
      <c r="E6379" s="2" t="s">
        <v>12</v>
      </c>
      <c r="F6379">
        <f t="shared" si="99"/>
        <v>0.19830000000000003</v>
      </c>
      <c r="G6379" t="s">
        <v>16</v>
      </c>
      <c r="J6379" t="str">
        <f>"03/19/2019 00:39"</f>
        <v>03/19/2019 00:39</v>
      </c>
    </row>
    <row r="6380" spans="1:10" x14ac:dyDescent="0.3">
      <c r="A6380" t="s">
        <v>6</v>
      </c>
      <c r="B6380" t="str">
        <f>"03/19/2019 00:00"</f>
        <v>03/19/2019 00:00</v>
      </c>
      <c r="C6380">
        <v>0.1</v>
      </c>
      <c r="D6380" t="s">
        <v>7</v>
      </c>
      <c r="E6380" s="2" t="s">
        <v>12</v>
      </c>
      <c r="F6380">
        <f t="shared" si="99"/>
        <v>0.19830000000000003</v>
      </c>
      <c r="G6380" t="s">
        <v>16</v>
      </c>
      <c r="J6380" t="str">
        <f>"03/20/2019 00:38"</f>
        <v>03/20/2019 00:38</v>
      </c>
    </row>
    <row r="6381" spans="1:10" x14ac:dyDescent="0.3">
      <c r="A6381" t="s">
        <v>6</v>
      </c>
      <c r="B6381" t="str">
        <f>"03/20/2019 00:00"</f>
        <v>03/20/2019 00:00</v>
      </c>
      <c r="C6381">
        <v>0.1</v>
      </c>
      <c r="D6381" t="s">
        <v>7</v>
      </c>
      <c r="E6381" s="2" t="s">
        <v>12</v>
      </c>
      <c r="F6381">
        <f t="shared" si="99"/>
        <v>0.19830000000000003</v>
      </c>
      <c r="G6381" t="s">
        <v>16</v>
      </c>
      <c r="J6381" t="str">
        <f>"03/21/2019 00:38"</f>
        <v>03/21/2019 00:38</v>
      </c>
    </row>
    <row r="6382" spans="1:10" x14ac:dyDescent="0.3">
      <c r="A6382" t="s">
        <v>6</v>
      </c>
      <c r="B6382" t="str">
        <f>"03/21/2019 00:00"</f>
        <v>03/21/2019 00:00</v>
      </c>
      <c r="C6382">
        <v>0.1</v>
      </c>
      <c r="D6382" t="s">
        <v>7</v>
      </c>
      <c r="E6382" s="2" t="s">
        <v>12</v>
      </c>
      <c r="F6382">
        <f t="shared" si="99"/>
        <v>0.19830000000000003</v>
      </c>
      <c r="G6382" t="s">
        <v>16</v>
      </c>
      <c r="J6382" t="str">
        <f>"03/22/2019 00:39"</f>
        <v>03/22/2019 00:39</v>
      </c>
    </row>
    <row r="6383" spans="1:10" x14ac:dyDescent="0.3">
      <c r="A6383" t="s">
        <v>6</v>
      </c>
      <c r="B6383" t="str">
        <f>"03/22/2019 00:00"</f>
        <v>03/22/2019 00:00</v>
      </c>
      <c r="C6383">
        <v>0.1</v>
      </c>
      <c r="D6383" t="s">
        <v>7</v>
      </c>
      <c r="E6383" s="2" t="s">
        <v>12</v>
      </c>
      <c r="F6383">
        <f t="shared" si="99"/>
        <v>0.19830000000000003</v>
      </c>
      <c r="G6383" t="s">
        <v>16</v>
      </c>
      <c r="J6383" t="str">
        <f>"03/23/2019 00:38"</f>
        <v>03/23/2019 00:38</v>
      </c>
    </row>
    <row r="6384" spans="1:10" x14ac:dyDescent="0.3">
      <c r="A6384" t="s">
        <v>6</v>
      </c>
      <c r="B6384" t="str">
        <f>"03/23/2019 00:00"</f>
        <v>03/23/2019 00:00</v>
      </c>
      <c r="C6384">
        <v>0.1</v>
      </c>
      <c r="D6384" t="s">
        <v>7</v>
      </c>
      <c r="E6384" s="2" t="s">
        <v>12</v>
      </c>
      <c r="F6384">
        <f t="shared" si="99"/>
        <v>0.19830000000000003</v>
      </c>
      <c r="G6384" t="s">
        <v>16</v>
      </c>
      <c r="J6384" t="str">
        <f>"03/24/2019 00:38"</f>
        <v>03/24/2019 00:38</v>
      </c>
    </row>
    <row r="6385" spans="1:10" x14ac:dyDescent="0.3">
      <c r="A6385" t="s">
        <v>6</v>
      </c>
      <c r="B6385" t="str">
        <f>"03/24/2019 00:00"</f>
        <v>03/24/2019 00:00</v>
      </c>
      <c r="C6385">
        <v>0.1</v>
      </c>
      <c r="D6385" t="s">
        <v>7</v>
      </c>
      <c r="E6385" s="2" t="s">
        <v>12</v>
      </c>
      <c r="F6385">
        <f t="shared" si="99"/>
        <v>0.19830000000000003</v>
      </c>
      <c r="G6385" t="s">
        <v>16</v>
      </c>
      <c r="J6385" t="str">
        <f>"03/25/2019 00:38"</f>
        <v>03/25/2019 00:38</v>
      </c>
    </row>
    <row r="6386" spans="1:10" x14ac:dyDescent="0.3">
      <c r="A6386" t="s">
        <v>6</v>
      </c>
      <c r="B6386" t="str">
        <f>"03/25/2019 00:00"</f>
        <v>03/25/2019 00:00</v>
      </c>
      <c r="C6386">
        <v>0.1</v>
      </c>
      <c r="D6386" t="s">
        <v>7</v>
      </c>
      <c r="E6386" s="2" t="s">
        <v>12</v>
      </c>
      <c r="F6386">
        <f t="shared" si="99"/>
        <v>0.19830000000000003</v>
      </c>
      <c r="G6386" t="s">
        <v>16</v>
      </c>
      <c r="J6386" t="str">
        <f>"03/26/2019 00:39"</f>
        <v>03/26/2019 00:39</v>
      </c>
    </row>
    <row r="6387" spans="1:10" x14ac:dyDescent="0.3">
      <c r="A6387" t="s">
        <v>6</v>
      </c>
      <c r="B6387" t="str">
        <f>"03/26/2019 00:00"</f>
        <v>03/26/2019 00:00</v>
      </c>
      <c r="C6387">
        <v>0.1</v>
      </c>
      <c r="D6387" t="s">
        <v>7</v>
      </c>
      <c r="E6387" s="2" t="s">
        <v>12</v>
      </c>
      <c r="F6387">
        <f t="shared" si="99"/>
        <v>0.19830000000000003</v>
      </c>
      <c r="G6387" t="s">
        <v>16</v>
      </c>
      <c r="J6387" t="str">
        <f>"03/27/2019 00:38"</f>
        <v>03/27/2019 00:38</v>
      </c>
    </row>
    <row r="6388" spans="1:10" x14ac:dyDescent="0.3">
      <c r="A6388" t="s">
        <v>6</v>
      </c>
      <c r="B6388" t="str">
        <f>"03/27/2019 00:00"</f>
        <v>03/27/2019 00:00</v>
      </c>
      <c r="C6388">
        <v>0.1</v>
      </c>
      <c r="D6388" t="s">
        <v>7</v>
      </c>
      <c r="E6388" s="2" t="s">
        <v>12</v>
      </c>
      <c r="F6388">
        <f t="shared" si="99"/>
        <v>0.19830000000000003</v>
      </c>
      <c r="G6388" t="s">
        <v>16</v>
      </c>
      <c r="J6388" t="str">
        <f>"03/28/2019 00:38"</f>
        <v>03/28/2019 00:38</v>
      </c>
    </row>
    <row r="6389" spans="1:10" x14ac:dyDescent="0.3">
      <c r="A6389" t="s">
        <v>6</v>
      </c>
      <c r="B6389" t="str">
        <f>"03/28/2019 00:00"</f>
        <v>03/28/2019 00:00</v>
      </c>
      <c r="C6389">
        <v>0.1</v>
      </c>
      <c r="D6389" t="s">
        <v>7</v>
      </c>
      <c r="E6389" s="2" t="s">
        <v>12</v>
      </c>
      <c r="F6389">
        <f t="shared" si="99"/>
        <v>0.19830000000000003</v>
      </c>
      <c r="G6389" t="s">
        <v>16</v>
      </c>
      <c r="J6389" t="str">
        <f>"03/29/2019 00:38"</f>
        <v>03/29/2019 00:38</v>
      </c>
    </row>
    <row r="6390" spans="1:10" x14ac:dyDescent="0.3">
      <c r="A6390" t="s">
        <v>6</v>
      </c>
      <c r="B6390" t="str">
        <f>"03/29/2019 00:00"</f>
        <v>03/29/2019 00:00</v>
      </c>
      <c r="C6390">
        <v>0.1</v>
      </c>
      <c r="D6390" t="s">
        <v>7</v>
      </c>
      <c r="E6390" s="2" t="s">
        <v>12</v>
      </c>
      <c r="F6390">
        <f t="shared" si="99"/>
        <v>0.19830000000000003</v>
      </c>
      <c r="G6390" t="s">
        <v>16</v>
      </c>
      <c r="J6390" t="str">
        <f>"03/30/2019 00:39"</f>
        <v>03/30/2019 00:39</v>
      </c>
    </row>
    <row r="6391" spans="1:10" x14ac:dyDescent="0.3">
      <c r="A6391" t="s">
        <v>6</v>
      </c>
      <c r="B6391" t="str">
        <f>"03/30/2019 00:00"</f>
        <v>03/30/2019 00:00</v>
      </c>
      <c r="C6391">
        <v>7.1400000000000005E-2</v>
      </c>
      <c r="D6391" t="s">
        <v>7</v>
      </c>
      <c r="E6391" s="2" t="s">
        <v>12</v>
      </c>
      <c r="F6391">
        <f t="shared" si="99"/>
        <v>0.14158620000000002</v>
      </c>
      <c r="G6391" t="s">
        <v>16</v>
      </c>
      <c r="J6391" t="str">
        <f>"03/31/2019 00:38"</f>
        <v>03/31/2019 00:38</v>
      </c>
    </row>
    <row r="6392" spans="1:10" x14ac:dyDescent="0.3">
      <c r="A6392" t="s">
        <v>6</v>
      </c>
      <c r="B6392" t="str">
        <f>"03/31/2019 00:00"</f>
        <v>03/31/2019 00:00</v>
      </c>
      <c r="C6392">
        <v>0.05</v>
      </c>
      <c r="D6392" t="s">
        <v>7</v>
      </c>
      <c r="E6392" s="2" t="s">
        <v>12</v>
      </c>
      <c r="F6392">
        <f t="shared" si="99"/>
        <v>9.9150000000000016E-2</v>
      </c>
      <c r="G6392" t="s">
        <v>16</v>
      </c>
      <c r="J6392" t="str">
        <f>"04/01/2019 00:38"</f>
        <v>04/01/2019 00:38</v>
      </c>
    </row>
    <row r="6393" spans="1:10" x14ac:dyDescent="0.3">
      <c r="A6393" t="s">
        <v>6</v>
      </c>
      <c r="B6393" t="str">
        <f>"04/01/2019 00:00"</f>
        <v>04/01/2019 00:00</v>
      </c>
      <c r="C6393">
        <v>0.05</v>
      </c>
      <c r="D6393" t="s">
        <v>7</v>
      </c>
      <c r="E6393" s="2" t="s">
        <v>12</v>
      </c>
      <c r="F6393">
        <f t="shared" si="99"/>
        <v>9.9150000000000016E-2</v>
      </c>
      <c r="G6393" t="s">
        <v>16</v>
      </c>
      <c r="J6393" t="str">
        <f>"04/02/2019 00:38"</f>
        <v>04/02/2019 00:38</v>
      </c>
    </row>
    <row r="6394" spans="1:10" x14ac:dyDescent="0.3">
      <c r="A6394" t="s">
        <v>6</v>
      </c>
      <c r="B6394" t="str">
        <f>"04/02/2019 00:00"</f>
        <v>04/02/2019 00:00</v>
      </c>
      <c r="C6394">
        <v>9.2399999999999996E-2</v>
      </c>
      <c r="D6394" t="s">
        <v>7</v>
      </c>
      <c r="E6394" s="2" t="s">
        <v>12</v>
      </c>
      <c r="F6394">
        <f t="shared" si="99"/>
        <v>0.18322920000000001</v>
      </c>
      <c r="G6394" t="s">
        <v>16</v>
      </c>
      <c r="J6394" t="str">
        <f>"04/03/2019 00:38"</f>
        <v>04/03/2019 00:38</v>
      </c>
    </row>
    <row r="6395" spans="1:10" x14ac:dyDescent="0.3">
      <c r="A6395" t="s">
        <v>6</v>
      </c>
      <c r="B6395" t="str">
        <f>"04/03/2019 00:00"</f>
        <v>04/03/2019 00:00</v>
      </c>
      <c r="C6395">
        <v>0.1</v>
      </c>
      <c r="D6395" t="s">
        <v>7</v>
      </c>
      <c r="E6395" s="2" t="s">
        <v>12</v>
      </c>
      <c r="F6395">
        <f t="shared" si="99"/>
        <v>0.19830000000000003</v>
      </c>
      <c r="G6395" t="s">
        <v>16</v>
      </c>
      <c r="J6395" t="str">
        <f>"04/04/2019 00:38"</f>
        <v>04/04/2019 00:38</v>
      </c>
    </row>
    <row r="6396" spans="1:10" x14ac:dyDescent="0.3">
      <c r="A6396" t="s">
        <v>6</v>
      </c>
      <c r="B6396" t="str">
        <f>"04/04/2019 00:00"</f>
        <v>04/04/2019 00:00</v>
      </c>
      <c r="C6396">
        <v>0.1</v>
      </c>
      <c r="D6396" t="s">
        <v>7</v>
      </c>
      <c r="E6396" s="2" t="s">
        <v>12</v>
      </c>
      <c r="F6396">
        <f t="shared" si="99"/>
        <v>0.19830000000000003</v>
      </c>
      <c r="G6396" t="s">
        <v>16</v>
      </c>
      <c r="J6396" t="str">
        <f>"04/05/2019 00:39"</f>
        <v>04/05/2019 00:39</v>
      </c>
    </row>
    <row r="6397" spans="1:10" x14ac:dyDescent="0.3">
      <c r="A6397" t="s">
        <v>6</v>
      </c>
      <c r="B6397" t="str">
        <f>"04/05/2019 00:00"</f>
        <v>04/05/2019 00:00</v>
      </c>
      <c r="C6397">
        <v>0.1</v>
      </c>
      <c r="D6397" t="s">
        <v>7</v>
      </c>
      <c r="E6397" s="2" t="s">
        <v>12</v>
      </c>
      <c r="F6397">
        <f t="shared" si="99"/>
        <v>0.19830000000000003</v>
      </c>
      <c r="G6397" t="s">
        <v>16</v>
      </c>
      <c r="J6397" t="str">
        <f>"04/06/2019 00:38"</f>
        <v>04/06/2019 00:38</v>
      </c>
    </row>
    <row r="6398" spans="1:10" x14ac:dyDescent="0.3">
      <c r="A6398" t="s">
        <v>6</v>
      </c>
      <c r="B6398" t="str">
        <f>"04/06/2019 00:00"</f>
        <v>04/06/2019 00:00</v>
      </c>
      <c r="C6398">
        <v>0.1</v>
      </c>
      <c r="D6398" t="s">
        <v>7</v>
      </c>
      <c r="E6398" s="2" t="s">
        <v>12</v>
      </c>
      <c r="F6398">
        <f t="shared" si="99"/>
        <v>0.19830000000000003</v>
      </c>
      <c r="G6398" t="s">
        <v>16</v>
      </c>
      <c r="J6398" t="str">
        <f>"04/07/2019 00:38"</f>
        <v>04/07/2019 00:38</v>
      </c>
    </row>
    <row r="6399" spans="1:10" x14ac:dyDescent="0.3">
      <c r="A6399" t="s">
        <v>6</v>
      </c>
      <c r="B6399" t="str">
        <f>"04/07/2019 00:00"</f>
        <v>04/07/2019 00:00</v>
      </c>
      <c r="C6399">
        <v>0.1</v>
      </c>
      <c r="D6399" t="s">
        <v>7</v>
      </c>
      <c r="E6399" s="2" t="s">
        <v>12</v>
      </c>
      <c r="F6399">
        <f t="shared" si="99"/>
        <v>0.19830000000000003</v>
      </c>
      <c r="G6399" t="s">
        <v>16</v>
      </c>
      <c r="J6399" t="str">
        <f>"04/08/2019 00:38"</f>
        <v>04/08/2019 00:38</v>
      </c>
    </row>
    <row r="6400" spans="1:10" x14ac:dyDescent="0.3">
      <c r="A6400" t="s">
        <v>6</v>
      </c>
      <c r="B6400" t="str">
        <f>"04/08/2019 00:00"</f>
        <v>04/08/2019 00:00</v>
      </c>
      <c r="C6400">
        <v>0.1</v>
      </c>
      <c r="D6400" t="s">
        <v>7</v>
      </c>
      <c r="E6400" s="2" t="s">
        <v>12</v>
      </c>
      <c r="F6400">
        <f t="shared" si="99"/>
        <v>0.19830000000000003</v>
      </c>
      <c r="G6400" t="s">
        <v>16</v>
      </c>
      <c r="J6400" t="str">
        <f>"04/09/2019 00:38"</f>
        <v>04/09/2019 00:38</v>
      </c>
    </row>
    <row r="6401" spans="1:10" x14ac:dyDescent="0.3">
      <c r="A6401" t="s">
        <v>6</v>
      </c>
      <c r="B6401" t="str">
        <f>"04/09/2019 00:00"</f>
        <v>04/09/2019 00:00</v>
      </c>
      <c r="C6401">
        <v>0.1</v>
      </c>
      <c r="D6401" t="s">
        <v>7</v>
      </c>
      <c r="E6401" s="2" t="s">
        <v>12</v>
      </c>
      <c r="F6401">
        <f t="shared" si="99"/>
        <v>0.19830000000000003</v>
      </c>
      <c r="G6401" t="s">
        <v>16</v>
      </c>
      <c r="J6401" t="str">
        <f>"04/10/2019 00:38"</f>
        <v>04/10/2019 00:38</v>
      </c>
    </row>
    <row r="6402" spans="1:10" x14ac:dyDescent="0.3">
      <c r="A6402" t="s">
        <v>6</v>
      </c>
      <c r="B6402" t="str">
        <f>"04/10/2019 00:00"</f>
        <v>04/10/2019 00:00</v>
      </c>
      <c r="C6402">
        <v>0.1</v>
      </c>
      <c r="D6402" t="s">
        <v>7</v>
      </c>
      <c r="E6402" s="2" t="s">
        <v>12</v>
      </c>
      <c r="F6402">
        <f t="shared" si="99"/>
        <v>0.19830000000000003</v>
      </c>
      <c r="G6402" t="s">
        <v>16</v>
      </c>
      <c r="J6402" t="str">
        <f>"04/11/2019 00:38"</f>
        <v>04/11/2019 00:38</v>
      </c>
    </row>
    <row r="6403" spans="1:10" x14ac:dyDescent="0.3">
      <c r="A6403" t="s">
        <v>6</v>
      </c>
      <c r="B6403" t="str">
        <f>"04/11/2019 00:00"</f>
        <v>04/11/2019 00:00</v>
      </c>
      <c r="C6403">
        <v>0.1</v>
      </c>
      <c r="D6403" t="s">
        <v>7</v>
      </c>
      <c r="E6403" s="2" t="s">
        <v>12</v>
      </c>
      <c r="F6403">
        <f t="shared" si="99"/>
        <v>0.19830000000000003</v>
      </c>
      <c r="G6403" t="s">
        <v>16</v>
      </c>
      <c r="J6403" t="str">
        <f>"04/12/2019 00:38"</f>
        <v>04/12/2019 00:38</v>
      </c>
    </row>
    <row r="6404" spans="1:10" x14ac:dyDescent="0.3">
      <c r="A6404" t="s">
        <v>6</v>
      </c>
      <c r="B6404" t="str">
        <f>"04/12/2019 00:00"</f>
        <v>04/12/2019 00:00</v>
      </c>
      <c r="C6404">
        <v>0.1</v>
      </c>
      <c r="D6404" t="s">
        <v>7</v>
      </c>
      <c r="E6404" s="2" t="s">
        <v>12</v>
      </c>
      <c r="F6404">
        <f t="shared" ref="F6404:F6467" si="100">C6404*1.983</f>
        <v>0.19830000000000003</v>
      </c>
      <c r="G6404" t="s">
        <v>16</v>
      </c>
      <c r="J6404" t="str">
        <f>"04/13/2019 00:38"</f>
        <v>04/13/2019 00:38</v>
      </c>
    </row>
    <row r="6405" spans="1:10" x14ac:dyDescent="0.3">
      <c r="A6405" t="s">
        <v>6</v>
      </c>
      <c r="B6405" t="str">
        <f>"04/13/2019 00:00"</f>
        <v>04/13/2019 00:00</v>
      </c>
      <c r="C6405">
        <v>0.1</v>
      </c>
      <c r="D6405" t="s">
        <v>7</v>
      </c>
      <c r="E6405" s="2" t="s">
        <v>12</v>
      </c>
      <c r="F6405">
        <f t="shared" si="100"/>
        <v>0.19830000000000003</v>
      </c>
      <c r="G6405" t="s">
        <v>16</v>
      </c>
      <c r="J6405" t="str">
        <f>"04/14/2019 00:38"</f>
        <v>04/14/2019 00:38</v>
      </c>
    </row>
    <row r="6406" spans="1:10" x14ac:dyDescent="0.3">
      <c r="A6406" t="s">
        <v>6</v>
      </c>
      <c r="B6406" t="str">
        <f>"04/14/2019 00:00"</f>
        <v>04/14/2019 00:00</v>
      </c>
      <c r="C6406">
        <v>0.1</v>
      </c>
      <c r="D6406" t="s">
        <v>7</v>
      </c>
      <c r="E6406" s="2" t="s">
        <v>12</v>
      </c>
      <c r="F6406">
        <f t="shared" si="100"/>
        <v>0.19830000000000003</v>
      </c>
      <c r="G6406" t="s">
        <v>16</v>
      </c>
      <c r="J6406" t="str">
        <f>"04/15/2019 00:38"</f>
        <v>04/15/2019 00:38</v>
      </c>
    </row>
    <row r="6407" spans="1:10" x14ac:dyDescent="0.3">
      <c r="A6407" t="s">
        <v>6</v>
      </c>
      <c r="B6407" t="str">
        <f>"04/15/2019 00:00"</f>
        <v>04/15/2019 00:00</v>
      </c>
      <c r="C6407">
        <v>0.1</v>
      </c>
      <c r="D6407" t="s">
        <v>7</v>
      </c>
      <c r="E6407" s="2" t="s">
        <v>12</v>
      </c>
      <c r="F6407">
        <f t="shared" si="100"/>
        <v>0.19830000000000003</v>
      </c>
      <c r="G6407" t="s">
        <v>16</v>
      </c>
      <c r="J6407" t="str">
        <f>"04/16/2019 00:39"</f>
        <v>04/16/2019 00:39</v>
      </c>
    </row>
    <row r="6408" spans="1:10" x14ac:dyDescent="0.3">
      <c r="A6408" t="s">
        <v>6</v>
      </c>
      <c r="B6408" t="str">
        <f>"04/16/2019 00:00"</f>
        <v>04/16/2019 00:00</v>
      </c>
      <c r="C6408">
        <v>0.1</v>
      </c>
      <c r="D6408" t="s">
        <v>7</v>
      </c>
      <c r="E6408" s="2" t="s">
        <v>12</v>
      </c>
      <c r="F6408">
        <f t="shared" si="100"/>
        <v>0.19830000000000003</v>
      </c>
      <c r="G6408" t="s">
        <v>16</v>
      </c>
      <c r="J6408" t="str">
        <f>"04/17/2019 00:38"</f>
        <v>04/17/2019 00:38</v>
      </c>
    </row>
    <row r="6409" spans="1:10" x14ac:dyDescent="0.3">
      <c r="A6409" t="s">
        <v>6</v>
      </c>
      <c r="B6409" t="str">
        <f>"04/17/2019 00:00"</f>
        <v>04/17/2019 00:00</v>
      </c>
      <c r="C6409">
        <v>0.1</v>
      </c>
      <c r="D6409" t="s">
        <v>7</v>
      </c>
      <c r="E6409" s="2" t="s">
        <v>12</v>
      </c>
      <c r="F6409">
        <f t="shared" si="100"/>
        <v>0.19830000000000003</v>
      </c>
      <c r="G6409" t="s">
        <v>16</v>
      </c>
      <c r="J6409" t="str">
        <f>"04/18/2019 00:38"</f>
        <v>04/18/2019 00:38</v>
      </c>
    </row>
    <row r="6410" spans="1:10" x14ac:dyDescent="0.3">
      <c r="A6410" t="s">
        <v>6</v>
      </c>
      <c r="B6410" t="str">
        <f>"04/18/2019 00:00"</f>
        <v>04/18/2019 00:00</v>
      </c>
      <c r="C6410">
        <v>0.1</v>
      </c>
      <c r="D6410" t="s">
        <v>7</v>
      </c>
      <c r="E6410" s="2" t="s">
        <v>12</v>
      </c>
      <c r="F6410">
        <f t="shared" si="100"/>
        <v>0.19830000000000003</v>
      </c>
      <c r="G6410" t="s">
        <v>16</v>
      </c>
      <c r="J6410" t="str">
        <f>"04/19/2019 00:38"</f>
        <v>04/19/2019 00:38</v>
      </c>
    </row>
    <row r="6411" spans="1:10" x14ac:dyDescent="0.3">
      <c r="A6411" t="s">
        <v>6</v>
      </c>
      <c r="B6411" t="str">
        <f>"04/19/2019 00:00"</f>
        <v>04/19/2019 00:00</v>
      </c>
      <c r="C6411">
        <v>8.5400000000000004E-2</v>
      </c>
      <c r="D6411" t="s">
        <v>7</v>
      </c>
      <c r="E6411" s="2" t="s">
        <v>12</v>
      </c>
      <c r="F6411">
        <f t="shared" si="100"/>
        <v>0.1693482</v>
      </c>
      <c r="G6411" t="s">
        <v>16</v>
      </c>
      <c r="J6411" t="str">
        <f>"04/20/2019 00:38"</f>
        <v>04/20/2019 00:38</v>
      </c>
    </row>
    <row r="6412" spans="1:10" x14ac:dyDescent="0.3">
      <c r="A6412" t="s">
        <v>6</v>
      </c>
      <c r="B6412" t="str">
        <f>"04/20/2019 00:00"</f>
        <v>04/20/2019 00:00</v>
      </c>
      <c r="C6412">
        <v>0.05</v>
      </c>
      <c r="D6412" t="s">
        <v>7</v>
      </c>
      <c r="E6412" s="2" t="s">
        <v>12</v>
      </c>
      <c r="F6412">
        <f t="shared" si="100"/>
        <v>9.9150000000000016E-2</v>
      </c>
      <c r="G6412" t="s">
        <v>16</v>
      </c>
      <c r="J6412" t="str">
        <f>"04/21/2019 00:38"</f>
        <v>04/21/2019 00:38</v>
      </c>
    </row>
    <row r="6413" spans="1:10" x14ac:dyDescent="0.3">
      <c r="A6413" t="s">
        <v>6</v>
      </c>
      <c r="B6413" t="str">
        <f>"04/21/2019 00:00"</f>
        <v>04/21/2019 00:00</v>
      </c>
      <c r="C6413">
        <v>0.05</v>
      </c>
      <c r="D6413" t="s">
        <v>7</v>
      </c>
      <c r="E6413" s="2" t="s">
        <v>12</v>
      </c>
      <c r="F6413">
        <f t="shared" si="100"/>
        <v>9.9150000000000016E-2</v>
      </c>
      <c r="G6413" t="s">
        <v>16</v>
      </c>
      <c r="J6413" t="str">
        <f>"04/22/2019 00:38"</f>
        <v>04/22/2019 00:38</v>
      </c>
    </row>
    <row r="6414" spans="1:10" x14ac:dyDescent="0.3">
      <c r="A6414" t="s">
        <v>6</v>
      </c>
      <c r="B6414" t="str">
        <f>"04/22/2019 00:00"</f>
        <v>04/22/2019 00:00</v>
      </c>
      <c r="C6414">
        <v>0.05</v>
      </c>
      <c r="D6414" t="s">
        <v>7</v>
      </c>
      <c r="E6414" s="2" t="s">
        <v>12</v>
      </c>
      <c r="F6414">
        <f t="shared" si="100"/>
        <v>9.9150000000000016E-2</v>
      </c>
      <c r="G6414" t="s">
        <v>16</v>
      </c>
      <c r="J6414" t="str">
        <f>"04/23/2019 00:38"</f>
        <v>04/23/2019 00:38</v>
      </c>
    </row>
    <row r="6415" spans="1:10" x14ac:dyDescent="0.3">
      <c r="A6415" t="s">
        <v>6</v>
      </c>
      <c r="B6415" t="str">
        <f>"04/23/2019 00:00"</f>
        <v>04/23/2019 00:00</v>
      </c>
      <c r="C6415">
        <v>0.05</v>
      </c>
      <c r="D6415" t="s">
        <v>7</v>
      </c>
      <c r="E6415" s="2" t="s">
        <v>12</v>
      </c>
      <c r="F6415">
        <f t="shared" si="100"/>
        <v>9.9150000000000016E-2</v>
      </c>
      <c r="G6415" t="s">
        <v>16</v>
      </c>
      <c r="J6415" t="str">
        <f>"04/24/2019 00:38"</f>
        <v>04/24/2019 00:38</v>
      </c>
    </row>
    <row r="6416" spans="1:10" x14ac:dyDescent="0.3">
      <c r="A6416" t="s">
        <v>6</v>
      </c>
      <c r="B6416" t="str">
        <f>"04/24/2019 00:00"</f>
        <v>04/24/2019 00:00</v>
      </c>
      <c r="C6416">
        <v>0.05</v>
      </c>
      <c r="D6416" t="s">
        <v>7</v>
      </c>
      <c r="E6416" s="2" t="s">
        <v>12</v>
      </c>
      <c r="F6416">
        <f t="shared" si="100"/>
        <v>9.9150000000000016E-2</v>
      </c>
      <c r="G6416" t="s">
        <v>16</v>
      </c>
      <c r="J6416" t="str">
        <f>"04/25/2019 00:38"</f>
        <v>04/25/2019 00:38</v>
      </c>
    </row>
    <row r="6417" spans="1:10" x14ac:dyDescent="0.3">
      <c r="A6417" t="s">
        <v>6</v>
      </c>
      <c r="B6417" t="str">
        <f>"04/25/2019 00:00"</f>
        <v>04/25/2019 00:00</v>
      </c>
      <c r="C6417">
        <v>0.05</v>
      </c>
      <c r="D6417" t="s">
        <v>7</v>
      </c>
      <c r="E6417" s="2" t="s">
        <v>12</v>
      </c>
      <c r="F6417">
        <f t="shared" si="100"/>
        <v>9.9150000000000016E-2</v>
      </c>
      <c r="G6417" t="s">
        <v>16</v>
      </c>
      <c r="J6417" t="str">
        <f>"04/26/2019 00:38"</f>
        <v>04/26/2019 00:38</v>
      </c>
    </row>
    <row r="6418" spans="1:10" x14ac:dyDescent="0.3">
      <c r="A6418" t="s">
        <v>6</v>
      </c>
      <c r="B6418" t="str">
        <f>"04/26/2019 00:00"</f>
        <v>04/26/2019 00:00</v>
      </c>
      <c r="C6418">
        <v>0.05</v>
      </c>
      <c r="D6418" t="s">
        <v>7</v>
      </c>
      <c r="E6418" s="2" t="s">
        <v>12</v>
      </c>
      <c r="F6418">
        <f t="shared" si="100"/>
        <v>9.9150000000000016E-2</v>
      </c>
      <c r="G6418" t="s">
        <v>16</v>
      </c>
      <c r="J6418" t="str">
        <f>"04/27/2019 00:38"</f>
        <v>04/27/2019 00:38</v>
      </c>
    </row>
    <row r="6419" spans="1:10" x14ac:dyDescent="0.3">
      <c r="A6419" t="s">
        <v>6</v>
      </c>
      <c r="B6419" t="str">
        <f>"04/27/2019 00:00"</f>
        <v>04/27/2019 00:00</v>
      </c>
      <c r="C6419">
        <v>0.05</v>
      </c>
      <c r="D6419" t="s">
        <v>7</v>
      </c>
      <c r="E6419" s="2" t="s">
        <v>12</v>
      </c>
      <c r="F6419">
        <f t="shared" si="100"/>
        <v>9.9150000000000016E-2</v>
      </c>
      <c r="G6419" t="s">
        <v>16</v>
      </c>
      <c r="J6419" t="str">
        <f>"04/28/2019 00:38"</f>
        <v>04/28/2019 00:38</v>
      </c>
    </row>
    <row r="6420" spans="1:10" x14ac:dyDescent="0.3">
      <c r="A6420" t="s">
        <v>6</v>
      </c>
      <c r="B6420" t="str">
        <f>"04/28/2019 00:00"</f>
        <v>04/28/2019 00:00</v>
      </c>
      <c r="C6420">
        <v>0.05</v>
      </c>
      <c r="D6420" t="s">
        <v>7</v>
      </c>
      <c r="E6420" s="2" t="s">
        <v>12</v>
      </c>
      <c r="F6420">
        <f t="shared" si="100"/>
        <v>9.9150000000000016E-2</v>
      </c>
      <c r="G6420" t="s">
        <v>16</v>
      </c>
      <c r="J6420" t="str">
        <f>"04/29/2019 00:38"</f>
        <v>04/29/2019 00:38</v>
      </c>
    </row>
    <row r="6421" spans="1:10" x14ac:dyDescent="0.3">
      <c r="A6421" t="s">
        <v>6</v>
      </c>
      <c r="B6421" t="str">
        <f>"04/29/2019 00:00"</f>
        <v>04/29/2019 00:00</v>
      </c>
      <c r="C6421">
        <v>0.05</v>
      </c>
      <c r="D6421" t="s">
        <v>7</v>
      </c>
      <c r="E6421" s="2" t="s">
        <v>12</v>
      </c>
      <c r="F6421">
        <f t="shared" si="100"/>
        <v>9.9150000000000016E-2</v>
      </c>
      <c r="G6421" t="s">
        <v>16</v>
      </c>
      <c r="J6421" t="str">
        <f>"04/30/2019 00:38"</f>
        <v>04/30/2019 00:38</v>
      </c>
    </row>
    <row r="6422" spans="1:10" x14ac:dyDescent="0.3">
      <c r="A6422" t="s">
        <v>6</v>
      </c>
      <c r="B6422" t="str">
        <f>"04/30/2019 00:00"</f>
        <v>04/30/2019 00:00</v>
      </c>
      <c r="C6422">
        <v>0.05</v>
      </c>
      <c r="D6422" t="s">
        <v>7</v>
      </c>
      <c r="E6422" s="2" t="s">
        <v>12</v>
      </c>
      <c r="F6422">
        <f t="shared" si="100"/>
        <v>9.9150000000000016E-2</v>
      </c>
      <c r="G6422" t="s">
        <v>16</v>
      </c>
      <c r="J6422" t="str">
        <f>"05/01/2019 00:38"</f>
        <v>05/01/2019 00:38</v>
      </c>
    </row>
    <row r="6423" spans="1:10" x14ac:dyDescent="0.3">
      <c r="A6423" t="s">
        <v>6</v>
      </c>
      <c r="B6423" t="str">
        <f>"05/01/2019 00:00"</f>
        <v>05/01/2019 00:00</v>
      </c>
      <c r="C6423">
        <v>0.05</v>
      </c>
      <c r="D6423" t="s">
        <v>7</v>
      </c>
      <c r="E6423" s="2" t="s">
        <v>12</v>
      </c>
      <c r="F6423">
        <f t="shared" si="100"/>
        <v>9.9150000000000016E-2</v>
      </c>
      <c r="G6423" t="s">
        <v>16</v>
      </c>
      <c r="J6423" t="str">
        <f>"05/02/2019 00:38"</f>
        <v>05/02/2019 00:38</v>
      </c>
    </row>
    <row r="6424" spans="1:10" x14ac:dyDescent="0.3">
      <c r="A6424" t="s">
        <v>6</v>
      </c>
      <c r="B6424" t="str">
        <f>"05/02/2019 00:00"</f>
        <v>05/02/2019 00:00</v>
      </c>
      <c r="C6424">
        <v>0.05</v>
      </c>
      <c r="D6424" t="s">
        <v>7</v>
      </c>
      <c r="E6424" s="2" t="s">
        <v>12</v>
      </c>
      <c r="F6424">
        <f t="shared" si="100"/>
        <v>9.9150000000000016E-2</v>
      </c>
      <c r="G6424" t="s">
        <v>16</v>
      </c>
      <c r="J6424" t="str">
        <f>"05/03/2019 00:38"</f>
        <v>05/03/2019 00:38</v>
      </c>
    </row>
    <row r="6425" spans="1:10" x14ac:dyDescent="0.3">
      <c r="A6425" t="s">
        <v>6</v>
      </c>
      <c r="B6425" t="str">
        <f>"05/03/2019 00:00"</f>
        <v>05/03/2019 00:00</v>
      </c>
      <c r="C6425">
        <v>0.05</v>
      </c>
      <c r="D6425" t="s">
        <v>7</v>
      </c>
      <c r="E6425" s="2" t="s">
        <v>12</v>
      </c>
      <c r="F6425">
        <f t="shared" si="100"/>
        <v>9.9150000000000016E-2</v>
      </c>
      <c r="G6425" t="s">
        <v>16</v>
      </c>
      <c r="J6425" t="str">
        <f>"05/04/2019 00:38"</f>
        <v>05/04/2019 00:38</v>
      </c>
    </row>
    <row r="6426" spans="1:10" x14ac:dyDescent="0.3">
      <c r="A6426" t="s">
        <v>6</v>
      </c>
      <c r="B6426" t="str">
        <f>"05/04/2019 00:00"</f>
        <v>05/04/2019 00:00</v>
      </c>
      <c r="C6426">
        <v>0.05</v>
      </c>
      <c r="D6426" t="s">
        <v>7</v>
      </c>
      <c r="E6426" s="2" t="s">
        <v>12</v>
      </c>
      <c r="F6426">
        <f t="shared" si="100"/>
        <v>9.9150000000000016E-2</v>
      </c>
      <c r="G6426" t="s">
        <v>16</v>
      </c>
      <c r="J6426" t="str">
        <f>"05/05/2019 00:38"</f>
        <v>05/05/2019 00:38</v>
      </c>
    </row>
    <row r="6427" spans="1:10" x14ac:dyDescent="0.3">
      <c r="A6427" t="s">
        <v>6</v>
      </c>
      <c r="B6427" t="str">
        <f>"05/05/2019 00:00"</f>
        <v>05/05/2019 00:00</v>
      </c>
      <c r="C6427">
        <v>0.05</v>
      </c>
      <c r="D6427" t="s">
        <v>7</v>
      </c>
      <c r="E6427" s="2" t="s">
        <v>12</v>
      </c>
      <c r="F6427">
        <f t="shared" si="100"/>
        <v>9.9150000000000016E-2</v>
      </c>
      <c r="G6427" t="s">
        <v>16</v>
      </c>
      <c r="J6427" t="str">
        <f>"05/06/2019 00:38"</f>
        <v>05/06/2019 00:38</v>
      </c>
    </row>
    <row r="6428" spans="1:10" x14ac:dyDescent="0.3">
      <c r="A6428" t="s">
        <v>6</v>
      </c>
      <c r="B6428" t="str">
        <f>"05/06/2019 00:00"</f>
        <v>05/06/2019 00:00</v>
      </c>
      <c r="C6428">
        <v>0.05</v>
      </c>
      <c r="D6428" t="s">
        <v>7</v>
      </c>
      <c r="E6428" s="2" t="s">
        <v>12</v>
      </c>
      <c r="F6428">
        <f t="shared" si="100"/>
        <v>9.9150000000000016E-2</v>
      </c>
      <c r="G6428" t="s">
        <v>16</v>
      </c>
      <c r="J6428" t="str">
        <f>"05/07/2019 00:38"</f>
        <v>05/07/2019 00:38</v>
      </c>
    </row>
    <row r="6429" spans="1:10" x14ac:dyDescent="0.3">
      <c r="A6429" t="s">
        <v>6</v>
      </c>
      <c r="B6429" t="str">
        <f>"05/07/2019 00:00"</f>
        <v>05/07/2019 00:00</v>
      </c>
      <c r="C6429">
        <v>0.05</v>
      </c>
      <c r="D6429" t="s">
        <v>7</v>
      </c>
      <c r="E6429" s="2" t="s">
        <v>12</v>
      </c>
      <c r="F6429">
        <f t="shared" si="100"/>
        <v>9.9150000000000016E-2</v>
      </c>
      <c r="G6429" t="s">
        <v>16</v>
      </c>
      <c r="J6429" t="str">
        <f>"05/08/2019 10:13"</f>
        <v>05/08/2019 10:13</v>
      </c>
    </row>
    <row r="6430" spans="1:10" x14ac:dyDescent="0.3">
      <c r="A6430" t="s">
        <v>6</v>
      </c>
      <c r="B6430" t="str">
        <f>"05/08/2019 00:00"</f>
        <v>05/08/2019 00:00</v>
      </c>
      <c r="C6430">
        <v>0.05</v>
      </c>
      <c r="D6430" t="s">
        <v>7</v>
      </c>
      <c r="E6430" s="2" t="s">
        <v>12</v>
      </c>
      <c r="F6430">
        <f t="shared" si="100"/>
        <v>9.9150000000000016E-2</v>
      </c>
      <c r="G6430" t="s">
        <v>16</v>
      </c>
      <c r="J6430" t="str">
        <f>"05/09/2019 00:38"</f>
        <v>05/09/2019 00:38</v>
      </c>
    </row>
    <row r="6431" spans="1:10" x14ac:dyDescent="0.3">
      <c r="A6431" t="s">
        <v>6</v>
      </c>
      <c r="B6431" t="str">
        <f>"05/09/2019 00:00"</f>
        <v>05/09/2019 00:00</v>
      </c>
      <c r="C6431">
        <v>0.05</v>
      </c>
      <c r="D6431" t="s">
        <v>7</v>
      </c>
      <c r="E6431" s="2" t="s">
        <v>12</v>
      </c>
      <c r="F6431">
        <f t="shared" si="100"/>
        <v>9.9150000000000016E-2</v>
      </c>
      <c r="G6431" t="s">
        <v>16</v>
      </c>
      <c r="J6431" t="str">
        <f>"05/10/2019 00:38"</f>
        <v>05/10/2019 00:38</v>
      </c>
    </row>
    <row r="6432" spans="1:10" x14ac:dyDescent="0.3">
      <c r="A6432" t="s">
        <v>6</v>
      </c>
      <c r="B6432" t="str">
        <f>"05/10/2019 00:00"</f>
        <v>05/10/2019 00:00</v>
      </c>
      <c r="C6432">
        <v>0.05</v>
      </c>
      <c r="D6432" t="s">
        <v>7</v>
      </c>
      <c r="E6432" s="2" t="s">
        <v>12</v>
      </c>
      <c r="F6432">
        <f t="shared" si="100"/>
        <v>9.9150000000000016E-2</v>
      </c>
      <c r="G6432" t="s">
        <v>16</v>
      </c>
      <c r="J6432" t="str">
        <f>"05/11/2019 00:38"</f>
        <v>05/11/2019 00:38</v>
      </c>
    </row>
    <row r="6433" spans="1:10" x14ac:dyDescent="0.3">
      <c r="A6433" t="s">
        <v>6</v>
      </c>
      <c r="B6433" t="str">
        <f>"05/11/2019 00:00"</f>
        <v>05/11/2019 00:00</v>
      </c>
      <c r="C6433">
        <v>0.05</v>
      </c>
      <c r="D6433" t="s">
        <v>7</v>
      </c>
      <c r="E6433" s="2" t="s">
        <v>12</v>
      </c>
      <c r="F6433">
        <f t="shared" si="100"/>
        <v>9.9150000000000016E-2</v>
      </c>
      <c r="G6433" t="s">
        <v>16</v>
      </c>
      <c r="J6433" t="str">
        <f>"05/12/2019 00:38"</f>
        <v>05/12/2019 00:38</v>
      </c>
    </row>
    <row r="6434" spans="1:10" x14ac:dyDescent="0.3">
      <c r="A6434" t="s">
        <v>6</v>
      </c>
      <c r="B6434" t="str">
        <f>"05/12/2019 00:00"</f>
        <v>05/12/2019 00:00</v>
      </c>
      <c r="C6434">
        <v>4.3200000000000002E-2</v>
      </c>
      <c r="D6434" t="s">
        <v>7</v>
      </c>
      <c r="E6434" s="2" t="s">
        <v>12</v>
      </c>
      <c r="F6434">
        <f t="shared" si="100"/>
        <v>8.5665600000000008E-2</v>
      </c>
      <c r="G6434" t="s">
        <v>16</v>
      </c>
      <c r="J6434" t="str">
        <f>"05/13/2019 00:38"</f>
        <v>05/13/2019 00:38</v>
      </c>
    </row>
    <row r="6435" spans="1:10" x14ac:dyDescent="0.3">
      <c r="A6435" t="s">
        <v>6</v>
      </c>
      <c r="B6435" t="str">
        <f>"05/13/2019 00:00"</f>
        <v>05/13/2019 00:00</v>
      </c>
      <c r="C6435">
        <v>0</v>
      </c>
      <c r="D6435" t="s">
        <v>7</v>
      </c>
      <c r="E6435" s="2" t="s">
        <v>12</v>
      </c>
      <c r="F6435">
        <f t="shared" si="100"/>
        <v>0</v>
      </c>
      <c r="G6435" t="s">
        <v>16</v>
      </c>
      <c r="J6435" t="str">
        <f>"05/14/2019 00:38"</f>
        <v>05/14/2019 00:38</v>
      </c>
    </row>
    <row r="6436" spans="1:10" x14ac:dyDescent="0.3">
      <c r="A6436" t="s">
        <v>6</v>
      </c>
      <c r="B6436" t="str">
        <f>"05/14/2019 00:00"</f>
        <v>05/14/2019 00:00</v>
      </c>
      <c r="C6436">
        <v>0</v>
      </c>
      <c r="D6436" t="s">
        <v>7</v>
      </c>
      <c r="E6436" s="2" t="s">
        <v>12</v>
      </c>
      <c r="F6436">
        <f t="shared" si="100"/>
        <v>0</v>
      </c>
      <c r="G6436" t="s">
        <v>16</v>
      </c>
      <c r="J6436" t="str">
        <f>"05/15/2019 00:38"</f>
        <v>05/15/2019 00:38</v>
      </c>
    </row>
    <row r="6437" spans="1:10" x14ac:dyDescent="0.3">
      <c r="A6437" t="s">
        <v>6</v>
      </c>
      <c r="B6437" t="str">
        <f>"05/15/2019 00:00"</f>
        <v>05/15/2019 00:00</v>
      </c>
      <c r="C6437">
        <v>0</v>
      </c>
      <c r="D6437" t="s">
        <v>7</v>
      </c>
      <c r="E6437" s="2" t="s">
        <v>12</v>
      </c>
      <c r="F6437">
        <f t="shared" si="100"/>
        <v>0</v>
      </c>
      <c r="G6437" t="s">
        <v>16</v>
      </c>
      <c r="J6437" t="str">
        <f>"05/16/2019 00:38"</f>
        <v>05/16/2019 00:38</v>
      </c>
    </row>
    <row r="6438" spans="1:10" x14ac:dyDescent="0.3">
      <c r="A6438" t="s">
        <v>6</v>
      </c>
      <c r="B6438" t="str">
        <f>"05/16/2019 00:00"</f>
        <v>05/16/2019 00:00</v>
      </c>
      <c r="C6438">
        <v>0</v>
      </c>
      <c r="D6438" t="s">
        <v>7</v>
      </c>
      <c r="E6438" s="2" t="s">
        <v>12</v>
      </c>
      <c r="F6438">
        <f t="shared" si="100"/>
        <v>0</v>
      </c>
      <c r="G6438" t="s">
        <v>16</v>
      </c>
      <c r="J6438" t="str">
        <f>"05/17/2019 00:38"</f>
        <v>05/17/2019 00:38</v>
      </c>
    </row>
    <row r="6439" spans="1:10" x14ac:dyDescent="0.3">
      <c r="A6439" t="s">
        <v>6</v>
      </c>
      <c r="B6439" t="str">
        <f>"05/17/2019 00:00"</f>
        <v>05/17/2019 00:00</v>
      </c>
      <c r="C6439">
        <v>0</v>
      </c>
      <c r="D6439" t="s">
        <v>7</v>
      </c>
      <c r="E6439" s="2" t="s">
        <v>12</v>
      </c>
      <c r="F6439">
        <f t="shared" si="100"/>
        <v>0</v>
      </c>
      <c r="G6439" t="s">
        <v>16</v>
      </c>
      <c r="J6439" t="str">
        <f>"05/18/2019 00:38"</f>
        <v>05/18/2019 00:38</v>
      </c>
    </row>
    <row r="6440" spans="1:10" x14ac:dyDescent="0.3">
      <c r="A6440" t="s">
        <v>6</v>
      </c>
      <c r="B6440" t="str">
        <f>"05/18/2019 00:00"</f>
        <v>05/18/2019 00:00</v>
      </c>
      <c r="C6440">
        <v>0</v>
      </c>
      <c r="D6440" t="s">
        <v>7</v>
      </c>
      <c r="E6440" s="2" t="s">
        <v>12</v>
      </c>
      <c r="F6440">
        <f t="shared" si="100"/>
        <v>0</v>
      </c>
      <c r="G6440" t="s">
        <v>16</v>
      </c>
      <c r="J6440" t="str">
        <f>"05/19/2019 00:38"</f>
        <v>05/19/2019 00:38</v>
      </c>
    </row>
    <row r="6441" spans="1:10" x14ac:dyDescent="0.3">
      <c r="A6441" t="s">
        <v>6</v>
      </c>
      <c r="B6441" t="str">
        <f>"05/19/2019 00:00"</f>
        <v>05/19/2019 00:00</v>
      </c>
      <c r="C6441">
        <v>0</v>
      </c>
      <c r="D6441" t="s">
        <v>7</v>
      </c>
      <c r="E6441" s="2" t="s">
        <v>12</v>
      </c>
      <c r="F6441">
        <f t="shared" si="100"/>
        <v>0</v>
      </c>
      <c r="G6441" t="s">
        <v>16</v>
      </c>
      <c r="J6441" t="str">
        <f>"05/20/2019 00:38"</f>
        <v>05/20/2019 00:38</v>
      </c>
    </row>
    <row r="6442" spans="1:10" x14ac:dyDescent="0.3">
      <c r="A6442" t="s">
        <v>6</v>
      </c>
      <c r="B6442" t="str">
        <f>"05/20/2019 00:00"</f>
        <v>05/20/2019 00:00</v>
      </c>
      <c r="C6442">
        <v>0</v>
      </c>
      <c r="D6442" t="s">
        <v>7</v>
      </c>
      <c r="E6442" s="2" t="s">
        <v>12</v>
      </c>
      <c r="F6442">
        <f t="shared" si="100"/>
        <v>0</v>
      </c>
      <c r="G6442" t="s">
        <v>16</v>
      </c>
      <c r="J6442" t="str">
        <f>"05/21/2019 00:38"</f>
        <v>05/21/2019 00:38</v>
      </c>
    </row>
    <row r="6443" spans="1:10" x14ac:dyDescent="0.3">
      <c r="A6443" t="s">
        <v>6</v>
      </c>
      <c r="B6443" t="str">
        <f>"05/21/2019 00:00"</f>
        <v>05/21/2019 00:00</v>
      </c>
      <c r="C6443">
        <v>0</v>
      </c>
      <c r="D6443" t="s">
        <v>7</v>
      </c>
      <c r="E6443" s="2" t="s">
        <v>12</v>
      </c>
      <c r="F6443">
        <f t="shared" si="100"/>
        <v>0</v>
      </c>
      <c r="G6443" t="s">
        <v>16</v>
      </c>
      <c r="J6443" t="str">
        <f>"05/22/2019 00:38"</f>
        <v>05/22/2019 00:38</v>
      </c>
    </row>
    <row r="6444" spans="1:10" x14ac:dyDescent="0.3">
      <c r="A6444" t="s">
        <v>6</v>
      </c>
      <c r="B6444" t="str">
        <f>"05/22/2019 00:00"</f>
        <v>05/22/2019 00:00</v>
      </c>
      <c r="C6444">
        <v>0</v>
      </c>
      <c r="D6444" t="s">
        <v>7</v>
      </c>
      <c r="E6444" s="2" t="s">
        <v>12</v>
      </c>
      <c r="F6444">
        <f t="shared" si="100"/>
        <v>0</v>
      </c>
      <c r="G6444" t="s">
        <v>16</v>
      </c>
      <c r="J6444" t="str">
        <f>"05/23/2019 00:38"</f>
        <v>05/23/2019 00:38</v>
      </c>
    </row>
    <row r="6445" spans="1:10" x14ac:dyDescent="0.3">
      <c r="A6445" t="s">
        <v>6</v>
      </c>
      <c r="B6445" t="str">
        <f>"05/23/2019 00:00"</f>
        <v>05/23/2019 00:00</v>
      </c>
      <c r="C6445">
        <v>0</v>
      </c>
      <c r="D6445" t="s">
        <v>7</v>
      </c>
      <c r="E6445" s="2" t="s">
        <v>12</v>
      </c>
      <c r="F6445">
        <f t="shared" si="100"/>
        <v>0</v>
      </c>
      <c r="G6445" t="s">
        <v>16</v>
      </c>
      <c r="J6445" t="str">
        <f>"05/24/2019 00:38"</f>
        <v>05/24/2019 00:38</v>
      </c>
    </row>
    <row r="6446" spans="1:10" x14ac:dyDescent="0.3">
      <c r="A6446" t="s">
        <v>6</v>
      </c>
      <c r="B6446" t="str">
        <f>"05/24/2019 00:00"</f>
        <v>05/24/2019 00:00</v>
      </c>
      <c r="C6446">
        <v>0</v>
      </c>
      <c r="D6446" t="s">
        <v>7</v>
      </c>
      <c r="E6446" s="2" t="s">
        <v>12</v>
      </c>
      <c r="F6446">
        <f t="shared" si="100"/>
        <v>0</v>
      </c>
      <c r="G6446" t="s">
        <v>16</v>
      </c>
      <c r="J6446" t="str">
        <f>"05/25/2019 00:38"</f>
        <v>05/25/2019 00:38</v>
      </c>
    </row>
    <row r="6447" spans="1:10" x14ac:dyDescent="0.3">
      <c r="A6447" t="s">
        <v>6</v>
      </c>
      <c r="B6447" t="str">
        <f>"05/25/2019 00:00"</f>
        <v>05/25/2019 00:00</v>
      </c>
      <c r="C6447">
        <v>0</v>
      </c>
      <c r="D6447" t="s">
        <v>7</v>
      </c>
      <c r="E6447" s="2" t="s">
        <v>12</v>
      </c>
      <c r="F6447">
        <f t="shared" si="100"/>
        <v>0</v>
      </c>
      <c r="G6447" t="s">
        <v>16</v>
      </c>
      <c r="J6447" t="str">
        <f>"05/26/2019 00:38"</f>
        <v>05/26/2019 00:38</v>
      </c>
    </row>
    <row r="6448" spans="1:10" x14ac:dyDescent="0.3">
      <c r="A6448" t="s">
        <v>6</v>
      </c>
      <c r="B6448" t="str">
        <f>"05/26/2019 00:00"</f>
        <v>05/26/2019 00:00</v>
      </c>
      <c r="C6448">
        <v>0</v>
      </c>
      <c r="D6448" t="s">
        <v>7</v>
      </c>
      <c r="E6448" s="2" t="s">
        <v>12</v>
      </c>
      <c r="F6448">
        <f t="shared" si="100"/>
        <v>0</v>
      </c>
      <c r="G6448" t="s">
        <v>16</v>
      </c>
      <c r="J6448" t="str">
        <f>"05/27/2019 00:38"</f>
        <v>05/27/2019 00:38</v>
      </c>
    </row>
    <row r="6449" spans="1:10" x14ac:dyDescent="0.3">
      <c r="A6449" t="s">
        <v>6</v>
      </c>
      <c r="B6449" t="str">
        <f>"05/27/2019 00:00"</f>
        <v>05/27/2019 00:00</v>
      </c>
      <c r="C6449">
        <v>0</v>
      </c>
      <c r="D6449" t="s">
        <v>7</v>
      </c>
      <c r="E6449" s="2" t="s">
        <v>12</v>
      </c>
      <c r="F6449">
        <f t="shared" si="100"/>
        <v>0</v>
      </c>
      <c r="G6449" t="s">
        <v>16</v>
      </c>
      <c r="J6449" t="str">
        <f>"05/28/2019 00:38"</f>
        <v>05/28/2019 00:38</v>
      </c>
    </row>
    <row r="6450" spans="1:10" x14ac:dyDescent="0.3">
      <c r="A6450" t="s">
        <v>6</v>
      </c>
      <c r="B6450" t="str">
        <f>"05/28/2019 00:00"</f>
        <v>05/28/2019 00:00</v>
      </c>
      <c r="C6450">
        <v>0</v>
      </c>
      <c r="D6450" t="s">
        <v>7</v>
      </c>
      <c r="E6450" s="2" t="s">
        <v>12</v>
      </c>
      <c r="F6450">
        <f t="shared" si="100"/>
        <v>0</v>
      </c>
      <c r="G6450" t="s">
        <v>16</v>
      </c>
      <c r="J6450" t="str">
        <f>"05/29/2019 00:38"</f>
        <v>05/29/2019 00:38</v>
      </c>
    </row>
    <row r="6451" spans="1:10" x14ac:dyDescent="0.3">
      <c r="A6451" t="s">
        <v>6</v>
      </c>
      <c r="B6451" t="str">
        <f>"05/29/2019 00:00"</f>
        <v>05/29/2019 00:00</v>
      </c>
      <c r="C6451">
        <v>0</v>
      </c>
      <c r="D6451" t="s">
        <v>7</v>
      </c>
      <c r="E6451" s="2" t="s">
        <v>12</v>
      </c>
      <c r="F6451">
        <f t="shared" si="100"/>
        <v>0</v>
      </c>
      <c r="G6451" t="s">
        <v>16</v>
      </c>
      <c r="J6451" t="str">
        <f>"05/30/2019 00:44"</f>
        <v>05/30/2019 00:44</v>
      </c>
    </row>
    <row r="6452" spans="1:10" x14ac:dyDescent="0.3">
      <c r="A6452" t="s">
        <v>6</v>
      </c>
      <c r="B6452" t="str">
        <f>"05/30/2019 00:00"</f>
        <v>05/30/2019 00:00</v>
      </c>
      <c r="C6452">
        <v>0</v>
      </c>
      <c r="D6452" t="s">
        <v>7</v>
      </c>
      <c r="E6452" s="2" t="s">
        <v>12</v>
      </c>
      <c r="F6452">
        <f t="shared" si="100"/>
        <v>0</v>
      </c>
      <c r="G6452" t="s">
        <v>16</v>
      </c>
      <c r="J6452" t="str">
        <f>"05/31/2019 00:38"</f>
        <v>05/31/2019 00:38</v>
      </c>
    </row>
    <row r="6453" spans="1:10" x14ac:dyDescent="0.3">
      <c r="A6453" t="s">
        <v>6</v>
      </c>
      <c r="B6453" t="str">
        <f>"05/31/2019 00:00"</f>
        <v>05/31/2019 00:00</v>
      </c>
      <c r="C6453">
        <v>0</v>
      </c>
      <c r="D6453" t="s">
        <v>7</v>
      </c>
      <c r="E6453" s="2" t="s">
        <v>12</v>
      </c>
      <c r="F6453">
        <f t="shared" si="100"/>
        <v>0</v>
      </c>
      <c r="G6453" t="s">
        <v>16</v>
      </c>
      <c r="J6453" t="str">
        <f>"06/01/2019 00:38"</f>
        <v>06/01/2019 00:38</v>
      </c>
    </row>
    <row r="6454" spans="1:10" x14ac:dyDescent="0.3">
      <c r="A6454" t="s">
        <v>6</v>
      </c>
      <c r="B6454" t="str">
        <f>"06/01/2019 00:00"</f>
        <v>06/01/2019 00:00</v>
      </c>
      <c r="C6454">
        <v>0</v>
      </c>
      <c r="D6454" t="s">
        <v>7</v>
      </c>
      <c r="E6454" s="2" t="s">
        <v>12</v>
      </c>
      <c r="F6454">
        <f t="shared" si="100"/>
        <v>0</v>
      </c>
      <c r="G6454" t="s">
        <v>16</v>
      </c>
      <c r="J6454" t="str">
        <f>"06/02/2019 00:38"</f>
        <v>06/02/2019 00:38</v>
      </c>
    </row>
    <row r="6455" spans="1:10" x14ac:dyDescent="0.3">
      <c r="A6455" t="s">
        <v>6</v>
      </c>
      <c r="B6455" t="str">
        <f>"06/02/2019 00:00"</f>
        <v>06/02/2019 00:00</v>
      </c>
      <c r="C6455">
        <v>0</v>
      </c>
      <c r="D6455" t="s">
        <v>7</v>
      </c>
      <c r="E6455" s="2" t="s">
        <v>12</v>
      </c>
      <c r="F6455">
        <f t="shared" si="100"/>
        <v>0</v>
      </c>
      <c r="G6455" t="s">
        <v>16</v>
      </c>
      <c r="J6455" t="str">
        <f>"06/03/2019 00:38"</f>
        <v>06/03/2019 00:38</v>
      </c>
    </row>
    <row r="6456" spans="1:10" x14ac:dyDescent="0.3">
      <c r="A6456" t="s">
        <v>6</v>
      </c>
      <c r="B6456" t="str">
        <f>"06/03/2019 00:00"</f>
        <v>06/03/2019 00:00</v>
      </c>
      <c r="C6456">
        <v>0</v>
      </c>
      <c r="D6456" t="s">
        <v>7</v>
      </c>
      <c r="E6456" s="2" t="s">
        <v>12</v>
      </c>
      <c r="F6456">
        <f t="shared" si="100"/>
        <v>0</v>
      </c>
      <c r="G6456" t="s">
        <v>16</v>
      </c>
      <c r="J6456" t="str">
        <f>"06/04/2019 00:38"</f>
        <v>06/04/2019 00:38</v>
      </c>
    </row>
    <row r="6457" spans="1:10" x14ac:dyDescent="0.3">
      <c r="A6457" t="s">
        <v>6</v>
      </c>
      <c r="B6457" t="str">
        <f>"06/04/2019 00:00"</f>
        <v>06/04/2019 00:00</v>
      </c>
      <c r="C6457">
        <v>0</v>
      </c>
      <c r="D6457" t="s">
        <v>7</v>
      </c>
      <c r="E6457" s="2" t="s">
        <v>12</v>
      </c>
      <c r="F6457">
        <f t="shared" si="100"/>
        <v>0</v>
      </c>
      <c r="G6457" t="s">
        <v>16</v>
      </c>
      <c r="J6457" t="str">
        <f>"06/05/2019 00:38"</f>
        <v>06/05/2019 00:38</v>
      </c>
    </row>
    <row r="6458" spans="1:10" x14ac:dyDescent="0.3">
      <c r="A6458" t="s">
        <v>6</v>
      </c>
      <c r="B6458" t="str">
        <f>"06/05/2019 00:00"</f>
        <v>06/05/2019 00:00</v>
      </c>
      <c r="C6458">
        <v>0</v>
      </c>
      <c r="D6458" t="s">
        <v>7</v>
      </c>
      <c r="E6458" s="2" t="s">
        <v>12</v>
      </c>
      <c r="F6458">
        <f t="shared" si="100"/>
        <v>0</v>
      </c>
      <c r="G6458" t="s">
        <v>16</v>
      </c>
      <c r="J6458" t="str">
        <f>"06/06/2019 00:38"</f>
        <v>06/06/2019 00:38</v>
      </c>
    </row>
    <row r="6459" spans="1:10" x14ac:dyDescent="0.3">
      <c r="A6459" t="s">
        <v>6</v>
      </c>
      <c r="B6459" t="str">
        <f>"06/06/2019 00:00"</f>
        <v>06/06/2019 00:00</v>
      </c>
      <c r="C6459">
        <v>0</v>
      </c>
      <c r="D6459" t="s">
        <v>7</v>
      </c>
      <c r="E6459" s="2" t="s">
        <v>12</v>
      </c>
      <c r="F6459">
        <f t="shared" si="100"/>
        <v>0</v>
      </c>
      <c r="G6459" t="s">
        <v>16</v>
      </c>
      <c r="J6459" t="str">
        <f>"06/07/2019 00:39"</f>
        <v>06/07/2019 00:39</v>
      </c>
    </row>
    <row r="6460" spans="1:10" x14ac:dyDescent="0.3">
      <c r="A6460" t="s">
        <v>6</v>
      </c>
      <c r="B6460" t="str">
        <f>"06/07/2019 00:00"</f>
        <v>06/07/2019 00:00</v>
      </c>
      <c r="C6460">
        <v>0</v>
      </c>
      <c r="D6460" t="s">
        <v>7</v>
      </c>
      <c r="E6460" s="2" t="s">
        <v>12</v>
      </c>
      <c r="F6460">
        <f t="shared" si="100"/>
        <v>0</v>
      </c>
      <c r="G6460" t="s">
        <v>16</v>
      </c>
      <c r="J6460" t="str">
        <f>"06/08/2019 00:38"</f>
        <v>06/08/2019 00:38</v>
      </c>
    </row>
    <row r="6461" spans="1:10" x14ac:dyDescent="0.3">
      <c r="A6461" t="s">
        <v>6</v>
      </c>
      <c r="B6461" t="str">
        <f>"06/08/2019 00:00"</f>
        <v>06/08/2019 00:00</v>
      </c>
      <c r="C6461">
        <v>0</v>
      </c>
      <c r="D6461" t="s">
        <v>7</v>
      </c>
      <c r="E6461" s="2" t="s">
        <v>12</v>
      </c>
      <c r="F6461">
        <f t="shared" si="100"/>
        <v>0</v>
      </c>
      <c r="G6461" t="s">
        <v>16</v>
      </c>
      <c r="J6461" t="str">
        <f>"06/09/2019 00:38"</f>
        <v>06/09/2019 00:38</v>
      </c>
    </row>
    <row r="6462" spans="1:10" x14ac:dyDescent="0.3">
      <c r="A6462" t="s">
        <v>6</v>
      </c>
      <c r="B6462" t="str">
        <f>"06/09/2019 00:00"</f>
        <v>06/09/2019 00:00</v>
      </c>
      <c r="C6462">
        <v>0</v>
      </c>
      <c r="D6462" t="s">
        <v>7</v>
      </c>
      <c r="E6462" s="2" t="s">
        <v>12</v>
      </c>
      <c r="F6462">
        <f t="shared" si="100"/>
        <v>0</v>
      </c>
      <c r="G6462" t="s">
        <v>16</v>
      </c>
      <c r="J6462" t="str">
        <f>"06/10/2019 00:38"</f>
        <v>06/10/2019 00:38</v>
      </c>
    </row>
    <row r="6463" spans="1:10" x14ac:dyDescent="0.3">
      <c r="A6463" t="s">
        <v>6</v>
      </c>
      <c r="B6463" t="str">
        <f>"06/10/2019 00:00"</f>
        <v>06/10/2019 00:00</v>
      </c>
      <c r="C6463">
        <v>0</v>
      </c>
      <c r="D6463" t="s">
        <v>7</v>
      </c>
      <c r="E6463" s="2" t="s">
        <v>12</v>
      </c>
      <c r="F6463">
        <f t="shared" si="100"/>
        <v>0</v>
      </c>
      <c r="G6463" t="s">
        <v>16</v>
      </c>
      <c r="J6463" t="str">
        <f>"06/11/2019 00:38"</f>
        <v>06/11/2019 00:38</v>
      </c>
    </row>
    <row r="6464" spans="1:10" x14ac:dyDescent="0.3">
      <c r="A6464" t="s">
        <v>6</v>
      </c>
      <c r="B6464" t="str">
        <f>"06/11/2019 00:00"</f>
        <v>06/11/2019 00:00</v>
      </c>
      <c r="C6464">
        <v>0</v>
      </c>
      <c r="D6464" t="s">
        <v>7</v>
      </c>
      <c r="E6464" s="2" t="s">
        <v>12</v>
      </c>
      <c r="F6464">
        <f t="shared" si="100"/>
        <v>0</v>
      </c>
      <c r="G6464" t="s">
        <v>16</v>
      </c>
      <c r="J6464" t="str">
        <f>"06/12/2019 00:38"</f>
        <v>06/12/2019 00:38</v>
      </c>
    </row>
    <row r="6465" spans="1:10" x14ac:dyDescent="0.3">
      <c r="A6465" t="s">
        <v>6</v>
      </c>
      <c r="B6465" t="str">
        <f>"06/12/2019 00:00"</f>
        <v>06/12/2019 00:00</v>
      </c>
      <c r="C6465">
        <v>0</v>
      </c>
      <c r="D6465" t="s">
        <v>7</v>
      </c>
      <c r="E6465" s="2" t="s">
        <v>12</v>
      </c>
      <c r="F6465">
        <f t="shared" si="100"/>
        <v>0</v>
      </c>
      <c r="G6465" t="s">
        <v>16</v>
      </c>
      <c r="J6465" t="str">
        <f>"06/13/2019 00:38"</f>
        <v>06/13/2019 00:38</v>
      </c>
    </row>
    <row r="6466" spans="1:10" x14ac:dyDescent="0.3">
      <c r="A6466" t="s">
        <v>6</v>
      </c>
      <c r="B6466" t="str">
        <f>"06/13/2019 00:00"</f>
        <v>06/13/2019 00:00</v>
      </c>
      <c r="C6466">
        <v>0</v>
      </c>
      <c r="D6466" t="s">
        <v>7</v>
      </c>
      <c r="E6466" s="2" t="s">
        <v>12</v>
      </c>
      <c r="F6466">
        <f t="shared" si="100"/>
        <v>0</v>
      </c>
      <c r="G6466" t="s">
        <v>16</v>
      </c>
      <c r="J6466" t="str">
        <f>"06/14/2019 00:38"</f>
        <v>06/14/2019 00:38</v>
      </c>
    </row>
    <row r="6467" spans="1:10" x14ac:dyDescent="0.3">
      <c r="A6467" t="s">
        <v>6</v>
      </c>
      <c r="B6467" t="str">
        <f>"06/14/2019 00:00"</f>
        <v>06/14/2019 00:00</v>
      </c>
      <c r="C6467">
        <v>0</v>
      </c>
      <c r="D6467" t="s">
        <v>7</v>
      </c>
      <c r="E6467" s="2" t="s">
        <v>12</v>
      </c>
      <c r="F6467">
        <f t="shared" si="100"/>
        <v>0</v>
      </c>
      <c r="G6467" t="s">
        <v>16</v>
      </c>
      <c r="J6467" t="str">
        <f>"06/15/2019 00:38"</f>
        <v>06/15/2019 00:38</v>
      </c>
    </row>
    <row r="6468" spans="1:10" x14ac:dyDescent="0.3">
      <c r="A6468" t="s">
        <v>6</v>
      </c>
      <c r="B6468" t="str">
        <f>"06/15/2019 00:00"</f>
        <v>06/15/2019 00:00</v>
      </c>
      <c r="C6468">
        <v>0</v>
      </c>
      <c r="D6468" t="s">
        <v>7</v>
      </c>
      <c r="E6468" s="2" t="s">
        <v>12</v>
      </c>
      <c r="F6468">
        <f t="shared" ref="F6468:F6531" si="101">C6468*1.983</f>
        <v>0</v>
      </c>
      <c r="G6468" t="s">
        <v>16</v>
      </c>
      <c r="J6468" t="str">
        <f>"06/16/2019 00:38"</f>
        <v>06/16/2019 00:38</v>
      </c>
    </row>
    <row r="6469" spans="1:10" x14ac:dyDescent="0.3">
      <c r="A6469" t="s">
        <v>6</v>
      </c>
      <c r="B6469" t="str">
        <f>"06/16/2019 00:00"</f>
        <v>06/16/2019 00:00</v>
      </c>
      <c r="C6469">
        <v>0</v>
      </c>
      <c r="D6469" t="s">
        <v>7</v>
      </c>
      <c r="E6469" s="2" t="s">
        <v>12</v>
      </c>
      <c r="F6469">
        <f t="shared" si="101"/>
        <v>0</v>
      </c>
      <c r="G6469" t="s">
        <v>16</v>
      </c>
      <c r="J6469" t="str">
        <f>"06/17/2019 00:38"</f>
        <v>06/17/2019 00:38</v>
      </c>
    </row>
    <row r="6470" spans="1:10" x14ac:dyDescent="0.3">
      <c r="A6470" t="s">
        <v>6</v>
      </c>
      <c r="B6470" t="str">
        <f>"06/17/2019 00:00"</f>
        <v>06/17/2019 00:00</v>
      </c>
      <c r="C6470">
        <v>0</v>
      </c>
      <c r="D6470" t="s">
        <v>7</v>
      </c>
      <c r="E6470" s="2" t="s">
        <v>12</v>
      </c>
      <c r="F6470">
        <f t="shared" si="101"/>
        <v>0</v>
      </c>
      <c r="G6470" t="s">
        <v>16</v>
      </c>
      <c r="J6470" t="str">
        <f>"06/18/2019 00:38"</f>
        <v>06/18/2019 00:38</v>
      </c>
    </row>
    <row r="6471" spans="1:10" x14ac:dyDescent="0.3">
      <c r="A6471" t="s">
        <v>6</v>
      </c>
      <c r="B6471" t="str">
        <f>"06/18/2019 00:00"</f>
        <v>06/18/2019 00:00</v>
      </c>
      <c r="C6471">
        <v>0</v>
      </c>
      <c r="D6471" t="s">
        <v>7</v>
      </c>
      <c r="E6471" s="2" t="s">
        <v>12</v>
      </c>
      <c r="F6471">
        <f t="shared" si="101"/>
        <v>0</v>
      </c>
      <c r="G6471" t="s">
        <v>16</v>
      </c>
      <c r="J6471" t="str">
        <f>"06/19/2019 00:38"</f>
        <v>06/19/2019 00:38</v>
      </c>
    </row>
    <row r="6472" spans="1:10" x14ac:dyDescent="0.3">
      <c r="A6472" t="s">
        <v>6</v>
      </c>
      <c r="B6472" t="str">
        <f>"06/19/2019 00:00"</f>
        <v>06/19/2019 00:00</v>
      </c>
      <c r="C6472">
        <v>0</v>
      </c>
      <c r="D6472" t="s">
        <v>7</v>
      </c>
      <c r="E6472" s="2" t="s">
        <v>12</v>
      </c>
      <c r="F6472">
        <f t="shared" si="101"/>
        <v>0</v>
      </c>
      <c r="G6472" t="s">
        <v>16</v>
      </c>
      <c r="J6472" t="str">
        <f>"06/20/2019 00:38"</f>
        <v>06/20/2019 00:38</v>
      </c>
    </row>
    <row r="6473" spans="1:10" x14ac:dyDescent="0.3">
      <c r="A6473" t="s">
        <v>6</v>
      </c>
      <c r="B6473" t="str">
        <f>"06/20/2019 00:00"</f>
        <v>06/20/2019 00:00</v>
      </c>
      <c r="C6473">
        <v>0</v>
      </c>
      <c r="D6473" t="s">
        <v>7</v>
      </c>
      <c r="E6473" s="2" t="s">
        <v>12</v>
      </c>
      <c r="F6473">
        <f t="shared" si="101"/>
        <v>0</v>
      </c>
      <c r="G6473" t="s">
        <v>16</v>
      </c>
      <c r="J6473" t="str">
        <f>"06/21/2019 00:38"</f>
        <v>06/21/2019 00:38</v>
      </c>
    </row>
    <row r="6474" spans="1:10" x14ac:dyDescent="0.3">
      <c r="A6474" t="s">
        <v>6</v>
      </c>
      <c r="B6474" t="str">
        <f>"06/21/2019 00:00"</f>
        <v>06/21/2019 00:00</v>
      </c>
      <c r="C6474">
        <v>0</v>
      </c>
      <c r="D6474" t="s">
        <v>7</v>
      </c>
      <c r="E6474" s="2" t="s">
        <v>12</v>
      </c>
      <c r="F6474">
        <f t="shared" si="101"/>
        <v>0</v>
      </c>
      <c r="G6474" t="s">
        <v>16</v>
      </c>
      <c r="J6474" t="str">
        <f>"06/22/2019 00:38"</f>
        <v>06/22/2019 00:38</v>
      </c>
    </row>
    <row r="6475" spans="1:10" x14ac:dyDescent="0.3">
      <c r="A6475" t="s">
        <v>6</v>
      </c>
      <c r="B6475" t="str">
        <f>"06/22/2019 00:00"</f>
        <v>06/22/2019 00:00</v>
      </c>
      <c r="C6475">
        <v>0</v>
      </c>
      <c r="D6475" t="s">
        <v>7</v>
      </c>
      <c r="E6475" s="2" t="s">
        <v>12</v>
      </c>
      <c r="F6475">
        <f t="shared" si="101"/>
        <v>0</v>
      </c>
      <c r="G6475" t="s">
        <v>16</v>
      </c>
      <c r="J6475" t="str">
        <f>"06/23/2019 00:38"</f>
        <v>06/23/2019 00:38</v>
      </c>
    </row>
    <row r="6476" spans="1:10" x14ac:dyDescent="0.3">
      <c r="A6476" t="s">
        <v>6</v>
      </c>
      <c r="B6476" t="str">
        <f>"06/23/2019 00:00"</f>
        <v>06/23/2019 00:00</v>
      </c>
      <c r="C6476">
        <v>0</v>
      </c>
      <c r="D6476" t="s">
        <v>7</v>
      </c>
      <c r="E6476" s="2" t="s">
        <v>12</v>
      </c>
      <c r="F6476">
        <f t="shared" si="101"/>
        <v>0</v>
      </c>
      <c r="G6476" t="s">
        <v>16</v>
      </c>
      <c r="J6476" t="str">
        <f>"06/24/2019 00:38"</f>
        <v>06/24/2019 00:38</v>
      </c>
    </row>
    <row r="6477" spans="1:10" x14ac:dyDescent="0.3">
      <c r="A6477" t="s">
        <v>6</v>
      </c>
      <c r="B6477" t="str">
        <f>"06/24/2019 00:00"</f>
        <v>06/24/2019 00:00</v>
      </c>
      <c r="C6477">
        <v>0</v>
      </c>
      <c r="D6477" t="s">
        <v>7</v>
      </c>
      <c r="E6477" s="2" t="s">
        <v>12</v>
      </c>
      <c r="F6477">
        <f t="shared" si="101"/>
        <v>0</v>
      </c>
      <c r="G6477" t="s">
        <v>16</v>
      </c>
      <c r="J6477" t="str">
        <f>"06/25/2019 00:38"</f>
        <v>06/25/2019 00:38</v>
      </c>
    </row>
    <row r="6478" spans="1:10" x14ac:dyDescent="0.3">
      <c r="A6478" t="s">
        <v>6</v>
      </c>
      <c r="B6478" t="str">
        <f>"06/25/2019 00:00"</f>
        <v>06/25/2019 00:00</v>
      </c>
      <c r="C6478">
        <v>0</v>
      </c>
      <c r="D6478" t="s">
        <v>7</v>
      </c>
      <c r="E6478" s="2" t="s">
        <v>12</v>
      </c>
      <c r="F6478">
        <f t="shared" si="101"/>
        <v>0</v>
      </c>
      <c r="G6478" t="s">
        <v>16</v>
      </c>
      <c r="J6478" t="str">
        <f>"06/26/2019 00:38"</f>
        <v>06/26/2019 00:38</v>
      </c>
    </row>
    <row r="6479" spans="1:10" x14ac:dyDescent="0.3">
      <c r="A6479" t="s">
        <v>6</v>
      </c>
      <c r="B6479" t="str">
        <f>"06/26/2019 00:00"</f>
        <v>06/26/2019 00:00</v>
      </c>
      <c r="C6479">
        <v>0</v>
      </c>
      <c r="D6479" t="s">
        <v>7</v>
      </c>
      <c r="E6479" s="2" t="s">
        <v>12</v>
      </c>
      <c r="F6479">
        <f t="shared" si="101"/>
        <v>0</v>
      </c>
      <c r="G6479" t="s">
        <v>16</v>
      </c>
      <c r="J6479" t="str">
        <f>"06/27/2019 00:38"</f>
        <v>06/27/2019 00:38</v>
      </c>
    </row>
    <row r="6480" spans="1:10" x14ac:dyDescent="0.3">
      <c r="A6480" t="s">
        <v>6</v>
      </c>
      <c r="B6480" t="str">
        <f>"06/27/2019 00:00"</f>
        <v>06/27/2019 00:00</v>
      </c>
      <c r="C6480">
        <v>0</v>
      </c>
      <c r="D6480" t="s">
        <v>7</v>
      </c>
      <c r="E6480" s="2" t="s">
        <v>12</v>
      </c>
      <c r="F6480">
        <f t="shared" si="101"/>
        <v>0</v>
      </c>
      <c r="G6480" t="s">
        <v>16</v>
      </c>
      <c r="J6480" t="str">
        <f>"06/28/2019 00:38"</f>
        <v>06/28/2019 00:38</v>
      </c>
    </row>
    <row r="6481" spans="1:10" x14ac:dyDescent="0.3">
      <c r="A6481" t="s">
        <v>6</v>
      </c>
      <c r="B6481" t="str">
        <f>"06/28/2019 00:00"</f>
        <v>06/28/2019 00:00</v>
      </c>
      <c r="C6481">
        <v>0</v>
      </c>
      <c r="D6481" t="s">
        <v>7</v>
      </c>
      <c r="E6481" s="2" t="s">
        <v>12</v>
      </c>
      <c r="F6481">
        <f t="shared" si="101"/>
        <v>0</v>
      </c>
      <c r="G6481" t="s">
        <v>16</v>
      </c>
      <c r="J6481" t="str">
        <f>"06/29/2019 00:38"</f>
        <v>06/29/2019 00:38</v>
      </c>
    </row>
    <row r="6482" spans="1:10" x14ac:dyDescent="0.3">
      <c r="A6482" t="s">
        <v>6</v>
      </c>
      <c r="B6482" t="str">
        <f>"06/29/2019 00:00"</f>
        <v>06/29/2019 00:00</v>
      </c>
      <c r="C6482">
        <v>0</v>
      </c>
      <c r="D6482" t="s">
        <v>7</v>
      </c>
      <c r="E6482" s="2" t="s">
        <v>12</v>
      </c>
      <c r="F6482">
        <f t="shared" si="101"/>
        <v>0</v>
      </c>
      <c r="G6482" t="s">
        <v>16</v>
      </c>
      <c r="J6482" t="str">
        <f>"06/30/2019 00:38"</f>
        <v>06/30/2019 00:38</v>
      </c>
    </row>
    <row r="6483" spans="1:10" x14ac:dyDescent="0.3">
      <c r="A6483" t="s">
        <v>6</v>
      </c>
      <c r="B6483" t="str">
        <f>"06/30/2019 00:00"</f>
        <v>06/30/2019 00:00</v>
      </c>
      <c r="C6483">
        <v>0</v>
      </c>
      <c r="D6483" t="s">
        <v>7</v>
      </c>
      <c r="E6483" s="2" t="s">
        <v>12</v>
      </c>
      <c r="F6483">
        <f t="shared" si="101"/>
        <v>0</v>
      </c>
      <c r="G6483" t="s">
        <v>16</v>
      </c>
      <c r="J6483" t="str">
        <f>"07/01/2019 00:38"</f>
        <v>07/01/2019 00:38</v>
      </c>
    </row>
    <row r="6484" spans="1:10" x14ac:dyDescent="0.3">
      <c r="A6484" t="s">
        <v>6</v>
      </c>
      <c r="B6484" t="str">
        <f>"07/01/2019 00:00"</f>
        <v>07/01/2019 00:00</v>
      </c>
      <c r="C6484">
        <v>0</v>
      </c>
      <c r="D6484" t="s">
        <v>7</v>
      </c>
      <c r="E6484" s="2" t="s">
        <v>12</v>
      </c>
      <c r="F6484">
        <f t="shared" si="101"/>
        <v>0</v>
      </c>
      <c r="G6484" t="s">
        <v>16</v>
      </c>
      <c r="J6484" t="str">
        <f>"07/02/2019 00:38"</f>
        <v>07/02/2019 00:38</v>
      </c>
    </row>
    <row r="6485" spans="1:10" x14ac:dyDescent="0.3">
      <c r="A6485" t="s">
        <v>6</v>
      </c>
      <c r="B6485" t="str">
        <f>"07/02/2019 00:00"</f>
        <v>07/02/2019 00:00</v>
      </c>
      <c r="C6485">
        <v>0</v>
      </c>
      <c r="D6485" t="s">
        <v>7</v>
      </c>
      <c r="E6485" s="2" t="s">
        <v>12</v>
      </c>
      <c r="F6485">
        <f t="shared" si="101"/>
        <v>0</v>
      </c>
      <c r="G6485" t="s">
        <v>16</v>
      </c>
      <c r="J6485" t="str">
        <f>"07/03/2019 00:38"</f>
        <v>07/03/2019 00:38</v>
      </c>
    </row>
    <row r="6486" spans="1:10" x14ac:dyDescent="0.3">
      <c r="A6486" t="s">
        <v>6</v>
      </c>
      <c r="B6486" t="str">
        <f>"07/03/2019 00:00"</f>
        <v>07/03/2019 00:00</v>
      </c>
      <c r="C6486">
        <v>0</v>
      </c>
      <c r="D6486" t="s">
        <v>7</v>
      </c>
      <c r="E6486" s="2" t="s">
        <v>12</v>
      </c>
      <c r="F6486">
        <f t="shared" si="101"/>
        <v>0</v>
      </c>
      <c r="G6486" t="s">
        <v>16</v>
      </c>
      <c r="J6486" t="str">
        <f>"07/04/2019 00:38"</f>
        <v>07/04/2019 00:38</v>
      </c>
    </row>
    <row r="6487" spans="1:10" x14ac:dyDescent="0.3">
      <c r="A6487" t="s">
        <v>6</v>
      </c>
      <c r="B6487" t="str">
        <f>"07/04/2019 00:00"</f>
        <v>07/04/2019 00:00</v>
      </c>
      <c r="C6487">
        <v>0</v>
      </c>
      <c r="D6487" t="s">
        <v>7</v>
      </c>
      <c r="E6487" s="2" t="s">
        <v>12</v>
      </c>
      <c r="F6487">
        <f t="shared" si="101"/>
        <v>0</v>
      </c>
      <c r="G6487" t="s">
        <v>16</v>
      </c>
      <c r="J6487" t="str">
        <f>"07/05/2019 00:38"</f>
        <v>07/05/2019 00:38</v>
      </c>
    </row>
    <row r="6488" spans="1:10" x14ac:dyDescent="0.3">
      <c r="A6488" t="s">
        <v>6</v>
      </c>
      <c r="B6488" t="str">
        <f>"07/05/2019 00:00"</f>
        <v>07/05/2019 00:00</v>
      </c>
      <c r="C6488">
        <v>0</v>
      </c>
      <c r="D6488" t="s">
        <v>7</v>
      </c>
      <c r="E6488" s="2" t="s">
        <v>12</v>
      </c>
      <c r="F6488">
        <f t="shared" si="101"/>
        <v>0</v>
      </c>
      <c r="G6488" t="s">
        <v>16</v>
      </c>
      <c r="J6488" t="str">
        <f>"07/06/2019 00:41"</f>
        <v>07/06/2019 00:41</v>
      </c>
    </row>
    <row r="6489" spans="1:10" x14ac:dyDescent="0.3">
      <c r="A6489" t="s">
        <v>6</v>
      </c>
      <c r="B6489" t="str">
        <f>"07/06/2019 00:00"</f>
        <v>07/06/2019 00:00</v>
      </c>
      <c r="C6489">
        <v>0</v>
      </c>
      <c r="D6489" t="s">
        <v>7</v>
      </c>
      <c r="E6489" s="2" t="s">
        <v>12</v>
      </c>
      <c r="F6489">
        <f t="shared" si="101"/>
        <v>0</v>
      </c>
      <c r="G6489" t="s">
        <v>16</v>
      </c>
      <c r="J6489" t="str">
        <f>"07/07/2019 00:42"</f>
        <v>07/07/2019 00:42</v>
      </c>
    </row>
    <row r="6490" spans="1:10" x14ac:dyDescent="0.3">
      <c r="A6490" t="s">
        <v>6</v>
      </c>
      <c r="B6490" t="str">
        <f>"07/07/2019 00:00"</f>
        <v>07/07/2019 00:00</v>
      </c>
      <c r="C6490">
        <v>0</v>
      </c>
      <c r="D6490" t="s">
        <v>7</v>
      </c>
      <c r="E6490" s="2" t="s">
        <v>12</v>
      </c>
      <c r="F6490">
        <f t="shared" si="101"/>
        <v>0</v>
      </c>
      <c r="G6490" t="s">
        <v>16</v>
      </c>
      <c r="J6490" t="str">
        <f>"07/08/2019 00:40"</f>
        <v>07/08/2019 00:40</v>
      </c>
    </row>
    <row r="6491" spans="1:10" x14ac:dyDescent="0.3">
      <c r="A6491" t="s">
        <v>6</v>
      </c>
      <c r="B6491" t="str">
        <f>"07/08/2019 00:00"</f>
        <v>07/08/2019 00:00</v>
      </c>
      <c r="C6491">
        <v>0</v>
      </c>
      <c r="D6491" t="s">
        <v>7</v>
      </c>
      <c r="E6491" s="2" t="s">
        <v>12</v>
      </c>
      <c r="F6491">
        <f t="shared" si="101"/>
        <v>0</v>
      </c>
      <c r="G6491" t="s">
        <v>16</v>
      </c>
      <c r="J6491" t="str">
        <f>"07/09/2019 00:38"</f>
        <v>07/09/2019 00:38</v>
      </c>
    </row>
    <row r="6492" spans="1:10" x14ac:dyDescent="0.3">
      <c r="A6492" t="s">
        <v>6</v>
      </c>
      <c r="B6492" t="str">
        <f>"07/09/2019 00:00"</f>
        <v>07/09/2019 00:00</v>
      </c>
      <c r="C6492">
        <v>0</v>
      </c>
      <c r="D6492" t="s">
        <v>7</v>
      </c>
      <c r="E6492" s="2" t="s">
        <v>12</v>
      </c>
      <c r="F6492">
        <f t="shared" si="101"/>
        <v>0</v>
      </c>
      <c r="G6492" t="s">
        <v>16</v>
      </c>
      <c r="J6492" t="str">
        <f>"07/10/2019 00:39"</f>
        <v>07/10/2019 00:39</v>
      </c>
    </row>
    <row r="6493" spans="1:10" x14ac:dyDescent="0.3">
      <c r="A6493" t="s">
        <v>6</v>
      </c>
      <c r="B6493" t="str">
        <f>"07/10/2019 00:00"</f>
        <v>07/10/2019 00:00</v>
      </c>
      <c r="C6493">
        <v>0</v>
      </c>
      <c r="D6493" t="s">
        <v>7</v>
      </c>
      <c r="E6493" s="2" t="s">
        <v>12</v>
      </c>
      <c r="F6493">
        <f t="shared" si="101"/>
        <v>0</v>
      </c>
      <c r="G6493" t="s">
        <v>16</v>
      </c>
      <c r="J6493" t="str">
        <f>"07/11/2019 00:38"</f>
        <v>07/11/2019 00:38</v>
      </c>
    </row>
    <row r="6494" spans="1:10" x14ac:dyDescent="0.3">
      <c r="A6494" t="s">
        <v>6</v>
      </c>
      <c r="B6494" t="str">
        <f>"07/11/2019 00:00"</f>
        <v>07/11/2019 00:00</v>
      </c>
      <c r="C6494">
        <v>0</v>
      </c>
      <c r="D6494" t="s">
        <v>7</v>
      </c>
      <c r="E6494" s="2" t="s">
        <v>12</v>
      </c>
      <c r="F6494">
        <f t="shared" si="101"/>
        <v>0</v>
      </c>
      <c r="G6494" t="s">
        <v>16</v>
      </c>
      <c r="J6494" t="str">
        <f>"07/12/2019 00:39"</f>
        <v>07/12/2019 00:39</v>
      </c>
    </row>
    <row r="6495" spans="1:10" x14ac:dyDescent="0.3">
      <c r="A6495" t="s">
        <v>6</v>
      </c>
      <c r="B6495" t="str">
        <f>"07/12/2019 00:00"</f>
        <v>07/12/2019 00:00</v>
      </c>
      <c r="C6495">
        <v>0</v>
      </c>
      <c r="D6495" t="s">
        <v>7</v>
      </c>
      <c r="E6495" s="2" t="s">
        <v>12</v>
      </c>
      <c r="F6495">
        <f t="shared" si="101"/>
        <v>0</v>
      </c>
      <c r="G6495" t="s">
        <v>16</v>
      </c>
      <c r="J6495" t="str">
        <f>"07/13/2019 00:38"</f>
        <v>07/13/2019 00:38</v>
      </c>
    </row>
    <row r="6496" spans="1:10" x14ac:dyDescent="0.3">
      <c r="A6496" t="s">
        <v>6</v>
      </c>
      <c r="B6496" t="str">
        <f>"07/13/2019 00:00"</f>
        <v>07/13/2019 00:00</v>
      </c>
      <c r="C6496">
        <v>0</v>
      </c>
      <c r="D6496" t="s">
        <v>7</v>
      </c>
      <c r="E6496" s="2" t="s">
        <v>12</v>
      </c>
      <c r="F6496">
        <f t="shared" si="101"/>
        <v>0</v>
      </c>
      <c r="G6496" t="s">
        <v>16</v>
      </c>
      <c r="J6496" t="str">
        <f>"07/14/2019 00:38"</f>
        <v>07/14/2019 00:38</v>
      </c>
    </row>
    <row r="6497" spans="1:10" x14ac:dyDescent="0.3">
      <c r="A6497" t="s">
        <v>6</v>
      </c>
      <c r="B6497" t="str">
        <f>"07/14/2019 00:00"</f>
        <v>07/14/2019 00:00</v>
      </c>
      <c r="C6497">
        <v>0</v>
      </c>
      <c r="D6497" t="s">
        <v>7</v>
      </c>
      <c r="E6497" s="2" t="s">
        <v>12</v>
      </c>
      <c r="F6497">
        <f t="shared" si="101"/>
        <v>0</v>
      </c>
      <c r="G6497" t="s">
        <v>16</v>
      </c>
      <c r="J6497" t="str">
        <f>"07/15/2019 00:38"</f>
        <v>07/15/2019 00:38</v>
      </c>
    </row>
    <row r="6498" spans="1:10" x14ac:dyDescent="0.3">
      <c r="A6498" t="s">
        <v>6</v>
      </c>
      <c r="B6498" t="str">
        <f>"07/15/2019 00:00"</f>
        <v>07/15/2019 00:00</v>
      </c>
      <c r="C6498">
        <v>0</v>
      </c>
      <c r="D6498" t="s">
        <v>7</v>
      </c>
      <c r="E6498" s="2" t="s">
        <v>12</v>
      </c>
      <c r="F6498">
        <f t="shared" si="101"/>
        <v>0</v>
      </c>
      <c r="G6498" t="s">
        <v>16</v>
      </c>
      <c r="J6498" t="str">
        <f>"07/16/2019 00:38"</f>
        <v>07/16/2019 00:38</v>
      </c>
    </row>
    <row r="6499" spans="1:10" x14ac:dyDescent="0.3">
      <c r="A6499" t="s">
        <v>6</v>
      </c>
      <c r="B6499" t="str">
        <f>"07/16/2019 00:00"</f>
        <v>07/16/2019 00:00</v>
      </c>
      <c r="C6499">
        <v>0</v>
      </c>
      <c r="D6499" t="s">
        <v>7</v>
      </c>
      <c r="E6499" s="2" t="s">
        <v>12</v>
      </c>
      <c r="F6499">
        <f t="shared" si="101"/>
        <v>0</v>
      </c>
      <c r="G6499" t="s">
        <v>16</v>
      </c>
      <c r="J6499" t="str">
        <f>"07/17/2019 00:38"</f>
        <v>07/17/2019 00:38</v>
      </c>
    </row>
    <row r="6500" spans="1:10" x14ac:dyDescent="0.3">
      <c r="A6500" t="s">
        <v>6</v>
      </c>
      <c r="B6500" t="str">
        <f>"07/17/2019 00:00"</f>
        <v>07/17/2019 00:00</v>
      </c>
      <c r="C6500">
        <v>0</v>
      </c>
      <c r="D6500" t="s">
        <v>7</v>
      </c>
      <c r="E6500" s="2" t="s">
        <v>12</v>
      </c>
      <c r="F6500">
        <f t="shared" si="101"/>
        <v>0</v>
      </c>
      <c r="G6500" t="s">
        <v>16</v>
      </c>
      <c r="J6500" t="str">
        <f>"07/18/2019 00:38"</f>
        <v>07/18/2019 00:38</v>
      </c>
    </row>
    <row r="6501" spans="1:10" x14ac:dyDescent="0.3">
      <c r="A6501" t="s">
        <v>6</v>
      </c>
      <c r="B6501" t="str">
        <f>"07/18/2019 00:00"</f>
        <v>07/18/2019 00:00</v>
      </c>
      <c r="C6501">
        <v>0</v>
      </c>
      <c r="D6501" t="s">
        <v>7</v>
      </c>
      <c r="E6501" s="2" t="s">
        <v>12</v>
      </c>
      <c r="F6501">
        <f t="shared" si="101"/>
        <v>0</v>
      </c>
      <c r="G6501" t="s">
        <v>16</v>
      </c>
      <c r="J6501" t="str">
        <f>"07/19/2019 00:39"</f>
        <v>07/19/2019 00:39</v>
      </c>
    </row>
    <row r="6502" spans="1:10" x14ac:dyDescent="0.3">
      <c r="A6502" t="s">
        <v>6</v>
      </c>
      <c r="B6502" t="str">
        <f>"07/19/2019 00:00"</f>
        <v>07/19/2019 00:00</v>
      </c>
      <c r="C6502">
        <v>0</v>
      </c>
      <c r="D6502" t="s">
        <v>7</v>
      </c>
      <c r="E6502" s="2" t="s">
        <v>12</v>
      </c>
      <c r="F6502">
        <f t="shared" si="101"/>
        <v>0</v>
      </c>
      <c r="G6502" t="s">
        <v>16</v>
      </c>
      <c r="J6502" t="str">
        <f>"07/20/2019 00:38"</f>
        <v>07/20/2019 00:38</v>
      </c>
    </row>
    <row r="6503" spans="1:10" x14ac:dyDescent="0.3">
      <c r="A6503" t="s">
        <v>6</v>
      </c>
      <c r="B6503" t="str">
        <f>"07/20/2019 00:00"</f>
        <v>07/20/2019 00:00</v>
      </c>
      <c r="C6503">
        <v>0</v>
      </c>
      <c r="D6503" t="s">
        <v>7</v>
      </c>
      <c r="E6503" s="2" t="s">
        <v>12</v>
      </c>
      <c r="F6503">
        <f t="shared" si="101"/>
        <v>0</v>
      </c>
      <c r="G6503" t="s">
        <v>16</v>
      </c>
      <c r="J6503" t="str">
        <f>"07/21/2019 00:39"</f>
        <v>07/21/2019 00:39</v>
      </c>
    </row>
    <row r="6504" spans="1:10" x14ac:dyDescent="0.3">
      <c r="A6504" t="s">
        <v>6</v>
      </c>
      <c r="B6504" t="str">
        <f>"07/21/2019 00:00"</f>
        <v>07/21/2019 00:00</v>
      </c>
      <c r="C6504">
        <v>0</v>
      </c>
      <c r="D6504" t="s">
        <v>7</v>
      </c>
      <c r="E6504" s="2" t="s">
        <v>12</v>
      </c>
      <c r="F6504">
        <f t="shared" si="101"/>
        <v>0</v>
      </c>
      <c r="G6504" t="s">
        <v>16</v>
      </c>
      <c r="J6504" t="str">
        <f>"07/22/2019 00:39"</f>
        <v>07/22/2019 00:39</v>
      </c>
    </row>
    <row r="6505" spans="1:10" x14ac:dyDescent="0.3">
      <c r="A6505" t="s">
        <v>6</v>
      </c>
      <c r="B6505" t="str">
        <f>"07/22/2019 00:00"</f>
        <v>07/22/2019 00:00</v>
      </c>
      <c r="C6505">
        <v>0</v>
      </c>
      <c r="D6505" t="s">
        <v>7</v>
      </c>
      <c r="E6505" s="2" t="s">
        <v>12</v>
      </c>
      <c r="F6505">
        <f t="shared" si="101"/>
        <v>0</v>
      </c>
      <c r="G6505" t="s">
        <v>16</v>
      </c>
      <c r="J6505" t="str">
        <f>"07/23/2019 00:39"</f>
        <v>07/23/2019 00:39</v>
      </c>
    </row>
    <row r="6506" spans="1:10" x14ac:dyDescent="0.3">
      <c r="A6506" t="s">
        <v>6</v>
      </c>
      <c r="B6506" t="str">
        <f>"07/23/2019 00:00"</f>
        <v>07/23/2019 00:00</v>
      </c>
      <c r="C6506">
        <v>0</v>
      </c>
      <c r="D6506" t="s">
        <v>7</v>
      </c>
      <c r="E6506" s="2" t="s">
        <v>12</v>
      </c>
      <c r="F6506">
        <f t="shared" si="101"/>
        <v>0</v>
      </c>
      <c r="G6506" t="s">
        <v>16</v>
      </c>
      <c r="J6506" t="str">
        <f>"07/24/2019 00:39"</f>
        <v>07/24/2019 00:39</v>
      </c>
    </row>
    <row r="6507" spans="1:10" x14ac:dyDescent="0.3">
      <c r="A6507" t="s">
        <v>6</v>
      </c>
      <c r="B6507" t="str">
        <f>"07/24/2019 00:00"</f>
        <v>07/24/2019 00:00</v>
      </c>
      <c r="C6507">
        <v>0</v>
      </c>
      <c r="D6507" t="s">
        <v>7</v>
      </c>
      <c r="E6507" s="2" t="s">
        <v>12</v>
      </c>
      <c r="F6507">
        <f t="shared" si="101"/>
        <v>0</v>
      </c>
      <c r="G6507" t="s">
        <v>16</v>
      </c>
      <c r="J6507" t="str">
        <f>"07/25/2019 00:39"</f>
        <v>07/25/2019 00:39</v>
      </c>
    </row>
    <row r="6508" spans="1:10" x14ac:dyDescent="0.3">
      <c r="A6508" t="s">
        <v>6</v>
      </c>
      <c r="B6508" t="str">
        <f>"07/25/2019 00:00"</f>
        <v>07/25/2019 00:00</v>
      </c>
      <c r="C6508">
        <v>0</v>
      </c>
      <c r="D6508" t="s">
        <v>7</v>
      </c>
      <c r="E6508" s="2" t="s">
        <v>12</v>
      </c>
      <c r="F6508">
        <f t="shared" si="101"/>
        <v>0</v>
      </c>
      <c r="G6508" t="s">
        <v>16</v>
      </c>
      <c r="J6508" t="str">
        <f>"07/26/2019 00:39"</f>
        <v>07/26/2019 00:39</v>
      </c>
    </row>
    <row r="6509" spans="1:10" x14ac:dyDescent="0.3">
      <c r="A6509" t="s">
        <v>6</v>
      </c>
      <c r="B6509" t="str">
        <f>"07/26/2019 00:00"</f>
        <v>07/26/2019 00:00</v>
      </c>
      <c r="C6509">
        <v>0</v>
      </c>
      <c r="D6509" t="s">
        <v>7</v>
      </c>
      <c r="E6509" s="2" t="s">
        <v>12</v>
      </c>
      <c r="F6509">
        <f t="shared" si="101"/>
        <v>0</v>
      </c>
      <c r="G6509" t="s">
        <v>16</v>
      </c>
      <c r="J6509" t="str">
        <f>"07/27/2019 00:39"</f>
        <v>07/27/2019 00:39</v>
      </c>
    </row>
    <row r="6510" spans="1:10" x14ac:dyDescent="0.3">
      <c r="A6510" t="s">
        <v>6</v>
      </c>
      <c r="B6510" t="str">
        <f>"07/27/2019 00:00"</f>
        <v>07/27/2019 00:00</v>
      </c>
      <c r="C6510">
        <v>0</v>
      </c>
      <c r="D6510" t="s">
        <v>7</v>
      </c>
      <c r="E6510" s="2" t="s">
        <v>12</v>
      </c>
      <c r="F6510">
        <f t="shared" si="101"/>
        <v>0</v>
      </c>
      <c r="G6510" t="s">
        <v>16</v>
      </c>
      <c r="J6510" t="str">
        <f>"07/28/2019 00:39"</f>
        <v>07/28/2019 00:39</v>
      </c>
    </row>
    <row r="6511" spans="1:10" x14ac:dyDescent="0.3">
      <c r="A6511" t="s">
        <v>6</v>
      </c>
      <c r="B6511" t="str">
        <f>"07/28/2019 00:00"</f>
        <v>07/28/2019 00:00</v>
      </c>
      <c r="C6511">
        <v>0</v>
      </c>
      <c r="D6511" t="s">
        <v>7</v>
      </c>
      <c r="E6511" s="2" t="s">
        <v>12</v>
      </c>
      <c r="F6511">
        <f t="shared" si="101"/>
        <v>0</v>
      </c>
      <c r="G6511" t="s">
        <v>16</v>
      </c>
      <c r="J6511" t="str">
        <f>"07/29/2019 00:39"</f>
        <v>07/29/2019 00:39</v>
      </c>
    </row>
    <row r="6512" spans="1:10" x14ac:dyDescent="0.3">
      <c r="A6512" t="s">
        <v>6</v>
      </c>
      <c r="B6512" t="str">
        <f>"07/29/2019 00:00"</f>
        <v>07/29/2019 00:00</v>
      </c>
      <c r="C6512">
        <v>0</v>
      </c>
      <c r="D6512" t="s">
        <v>7</v>
      </c>
      <c r="E6512" s="2" t="s">
        <v>12</v>
      </c>
      <c r="F6512">
        <f t="shared" si="101"/>
        <v>0</v>
      </c>
      <c r="G6512" t="s">
        <v>16</v>
      </c>
      <c r="J6512" t="str">
        <f>"07/30/2019 00:39"</f>
        <v>07/30/2019 00:39</v>
      </c>
    </row>
    <row r="6513" spans="1:10" x14ac:dyDescent="0.3">
      <c r="A6513" t="s">
        <v>6</v>
      </c>
      <c r="B6513" t="str">
        <f>"07/30/2019 00:00"</f>
        <v>07/30/2019 00:00</v>
      </c>
      <c r="C6513">
        <v>0</v>
      </c>
      <c r="D6513" t="s">
        <v>7</v>
      </c>
      <c r="E6513" s="2" t="s">
        <v>12</v>
      </c>
      <c r="F6513">
        <f t="shared" si="101"/>
        <v>0</v>
      </c>
      <c r="G6513" t="s">
        <v>16</v>
      </c>
      <c r="J6513" t="str">
        <f>"07/31/2019 00:39"</f>
        <v>07/31/2019 00:39</v>
      </c>
    </row>
    <row r="6514" spans="1:10" x14ac:dyDescent="0.3">
      <c r="A6514" t="s">
        <v>6</v>
      </c>
      <c r="B6514" t="str">
        <f>"07/31/2019 00:00"</f>
        <v>07/31/2019 00:00</v>
      </c>
      <c r="C6514">
        <v>0</v>
      </c>
      <c r="D6514" t="s">
        <v>7</v>
      </c>
      <c r="E6514" s="2" t="s">
        <v>12</v>
      </c>
      <c r="F6514">
        <f t="shared" si="101"/>
        <v>0</v>
      </c>
      <c r="G6514" t="s">
        <v>16</v>
      </c>
      <c r="J6514" t="str">
        <f>"08/01/2019 00:39"</f>
        <v>08/01/2019 00:39</v>
      </c>
    </row>
    <row r="6515" spans="1:10" x14ac:dyDescent="0.3">
      <c r="A6515" t="s">
        <v>6</v>
      </c>
      <c r="B6515" t="str">
        <f>"08/01/2019 00:00"</f>
        <v>08/01/2019 00:00</v>
      </c>
      <c r="C6515">
        <v>0</v>
      </c>
      <c r="D6515" t="s">
        <v>7</v>
      </c>
      <c r="E6515" s="2" t="s">
        <v>12</v>
      </c>
      <c r="F6515">
        <f t="shared" si="101"/>
        <v>0</v>
      </c>
      <c r="G6515" t="s">
        <v>16</v>
      </c>
      <c r="J6515" t="str">
        <f>"08/02/2019 00:39"</f>
        <v>08/02/2019 00:39</v>
      </c>
    </row>
    <row r="6516" spans="1:10" x14ac:dyDescent="0.3">
      <c r="A6516" t="s">
        <v>6</v>
      </c>
      <c r="B6516" t="str">
        <f>"08/02/2019 00:00"</f>
        <v>08/02/2019 00:00</v>
      </c>
      <c r="C6516">
        <v>0</v>
      </c>
      <c r="D6516" t="s">
        <v>7</v>
      </c>
      <c r="E6516" s="2" t="s">
        <v>12</v>
      </c>
      <c r="F6516">
        <f t="shared" si="101"/>
        <v>0</v>
      </c>
      <c r="G6516" t="s">
        <v>16</v>
      </c>
      <c r="J6516" t="str">
        <f>"08/03/2019 00:39"</f>
        <v>08/03/2019 00:39</v>
      </c>
    </row>
    <row r="6517" spans="1:10" x14ac:dyDescent="0.3">
      <c r="A6517" t="s">
        <v>6</v>
      </c>
      <c r="B6517" t="str">
        <f>"08/03/2019 00:00"</f>
        <v>08/03/2019 00:00</v>
      </c>
      <c r="C6517">
        <v>0</v>
      </c>
      <c r="D6517" t="s">
        <v>7</v>
      </c>
      <c r="E6517" s="2" t="s">
        <v>12</v>
      </c>
      <c r="F6517">
        <f t="shared" si="101"/>
        <v>0</v>
      </c>
      <c r="G6517" t="s">
        <v>16</v>
      </c>
      <c r="J6517" t="str">
        <f>"08/04/2019 00:39"</f>
        <v>08/04/2019 00:39</v>
      </c>
    </row>
    <row r="6518" spans="1:10" x14ac:dyDescent="0.3">
      <c r="A6518" t="s">
        <v>6</v>
      </c>
      <c r="B6518" t="str">
        <f>"08/04/2019 00:00"</f>
        <v>08/04/2019 00:00</v>
      </c>
      <c r="C6518">
        <v>0</v>
      </c>
      <c r="D6518" t="s">
        <v>7</v>
      </c>
      <c r="E6518" s="2" t="s">
        <v>12</v>
      </c>
      <c r="F6518">
        <f t="shared" si="101"/>
        <v>0</v>
      </c>
      <c r="G6518" t="s">
        <v>16</v>
      </c>
      <c r="J6518" t="str">
        <f>"08/05/2019 00:39"</f>
        <v>08/05/2019 00:39</v>
      </c>
    </row>
    <row r="6519" spans="1:10" x14ac:dyDescent="0.3">
      <c r="A6519" t="s">
        <v>6</v>
      </c>
      <c r="B6519" t="str">
        <f>"08/05/2019 00:00"</f>
        <v>08/05/2019 00:00</v>
      </c>
      <c r="C6519">
        <v>0</v>
      </c>
      <c r="D6519" t="s">
        <v>7</v>
      </c>
      <c r="E6519" s="2" t="s">
        <v>12</v>
      </c>
      <c r="F6519">
        <f t="shared" si="101"/>
        <v>0</v>
      </c>
      <c r="G6519" t="s">
        <v>16</v>
      </c>
      <c r="H6519" t="s">
        <v>9</v>
      </c>
      <c r="J6519" t="str">
        <f>"08/06/2019 00:42"</f>
        <v>08/06/2019 00:42</v>
      </c>
    </row>
    <row r="6520" spans="1:10" x14ac:dyDescent="0.3">
      <c r="A6520" t="s">
        <v>6</v>
      </c>
      <c r="B6520" t="str">
        <f>"08/06/2019 00:00"</f>
        <v>08/06/2019 00:00</v>
      </c>
      <c r="C6520">
        <v>0</v>
      </c>
      <c r="D6520" t="s">
        <v>7</v>
      </c>
      <c r="E6520" s="2" t="s">
        <v>12</v>
      </c>
      <c r="F6520">
        <f t="shared" si="101"/>
        <v>0</v>
      </c>
      <c r="G6520" t="s">
        <v>16</v>
      </c>
      <c r="H6520" t="s">
        <v>10</v>
      </c>
      <c r="J6520" t="str">
        <f>"08/07/2019 00:39"</f>
        <v>08/07/2019 00:39</v>
      </c>
    </row>
    <row r="6521" spans="1:10" x14ac:dyDescent="0.3">
      <c r="A6521" t="s">
        <v>6</v>
      </c>
      <c r="B6521" t="str">
        <f>"08/07/2019 00:00"</f>
        <v>08/07/2019 00:00</v>
      </c>
      <c r="C6521">
        <v>0</v>
      </c>
      <c r="D6521" t="s">
        <v>7</v>
      </c>
      <c r="E6521" s="2" t="s">
        <v>12</v>
      </c>
      <c r="F6521">
        <f t="shared" si="101"/>
        <v>0</v>
      </c>
      <c r="G6521" t="s">
        <v>16</v>
      </c>
      <c r="H6521" t="s">
        <v>10</v>
      </c>
      <c r="J6521" t="str">
        <f>"08/08/2019 00:39"</f>
        <v>08/08/2019 00:39</v>
      </c>
    </row>
    <row r="6522" spans="1:10" x14ac:dyDescent="0.3">
      <c r="A6522" t="s">
        <v>6</v>
      </c>
      <c r="B6522" t="str">
        <f>"08/08/2019 00:00"</f>
        <v>08/08/2019 00:00</v>
      </c>
      <c r="C6522">
        <v>0</v>
      </c>
      <c r="D6522" t="s">
        <v>7</v>
      </c>
      <c r="E6522" s="2" t="s">
        <v>12</v>
      </c>
      <c r="F6522">
        <f t="shared" si="101"/>
        <v>0</v>
      </c>
      <c r="G6522" t="s">
        <v>16</v>
      </c>
      <c r="H6522" t="s">
        <v>10</v>
      </c>
      <c r="J6522" t="str">
        <f>"08/09/2019 00:39"</f>
        <v>08/09/2019 00:39</v>
      </c>
    </row>
    <row r="6523" spans="1:10" x14ac:dyDescent="0.3">
      <c r="A6523" t="s">
        <v>6</v>
      </c>
      <c r="B6523" t="str">
        <f>"08/09/2019 00:00"</f>
        <v>08/09/2019 00:00</v>
      </c>
      <c r="C6523">
        <v>0</v>
      </c>
      <c r="D6523" t="s">
        <v>7</v>
      </c>
      <c r="E6523" s="2" t="s">
        <v>12</v>
      </c>
      <c r="F6523">
        <f t="shared" si="101"/>
        <v>0</v>
      </c>
      <c r="G6523" t="s">
        <v>16</v>
      </c>
      <c r="H6523" t="s">
        <v>10</v>
      </c>
      <c r="J6523" t="str">
        <f>"08/10/2019 00:39"</f>
        <v>08/10/2019 00:39</v>
      </c>
    </row>
    <row r="6524" spans="1:10" x14ac:dyDescent="0.3">
      <c r="A6524" t="s">
        <v>6</v>
      </c>
      <c r="B6524" t="str">
        <f>"08/10/2019 00:00"</f>
        <v>08/10/2019 00:00</v>
      </c>
      <c r="C6524">
        <v>0</v>
      </c>
      <c r="D6524" t="s">
        <v>7</v>
      </c>
      <c r="E6524" s="2" t="s">
        <v>12</v>
      </c>
      <c r="F6524">
        <f t="shared" si="101"/>
        <v>0</v>
      </c>
      <c r="G6524" t="s">
        <v>16</v>
      </c>
      <c r="H6524" t="s">
        <v>10</v>
      </c>
      <c r="J6524" t="str">
        <f>"08/11/2019 00:39"</f>
        <v>08/11/2019 00:39</v>
      </c>
    </row>
    <row r="6525" spans="1:10" x14ac:dyDescent="0.3">
      <c r="A6525" t="s">
        <v>6</v>
      </c>
      <c r="B6525" t="str">
        <f>"08/11/2019 00:00"</f>
        <v>08/11/2019 00:00</v>
      </c>
      <c r="C6525">
        <v>0</v>
      </c>
      <c r="D6525" t="s">
        <v>7</v>
      </c>
      <c r="E6525" s="2" t="s">
        <v>12</v>
      </c>
      <c r="F6525">
        <f t="shared" si="101"/>
        <v>0</v>
      </c>
      <c r="G6525" t="s">
        <v>16</v>
      </c>
      <c r="H6525" t="s">
        <v>10</v>
      </c>
      <c r="J6525" t="str">
        <f>"08/12/2019 00:40"</f>
        <v>08/12/2019 00:40</v>
      </c>
    </row>
    <row r="6526" spans="1:10" x14ac:dyDescent="0.3">
      <c r="A6526" t="s">
        <v>6</v>
      </c>
      <c r="B6526" t="str">
        <f>"08/12/2019 00:00"</f>
        <v>08/12/2019 00:00</v>
      </c>
      <c r="C6526">
        <v>0</v>
      </c>
      <c r="D6526" t="s">
        <v>7</v>
      </c>
      <c r="E6526" s="2" t="s">
        <v>12</v>
      </c>
      <c r="F6526">
        <f t="shared" si="101"/>
        <v>0</v>
      </c>
      <c r="G6526" t="s">
        <v>16</v>
      </c>
      <c r="H6526" t="s">
        <v>10</v>
      </c>
      <c r="J6526" t="str">
        <f>"08/13/2019 00:39"</f>
        <v>08/13/2019 00:39</v>
      </c>
    </row>
    <row r="6527" spans="1:10" x14ac:dyDescent="0.3">
      <c r="A6527" t="s">
        <v>6</v>
      </c>
      <c r="B6527" t="str">
        <f>"08/13/2019 00:00"</f>
        <v>08/13/2019 00:00</v>
      </c>
      <c r="C6527">
        <v>0</v>
      </c>
      <c r="D6527" t="s">
        <v>7</v>
      </c>
      <c r="E6527" s="2" t="s">
        <v>12</v>
      </c>
      <c r="F6527">
        <f t="shared" si="101"/>
        <v>0</v>
      </c>
      <c r="G6527" t="s">
        <v>16</v>
      </c>
      <c r="H6527" t="s">
        <v>10</v>
      </c>
      <c r="J6527" t="str">
        <f>"08/14/2019 00:39"</f>
        <v>08/14/2019 00:39</v>
      </c>
    </row>
    <row r="6528" spans="1:10" x14ac:dyDescent="0.3">
      <c r="A6528" t="s">
        <v>6</v>
      </c>
      <c r="B6528" t="str">
        <f>"08/14/2019 00:00"</f>
        <v>08/14/2019 00:00</v>
      </c>
      <c r="C6528">
        <v>0</v>
      </c>
      <c r="D6528" t="s">
        <v>7</v>
      </c>
      <c r="E6528" s="2" t="s">
        <v>12</v>
      </c>
      <c r="F6528">
        <f t="shared" si="101"/>
        <v>0</v>
      </c>
      <c r="G6528" t="s">
        <v>16</v>
      </c>
      <c r="H6528" t="s">
        <v>10</v>
      </c>
      <c r="J6528" t="str">
        <f>"08/15/2019 00:39"</f>
        <v>08/15/2019 00:39</v>
      </c>
    </row>
    <row r="6529" spans="1:10" x14ac:dyDescent="0.3">
      <c r="A6529" t="s">
        <v>6</v>
      </c>
      <c r="B6529" t="str">
        <f>"08/15/2019 00:00"</f>
        <v>08/15/2019 00:00</v>
      </c>
      <c r="C6529">
        <v>0</v>
      </c>
      <c r="D6529" t="s">
        <v>7</v>
      </c>
      <c r="E6529" s="2" t="s">
        <v>12</v>
      </c>
      <c r="F6529">
        <f t="shared" si="101"/>
        <v>0</v>
      </c>
      <c r="G6529" t="s">
        <v>16</v>
      </c>
      <c r="H6529" t="s">
        <v>10</v>
      </c>
      <c r="J6529" t="str">
        <f>"08/16/2019 00:39"</f>
        <v>08/16/2019 00:39</v>
      </c>
    </row>
    <row r="6530" spans="1:10" x14ac:dyDescent="0.3">
      <c r="A6530" t="s">
        <v>6</v>
      </c>
      <c r="B6530" t="str">
        <f>"08/16/2019 00:00"</f>
        <v>08/16/2019 00:00</v>
      </c>
      <c r="C6530">
        <v>0</v>
      </c>
      <c r="D6530" t="s">
        <v>7</v>
      </c>
      <c r="E6530" s="2" t="s">
        <v>12</v>
      </c>
      <c r="F6530">
        <f t="shared" si="101"/>
        <v>0</v>
      </c>
      <c r="G6530" t="s">
        <v>16</v>
      </c>
      <c r="H6530" t="s">
        <v>10</v>
      </c>
      <c r="J6530" t="str">
        <f>"08/17/2019 00:39"</f>
        <v>08/17/2019 00:39</v>
      </c>
    </row>
    <row r="6531" spans="1:10" x14ac:dyDescent="0.3">
      <c r="A6531" t="s">
        <v>6</v>
      </c>
      <c r="B6531" t="str">
        <f>"08/17/2019 00:00"</f>
        <v>08/17/2019 00:00</v>
      </c>
      <c r="C6531">
        <v>0</v>
      </c>
      <c r="D6531" t="s">
        <v>7</v>
      </c>
      <c r="E6531" s="2" t="s">
        <v>12</v>
      </c>
      <c r="F6531">
        <f t="shared" si="101"/>
        <v>0</v>
      </c>
      <c r="G6531" t="s">
        <v>16</v>
      </c>
      <c r="H6531" t="s">
        <v>10</v>
      </c>
      <c r="J6531" t="str">
        <f>"08/18/2019 00:39"</f>
        <v>08/18/2019 00:39</v>
      </c>
    </row>
    <row r="6532" spans="1:10" x14ac:dyDescent="0.3">
      <c r="A6532" t="s">
        <v>6</v>
      </c>
      <c r="B6532" t="str">
        <f>"08/18/2019 00:00"</f>
        <v>08/18/2019 00:00</v>
      </c>
      <c r="C6532">
        <v>0</v>
      </c>
      <c r="D6532" t="s">
        <v>7</v>
      </c>
      <c r="E6532" s="2" t="s">
        <v>12</v>
      </c>
      <c r="F6532">
        <f t="shared" ref="F6532:F6595" si="102">C6532*1.983</f>
        <v>0</v>
      </c>
      <c r="G6532" t="s">
        <v>16</v>
      </c>
      <c r="H6532" t="s">
        <v>10</v>
      </c>
      <c r="J6532" t="str">
        <f>"08/19/2019 00:39"</f>
        <v>08/19/2019 00:39</v>
      </c>
    </row>
    <row r="6533" spans="1:10" x14ac:dyDescent="0.3">
      <c r="A6533" t="s">
        <v>6</v>
      </c>
      <c r="B6533" t="str">
        <f>"08/19/2019 00:00"</f>
        <v>08/19/2019 00:00</v>
      </c>
      <c r="C6533">
        <v>27.5</v>
      </c>
      <c r="D6533" t="s">
        <v>7</v>
      </c>
      <c r="E6533" s="2" t="s">
        <v>12</v>
      </c>
      <c r="F6533">
        <f t="shared" si="102"/>
        <v>54.532500000000006</v>
      </c>
      <c r="G6533" t="s">
        <v>16</v>
      </c>
      <c r="H6533" t="s">
        <v>10</v>
      </c>
      <c r="J6533" t="str">
        <f>"08/20/2019 00:39"</f>
        <v>08/20/2019 00:39</v>
      </c>
    </row>
    <row r="6534" spans="1:10" x14ac:dyDescent="0.3">
      <c r="A6534" t="s">
        <v>6</v>
      </c>
      <c r="B6534" t="str">
        <f>"08/20/2019 00:00"</f>
        <v>08/20/2019 00:00</v>
      </c>
      <c r="C6534">
        <v>50.3</v>
      </c>
      <c r="D6534" t="s">
        <v>7</v>
      </c>
      <c r="E6534" s="2" t="s">
        <v>12</v>
      </c>
      <c r="F6534">
        <f t="shared" si="102"/>
        <v>99.744900000000001</v>
      </c>
      <c r="G6534" t="s">
        <v>16</v>
      </c>
      <c r="H6534" t="s">
        <v>10</v>
      </c>
      <c r="J6534" t="str">
        <f>"08/21/2019 00:39"</f>
        <v>08/21/2019 00:39</v>
      </c>
    </row>
    <row r="6535" spans="1:10" x14ac:dyDescent="0.3">
      <c r="A6535" t="s">
        <v>6</v>
      </c>
      <c r="B6535" t="str">
        <f>"08/21/2019 00:00"</f>
        <v>08/21/2019 00:00</v>
      </c>
      <c r="C6535">
        <v>65.2</v>
      </c>
      <c r="D6535" t="s">
        <v>7</v>
      </c>
      <c r="E6535" s="2" t="s">
        <v>12</v>
      </c>
      <c r="F6535">
        <f t="shared" si="102"/>
        <v>129.29160000000002</v>
      </c>
      <c r="G6535" t="s">
        <v>16</v>
      </c>
      <c r="H6535" t="s">
        <v>10</v>
      </c>
      <c r="J6535" t="str">
        <f>"08/22/2019 00:39"</f>
        <v>08/22/2019 00:39</v>
      </c>
    </row>
    <row r="6536" spans="1:10" x14ac:dyDescent="0.3">
      <c r="A6536" t="s">
        <v>6</v>
      </c>
      <c r="B6536" t="str">
        <f>"08/22/2019 00:00"</f>
        <v>08/22/2019 00:00</v>
      </c>
      <c r="C6536">
        <v>75.8</v>
      </c>
      <c r="D6536" t="s">
        <v>7</v>
      </c>
      <c r="E6536" s="2" t="s">
        <v>12</v>
      </c>
      <c r="F6536">
        <f t="shared" si="102"/>
        <v>150.31139999999999</v>
      </c>
      <c r="G6536" t="s">
        <v>16</v>
      </c>
      <c r="H6536" t="s">
        <v>10</v>
      </c>
      <c r="J6536" t="str">
        <f>"08/23/2019 00:39"</f>
        <v>08/23/2019 00:39</v>
      </c>
    </row>
    <row r="6537" spans="1:10" x14ac:dyDescent="0.3">
      <c r="A6537" t="s">
        <v>6</v>
      </c>
      <c r="B6537" t="str">
        <f>"08/23/2019 00:00"</f>
        <v>08/23/2019 00:00</v>
      </c>
      <c r="C6537">
        <v>76.900000000000006</v>
      </c>
      <c r="D6537" t="s">
        <v>7</v>
      </c>
      <c r="E6537" s="2" t="s">
        <v>12</v>
      </c>
      <c r="F6537">
        <f t="shared" si="102"/>
        <v>152.49270000000001</v>
      </c>
      <c r="G6537" t="s">
        <v>16</v>
      </c>
      <c r="H6537" t="s">
        <v>10</v>
      </c>
      <c r="J6537" t="str">
        <f>"08/24/2019 00:39"</f>
        <v>08/24/2019 00:39</v>
      </c>
    </row>
    <row r="6538" spans="1:10" x14ac:dyDescent="0.3">
      <c r="A6538" t="s">
        <v>6</v>
      </c>
      <c r="B6538" t="str">
        <f>"08/24/2019 00:00"</f>
        <v>08/24/2019 00:00</v>
      </c>
      <c r="C6538">
        <v>77.3</v>
      </c>
      <c r="D6538" t="s">
        <v>7</v>
      </c>
      <c r="E6538" s="2" t="s">
        <v>12</v>
      </c>
      <c r="F6538">
        <f t="shared" si="102"/>
        <v>153.2859</v>
      </c>
      <c r="G6538" t="s">
        <v>16</v>
      </c>
      <c r="H6538" t="s">
        <v>10</v>
      </c>
      <c r="J6538" t="str">
        <f>"08/25/2019 00:39"</f>
        <v>08/25/2019 00:39</v>
      </c>
    </row>
    <row r="6539" spans="1:10" x14ac:dyDescent="0.3">
      <c r="A6539" t="s">
        <v>6</v>
      </c>
      <c r="B6539" t="str">
        <f>"08/25/2019 00:00"</f>
        <v>08/25/2019 00:00</v>
      </c>
      <c r="C6539">
        <v>78.2</v>
      </c>
      <c r="D6539" t="s">
        <v>7</v>
      </c>
      <c r="E6539" s="2" t="s">
        <v>12</v>
      </c>
      <c r="F6539">
        <f t="shared" si="102"/>
        <v>155.07060000000001</v>
      </c>
      <c r="G6539" t="s">
        <v>16</v>
      </c>
      <c r="H6539" t="s">
        <v>10</v>
      </c>
      <c r="J6539" t="str">
        <f>"08/26/2019 00:39"</f>
        <v>08/26/2019 00:39</v>
      </c>
    </row>
    <row r="6540" spans="1:10" x14ac:dyDescent="0.3">
      <c r="A6540" t="s">
        <v>6</v>
      </c>
      <c r="B6540" t="str">
        <f>"08/26/2019 00:00"</f>
        <v>08/26/2019 00:00</v>
      </c>
      <c r="C6540">
        <v>94.9</v>
      </c>
      <c r="D6540" t="s">
        <v>7</v>
      </c>
      <c r="E6540" s="2" t="s">
        <v>12</v>
      </c>
      <c r="F6540">
        <f t="shared" si="102"/>
        <v>188.18670000000003</v>
      </c>
      <c r="G6540" t="s">
        <v>16</v>
      </c>
      <c r="H6540" t="s">
        <v>10</v>
      </c>
      <c r="J6540" t="str">
        <f>"08/27/2019 00:39"</f>
        <v>08/27/2019 00:39</v>
      </c>
    </row>
    <row r="6541" spans="1:10" x14ac:dyDescent="0.3">
      <c r="A6541" t="s">
        <v>6</v>
      </c>
      <c r="B6541" t="str">
        <f>"08/27/2019 00:00"</f>
        <v>08/27/2019 00:00</v>
      </c>
      <c r="C6541">
        <v>157</v>
      </c>
      <c r="D6541" t="s">
        <v>7</v>
      </c>
      <c r="E6541" s="2" t="s">
        <v>12</v>
      </c>
      <c r="F6541">
        <f t="shared" si="102"/>
        <v>311.33100000000002</v>
      </c>
      <c r="G6541" t="s">
        <v>16</v>
      </c>
      <c r="H6541" t="s">
        <v>10</v>
      </c>
      <c r="J6541" t="str">
        <f>"08/28/2019 00:39"</f>
        <v>08/28/2019 00:39</v>
      </c>
    </row>
    <row r="6542" spans="1:10" x14ac:dyDescent="0.3">
      <c r="A6542" t="s">
        <v>6</v>
      </c>
      <c r="B6542" t="str">
        <f>"08/28/2019 00:00"</f>
        <v>08/28/2019 00:00</v>
      </c>
      <c r="C6542">
        <v>206</v>
      </c>
      <c r="D6542" t="s">
        <v>7</v>
      </c>
      <c r="E6542" s="2" t="s">
        <v>12</v>
      </c>
      <c r="F6542">
        <f t="shared" si="102"/>
        <v>408.49800000000005</v>
      </c>
      <c r="G6542" t="s">
        <v>16</v>
      </c>
      <c r="H6542" t="s">
        <v>10</v>
      </c>
      <c r="J6542" t="str">
        <f>"08/29/2019 00:39"</f>
        <v>08/29/2019 00:39</v>
      </c>
    </row>
    <row r="6543" spans="1:10" x14ac:dyDescent="0.3">
      <c r="A6543" t="s">
        <v>6</v>
      </c>
      <c r="B6543" t="str">
        <f>"08/29/2019 00:00"</f>
        <v>08/29/2019 00:00</v>
      </c>
      <c r="C6543">
        <v>238</v>
      </c>
      <c r="D6543" t="s">
        <v>7</v>
      </c>
      <c r="E6543" s="2" t="s">
        <v>12</v>
      </c>
      <c r="F6543">
        <f t="shared" si="102"/>
        <v>471.95400000000001</v>
      </c>
      <c r="G6543" t="s">
        <v>16</v>
      </c>
      <c r="H6543" t="s">
        <v>10</v>
      </c>
      <c r="J6543" t="str">
        <f>"08/30/2019 00:39"</f>
        <v>08/30/2019 00:39</v>
      </c>
    </row>
    <row r="6544" spans="1:10" x14ac:dyDescent="0.3">
      <c r="A6544" t="s">
        <v>6</v>
      </c>
      <c r="B6544" t="str">
        <f>"08/30/2019 00:00"</f>
        <v>08/30/2019 00:00</v>
      </c>
      <c r="C6544">
        <v>248</v>
      </c>
      <c r="D6544" t="s">
        <v>7</v>
      </c>
      <c r="E6544" s="2" t="s">
        <v>12</v>
      </c>
      <c r="F6544">
        <f t="shared" si="102"/>
        <v>491.78400000000005</v>
      </c>
      <c r="G6544" t="s">
        <v>16</v>
      </c>
      <c r="H6544" t="s">
        <v>10</v>
      </c>
      <c r="J6544" t="str">
        <f>"08/31/2019 00:39"</f>
        <v>08/31/2019 00:39</v>
      </c>
    </row>
    <row r="6545" spans="1:10" x14ac:dyDescent="0.3">
      <c r="A6545" t="s">
        <v>6</v>
      </c>
      <c r="B6545" t="str">
        <f>"08/31/2019 00:00"</f>
        <v>08/31/2019 00:00</v>
      </c>
      <c r="C6545">
        <v>246</v>
      </c>
      <c r="D6545" t="s">
        <v>7</v>
      </c>
      <c r="E6545" s="2" t="s">
        <v>12</v>
      </c>
      <c r="F6545">
        <f t="shared" si="102"/>
        <v>487.81800000000004</v>
      </c>
      <c r="G6545" t="s">
        <v>16</v>
      </c>
      <c r="H6545" t="s">
        <v>10</v>
      </c>
      <c r="J6545" t="str">
        <f>"09/01/2019 00:39"</f>
        <v>09/01/2019 00:39</v>
      </c>
    </row>
    <row r="6546" spans="1:10" x14ac:dyDescent="0.3">
      <c r="A6546" t="s">
        <v>6</v>
      </c>
      <c r="B6546" t="str">
        <f>"09/01/2019 00:00"</f>
        <v>09/01/2019 00:00</v>
      </c>
      <c r="C6546">
        <v>217</v>
      </c>
      <c r="D6546" t="s">
        <v>7</v>
      </c>
      <c r="E6546" s="2" t="s">
        <v>12</v>
      </c>
      <c r="F6546">
        <f t="shared" si="102"/>
        <v>430.31100000000004</v>
      </c>
      <c r="G6546" t="s">
        <v>16</v>
      </c>
      <c r="H6546" t="s">
        <v>10</v>
      </c>
      <c r="J6546" t="str">
        <f>"09/02/2019 00:39"</f>
        <v>09/02/2019 00:39</v>
      </c>
    </row>
    <row r="6547" spans="1:10" x14ac:dyDescent="0.3">
      <c r="A6547" t="s">
        <v>6</v>
      </c>
      <c r="B6547" t="str">
        <f>"09/02/2019 00:00"</f>
        <v>09/02/2019 00:00</v>
      </c>
      <c r="C6547">
        <v>199</v>
      </c>
      <c r="D6547" t="s">
        <v>7</v>
      </c>
      <c r="E6547" s="2" t="s">
        <v>12</v>
      </c>
      <c r="F6547">
        <f t="shared" si="102"/>
        <v>394.61700000000002</v>
      </c>
      <c r="G6547" t="s">
        <v>16</v>
      </c>
      <c r="H6547" t="s">
        <v>10</v>
      </c>
      <c r="J6547" t="str">
        <f>"09/03/2019 00:39"</f>
        <v>09/03/2019 00:39</v>
      </c>
    </row>
    <row r="6548" spans="1:10" x14ac:dyDescent="0.3">
      <c r="A6548" t="s">
        <v>6</v>
      </c>
      <c r="B6548" t="str">
        <f>"09/03/2019 00:00"</f>
        <v>09/03/2019 00:00</v>
      </c>
      <c r="C6548">
        <v>227</v>
      </c>
      <c r="D6548" t="s">
        <v>7</v>
      </c>
      <c r="E6548" s="2" t="s">
        <v>12</v>
      </c>
      <c r="F6548">
        <f t="shared" si="102"/>
        <v>450.14100000000002</v>
      </c>
      <c r="G6548" t="s">
        <v>16</v>
      </c>
      <c r="H6548" t="s">
        <v>10</v>
      </c>
      <c r="J6548" t="str">
        <f>"09/04/2019 00:39"</f>
        <v>09/04/2019 00:39</v>
      </c>
    </row>
    <row r="6549" spans="1:10" x14ac:dyDescent="0.3">
      <c r="A6549" t="s">
        <v>6</v>
      </c>
      <c r="B6549" t="str">
        <f>"09/04/2019 00:00"</f>
        <v>09/04/2019 00:00</v>
      </c>
      <c r="C6549">
        <v>247</v>
      </c>
      <c r="D6549" t="s">
        <v>7</v>
      </c>
      <c r="E6549" s="2" t="s">
        <v>12</v>
      </c>
      <c r="F6549">
        <f t="shared" si="102"/>
        <v>489.80100000000004</v>
      </c>
      <c r="G6549" t="s">
        <v>16</v>
      </c>
      <c r="H6549" t="s">
        <v>10</v>
      </c>
      <c r="J6549" t="str">
        <f>"09/05/2019 00:39"</f>
        <v>09/05/2019 00:39</v>
      </c>
    </row>
    <row r="6550" spans="1:10" x14ac:dyDescent="0.3">
      <c r="A6550" t="s">
        <v>6</v>
      </c>
      <c r="B6550" t="str">
        <f>"09/05/2019 00:00"</f>
        <v>09/05/2019 00:00</v>
      </c>
      <c r="C6550">
        <v>252</v>
      </c>
      <c r="D6550" t="s">
        <v>7</v>
      </c>
      <c r="E6550" s="2" t="s">
        <v>12</v>
      </c>
      <c r="F6550">
        <f t="shared" si="102"/>
        <v>499.71600000000001</v>
      </c>
      <c r="G6550" t="s">
        <v>16</v>
      </c>
      <c r="H6550" t="s">
        <v>10</v>
      </c>
      <c r="J6550" t="str">
        <f>"09/06/2019 00:39"</f>
        <v>09/06/2019 00:39</v>
      </c>
    </row>
    <row r="6551" spans="1:10" x14ac:dyDescent="0.3">
      <c r="A6551" t="s">
        <v>6</v>
      </c>
      <c r="B6551" t="str">
        <f>"09/06/2019 00:00"</f>
        <v>09/06/2019 00:00</v>
      </c>
      <c r="C6551">
        <v>258</v>
      </c>
      <c r="D6551" t="s">
        <v>7</v>
      </c>
      <c r="E6551" s="2" t="s">
        <v>12</v>
      </c>
      <c r="F6551">
        <f t="shared" si="102"/>
        <v>511.61400000000003</v>
      </c>
      <c r="G6551" t="s">
        <v>16</v>
      </c>
      <c r="H6551" t="s">
        <v>10</v>
      </c>
      <c r="J6551" t="str">
        <f>"09/07/2019 00:39"</f>
        <v>09/07/2019 00:39</v>
      </c>
    </row>
    <row r="6552" spans="1:10" x14ac:dyDescent="0.3">
      <c r="A6552" t="s">
        <v>6</v>
      </c>
      <c r="B6552" t="str">
        <f>"09/07/2019 00:00"</f>
        <v>09/07/2019 00:00</v>
      </c>
      <c r="C6552">
        <v>258</v>
      </c>
      <c r="D6552" t="s">
        <v>7</v>
      </c>
      <c r="E6552" s="2" t="s">
        <v>12</v>
      </c>
      <c r="F6552">
        <f t="shared" si="102"/>
        <v>511.61400000000003</v>
      </c>
      <c r="G6552" t="s">
        <v>16</v>
      </c>
      <c r="H6552" t="s">
        <v>10</v>
      </c>
      <c r="J6552" t="str">
        <f>"09/08/2019 00:39"</f>
        <v>09/08/2019 00:39</v>
      </c>
    </row>
    <row r="6553" spans="1:10" x14ac:dyDescent="0.3">
      <c r="A6553" t="s">
        <v>6</v>
      </c>
      <c r="B6553" t="str">
        <f>"09/08/2019 00:00"</f>
        <v>09/08/2019 00:00</v>
      </c>
      <c r="C6553">
        <v>234</v>
      </c>
      <c r="D6553" t="s">
        <v>7</v>
      </c>
      <c r="E6553" s="2" t="s">
        <v>12</v>
      </c>
      <c r="F6553">
        <f t="shared" si="102"/>
        <v>464.02200000000005</v>
      </c>
      <c r="G6553" t="s">
        <v>16</v>
      </c>
      <c r="H6553" t="s">
        <v>10</v>
      </c>
      <c r="J6553" t="str">
        <f>"09/09/2019 00:40"</f>
        <v>09/09/2019 00:40</v>
      </c>
    </row>
    <row r="6554" spans="1:10" x14ac:dyDescent="0.3">
      <c r="A6554" t="s">
        <v>6</v>
      </c>
      <c r="B6554" t="str">
        <f>"09/09/2019 00:00"</f>
        <v>09/09/2019 00:00</v>
      </c>
      <c r="C6554">
        <v>182</v>
      </c>
      <c r="D6554" t="s">
        <v>7</v>
      </c>
      <c r="E6554" s="2" t="s">
        <v>12</v>
      </c>
      <c r="F6554">
        <f t="shared" si="102"/>
        <v>360.90600000000001</v>
      </c>
      <c r="G6554" t="s">
        <v>16</v>
      </c>
      <c r="H6554" t="s">
        <v>10</v>
      </c>
      <c r="J6554" t="str">
        <f>"09/10/2019 00:39"</f>
        <v>09/10/2019 00:39</v>
      </c>
    </row>
    <row r="6555" spans="1:10" x14ac:dyDescent="0.3">
      <c r="A6555" t="s">
        <v>6</v>
      </c>
      <c r="B6555" t="str">
        <f>"09/10/2019 00:00"</f>
        <v>09/10/2019 00:00</v>
      </c>
      <c r="C6555">
        <v>166</v>
      </c>
      <c r="D6555" t="s">
        <v>7</v>
      </c>
      <c r="E6555" s="2" t="s">
        <v>12</v>
      </c>
      <c r="F6555">
        <f t="shared" si="102"/>
        <v>329.178</v>
      </c>
      <c r="G6555" t="s">
        <v>16</v>
      </c>
      <c r="H6555" t="s">
        <v>10</v>
      </c>
      <c r="J6555" t="str">
        <f>"09/11/2019 00:39"</f>
        <v>09/11/2019 00:39</v>
      </c>
    </row>
    <row r="6556" spans="1:10" x14ac:dyDescent="0.3">
      <c r="A6556" t="s">
        <v>6</v>
      </c>
      <c r="B6556" t="str">
        <f>"09/11/2019 00:00"</f>
        <v>09/11/2019 00:00</v>
      </c>
      <c r="C6556">
        <v>204</v>
      </c>
      <c r="D6556" t="s">
        <v>7</v>
      </c>
      <c r="E6556" s="2" t="s">
        <v>12</v>
      </c>
      <c r="F6556">
        <f t="shared" si="102"/>
        <v>404.53200000000004</v>
      </c>
      <c r="G6556" t="s">
        <v>16</v>
      </c>
      <c r="H6556" t="s">
        <v>10</v>
      </c>
      <c r="J6556" t="str">
        <f>"09/12/2019 00:39"</f>
        <v>09/12/2019 00:39</v>
      </c>
    </row>
    <row r="6557" spans="1:10" x14ac:dyDescent="0.3">
      <c r="A6557" t="s">
        <v>6</v>
      </c>
      <c r="B6557" t="str">
        <f>"09/12/2019 00:00"</f>
        <v>09/12/2019 00:00</v>
      </c>
      <c r="C6557">
        <v>254</v>
      </c>
      <c r="D6557" t="s">
        <v>7</v>
      </c>
      <c r="E6557" s="2" t="s">
        <v>12</v>
      </c>
      <c r="F6557">
        <f t="shared" si="102"/>
        <v>503.68200000000002</v>
      </c>
      <c r="G6557" t="s">
        <v>16</v>
      </c>
      <c r="H6557" t="s">
        <v>10</v>
      </c>
      <c r="J6557" t="str">
        <f>"09/13/2019 00:39"</f>
        <v>09/13/2019 00:39</v>
      </c>
    </row>
    <row r="6558" spans="1:10" x14ac:dyDescent="0.3">
      <c r="A6558" t="s">
        <v>6</v>
      </c>
      <c r="B6558" t="str">
        <f>"09/13/2019 00:00"</f>
        <v>09/13/2019 00:00</v>
      </c>
      <c r="C6558">
        <v>268</v>
      </c>
      <c r="D6558" t="s">
        <v>7</v>
      </c>
      <c r="E6558" s="2" t="s">
        <v>12</v>
      </c>
      <c r="F6558">
        <f t="shared" si="102"/>
        <v>531.44400000000007</v>
      </c>
      <c r="G6558" t="s">
        <v>16</v>
      </c>
      <c r="H6558" t="s">
        <v>10</v>
      </c>
      <c r="J6558" t="str">
        <f>"09/14/2019 00:39"</f>
        <v>09/14/2019 00:39</v>
      </c>
    </row>
    <row r="6559" spans="1:10" x14ac:dyDescent="0.3">
      <c r="A6559" t="s">
        <v>6</v>
      </c>
      <c r="B6559" t="str">
        <f>"09/14/2019 00:00"</f>
        <v>09/14/2019 00:00</v>
      </c>
      <c r="C6559">
        <v>268</v>
      </c>
      <c r="D6559" t="s">
        <v>7</v>
      </c>
      <c r="E6559" s="2" t="s">
        <v>12</v>
      </c>
      <c r="F6559">
        <f t="shared" si="102"/>
        <v>531.44400000000007</v>
      </c>
      <c r="G6559" t="s">
        <v>16</v>
      </c>
      <c r="H6559" t="s">
        <v>10</v>
      </c>
      <c r="J6559" t="str">
        <f>"09/15/2019 00:39"</f>
        <v>09/15/2019 00:39</v>
      </c>
    </row>
    <row r="6560" spans="1:10" x14ac:dyDescent="0.3">
      <c r="A6560" t="s">
        <v>6</v>
      </c>
      <c r="B6560" t="str">
        <f>"09/15/2019 00:00"</f>
        <v>09/15/2019 00:00</v>
      </c>
      <c r="C6560">
        <v>252</v>
      </c>
      <c r="D6560" t="s">
        <v>7</v>
      </c>
      <c r="E6560" s="2" t="s">
        <v>12</v>
      </c>
      <c r="F6560">
        <f t="shared" si="102"/>
        <v>499.71600000000001</v>
      </c>
      <c r="G6560" t="s">
        <v>16</v>
      </c>
      <c r="H6560" t="s">
        <v>10</v>
      </c>
      <c r="J6560" t="str">
        <f>"09/16/2019 00:39"</f>
        <v>09/16/2019 00:39</v>
      </c>
    </row>
    <row r="6561" spans="1:10" x14ac:dyDescent="0.3">
      <c r="A6561" t="s">
        <v>6</v>
      </c>
      <c r="B6561" t="str">
        <f>"09/16/2019 00:00"</f>
        <v>09/16/2019 00:00</v>
      </c>
      <c r="C6561">
        <v>264</v>
      </c>
      <c r="D6561" t="s">
        <v>7</v>
      </c>
      <c r="E6561" s="2" t="s">
        <v>12</v>
      </c>
      <c r="F6561">
        <f t="shared" si="102"/>
        <v>523.51200000000006</v>
      </c>
      <c r="G6561" t="s">
        <v>16</v>
      </c>
      <c r="H6561" t="s">
        <v>10</v>
      </c>
      <c r="J6561" t="str">
        <f>"09/17/2019 00:39"</f>
        <v>09/17/2019 00:39</v>
      </c>
    </row>
    <row r="6562" spans="1:10" x14ac:dyDescent="0.3">
      <c r="A6562" t="s">
        <v>6</v>
      </c>
      <c r="B6562" t="str">
        <f>"09/17/2019 00:00"</f>
        <v>09/17/2019 00:00</v>
      </c>
      <c r="C6562">
        <v>277</v>
      </c>
      <c r="D6562" t="s">
        <v>7</v>
      </c>
      <c r="E6562" s="2" t="s">
        <v>12</v>
      </c>
      <c r="F6562">
        <f t="shared" si="102"/>
        <v>549.29100000000005</v>
      </c>
      <c r="G6562" t="s">
        <v>16</v>
      </c>
      <c r="H6562" t="s">
        <v>10</v>
      </c>
      <c r="J6562" t="str">
        <f>"09/18/2019 00:39"</f>
        <v>09/18/2019 00:39</v>
      </c>
    </row>
    <row r="6563" spans="1:10" x14ac:dyDescent="0.3">
      <c r="A6563" t="s">
        <v>6</v>
      </c>
      <c r="B6563" t="str">
        <f>"09/18/2019 00:00"</f>
        <v>09/18/2019 00:00</v>
      </c>
      <c r="C6563">
        <v>277</v>
      </c>
      <c r="D6563" t="s">
        <v>7</v>
      </c>
      <c r="E6563" s="2" t="s">
        <v>12</v>
      </c>
      <c r="F6563">
        <f t="shared" si="102"/>
        <v>549.29100000000005</v>
      </c>
      <c r="G6563" t="s">
        <v>16</v>
      </c>
      <c r="H6563" t="s">
        <v>10</v>
      </c>
      <c r="J6563" t="str">
        <f>"09/19/2019 00:39"</f>
        <v>09/19/2019 00:39</v>
      </c>
    </row>
    <row r="6564" spans="1:10" x14ac:dyDescent="0.3">
      <c r="A6564" t="s">
        <v>6</v>
      </c>
      <c r="B6564" t="str">
        <f>"09/19/2019 00:00"</f>
        <v>09/19/2019 00:00</v>
      </c>
      <c r="C6564">
        <v>256</v>
      </c>
      <c r="D6564" t="s">
        <v>7</v>
      </c>
      <c r="E6564" s="2" t="s">
        <v>12</v>
      </c>
      <c r="F6564">
        <f t="shared" si="102"/>
        <v>507.64800000000002</v>
      </c>
      <c r="G6564" t="s">
        <v>16</v>
      </c>
      <c r="H6564" t="s">
        <v>10</v>
      </c>
      <c r="J6564" t="str">
        <f>"09/20/2019 00:39"</f>
        <v>09/20/2019 00:39</v>
      </c>
    </row>
    <row r="6565" spans="1:10" x14ac:dyDescent="0.3">
      <c r="A6565" t="s">
        <v>6</v>
      </c>
      <c r="B6565" t="str">
        <f>"09/20/2019 00:00"</f>
        <v>09/20/2019 00:00</v>
      </c>
      <c r="C6565">
        <v>235</v>
      </c>
      <c r="D6565" t="s">
        <v>7</v>
      </c>
      <c r="E6565" s="2" t="s">
        <v>12</v>
      </c>
      <c r="F6565">
        <f t="shared" si="102"/>
        <v>466.005</v>
      </c>
      <c r="G6565" t="s">
        <v>16</v>
      </c>
      <c r="H6565" t="s">
        <v>10</v>
      </c>
      <c r="J6565" t="str">
        <f>"09/21/2019 00:39"</f>
        <v>09/21/2019 00:39</v>
      </c>
    </row>
    <row r="6566" spans="1:10" x14ac:dyDescent="0.3">
      <c r="A6566" t="s">
        <v>6</v>
      </c>
      <c r="B6566" t="str">
        <f>"09/21/2019 00:00"</f>
        <v>09/21/2019 00:00</v>
      </c>
      <c r="C6566">
        <v>235</v>
      </c>
      <c r="D6566" t="s">
        <v>7</v>
      </c>
      <c r="E6566" s="2" t="s">
        <v>12</v>
      </c>
      <c r="F6566">
        <f t="shared" si="102"/>
        <v>466.005</v>
      </c>
      <c r="G6566" t="s">
        <v>16</v>
      </c>
      <c r="H6566" t="s">
        <v>10</v>
      </c>
      <c r="J6566" t="str">
        <f>"09/22/2019 00:39"</f>
        <v>09/22/2019 00:39</v>
      </c>
    </row>
    <row r="6567" spans="1:10" x14ac:dyDescent="0.3">
      <c r="A6567" t="s">
        <v>6</v>
      </c>
      <c r="B6567" t="str">
        <f>"09/22/2019 00:00"</f>
        <v>09/22/2019 00:00</v>
      </c>
      <c r="C6567">
        <v>234</v>
      </c>
      <c r="D6567" t="s">
        <v>7</v>
      </c>
      <c r="E6567" s="2" t="s">
        <v>12</v>
      </c>
      <c r="F6567">
        <f t="shared" si="102"/>
        <v>464.02200000000005</v>
      </c>
      <c r="G6567" t="s">
        <v>16</v>
      </c>
      <c r="H6567" t="s">
        <v>10</v>
      </c>
      <c r="J6567" t="str">
        <f>"09/23/2019 00:39"</f>
        <v>09/23/2019 00:39</v>
      </c>
    </row>
    <row r="6568" spans="1:10" x14ac:dyDescent="0.3">
      <c r="A6568" t="s">
        <v>6</v>
      </c>
      <c r="B6568" t="str">
        <f>"09/23/2019 00:00"</f>
        <v>09/23/2019 00:00</v>
      </c>
      <c r="C6568">
        <v>247</v>
      </c>
      <c r="D6568" t="s">
        <v>7</v>
      </c>
      <c r="E6568" s="2" t="s">
        <v>12</v>
      </c>
      <c r="F6568">
        <f t="shared" si="102"/>
        <v>489.80100000000004</v>
      </c>
      <c r="G6568" t="s">
        <v>16</v>
      </c>
      <c r="H6568" t="s">
        <v>10</v>
      </c>
      <c r="J6568" t="str">
        <f>"09/24/2019 00:39"</f>
        <v>09/24/2019 00:39</v>
      </c>
    </row>
    <row r="6569" spans="1:10" x14ac:dyDescent="0.3">
      <c r="A6569" t="s">
        <v>6</v>
      </c>
      <c r="B6569" t="str">
        <f>"09/24/2019 00:00"</f>
        <v>09/24/2019 00:00</v>
      </c>
      <c r="C6569">
        <v>292</v>
      </c>
      <c r="D6569" t="s">
        <v>7</v>
      </c>
      <c r="E6569" s="2" t="s">
        <v>12</v>
      </c>
      <c r="F6569">
        <f t="shared" si="102"/>
        <v>579.03600000000006</v>
      </c>
      <c r="G6569" t="s">
        <v>16</v>
      </c>
      <c r="H6569" t="s">
        <v>10</v>
      </c>
      <c r="J6569" t="str">
        <f>"09/25/2019 00:39"</f>
        <v>09/25/2019 00:39</v>
      </c>
    </row>
    <row r="6570" spans="1:10" x14ac:dyDescent="0.3">
      <c r="A6570" t="s">
        <v>6</v>
      </c>
      <c r="B6570" t="str">
        <f>"09/25/2019 00:00"</f>
        <v>09/25/2019 00:00</v>
      </c>
      <c r="C6570">
        <v>313</v>
      </c>
      <c r="D6570" t="s">
        <v>7</v>
      </c>
      <c r="E6570" s="2" t="s">
        <v>12</v>
      </c>
      <c r="F6570">
        <f t="shared" si="102"/>
        <v>620.67899999999997</v>
      </c>
      <c r="G6570" t="s">
        <v>16</v>
      </c>
      <c r="H6570" t="s">
        <v>10</v>
      </c>
      <c r="J6570" t="str">
        <f>"09/26/2019 00:39"</f>
        <v>09/26/2019 00:39</v>
      </c>
    </row>
    <row r="6571" spans="1:10" x14ac:dyDescent="0.3">
      <c r="A6571" t="s">
        <v>6</v>
      </c>
      <c r="B6571" t="str">
        <f>"09/26/2019 00:00"</f>
        <v>09/26/2019 00:00</v>
      </c>
      <c r="C6571">
        <v>313</v>
      </c>
      <c r="D6571" t="s">
        <v>7</v>
      </c>
      <c r="E6571" s="2" t="s">
        <v>12</v>
      </c>
      <c r="F6571">
        <f t="shared" si="102"/>
        <v>620.67899999999997</v>
      </c>
      <c r="G6571" t="s">
        <v>16</v>
      </c>
      <c r="H6571" t="s">
        <v>10</v>
      </c>
      <c r="J6571" t="str">
        <f>"09/27/2019 00:39"</f>
        <v>09/27/2019 00:39</v>
      </c>
    </row>
    <row r="6572" spans="1:10" x14ac:dyDescent="0.3">
      <c r="A6572" t="s">
        <v>6</v>
      </c>
      <c r="B6572" t="str">
        <f>"09/27/2019 00:00"</f>
        <v>09/27/2019 00:00</v>
      </c>
      <c r="C6572">
        <v>292</v>
      </c>
      <c r="D6572" t="s">
        <v>7</v>
      </c>
      <c r="E6572" s="2" t="s">
        <v>12</v>
      </c>
      <c r="F6572">
        <f t="shared" si="102"/>
        <v>579.03600000000006</v>
      </c>
      <c r="G6572" t="s">
        <v>16</v>
      </c>
      <c r="H6572" t="s">
        <v>10</v>
      </c>
      <c r="J6572" t="str">
        <f>"09/28/2019 00:39"</f>
        <v>09/28/2019 00:39</v>
      </c>
    </row>
    <row r="6573" spans="1:10" x14ac:dyDescent="0.3">
      <c r="A6573" t="s">
        <v>6</v>
      </c>
      <c r="B6573" t="str">
        <f>"09/28/2019 00:00"</f>
        <v>09/28/2019 00:00</v>
      </c>
      <c r="C6573">
        <v>269</v>
      </c>
      <c r="D6573" t="s">
        <v>7</v>
      </c>
      <c r="E6573" s="2" t="s">
        <v>12</v>
      </c>
      <c r="F6573">
        <f t="shared" si="102"/>
        <v>533.42700000000002</v>
      </c>
      <c r="G6573" t="s">
        <v>16</v>
      </c>
      <c r="H6573" t="s">
        <v>10</v>
      </c>
      <c r="J6573" t="str">
        <f>"09/29/2019 00:39"</f>
        <v>09/29/2019 00:39</v>
      </c>
    </row>
    <row r="6574" spans="1:10" x14ac:dyDescent="0.3">
      <c r="A6574" t="s">
        <v>6</v>
      </c>
      <c r="B6574" t="str">
        <f>"09/29/2019 00:00"</f>
        <v>09/29/2019 00:00</v>
      </c>
      <c r="C6574">
        <v>236</v>
      </c>
      <c r="D6574" t="s">
        <v>7</v>
      </c>
      <c r="E6574" s="2" t="s">
        <v>12</v>
      </c>
      <c r="F6574">
        <f t="shared" si="102"/>
        <v>467.988</v>
      </c>
      <c r="G6574" t="s">
        <v>16</v>
      </c>
      <c r="H6574" t="s">
        <v>10</v>
      </c>
      <c r="J6574" t="str">
        <f>"09/30/2019 00:39"</f>
        <v>09/30/2019 00:39</v>
      </c>
    </row>
    <row r="6575" spans="1:10" x14ac:dyDescent="0.3">
      <c r="A6575" t="s">
        <v>6</v>
      </c>
      <c r="B6575" t="str">
        <f>"09/30/2019 00:00"</f>
        <v>09/30/2019 00:00</v>
      </c>
      <c r="C6575">
        <v>217</v>
      </c>
      <c r="D6575" t="s">
        <v>7</v>
      </c>
      <c r="E6575" s="2" t="s">
        <v>12</v>
      </c>
      <c r="F6575">
        <f t="shared" si="102"/>
        <v>430.31100000000004</v>
      </c>
      <c r="G6575" t="s">
        <v>16</v>
      </c>
      <c r="H6575" t="s">
        <v>10</v>
      </c>
      <c r="J6575" t="str">
        <f>"10/01/2019 07:49"</f>
        <v>10/01/2019 07:49</v>
      </c>
    </row>
    <row r="6576" spans="1:10" x14ac:dyDescent="0.3">
      <c r="A6576" t="s">
        <v>6</v>
      </c>
      <c r="B6576" t="str">
        <f>"10/01/2019 00:00"</f>
        <v>10/01/2019 00:00</v>
      </c>
      <c r="C6576">
        <v>218</v>
      </c>
      <c r="D6576" t="s">
        <v>7</v>
      </c>
      <c r="E6576" s="2" t="s">
        <v>12</v>
      </c>
      <c r="F6576">
        <f t="shared" si="102"/>
        <v>432.29400000000004</v>
      </c>
      <c r="G6576" t="s">
        <v>16</v>
      </c>
      <c r="H6576" t="s">
        <v>10</v>
      </c>
      <c r="J6576" t="str">
        <f>"10/02/2019 00:39"</f>
        <v>10/02/2019 00:39</v>
      </c>
    </row>
    <row r="6577" spans="1:10" x14ac:dyDescent="0.3">
      <c r="A6577" t="s">
        <v>6</v>
      </c>
      <c r="B6577" t="str">
        <f>"10/02/2019 00:00"</f>
        <v>10/02/2019 00:00</v>
      </c>
      <c r="C6577">
        <v>218</v>
      </c>
      <c r="D6577" t="s">
        <v>7</v>
      </c>
      <c r="E6577" s="2" t="s">
        <v>12</v>
      </c>
      <c r="F6577">
        <f t="shared" si="102"/>
        <v>432.29400000000004</v>
      </c>
      <c r="G6577" t="s">
        <v>16</v>
      </c>
      <c r="H6577" t="s">
        <v>10</v>
      </c>
      <c r="J6577" t="str">
        <f>"10/03/2019 00:39"</f>
        <v>10/03/2019 00:39</v>
      </c>
    </row>
    <row r="6578" spans="1:10" x14ac:dyDescent="0.3">
      <c r="A6578" t="s">
        <v>6</v>
      </c>
      <c r="B6578" t="str">
        <f>"10/03/2019 00:00"</f>
        <v>10/03/2019 00:00</v>
      </c>
      <c r="C6578">
        <v>217</v>
      </c>
      <c r="D6578" t="s">
        <v>7</v>
      </c>
      <c r="E6578" s="2" t="s">
        <v>12</v>
      </c>
      <c r="F6578">
        <f t="shared" si="102"/>
        <v>430.31100000000004</v>
      </c>
      <c r="G6578" t="s">
        <v>16</v>
      </c>
      <c r="H6578" t="s">
        <v>10</v>
      </c>
      <c r="J6578" t="str">
        <f>"10/04/2019 00:39"</f>
        <v>10/04/2019 00:39</v>
      </c>
    </row>
    <row r="6579" spans="1:10" x14ac:dyDescent="0.3">
      <c r="A6579" t="s">
        <v>6</v>
      </c>
      <c r="B6579" t="str">
        <f>"10/04/2019 00:00"</f>
        <v>10/04/2019 00:00</v>
      </c>
      <c r="C6579">
        <v>217</v>
      </c>
      <c r="D6579" t="s">
        <v>7</v>
      </c>
      <c r="E6579" s="2" t="s">
        <v>12</v>
      </c>
      <c r="F6579">
        <f t="shared" si="102"/>
        <v>430.31100000000004</v>
      </c>
      <c r="G6579" t="s">
        <v>16</v>
      </c>
      <c r="H6579" t="s">
        <v>10</v>
      </c>
      <c r="J6579" t="str">
        <f>"10/05/2019 00:39"</f>
        <v>10/05/2019 00:39</v>
      </c>
    </row>
    <row r="6580" spans="1:10" x14ac:dyDescent="0.3">
      <c r="A6580" t="s">
        <v>6</v>
      </c>
      <c r="B6580" t="str">
        <f>"10/05/2019 00:00"</f>
        <v>10/05/2019 00:00</v>
      </c>
      <c r="C6580">
        <v>246</v>
      </c>
      <c r="D6580" t="s">
        <v>7</v>
      </c>
      <c r="E6580" s="2" t="s">
        <v>12</v>
      </c>
      <c r="F6580">
        <f t="shared" si="102"/>
        <v>487.81800000000004</v>
      </c>
      <c r="G6580" t="s">
        <v>16</v>
      </c>
      <c r="H6580" t="s">
        <v>10</v>
      </c>
      <c r="J6580" t="str">
        <f>"10/06/2019 00:39"</f>
        <v>10/06/2019 00:39</v>
      </c>
    </row>
    <row r="6581" spans="1:10" x14ac:dyDescent="0.3">
      <c r="A6581" t="s">
        <v>6</v>
      </c>
      <c r="B6581" t="str">
        <f>"10/06/2019 00:00"</f>
        <v>10/06/2019 00:00</v>
      </c>
      <c r="C6581">
        <v>261</v>
      </c>
      <c r="D6581" t="s">
        <v>7</v>
      </c>
      <c r="E6581" s="2" t="s">
        <v>12</v>
      </c>
      <c r="F6581">
        <f t="shared" si="102"/>
        <v>517.56299999999999</v>
      </c>
      <c r="G6581" t="s">
        <v>16</v>
      </c>
      <c r="H6581" t="s">
        <v>10</v>
      </c>
      <c r="J6581" t="str">
        <f>"10/07/2019 00:39"</f>
        <v>10/07/2019 00:39</v>
      </c>
    </row>
    <row r="6582" spans="1:10" x14ac:dyDescent="0.3">
      <c r="A6582" t="s">
        <v>6</v>
      </c>
      <c r="B6582" t="str">
        <f>"10/07/2019 00:00"</f>
        <v>10/07/2019 00:00</v>
      </c>
      <c r="C6582">
        <v>261</v>
      </c>
      <c r="D6582" t="s">
        <v>7</v>
      </c>
      <c r="E6582" s="2" t="s">
        <v>12</v>
      </c>
      <c r="F6582">
        <f t="shared" si="102"/>
        <v>517.56299999999999</v>
      </c>
      <c r="G6582" t="s">
        <v>16</v>
      </c>
      <c r="H6582" t="s">
        <v>10</v>
      </c>
      <c r="J6582" t="str">
        <f>"10/08/2019 00:39"</f>
        <v>10/08/2019 00:39</v>
      </c>
    </row>
    <row r="6583" spans="1:10" x14ac:dyDescent="0.3">
      <c r="A6583" t="s">
        <v>6</v>
      </c>
      <c r="B6583" t="str">
        <f>"10/08/2019 00:00"</f>
        <v>10/08/2019 00:00</v>
      </c>
      <c r="C6583">
        <v>260</v>
      </c>
      <c r="D6583" t="s">
        <v>7</v>
      </c>
      <c r="E6583" s="2" t="s">
        <v>12</v>
      </c>
      <c r="F6583">
        <f t="shared" si="102"/>
        <v>515.58000000000004</v>
      </c>
      <c r="G6583" t="s">
        <v>16</v>
      </c>
      <c r="H6583" t="s">
        <v>10</v>
      </c>
      <c r="J6583" t="str">
        <f>"10/09/2019 00:39"</f>
        <v>10/09/2019 00:39</v>
      </c>
    </row>
    <row r="6584" spans="1:10" x14ac:dyDescent="0.3">
      <c r="A6584" t="s">
        <v>6</v>
      </c>
      <c r="B6584" t="str">
        <f>"10/09/2019 00:00"</f>
        <v>10/09/2019 00:00</v>
      </c>
      <c r="C6584">
        <v>189</v>
      </c>
      <c r="D6584" t="s">
        <v>7</v>
      </c>
      <c r="E6584" s="2" t="s">
        <v>12</v>
      </c>
      <c r="F6584">
        <f t="shared" si="102"/>
        <v>374.78700000000003</v>
      </c>
      <c r="G6584" t="s">
        <v>16</v>
      </c>
      <c r="H6584" t="s">
        <v>10</v>
      </c>
      <c r="J6584" t="str">
        <f>"10/10/2019 00:39"</f>
        <v>10/10/2019 00:39</v>
      </c>
    </row>
    <row r="6585" spans="1:10" x14ac:dyDescent="0.3">
      <c r="A6585" t="s">
        <v>6</v>
      </c>
      <c r="B6585" t="str">
        <f>"10/10/2019 00:00"</f>
        <v>10/10/2019 00:00</v>
      </c>
      <c r="C6585">
        <v>120</v>
      </c>
      <c r="D6585" t="s">
        <v>7</v>
      </c>
      <c r="E6585" s="2" t="s">
        <v>12</v>
      </c>
      <c r="F6585">
        <f t="shared" si="102"/>
        <v>237.96</v>
      </c>
      <c r="G6585" t="s">
        <v>16</v>
      </c>
      <c r="H6585" t="s">
        <v>10</v>
      </c>
      <c r="J6585" t="str">
        <f>"10/11/2019 00:39"</f>
        <v>10/11/2019 00:39</v>
      </c>
    </row>
    <row r="6586" spans="1:10" x14ac:dyDescent="0.3">
      <c r="A6586" t="s">
        <v>6</v>
      </c>
      <c r="B6586" t="str">
        <f>"10/11/2019 00:00"</f>
        <v>10/11/2019 00:00</v>
      </c>
      <c r="C6586">
        <v>88.4</v>
      </c>
      <c r="D6586" t="s">
        <v>7</v>
      </c>
      <c r="E6586" s="2" t="s">
        <v>12</v>
      </c>
      <c r="F6586">
        <f t="shared" si="102"/>
        <v>175.29720000000003</v>
      </c>
      <c r="G6586" t="s">
        <v>16</v>
      </c>
      <c r="H6586" t="s">
        <v>10</v>
      </c>
      <c r="J6586" t="str">
        <f>"10/12/2019 00:39"</f>
        <v>10/12/2019 00:39</v>
      </c>
    </row>
    <row r="6587" spans="1:10" x14ac:dyDescent="0.3">
      <c r="A6587" t="s">
        <v>6</v>
      </c>
      <c r="B6587" t="str">
        <f>"10/12/2019 00:00"</f>
        <v>10/12/2019 00:00</v>
      </c>
      <c r="C6587">
        <v>80.900000000000006</v>
      </c>
      <c r="D6587" t="s">
        <v>7</v>
      </c>
      <c r="E6587" s="2" t="s">
        <v>12</v>
      </c>
      <c r="F6587">
        <f t="shared" si="102"/>
        <v>160.42470000000003</v>
      </c>
      <c r="G6587" t="s">
        <v>16</v>
      </c>
      <c r="H6587" t="s">
        <v>10</v>
      </c>
      <c r="J6587" t="str">
        <f>"10/13/2019 00:39"</f>
        <v>10/13/2019 00:39</v>
      </c>
    </row>
    <row r="6588" spans="1:10" x14ac:dyDescent="0.3">
      <c r="A6588" t="s">
        <v>6</v>
      </c>
      <c r="B6588" t="str">
        <f>"10/13/2019 00:00"</f>
        <v>10/13/2019 00:00</v>
      </c>
      <c r="C6588">
        <v>80.8</v>
      </c>
      <c r="D6588" t="s">
        <v>7</v>
      </c>
      <c r="E6588" s="2" t="s">
        <v>12</v>
      </c>
      <c r="F6588">
        <f t="shared" si="102"/>
        <v>160.22640000000001</v>
      </c>
      <c r="G6588" t="s">
        <v>16</v>
      </c>
      <c r="H6588" t="s">
        <v>10</v>
      </c>
      <c r="J6588" t="str">
        <f>"10/14/2019 00:39"</f>
        <v>10/14/2019 00:39</v>
      </c>
    </row>
    <row r="6589" spans="1:10" x14ac:dyDescent="0.3">
      <c r="A6589" t="s">
        <v>6</v>
      </c>
      <c r="B6589" t="str">
        <f>"10/14/2019 00:00"</f>
        <v>10/14/2019 00:00</v>
      </c>
      <c r="C6589">
        <v>123</v>
      </c>
      <c r="D6589" t="s">
        <v>7</v>
      </c>
      <c r="E6589" s="2" t="s">
        <v>12</v>
      </c>
      <c r="F6589">
        <f t="shared" si="102"/>
        <v>243.90900000000002</v>
      </c>
      <c r="G6589" t="s">
        <v>16</v>
      </c>
      <c r="H6589" t="s">
        <v>10</v>
      </c>
      <c r="J6589" t="str">
        <f>"10/15/2019 00:39"</f>
        <v>10/15/2019 00:39</v>
      </c>
    </row>
    <row r="6590" spans="1:10" x14ac:dyDescent="0.3">
      <c r="A6590" t="s">
        <v>6</v>
      </c>
      <c r="B6590" t="str">
        <f>"10/15/2019 00:00"</f>
        <v>10/15/2019 00:00</v>
      </c>
      <c r="C6590">
        <v>150</v>
      </c>
      <c r="D6590" t="s">
        <v>7</v>
      </c>
      <c r="E6590" s="2" t="s">
        <v>12</v>
      </c>
      <c r="F6590">
        <f t="shared" si="102"/>
        <v>297.45</v>
      </c>
      <c r="G6590" t="s">
        <v>16</v>
      </c>
      <c r="H6590" t="s">
        <v>10</v>
      </c>
      <c r="J6590" t="str">
        <f>"10/16/2019 00:39"</f>
        <v>10/16/2019 00:39</v>
      </c>
    </row>
    <row r="6591" spans="1:10" x14ac:dyDescent="0.3">
      <c r="A6591" t="s">
        <v>6</v>
      </c>
      <c r="B6591" t="str">
        <f>"10/16/2019 00:00"</f>
        <v>10/16/2019 00:00</v>
      </c>
      <c r="C6591">
        <v>151</v>
      </c>
      <c r="D6591" t="s">
        <v>7</v>
      </c>
      <c r="E6591" s="2" t="s">
        <v>12</v>
      </c>
      <c r="F6591">
        <f t="shared" si="102"/>
        <v>299.43299999999999</v>
      </c>
      <c r="G6591" t="s">
        <v>16</v>
      </c>
      <c r="H6591" t="s">
        <v>10</v>
      </c>
      <c r="J6591" t="str">
        <f>"10/17/2019 00:39"</f>
        <v>10/17/2019 00:39</v>
      </c>
    </row>
    <row r="6592" spans="1:10" x14ac:dyDescent="0.3">
      <c r="A6592" t="s">
        <v>6</v>
      </c>
      <c r="B6592" t="str">
        <f>"10/17/2019 00:00"</f>
        <v>10/17/2019 00:00</v>
      </c>
      <c r="C6592">
        <v>150</v>
      </c>
      <c r="D6592" t="s">
        <v>7</v>
      </c>
      <c r="E6592" s="2" t="s">
        <v>12</v>
      </c>
      <c r="F6592">
        <f t="shared" si="102"/>
        <v>297.45</v>
      </c>
      <c r="G6592" t="s">
        <v>16</v>
      </c>
      <c r="H6592" t="s">
        <v>10</v>
      </c>
      <c r="J6592" t="str">
        <f>"10/18/2019 00:39"</f>
        <v>10/18/2019 00:39</v>
      </c>
    </row>
    <row r="6593" spans="1:10" x14ac:dyDescent="0.3">
      <c r="A6593" t="s">
        <v>6</v>
      </c>
      <c r="B6593" t="str">
        <f>"10/18/2019 00:00"</f>
        <v>10/18/2019 00:00</v>
      </c>
      <c r="C6593">
        <v>151</v>
      </c>
      <c r="D6593" t="s">
        <v>7</v>
      </c>
      <c r="E6593" s="2" t="s">
        <v>12</v>
      </c>
      <c r="F6593">
        <f t="shared" si="102"/>
        <v>299.43299999999999</v>
      </c>
      <c r="G6593" t="s">
        <v>16</v>
      </c>
      <c r="H6593" t="s">
        <v>10</v>
      </c>
      <c r="J6593" t="str">
        <f>"10/19/2019 00:39"</f>
        <v>10/19/2019 00:39</v>
      </c>
    </row>
    <row r="6594" spans="1:10" x14ac:dyDescent="0.3">
      <c r="A6594" t="s">
        <v>6</v>
      </c>
      <c r="B6594" t="str">
        <f>"10/19/2019 00:00"</f>
        <v>10/19/2019 00:00</v>
      </c>
      <c r="C6594">
        <v>150</v>
      </c>
      <c r="D6594" t="s">
        <v>7</v>
      </c>
      <c r="E6594" s="2" t="s">
        <v>12</v>
      </c>
      <c r="F6594">
        <f t="shared" si="102"/>
        <v>297.45</v>
      </c>
      <c r="G6594" t="s">
        <v>16</v>
      </c>
      <c r="H6594" t="s">
        <v>10</v>
      </c>
      <c r="J6594" t="str">
        <f>"10/20/2019 00:39"</f>
        <v>10/20/2019 00:39</v>
      </c>
    </row>
    <row r="6595" spans="1:10" x14ac:dyDescent="0.3">
      <c r="A6595" t="s">
        <v>6</v>
      </c>
      <c r="B6595" t="str">
        <f>"10/20/2019 00:00"</f>
        <v>10/20/2019 00:00</v>
      </c>
      <c r="C6595">
        <v>150</v>
      </c>
      <c r="D6595" t="s">
        <v>7</v>
      </c>
      <c r="E6595" s="2" t="s">
        <v>12</v>
      </c>
      <c r="F6595">
        <f t="shared" si="102"/>
        <v>297.45</v>
      </c>
      <c r="G6595" t="s">
        <v>16</v>
      </c>
      <c r="H6595" t="s">
        <v>10</v>
      </c>
      <c r="J6595" t="str">
        <f>"10/21/2019 00:39"</f>
        <v>10/21/2019 00:39</v>
      </c>
    </row>
    <row r="6596" spans="1:10" x14ac:dyDescent="0.3">
      <c r="A6596" t="s">
        <v>6</v>
      </c>
      <c r="B6596" t="str">
        <f>"10/21/2019 00:00"</f>
        <v>10/21/2019 00:00</v>
      </c>
      <c r="C6596">
        <v>151</v>
      </c>
      <c r="D6596" t="s">
        <v>7</v>
      </c>
      <c r="E6596" s="2" t="s">
        <v>12</v>
      </c>
      <c r="F6596">
        <f t="shared" ref="F6596:F6659" si="103">C6596*1.983</f>
        <v>299.43299999999999</v>
      </c>
      <c r="G6596" t="s">
        <v>16</v>
      </c>
      <c r="H6596" t="s">
        <v>10</v>
      </c>
      <c r="J6596" t="str">
        <f>"10/22/2019 00:39"</f>
        <v>10/22/2019 00:39</v>
      </c>
    </row>
    <row r="6597" spans="1:10" x14ac:dyDescent="0.3">
      <c r="A6597" t="s">
        <v>6</v>
      </c>
      <c r="B6597" t="str">
        <f>"10/22/2019 00:00"</f>
        <v>10/22/2019 00:00</v>
      </c>
      <c r="C6597">
        <v>151</v>
      </c>
      <c r="D6597" t="s">
        <v>7</v>
      </c>
      <c r="E6597" s="2" t="s">
        <v>12</v>
      </c>
      <c r="F6597">
        <f t="shared" si="103"/>
        <v>299.43299999999999</v>
      </c>
      <c r="G6597" t="s">
        <v>16</v>
      </c>
      <c r="H6597" t="s">
        <v>10</v>
      </c>
      <c r="J6597" t="str">
        <f>"10/23/2019 00:39"</f>
        <v>10/23/2019 00:39</v>
      </c>
    </row>
    <row r="6598" spans="1:10" x14ac:dyDescent="0.3">
      <c r="A6598" t="s">
        <v>6</v>
      </c>
      <c r="B6598" t="str">
        <f>"10/23/2019 00:00"</f>
        <v>10/23/2019 00:00</v>
      </c>
      <c r="C6598">
        <v>123</v>
      </c>
      <c r="D6598" t="s">
        <v>7</v>
      </c>
      <c r="E6598" s="2" t="s">
        <v>12</v>
      </c>
      <c r="F6598">
        <f t="shared" si="103"/>
        <v>243.90900000000002</v>
      </c>
      <c r="G6598" t="s">
        <v>16</v>
      </c>
      <c r="H6598" t="s">
        <v>10</v>
      </c>
      <c r="J6598" t="str">
        <f>"10/24/2019 00:39"</f>
        <v>10/24/2019 00:39</v>
      </c>
    </row>
    <row r="6599" spans="1:10" x14ac:dyDescent="0.3">
      <c r="A6599" t="s">
        <v>6</v>
      </c>
      <c r="B6599" t="str">
        <f>"10/24/2019 00:00"</f>
        <v>10/24/2019 00:00</v>
      </c>
      <c r="C6599">
        <v>88.6</v>
      </c>
      <c r="D6599" t="s">
        <v>7</v>
      </c>
      <c r="E6599" s="2" t="s">
        <v>12</v>
      </c>
      <c r="F6599">
        <f t="shared" si="103"/>
        <v>175.69380000000001</v>
      </c>
      <c r="G6599" t="s">
        <v>16</v>
      </c>
      <c r="H6599" t="s">
        <v>10</v>
      </c>
      <c r="J6599" t="str">
        <f>"10/25/2019 00:39"</f>
        <v>10/25/2019 00:39</v>
      </c>
    </row>
    <row r="6600" spans="1:10" x14ac:dyDescent="0.3">
      <c r="A6600" t="s">
        <v>6</v>
      </c>
      <c r="B6600" t="str">
        <f>"10/25/2019 00:00"</f>
        <v>10/25/2019 00:00</v>
      </c>
      <c r="C6600">
        <v>79.2</v>
      </c>
      <c r="D6600" t="s">
        <v>7</v>
      </c>
      <c r="E6600" s="2" t="s">
        <v>12</v>
      </c>
      <c r="F6600">
        <f t="shared" si="103"/>
        <v>157.05360000000002</v>
      </c>
      <c r="G6600" t="s">
        <v>16</v>
      </c>
      <c r="H6600" t="s">
        <v>10</v>
      </c>
      <c r="J6600" t="str">
        <f>"10/26/2019 00:39"</f>
        <v>10/26/2019 00:39</v>
      </c>
    </row>
    <row r="6601" spans="1:10" x14ac:dyDescent="0.3">
      <c r="A6601" t="s">
        <v>6</v>
      </c>
      <c r="B6601" t="str">
        <f>"10/26/2019 00:00"</f>
        <v>10/26/2019 00:00</v>
      </c>
      <c r="C6601">
        <v>74.7</v>
      </c>
      <c r="D6601" t="s">
        <v>7</v>
      </c>
      <c r="E6601" s="2" t="s">
        <v>12</v>
      </c>
      <c r="F6601">
        <f t="shared" si="103"/>
        <v>148.1301</v>
      </c>
      <c r="G6601" t="s">
        <v>16</v>
      </c>
      <c r="H6601" t="s">
        <v>10</v>
      </c>
      <c r="J6601" t="str">
        <f>"10/27/2019 00:39"</f>
        <v>10/27/2019 00:39</v>
      </c>
    </row>
    <row r="6602" spans="1:10" x14ac:dyDescent="0.3">
      <c r="A6602" t="s">
        <v>6</v>
      </c>
      <c r="B6602" t="str">
        <f>"10/27/2019 00:00"</f>
        <v>10/27/2019 00:00</v>
      </c>
      <c r="C6602">
        <v>68.5</v>
      </c>
      <c r="D6602" t="s">
        <v>7</v>
      </c>
      <c r="E6602" s="2" t="s">
        <v>12</v>
      </c>
      <c r="F6602">
        <f t="shared" si="103"/>
        <v>135.8355</v>
      </c>
      <c r="G6602" t="s">
        <v>16</v>
      </c>
      <c r="H6602" t="s">
        <v>10</v>
      </c>
      <c r="J6602" t="str">
        <f>"10/28/2019 00:39"</f>
        <v>10/28/2019 00:39</v>
      </c>
    </row>
    <row r="6603" spans="1:10" x14ac:dyDescent="0.3">
      <c r="A6603" t="s">
        <v>6</v>
      </c>
      <c r="B6603" t="str">
        <f>"10/28/2019 00:00"</f>
        <v>10/28/2019 00:00</v>
      </c>
      <c r="C6603">
        <v>72.8</v>
      </c>
      <c r="D6603" t="s">
        <v>7</v>
      </c>
      <c r="E6603" s="2" t="s">
        <v>12</v>
      </c>
      <c r="F6603">
        <f t="shared" si="103"/>
        <v>144.36240000000001</v>
      </c>
      <c r="G6603" t="s">
        <v>16</v>
      </c>
      <c r="H6603" t="s">
        <v>10</v>
      </c>
      <c r="J6603" t="str">
        <f>"10/29/2019 00:39"</f>
        <v>10/29/2019 00:39</v>
      </c>
    </row>
    <row r="6604" spans="1:10" x14ac:dyDescent="0.3">
      <c r="A6604" t="s">
        <v>6</v>
      </c>
      <c r="B6604" t="str">
        <f>"10/29/2019 00:00"</f>
        <v>10/29/2019 00:00</v>
      </c>
      <c r="C6604">
        <v>76.099999999999994</v>
      </c>
      <c r="D6604" t="s">
        <v>7</v>
      </c>
      <c r="E6604" s="2" t="s">
        <v>12</v>
      </c>
      <c r="F6604">
        <f t="shared" si="103"/>
        <v>150.90629999999999</v>
      </c>
      <c r="G6604" t="s">
        <v>16</v>
      </c>
      <c r="H6604" t="s">
        <v>10</v>
      </c>
      <c r="J6604" t="str">
        <f>"10/30/2019 00:39"</f>
        <v>10/30/2019 00:39</v>
      </c>
    </row>
    <row r="6605" spans="1:10" x14ac:dyDescent="0.3">
      <c r="A6605" t="s">
        <v>6</v>
      </c>
      <c r="B6605" t="str">
        <f>"10/30/2019 00:00"</f>
        <v>10/30/2019 00:00</v>
      </c>
      <c r="C6605">
        <v>76.2</v>
      </c>
      <c r="D6605" t="s">
        <v>7</v>
      </c>
      <c r="E6605" s="2" t="s">
        <v>12</v>
      </c>
      <c r="F6605">
        <f t="shared" si="103"/>
        <v>151.1046</v>
      </c>
      <c r="G6605" t="s">
        <v>16</v>
      </c>
      <c r="H6605" t="s">
        <v>10</v>
      </c>
      <c r="J6605" t="str">
        <f>"10/31/2019 00:39"</f>
        <v>10/31/2019 00:39</v>
      </c>
    </row>
    <row r="6606" spans="1:10" x14ac:dyDescent="0.3">
      <c r="A6606" t="s">
        <v>6</v>
      </c>
      <c r="B6606" t="str">
        <f>"10/31/2019 00:00"</f>
        <v>10/31/2019 00:00</v>
      </c>
      <c r="C6606">
        <v>96.5</v>
      </c>
      <c r="D6606" t="s">
        <v>7</v>
      </c>
      <c r="E6606" s="2" t="s">
        <v>12</v>
      </c>
      <c r="F6606">
        <f t="shared" si="103"/>
        <v>191.3595</v>
      </c>
      <c r="G6606" t="s">
        <v>16</v>
      </c>
      <c r="H6606" t="s">
        <v>10</v>
      </c>
      <c r="J6606" t="str">
        <f>"11/01/2019 00:39"</f>
        <v>11/01/2019 00:39</v>
      </c>
    </row>
    <row r="6607" spans="1:10" x14ac:dyDescent="0.3">
      <c r="A6607" t="s">
        <v>6</v>
      </c>
      <c r="B6607" t="str">
        <f>"11/01/2019 00:00"</f>
        <v>11/01/2019 00:00</v>
      </c>
      <c r="C6607">
        <v>114</v>
      </c>
      <c r="D6607" t="s">
        <v>7</v>
      </c>
      <c r="E6607" s="2" t="s">
        <v>12</v>
      </c>
      <c r="F6607">
        <f t="shared" si="103"/>
        <v>226.06200000000001</v>
      </c>
      <c r="G6607" t="s">
        <v>16</v>
      </c>
      <c r="H6607" t="s">
        <v>10</v>
      </c>
      <c r="J6607" t="str">
        <f>"11/02/2019 00:39"</f>
        <v>11/02/2019 00:39</v>
      </c>
    </row>
    <row r="6608" spans="1:10" x14ac:dyDescent="0.3">
      <c r="A6608" t="s">
        <v>6</v>
      </c>
      <c r="B6608" t="str">
        <f>"11/02/2019 00:00"</f>
        <v>11/02/2019 00:00</v>
      </c>
      <c r="C6608">
        <v>114</v>
      </c>
      <c r="D6608" t="s">
        <v>7</v>
      </c>
      <c r="E6608" s="2" t="s">
        <v>12</v>
      </c>
      <c r="F6608">
        <f t="shared" si="103"/>
        <v>226.06200000000001</v>
      </c>
      <c r="G6608" t="s">
        <v>16</v>
      </c>
      <c r="H6608" t="s">
        <v>10</v>
      </c>
      <c r="J6608" t="str">
        <f>"11/03/2019 00:39"</f>
        <v>11/03/2019 00:39</v>
      </c>
    </row>
    <row r="6609" spans="1:10" x14ac:dyDescent="0.3">
      <c r="A6609" t="s">
        <v>6</v>
      </c>
      <c r="B6609" t="str">
        <f>"11/03/2019 00:00"</f>
        <v>11/03/2019 00:00</v>
      </c>
      <c r="C6609">
        <v>114</v>
      </c>
      <c r="D6609" t="s">
        <v>7</v>
      </c>
      <c r="E6609" s="2" t="s">
        <v>12</v>
      </c>
      <c r="F6609">
        <f t="shared" si="103"/>
        <v>226.06200000000001</v>
      </c>
      <c r="G6609" t="s">
        <v>16</v>
      </c>
      <c r="H6609" t="s">
        <v>10</v>
      </c>
      <c r="J6609" t="str">
        <f>"11/04/2019 00:39"</f>
        <v>11/04/2019 00:39</v>
      </c>
    </row>
    <row r="6610" spans="1:10" x14ac:dyDescent="0.3">
      <c r="A6610" t="s">
        <v>6</v>
      </c>
      <c r="B6610" t="str">
        <f>"11/04/2019 00:00"</f>
        <v>11/04/2019 00:00</v>
      </c>
      <c r="C6610">
        <v>115</v>
      </c>
      <c r="D6610" t="s">
        <v>7</v>
      </c>
      <c r="E6610" s="2" t="s">
        <v>12</v>
      </c>
      <c r="F6610">
        <f t="shared" si="103"/>
        <v>228.04500000000002</v>
      </c>
      <c r="G6610" t="s">
        <v>16</v>
      </c>
      <c r="H6610" t="s">
        <v>10</v>
      </c>
      <c r="J6610" t="str">
        <f>"11/05/2019 00:39"</f>
        <v>11/05/2019 00:39</v>
      </c>
    </row>
    <row r="6611" spans="1:10" x14ac:dyDescent="0.3">
      <c r="A6611" t="s">
        <v>6</v>
      </c>
      <c r="B6611" t="str">
        <f>"11/05/2019 00:00"</f>
        <v>11/05/2019 00:00</v>
      </c>
      <c r="C6611">
        <v>115</v>
      </c>
      <c r="D6611" t="s">
        <v>7</v>
      </c>
      <c r="E6611" s="2" t="s">
        <v>12</v>
      </c>
      <c r="F6611">
        <f t="shared" si="103"/>
        <v>228.04500000000002</v>
      </c>
      <c r="G6611" t="s">
        <v>16</v>
      </c>
      <c r="H6611" t="s">
        <v>10</v>
      </c>
      <c r="J6611" t="str">
        <f>"11/06/2019 00:39"</f>
        <v>11/06/2019 00:39</v>
      </c>
    </row>
    <row r="6612" spans="1:10" x14ac:dyDescent="0.3">
      <c r="A6612" t="s">
        <v>6</v>
      </c>
      <c r="B6612" t="str">
        <f>"11/06/2019 00:00"</f>
        <v>11/06/2019 00:00</v>
      </c>
      <c r="C6612">
        <v>102</v>
      </c>
      <c r="D6612" t="s">
        <v>7</v>
      </c>
      <c r="E6612" s="2" t="s">
        <v>12</v>
      </c>
      <c r="F6612">
        <f t="shared" si="103"/>
        <v>202.26600000000002</v>
      </c>
      <c r="G6612" t="s">
        <v>16</v>
      </c>
      <c r="H6612" t="s">
        <v>10</v>
      </c>
      <c r="J6612" t="str">
        <f>"11/07/2019 00:39"</f>
        <v>11/07/2019 00:39</v>
      </c>
    </row>
    <row r="6613" spans="1:10" x14ac:dyDescent="0.3">
      <c r="A6613" t="s">
        <v>6</v>
      </c>
      <c r="B6613" t="str">
        <f>"11/07/2019 00:00"</f>
        <v>11/07/2019 00:00</v>
      </c>
      <c r="C6613">
        <v>95.4</v>
      </c>
      <c r="D6613" t="s">
        <v>7</v>
      </c>
      <c r="E6613" s="2" t="s">
        <v>12</v>
      </c>
      <c r="F6613">
        <f t="shared" si="103"/>
        <v>189.17820000000003</v>
      </c>
      <c r="G6613" t="s">
        <v>16</v>
      </c>
      <c r="H6613" t="s">
        <v>10</v>
      </c>
      <c r="J6613" t="str">
        <f>"11/08/2019 00:39"</f>
        <v>11/08/2019 00:39</v>
      </c>
    </row>
    <row r="6614" spans="1:10" x14ac:dyDescent="0.3">
      <c r="A6614" t="s">
        <v>6</v>
      </c>
      <c r="B6614" t="str">
        <f>"11/08/2019 00:00"</f>
        <v>11/08/2019 00:00</v>
      </c>
      <c r="C6614">
        <v>95.7</v>
      </c>
      <c r="D6614" t="s">
        <v>7</v>
      </c>
      <c r="E6614" s="2" t="s">
        <v>12</v>
      </c>
      <c r="F6614">
        <f t="shared" si="103"/>
        <v>189.77310000000003</v>
      </c>
      <c r="G6614" t="s">
        <v>16</v>
      </c>
      <c r="H6614" t="s">
        <v>10</v>
      </c>
      <c r="J6614" t="str">
        <f>"11/09/2019 00:39"</f>
        <v>11/09/2019 00:39</v>
      </c>
    </row>
    <row r="6615" spans="1:10" x14ac:dyDescent="0.3">
      <c r="A6615" t="s">
        <v>6</v>
      </c>
      <c r="B6615" t="str">
        <f>"11/09/2019 00:00"</f>
        <v>11/09/2019 00:00</v>
      </c>
      <c r="C6615">
        <v>95.7</v>
      </c>
      <c r="D6615" t="s">
        <v>7</v>
      </c>
      <c r="E6615" s="2" t="s">
        <v>12</v>
      </c>
      <c r="F6615">
        <f t="shared" si="103"/>
        <v>189.77310000000003</v>
      </c>
      <c r="G6615" t="s">
        <v>16</v>
      </c>
      <c r="H6615" t="s">
        <v>10</v>
      </c>
      <c r="J6615" t="str">
        <f>"11/10/2019 00:39"</f>
        <v>11/10/2019 00:39</v>
      </c>
    </row>
    <row r="6616" spans="1:10" x14ac:dyDescent="0.3">
      <c r="A6616" t="s">
        <v>6</v>
      </c>
      <c r="B6616" t="str">
        <f>"11/10/2019 00:00"</f>
        <v>11/10/2019 00:00</v>
      </c>
      <c r="C6616">
        <v>95.5</v>
      </c>
      <c r="D6616" t="s">
        <v>7</v>
      </c>
      <c r="E6616" s="2" t="s">
        <v>12</v>
      </c>
      <c r="F6616">
        <f t="shared" si="103"/>
        <v>189.37650000000002</v>
      </c>
      <c r="G6616" t="s">
        <v>16</v>
      </c>
      <c r="H6616" t="s">
        <v>10</v>
      </c>
      <c r="J6616" t="str">
        <f>"11/11/2019 00:39"</f>
        <v>11/11/2019 00:39</v>
      </c>
    </row>
    <row r="6617" spans="1:10" x14ac:dyDescent="0.3">
      <c r="A6617" t="s">
        <v>6</v>
      </c>
      <c r="B6617" t="str">
        <f>"11/11/2019 00:00"</f>
        <v>11/11/2019 00:00</v>
      </c>
      <c r="C6617">
        <v>95.6</v>
      </c>
      <c r="D6617" t="s">
        <v>7</v>
      </c>
      <c r="E6617" s="2" t="s">
        <v>12</v>
      </c>
      <c r="F6617">
        <f t="shared" si="103"/>
        <v>189.57480000000001</v>
      </c>
      <c r="G6617" t="s">
        <v>16</v>
      </c>
      <c r="H6617" t="s">
        <v>10</v>
      </c>
      <c r="J6617" t="str">
        <f>"11/12/2019 00:39"</f>
        <v>11/12/2019 00:39</v>
      </c>
    </row>
    <row r="6618" spans="1:10" x14ac:dyDescent="0.3">
      <c r="A6618" t="s">
        <v>6</v>
      </c>
      <c r="B6618" t="str">
        <f>"11/12/2019 00:00"</f>
        <v>11/12/2019 00:00</v>
      </c>
      <c r="C6618">
        <v>95.6</v>
      </c>
      <c r="D6618" t="s">
        <v>7</v>
      </c>
      <c r="E6618" s="2" t="s">
        <v>12</v>
      </c>
      <c r="F6618">
        <f t="shared" si="103"/>
        <v>189.57480000000001</v>
      </c>
      <c r="G6618" t="s">
        <v>16</v>
      </c>
      <c r="H6618" t="s">
        <v>10</v>
      </c>
      <c r="J6618" t="str">
        <f>"11/13/2019 00:39"</f>
        <v>11/13/2019 00:39</v>
      </c>
    </row>
    <row r="6619" spans="1:10" x14ac:dyDescent="0.3">
      <c r="A6619" t="s">
        <v>6</v>
      </c>
      <c r="B6619" t="str">
        <f>"11/13/2019 00:00"</f>
        <v>11/13/2019 00:00</v>
      </c>
      <c r="C6619">
        <v>87.5</v>
      </c>
      <c r="D6619" t="s">
        <v>7</v>
      </c>
      <c r="E6619" s="2" t="s">
        <v>12</v>
      </c>
      <c r="F6619">
        <f t="shared" si="103"/>
        <v>173.51250000000002</v>
      </c>
      <c r="G6619" t="s">
        <v>16</v>
      </c>
      <c r="H6619" t="s">
        <v>10</v>
      </c>
      <c r="J6619" t="str">
        <f>"11/14/2019 00:39"</f>
        <v>11/14/2019 00:39</v>
      </c>
    </row>
    <row r="6620" spans="1:10" x14ac:dyDescent="0.3">
      <c r="A6620" t="s">
        <v>6</v>
      </c>
      <c r="B6620" t="str">
        <f>"11/14/2019 00:00"</f>
        <v>11/14/2019 00:00</v>
      </c>
      <c r="C6620">
        <v>81.8</v>
      </c>
      <c r="D6620" t="s">
        <v>7</v>
      </c>
      <c r="E6620" s="2" t="s">
        <v>12</v>
      </c>
      <c r="F6620">
        <f t="shared" si="103"/>
        <v>162.20939999999999</v>
      </c>
      <c r="G6620" t="s">
        <v>16</v>
      </c>
      <c r="H6620" t="s">
        <v>10</v>
      </c>
      <c r="J6620" t="str">
        <f>"11/15/2019 00:39"</f>
        <v>11/15/2019 00:39</v>
      </c>
    </row>
    <row r="6621" spans="1:10" x14ac:dyDescent="0.3">
      <c r="A6621" t="s">
        <v>6</v>
      </c>
      <c r="B6621" t="str">
        <f>"11/15/2019 00:00"</f>
        <v>11/15/2019 00:00</v>
      </c>
      <c r="C6621">
        <v>81.3</v>
      </c>
      <c r="D6621" t="s">
        <v>7</v>
      </c>
      <c r="E6621" s="2" t="s">
        <v>12</v>
      </c>
      <c r="F6621">
        <f t="shared" si="103"/>
        <v>161.21790000000001</v>
      </c>
      <c r="G6621" t="s">
        <v>16</v>
      </c>
      <c r="H6621" t="s">
        <v>10</v>
      </c>
      <c r="J6621" t="str">
        <f>"11/16/2019 00:39"</f>
        <v>11/16/2019 00:39</v>
      </c>
    </row>
    <row r="6622" spans="1:10" x14ac:dyDescent="0.3">
      <c r="A6622" t="s">
        <v>6</v>
      </c>
      <c r="B6622" t="str">
        <f>"11/16/2019 00:00"</f>
        <v>11/16/2019 00:00</v>
      </c>
      <c r="C6622">
        <v>81.099999999999994</v>
      </c>
      <c r="D6622" t="s">
        <v>7</v>
      </c>
      <c r="E6622" s="2" t="s">
        <v>12</v>
      </c>
      <c r="F6622">
        <f t="shared" si="103"/>
        <v>160.82130000000001</v>
      </c>
      <c r="G6622" t="s">
        <v>16</v>
      </c>
      <c r="H6622" t="s">
        <v>10</v>
      </c>
      <c r="J6622" t="str">
        <f>"11/17/2019 00:39"</f>
        <v>11/17/2019 00:39</v>
      </c>
    </row>
    <row r="6623" spans="1:10" x14ac:dyDescent="0.3">
      <c r="A6623" t="s">
        <v>6</v>
      </c>
      <c r="B6623" t="str">
        <f>"11/17/2019 00:00"</f>
        <v>11/17/2019 00:00</v>
      </c>
      <c r="C6623">
        <v>80.900000000000006</v>
      </c>
      <c r="D6623" t="s">
        <v>7</v>
      </c>
      <c r="E6623" s="2" t="s">
        <v>12</v>
      </c>
      <c r="F6623">
        <f t="shared" si="103"/>
        <v>160.42470000000003</v>
      </c>
      <c r="G6623" t="s">
        <v>16</v>
      </c>
      <c r="H6623" t="s">
        <v>10</v>
      </c>
      <c r="J6623" t="str">
        <f>"11/18/2019 00:39"</f>
        <v>11/18/2019 00:39</v>
      </c>
    </row>
    <row r="6624" spans="1:10" x14ac:dyDescent="0.3">
      <c r="A6624" t="s">
        <v>6</v>
      </c>
      <c r="B6624" t="str">
        <f>"11/18/2019 00:00"</f>
        <v>11/18/2019 00:00</v>
      </c>
      <c r="C6624">
        <v>81.3</v>
      </c>
      <c r="D6624" t="s">
        <v>7</v>
      </c>
      <c r="E6624" s="2" t="s">
        <v>12</v>
      </c>
      <c r="F6624">
        <f t="shared" si="103"/>
        <v>161.21790000000001</v>
      </c>
      <c r="G6624" t="s">
        <v>16</v>
      </c>
      <c r="H6624" t="s">
        <v>10</v>
      </c>
      <c r="J6624" t="str">
        <f>"11/19/2019 00:39"</f>
        <v>11/19/2019 00:39</v>
      </c>
    </row>
    <row r="6625" spans="1:10" x14ac:dyDescent="0.3">
      <c r="A6625" t="s">
        <v>6</v>
      </c>
      <c r="B6625" t="str">
        <f>"11/19/2019 00:00"</f>
        <v>11/19/2019 00:00</v>
      </c>
      <c r="C6625">
        <v>83.2</v>
      </c>
      <c r="D6625" t="s">
        <v>7</v>
      </c>
      <c r="E6625" s="2" t="s">
        <v>12</v>
      </c>
      <c r="F6625">
        <f t="shared" si="103"/>
        <v>164.98560000000001</v>
      </c>
      <c r="G6625" t="s">
        <v>16</v>
      </c>
      <c r="H6625" t="s">
        <v>10</v>
      </c>
      <c r="J6625" t="str">
        <f>"11/20/2019 00:39"</f>
        <v>11/20/2019 00:39</v>
      </c>
    </row>
    <row r="6626" spans="1:10" x14ac:dyDescent="0.3">
      <c r="A6626" t="s">
        <v>6</v>
      </c>
      <c r="B6626" t="str">
        <f>"11/20/2019 00:00"</f>
        <v>11/20/2019 00:00</v>
      </c>
      <c r="C6626">
        <v>87.2</v>
      </c>
      <c r="D6626" t="s">
        <v>7</v>
      </c>
      <c r="E6626" s="2" t="s">
        <v>12</v>
      </c>
      <c r="F6626">
        <f t="shared" si="103"/>
        <v>172.91760000000002</v>
      </c>
      <c r="G6626" t="s">
        <v>16</v>
      </c>
      <c r="H6626" t="s">
        <v>10</v>
      </c>
      <c r="J6626" t="str">
        <f>"11/21/2019 00:39"</f>
        <v>11/21/2019 00:39</v>
      </c>
    </row>
    <row r="6627" spans="1:10" x14ac:dyDescent="0.3">
      <c r="A6627" t="s">
        <v>6</v>
      </c>
      <c r="B6627" t="str">
        <f>"11/21/2019 00:00"</f>
        <v>11/21/2019 00:00</v>
      </c>
      <c r="C6627">
        <v>87.6</v>
      </c>
      <c r="D6627" t="s">
        <v>7</v>
      </c>
      <c r="E6627" s="2" t="s">
        <v>12</v>
      </c>
      <c r="F6627">
        <f t="shared" si="103"/>
        <v>173.71080000000001</v>
      </c>
      <c r="G6627" t="s">
        <v>16</v>
      </c>
      <c r="H6627" t="s">
        <v>10</v>
      </c>
      <c r="J6627" t="str">
        <f>"11/22/2019 00:39"</f>
        <v>11/22/2019 00:39</v>
      </c>
    </row>
    <row r="6628" spans="1:10" x14ac:dyDescent="0.3">
      <c r="A6628" t="s">
        <v>6</v>
      </c>
      <c r="B6628" t="str">
        <f>"11/22/2019 00:00"</f>
        <v>11/22/2019 00:00</v>
      </c>
      <c r="C6628">
        <v>87.1</v>
      </c>
      <c r="D6628" t="s">
        <v>7</v>
      </c>
      <c r="E6628" s="2" t="s">
        <v>12</v>
      </c>
      <c r="F6628">
        <f t="shared" si="103"/>
        <v>172.7193</v>
      </c>
      <c r="G6628" t="s">
        <v>16</v>
      </c>
      <c r="H6628" t="s">
        <v>10</v>
      </c>
      <c r="J6628" t="str">
        <f>"11/23/2019 00:39"</f>
        <v>11/23/2019 00:39</v>
      </c>
    </row>
    <row r="6629" spans="1:10" x14ac:dyDescent="0.3">
      <c r="A6629" t="s">
        <v>6</v>
      </c>
      <c r="B6629" t="str">
        <f>"11/23/2019 00:00"</f>
        <v>11/23/2019 00:00</v>
      </c>
      <c r="C6629">
        <v>77.3</v>
      </c>
      <c r="D6629" t="s">
        <v>7</v>
      </c>
      <c r="E6629" s="2" t="s">
        <v>12</v>
      </c>
      <c r="F6629">
        <f t="shared" si="103"/>
        <v>153.2859</v>
      </c>
      <c r="G6629" t="s">
        <v>16</v>
      </c>
      <c r="H6629" t="s">
        <v>10</v>
      </c>
      <c r="J6629" t="str">
        <f>"11/24/2019 00:39"</f>
        <v>11/24/2019 00:39</v>
      </c>
    </row>
    <row r="6630" spans="1:10" x14ac:dyDescent="0.3">
      <c r="A6630" t="s">
        <v>6</v>
      </c>
      <c r="B6630" t="str">
        <f>"11/24/2019 00:00"</f>
        <v>11/24/2019 00:00</v>
      </c>
      <c r="C6630">
        <v>71.599999999999994</v>
      </c>
      <c r="D6630" t="s">
        <v>7</v>
      </c>
      <c r="E6630" s="2" t="s">
        <v>12</v>
      </c>
      <c r="F6630">
        <f t="shared" si="103"/>
        <v>141.9828</v>
      </c>
      <c r="G6630" t="s">
        <v>16</v>
      </c>
      <c r="H6630" t="s">
        <v>10</v>
      </c>
      <c r="J6630" t="str">
        <f>"11/25/2019 00:39"</f>
        <v>11/25/2019 00:39</v>
      </c>
    </row>
    <row r="6631" spans="1:10" x14ac:dyDescent="0.3">
      <c r="A6631" t="s">
        <v>6</v>
      </c>
      <c r="B6631" t="str">
        <f>"11/25/2019 00:00"</f>
        <v>11/25/2019 00:00</v>
      </c>
      <c r="C6631">
        <v>78.3</v>
      </c>
      <c r="D6631" t="s">
        <v>7</v>
      </c>
      <c r="E6631" s="2" t="s">
        <v>12</v>
      </c>
      <c r="F6631">
        <f t="shared" si="103"/>
        <v>155.2689</v>
      </c>
      <c r="G6631" t="s">
        <v>16</v>
      </c>
      <c r="H6631" t="s">
        <v>10</v>
      </c>
      <c r="J6631" t="str">
        <f>"11/26/2019 00:39"</f>
        <v>11/26/2019 00:39</v>
      </c>
    </row>
    <row r="6632" spans="1:10" x14ac:dyDescent="0.3">
      <c r="A6632" t="s">
        <v>6</v>
      </c>
      <c r="B6632" t="str">
        <f>"11/26/2019 00:00"</f>
        <v>11/26/2019 00:00</v>
      </c>
      <c r="C6632">
        <v>82.3</v>
      </c>
      <c r="D6632" t="s">
        <v>7</v>
      </c>
      <c r="E6632" s="2" t="s">
        <v>12</v>
      </c>
      <c r="F6632">
        <f t="shared" si="103"/>
        <v>163.20089999999999</v>
      </c>
      <c r="G6632" t="s">
        <v>16</v>
      </c>
      <c r="H6632" t="s">
        <v>10</v>
      </c>
      <c r="J6632" t="str">
        <f>"11/27/2019 00:39"</f>
        <v>11/27/2019 00:39</v>
      </c>
    </row>
    <row r="6633" spans="1:10" x14ac:dyDescent="0.3">
      <c r="A6633" t="s">
        <v>6</v>
      </c>
      <c r="B6633" t="str">
        <f>"11/27/2019 00:00"</f>
        <v>11/27/2019 00:00</v>
      </c>
      <c r="C6633">
        <v>82.1</v>
      </c>
      <c r="D6633" t="s">
        <v>7</v>
      </c>
      <c r="E6633" s="2" t="s">
        <v>12</v>
      </c>
      <c r="F6633">
        <f t="shared" si="103"/>
        <v>162.80429999999998</v>
      </c>
      <c r="G6633" t="s">
        <v>16</v>
      </c>
      <c r="H6633" t="s">
        <v>10</v>
      </c>
      <c r="J6633" t="str">
        <f>"11/28/2019 00:39"</f>
        <v>11/28/2019 00:39</v>
      </c>
    </row>
    <row r="6634" spans="1:10" x14ac:dyDescent="0.3">
      <c r="A6634" t="s">
        <v>6</v>
      </c>
      <c r="B6634" t="str">
        <f>"11/28/2019 00:00"</f>
        <v>11/28/2019 00:00</v>
      </c>
      <c r="C6634">
        <v>81.8</v>
      </c>
      <c r="D6634" t="s">
        <v>7</v>
      </c>
      <c r="E6634" s="2" t="s">
        <v>12</v>
      </c>
      <c r="F6634">
        <f t="shared" si="103"/>
        <v>162.20939999999999</v>
      </c>
      <c r="G6634" t="s">
        <v>16</v>
      </c>
      <c r="H6634" t="s">
        <v>10</v>
      </c>
      <c r="J6634" t="str">
        <f>"11/29/2019 00:39"</f>
        <v>11/29/2019 00:39</v>
      </c>
    </row>
    <row r="6635" spans="1:10" x14ac:dyDescent="0.3">
      <c r="A6635" t="s">
        <v>6</v>
      </c>
      <c r="B6635" t="str">
        <f>"11/29/2019 00:00"</f>
        <v>11/29/2019 00:00</v>
      </c>
      <c r="C6635">
        <v>81.900000000000006</v>
      </c>
      <c r="D6635" t="s">
        <v>7</v>
      </c>
      <c r="E6635" s="2" t="s">
        <v>12</v>
      </c>
      <c r="F6635">
        <f t="shared" si="103"/>
        <v>162.40770000000001</v>
      </c>
      <c r="G6635" t="s">
        <v>16</v>
      </c>
      <c r="H6635" t="s">
        <v>10</v>
      </c>
      <c r="J6635" t="str">
        <f>"11/30/2019 00:39"</f>
        <v>11/30/2019 00:39</v>
      </c>
    </row>
    <row r="6636" spans="1:10" x14ac:dyDescent="0.3">
      <c r="A6636" t="s">
        <v>6</v>
      </c>
      <c r="B6636" t="str">
        <f>"11/30/2019 00:00"</f>
        <v>11/30/2019 00:00</v>
      </c>
      <c r="C6636">
        <v>74.8</v>
      </c>
      <c r="D6636" t="s">
        <v>7</v>
      </c>
      <c r="E6636" s="2" t="s">
        <v>12</v>
      </c>
      <c r="F6636">
        <f t="shared" si="103"/>
        <v>148.32839999999999</v>
      </c>
      <c r="G6636" t="s">
        <v>16</v>
      </c>
      <c r="H6636" t="s">
        <v>10</v>
      </c>
      <c r="J6636" t="str">
        <f>"12/01/2019 00:39"</f>
        <v>12/01/2019 00:39</v>
      </c>
    </row>
    <row r="6637" spans="1:10" x14ac:dyDescent="0.3">
      <c r="A6637" t="s">
        <v>6</v>
      </c>
      <c r="B6637" t="str">
        <f>"12/01/2019 00:00"</f>
        <v>12/01/2019 00:00</v>
      </c>
      <c r="C6637">
        <v>49</v>
      </c>
      <c r="D6637" t="s">
        <v>7</v>
      </c>
      <c r="E6637" s="2" t="s">
        <v>12</v>
      </c>
      <c r="F6637">
        <f t="shared" si="103"/>
        <v>97.167000000000002</v>
      </c>
      <c r="G6637" t="s">
        <v>16</v>
      </c>
      <c r="H6637" t="s">
        <v>10</v>
      </c>
      <c r="J6637" t="str">
        <f>"12/02/2019 00:39"</f>
        <v>12/02/2019 00:39</v>
      </c>
    </row>
    <row r="6638" spans="1:10" x14ac:dyDescent="0.3">
      <c r="A6638" t="s">
        <v>6</v>
      </c>
      <c r="B6638" t="str">
        <f>"12/02/2019 00:00"</f>
        <v>12/02/2019 00:00</v>
      </c>
      <c r="C6638">
        <v>14</v>
      </c>
      <c r="D6638" t="s">
        <v>7</v>
      </c>
      <c r="E6638" s="2" t="s">
        <v>12</v>
      </c>
      <c r="F6638">
        <f t="shared" si="103"/>
        <v>27.762</v>
      </c>
      <c r="G6638" t="s">
        <v>16</v>
      </c>
      <c r="H6638" t="s">
        <v>10</v>
      </c>
      <c r="J6638" t="str">
        <f>"12/03/2019 00:39"</f>
        <v>12/03/2019 00:39</v>
      </c>
    </row>
    <row r="6639" spans="1:10" x14ac:dyDescent="0.3">
      <c r="A6639" t="s">
        <v>6</v>
      </c>
      <c r="B6639" t="str">
        <f>"12/03/2019 00:00"</f>
        <v>12/03/2019 00:00</v>
      </c>
      <c r="C6639">
        <v>0.63</v>
      </c>
      <c r="D6639" t="s">
        <v>7</v>
      </c>
      <c r="E6639" s="2" t="s">
        <v>12</v>
      </c>
      <c r="F6639">
        <f t="shared" si="103"/>
        <v>1.24929</v>
      </c>
      <c r="G6639" t="s">
        <v>16</v>
      </c>
      <c r="H6639" t="s">
        <v>10</v>
      </c>
      <c r="J6639" t="str">
        <f>"12/04/2019 00:39"</f>
        <v>12/04/2019 00:39</v>
      </c>
    </row>
    <row r="6640" spans="1:10" x14ac:dyDescent="0.3">
      <c r="A6640" t="s">
        <v>6</v>
      </c>
      <c r="B6640" t="str">
        <f>"12/04/2019 00:00"</f>
        <v>12/04/2019 00:00</v>
      </c>
      <c r="C6640">
        <v>0.63</v>
      </c>
      <c r="D6640" t="s">
        <v>7</v>
      </c>
      <c r="E6640" s="2" t="s">
        <v>12</v>
      </c>
      <c r="F6640">
        <f t="shared" si="103"/>
        <v>1.24929</v>
      </c>
      <c r="G6640" t="s">
        <v>16</v>
      </c>
      <c r="H6640" t="s">
        <v>10</v>
      </c>
      <c r="J6640" t="str">
        <f>"12/05/2019 00:39"</f>
        <v>12/05/2019 00:39</v>
      </c>
    </row>
    <row r="6641" spans="1:10" x14ac:dyDescent="0.3">
      <c r="A6641" t="s">
        <v>6</v>
      </c>
      <c r="B6641" t="str">
        <f>"12/05/2019 00:00"</f>
        <v>12/05/2019 00:00</v>
      </c>
      <c r="C6641">
        <v>0.63</v>
      </c>
      <c r="D6641" t="s">
        <v>7</v>
      </c>
      <c r="E6641" s="2" t="s">
        <v>12</v>
      </c>
      <c r="F6641">
        <f t="shared" si="103"/>
        <v>1.24929</v>
      </c>
      <c r="G6641" t="s">
        <v>16</v>
      </c>
      <c r="H6641" t="s">
        <v>10</v>
      </c>
      <c r="J6641" t="str">
        <f>"12/06/2019 00:39"</f>
        <v>12/06/2019 00:39</v>
      </c>
    </row>
    <row r="6642" spans="1:10" x14ac:dyDescent="0.3">
      <c r="A6642" t="s">
        <v>6</v>
      </c>
      <c r="B6642" t="str">
        <f>"12/06/2019 00:00"</f>
        <v>12/06/2019 00:00</v>
      </c>
      <c r="C6642">
        <v>0.63</v>
      </c>
      <c r="D6642" t="s">
        <v>7</v>
      </c>
      <c r="E6642" s="2" t="s">
        <v>12</v>
      </c>
      <c r="F6642">
        <f t="shared" si="103"/>
        <v>1.24929</v>
      </c>
      <c r="G6642" t="s">
        <v>16</v>
      </c>
      <c r="H6642" t="s">
        <v>10</v>
      </c>
      <c r="J6642" t="str">
        <f>"12/07/2019 00:39"</f>
        <v>12/07/2019 00:39</v>
      </c>
    </row>
    <row r="6643" spans="1:10" x14ac:dyDescent="0.3">
      <c r="A6643" t="s">
        <v>6</v>
      </c>
      <c r="B6643" t="str">
        <f>"12/07/2019 00:00"</f>
        <v>12/07/2019 00:00</v>
      </c>
      <c r="C6643">
        <v>0.63</v>
      </c>
      <c r="D6643" t="s">
        <v>7</v>
      </c>
      <c r="E6643" s="2" t="s">
        <v>12</v>
      </c>
      <c r="F6643">
        <f t="shared" si="103"/>
        <v>1.24929</v>
      </c>
      <c r="G6643" t="s">
        <v>16</v>
      </c>
      <c r="H6643" t="s">
        <v>10</v>
      </c>
      <c r="J6643" t="str">
        <f>"12/08/2019 00:39"</f>
        <v>12/08/2019 00:39</v>
      </c>
    </row>
    <row r="6644" spans="1:10" x14ac:dyDescent="0.3">
      <c r="A6644" t="s">
        <v>6</v>
      </c>
      <c r="B6644" t="str">
        <f>"12/08/2019 00:00"</f>
        <v>12/08/2019 00:00</v>
      </c>
      <c r="C6644">
        <v>0.63</v>
      </c>
      <c r="D6644" t="s">
        <v>7</v>
      </c>
      <c r="E6644" s="2" t="s">
        <v>12</v>
      </c>
      <c r="F6644">
        <f t="shared" si="103"/>
        <v>1.24929</v>
      </c>
      <c r="G6644" t="s">
        <v>16</v>
      </c>
      <c r="H6644" t="s">
        <v>10</v>
      </c>
      <c r="J6644" t="str">
        <f>"12/09/2019 00:39"</f>
        <v>12/09/2019 00:39</v>
      </c>
    </row>
    <row r="6645" spans="1:10" x14ac:dyDescent="0.3">
      <c r="A6645" t="s">
        <v>6</v>
      </c>
      <c r="B6645" t="str">
        <f>"12/09/2019 00:00"</f>
        <v>12/09/2019 00:00</v>
      </c>
      <c r="C6645">
        <v>0.63</v>
      </c>
      <c r="D6645" t="s">
        <v>7</v>
      </c>
      <c r="E6645" s="2" t="s">
        <v>12</v>
      </c>
      <c r="F6645">
        <f t="shared" si="103"/>
        <v>1.24929</v>
      </c>
      <c r="G6645" t="s">
        <v>16</v>
      </c>
      <c r="H6645" t="s">
        <v>10</v>
      </c>
      <c r="J6645" t="str">
        <f>"12/10/2019 00:39"</f>
        <v>12/10/2019 00:39</v>
      </c>
    </row>
    <row r="6646" spans="1:10" x14ac:dyDescent="0.3">
      <c r="A6646" t="s">
        <v>6</v>
      </c>
      <c r="B6646" t="str">
        <f>"12/10/2019 00:00"</f>
        <v>12/10/2019 00:00</v>
      </c>
      <c r="C6646">
        <v>0.63</v>
      </c>
      <c r="D6646" t="s">
        <v>7</v>
      </c>
      <c r="E6646" s="2" t="s">
        <v>12</v>
      </c>
      <c r="F6646">
        <f t="shared" si="103"/>
        <v>1.24929</v>
      </c>
      <c r="G6646" t="s">
        <v>16</v>
      </c>
      <c r="H6646" t="s">
        <v>10</v>
      </c>
      <c r="J6646" t="str">
        <f>"12/11/2019 00:39"</f>
        <v>12/11/2019 00:39</v>
      </c>
    </row>
    <row r="6647" spans="1:10" x14ac:dyDescent="0.3">
      <c r="A6647" t="s">
        <v>6</v>
      </c>
      <c r="B6647" t="str">
        <f>"12/11/2019 00:00"</f>
        <v>12/11/2019 00:00</v>
      </c>
      <c r="C6647">
        <v>0.63</v>
      </c>
      <c r="D6647" t="s">
        <v>7</v>
      </c>
      <c r="E6647" s="2" t="s">
        <v>12</v>
      </c>
      <c r="F6647">
        <f t="shared" si="103"/>
        <v>1.24929</v>
      </c>
      <c r="G6647" t="s">
        <v>16</v>
      </c>
      <c r="H6647" t="s">
        <v>10</v>
      </c>
      <c r="J6647" t="str">
        <f>"12/12/2019 00:39"</f>
        <v>12/12/2019 00:39</v>
      </c>
    </row>
    <row r="6648" spans="1:10" x14ac:dyDescent="0.3">
      <c r="A6648" t="s">
        <v>6</v>
      </c>
      <c r="B6648" t="str">
        <f>"12/12/2019 00:00"</f>
        <v>12/12/2019 00:00</v>
      </c>
      <c r="C6648">
        <v>0.62</v>
      </c>
      <c r="D6648" t="s">
        <v>7</v>
      </c>
      <c r="E6648" s="2" t="s">
        <v>12</v>
      </c>
      <c r="F6648">
        <f t="shared" si="103"/>
        <v>1.22946</v>
      </c>
      <c r="G6648" t="s">
        <v>16</v>
      </c>
      <c r="H6648" t="s">
        <v>10</v>
      </c>
      <c r="J6648" t="str">
        <f>"12/13/2019 00:39"</f>
        <v>12/13/2019 00:39</v>
      </c>
    </row>
    <row r="6649" spans="1:10" x14ac:dyDescent="0.3">
      <c r="A6649" t="s">
        <v>6</v>
      </c>
      <c r="B6649" t="str">
        <f>"12/13/2019 00:00"</f>
        <v>12/13/2019 00:00</v>
      </c>
      <c r="C6649">
        <v>0.56299999999999994</v>
      </c>
      <c r="D6649" t="s">
        <v>7</v>
      </c>
      <c r="E6649" s="2" t="s">
        <v>12</v>
      </c>
      <c r="F6649">
        <f t="shared" si="103"/>
        <v>1.1164289999999999</v>
      </c>
      <c r="G6649" t="s">
        <v>16</v>
      </c>
      <c r="H6649" t="s">
        <v>10</v>
      </c>
      <c r="J6649" t="str">
        <f>"12/14/2019 00:39"</f>
        <v>12/14/2019 00:39</v>
      </c>
    </row>
    <row r="6650" spans="1:10" x14ac:dyDescent="0.3">
      <c r="A6650" t="s">
        <v>6</v>
      </c>
      <c r="B6650" t="str">
        <f>"12/14/2019 00:00"</f>
        <v>12/14/2019 00:00</v>
      </c>
      <c r="C6650">
        <v>0.81599999999999995</v>
      </c>
      <c r="D6650" t="s">
        <v>7</v>
      </c>
      <c r="E6650" s="2" t="s">
        <v>12</v>
      </c>
      <c r="F6650">
        <f t="shared" si="103"/>
        <v>1.618128</v>
      </c>
      <c r="G6650" t="s">
        <v>16</v>
      </c>
      <c r="H6650" t="s">
        <v>10</v>
      </c>
      <c r="J6650" t="str">
        <f>"12/15/2019 00:39"</f>
        <v>12/15/2019 00:39</v>
      </c>
    </row>
    <row r="6651" spans="1:10" x14ac:dyDescent="0.3">
      <c r="A6651" t="s">
        <v>6</v>
      </c>
      <c r="B6651" t="str">
        <f>"12/15/2019 00:00"</f>
        <v>12/15/2019 00:00</v>
      </c>
      <c r="C6651">
        <v>0.995</v>
      </c>
      <c r="D6651" t="s">
        <v>7</v>
      </c>
      <c r="E6651" s="2" t="s">
        <v>12</v>
      </c>
      <c r="F6651">
        <f t="shared" si="103"/>
        <v>1.973085</v>
      </c>
      <c r="G6651" t="s">
        <v>16</v>
      </c>
      <c r="H6651" t="s">
        <v>10</v>
      </c>
      <c r="J6651" t="str">
        <f>"12/16/2019 00:39"</f>
        <v>12/16/2019 00:39</v>
      </c>
    </row>
    <row r="6652" spans="1:10" x14ac:dyDescent="0.3">
      <c r="A6652" t="s">
        <v>6</v>
      </c>
      <c r="B6652" t="str">
        <f>"12/16/2019 00:00"</f>
        <v>12/16/2019 00:00</v>
      </c>
      <c r="C6652">
        <v>0.90300000000000002</v>
      </c>
      <c r="D6652" t="s">
        <v>7</v>
      </c>
      <c r="E6652" s="2" t="s">
        <v>12</v>
      </c>
      <c r="F6652">
        <f t="shared" si="103"/>
        <v>1.7906490000000002</v>
      </c>
      <c r="G6652" t="s">
        <v>16</v>
      </c>
      <c r="H6652" t="s">
        <v>10</v>
      </c>
      <c r="J6652" t="str">
        <f>"12/17/2019 21:35"</f>
        <v>12/17/2019 21:35</v>
      </c>
    </row>
    <row r="6653" spans="1:10" x14ac:dyDescent="0.3">
      <c r="A6653" t="s">
        <v>6</v>
      </c>
      <c r="B6653" t="str">
        <f>"12/17/2019 00:00"</f>
        <v>12/17/2019 00:00</v>
      </c>
      <c r="C6653">
        <v>0.81599999999999995</v>
      </c>
      <c r="D6653" t="s">
        <v>7</v>
      </c>
      <c r="E6653" s="2" t="s">
        <v>12</v>
      </c>
      <c r="F6653">
        <f t="shared" si="103"/>
        <v>1.618128</v>
      </c>
      <c r="G6653" t="s">
        <v>16</v>
      </c>
      <c r="H6653" t="s">
        <v>10</v>
      </c>
      <c r="J6653" t="str">
        <f>"12/18/2019 08:45"</f>
        <v>12/18/2019 08:45</v>
      </c>
    </row>
    <row r="6654" spans="1:10" x14ac:dyDescent="0.3">
      <c r="A6654" t="s">
        <v>6</v>
      </c>
      <c r="B6654" t="str">
        <f>"12/18/2019 00:00"</f>
        <v>12/18/2019 00:00</v>
      </c>
      <c r="C6654">
        <v>0.81599999999999995</v>
      </c>
      <c r="D6654" t="s">
        <v>7</v>
      </c>
      <c r="E6654" s="2" t="s">
        <v>12</v>
      </c>
      <c r="F6654">
        <f t="shared" si="103"/>
        <v>1.618128</v>
      </c>
      <c r="G6654" t="s">
        <v>16</v>
      </c>
      <c r="H6654" t="s">
        <v>10</v>
      </c>
      <c r="J6654" t="str">
        <f>"12/19/2019 00:39"</f>
        <v>12/19/2019 00:39</v>
      </c>
    </row>
    <row r="6655" spans="1:10" x14ac:dyDescent="0.3">
      <c r="A6655" t="s">
        <v>6</v>
      </c>
      <c r="B6655" t="str">
        <f>"12/19/2019 00:00"</f>
        <v>12/19/2019 00:00</v>
      </c>
      <c r="C6655">
        <v>0.81599999999999995</v>
      </c>
      <c r="D6655" t="s">
        <v>7</v>
      </c>
      <c r="E6655" s="2" t="s">
        <v>12</v>
      </c>
      <c r="F6655">
        <f t="shared" si="103"/>
        <v>1.618128</v>
      </c>
      <c r="G6655" t="s">
        <v>16</v>
      </c>
      <c r="H6655" t="s">
        <v>10</v>
      </c>
      <c r="J6655" t="str">
        <f>"12/20/2019 00:39"</f>
        <v>12/20/2019 00:39</v>
      </c>
    </row>
    <row r="6656" spans="1:10" x14ac:dyDescent="0.3">
      <c r="A6656" t="s">
        <v>6</v>
      </c>
      <c r="B6656" t="str">
        <f>"12/20/2019 00:00"</f>
        <v>12/20/2019 00:00</v>
      </c>
      <c r="C6656">
        <v>0.81599999999999995</v>
      </c>
      <c r="D6656" t="s">
        <v>7</v>
      </c>
      <c r="E6656" s="2" t="s">
        <v>12</v>
      </c>
      <c r="F6656">
        <f t="shared" si="103"/>
        <v>1.618128</v>
      </c>
      <c r="G6656" t="s">
        <v>16</v>
      </c>
      <c r="H6656" t="s">
        <v>10</v>
      </c>
      <c r="J6656" t="str">
        <f>"12/21/2019 00:39"</f>
        <v>12/21/2019 00:39</v>
      </c>
    </row>
    <row r="6657" spans="1:10" x14ac:dyDescent="0.3">
      <c r="A6657" t="s">
        <v>6</v>
      </c>
      <c r="B6657" t="str">
        <f>"12/21/2019 00:00"</f>
        <v>12/21/2019 00:00</v>
      </c>
      <c r="C6657">
        <v>0.81599999999999995</v>
      </c>
      <c r="D6657" t="s">
        <v>7</v>
      </c>
      <c r="E6657" s="2" t="s">
        <v>12</v>
      </c>
      <c r="F6657">
        <f t="shared" si="103"/>
        <v>1.618128</v>
      </c>
      <c r="G6657" t="s">
        <v>16</v>
      </c>
      <c r="H6657" t="s">
        <v>10</v>
      </c>
      <c r="J6657" t="str">
        <f>"12/22/2019 00:39"</f>
        <v>12/22/2019 00:39</v>
      </c>
    </row>
    <row r="6658" spans="1:10" x14ac:dyDescent="0.3">
      <c r="A6658" t="s">
        <v>6</v>
      </c>
      <c r="B6658" t="str">
        <f>"12/22/2019 00:00"</f>
        <v>12/22/2019 00:00</v>
      </c>
      <c r="C6658">
        <v>0.81599999999999995</v>
      </c>
      <c r="D6658" t="s">
        <v>7</v>
      </c>
      <c r="E6658" s="2" t="s">
        <v>12</v>
      </c>
      <c r="F6658">
        <f t="shared" si="103"/>
        <v>1.618128</v>
      </c>
      <c r="G6658" t="s">
        <v>16</v>
      </c>
      <c r="H6658" t="s">
        <v>10</v>
      </c>
      <c r="J6658" t="str">
        <f>"12/23/2019 00:39"</f>
        <v>12/23/2019 00:39</v>
      </c>
    </row>
    <row r="6659" spans="1:10" x14ac:dyDescent="0.3">
      <c r="A6659" t="s">
        <v>6</v>
      </c>
      <c r="B6659" t="str">
        <f>"12/23/2019 00:00"</f>
        <v>12/23/2019 00:00</v>
      </c>
      <c r="C6659">
        <v>0.81599999999999995</v>
      </c>
      <c r="D6659" t="s">
        <v>7</v>
      </c>
      <c r="E6659" s="2" t="s">
        <v>12</v>
      </c>
      <c r="F6659">
        <f t="shared" si="103"/>
        <v>1.618128</v>
      </c>
      <c r="G6659" t="s">
        <v>16</v>
      </c>
      <c r="H6659" t="s">
        <v>10</v>
      </c>
      <c r="J6659" t="str">
        <f>"12/24/2019 00:39"</f>
        <v>12/24/2019 00:39</v>
      </c>
    </row>
    <row r="6660" spans="1:10" x14ac:dyDescent="0.3">
      <c r="A6660" t="s">
        <v>6</v>
      </c>
      <c r="B6660" t="str">
        <f>"12/24/2019 00:00"</f>
        <v>12/24/2019 00:00</v>
      </c>
      <c r="C6660">
        <v>0.81599999999999995</v>
      </c>
      <c r="D6660" t="s">
        <v>7</v>
      </c>
      <c r="E6660" s="2" t="s">
        <v>12</v>
      </c>
      <c r="F6660">
        <f t="shared" ref="F6660:F6723" si="104">C6660*1.983</f>
        <v>1.618128</v>
      </c>
      <c r="G6660" t="s">
        <v>16</v>
      </c>
      <c r="H6660" t="s">
        <v>10</v>
      </c>
      <c r="J6660" t="str">
        <f>"12/25/2019 00:39"</f>
        <v>12/25/2019 00:39</v>
      </c>
    </row>
    <row r="6661" spans="1:10" x14ac:dyDescent="0.3">
      <c r="A6661" t="s">
        <v>6</v>
      </c>
      <c r="B6661" t="str">
        <f>"12/25/2019 00:00"</f>
        <v>12/25/2019 00:00</v>
      </c>
      <c r="C6661">
        <v>0.81599999999999995</v>
      </c>
      <c r="D6661" t="s">
        <v>7</v>
      </c>
      <c r="E6661" s="2" t="s">
        <v>12</v>
      </c>
      <c r="F6661">
        <f t="shared" si="104"/>
        <v>1.618128</v>
      </c>
      <c r="G6661" t="s">
        <v>16</v>
      </c>
      <c r="H6661" t="s">
        <v>10</v>
      </c>
      <c r="J6661" t="str">
        <f>"12/26/2019 00:39"</f>
        <v>12/26/2019 00:39</v>
      </c>
    </row>
    <row r="6662" spans="1:10" x14ac:dyDescent="0.3">
      <c r="A6662" t="s">
        <v>6</v>
      </c>
      <c r="B6662" t="str">
        <f>"12/26/2019 00:00"</f>
        <v>12/26/2019 00:00</v>
      </c>
      <c r="C6662">
        <v>0.81599999999999995</v>
      </c>
      <c r="D6662" t="s">
        <v>7</v>
      </c>
      <c r="E6662" s="2" t="s">
        <v>12</v>
      </c>
      <c r="F6662">
        <f t="shared" si="104"/>
        <v>1.618128</v>
      </c>
      <c r="G6662" t="s">
        <v>16</v>
      </c>
      <c r="H6662" t="s">
        <v>10</v>
      </c>
      <c r="J6662" t="str">
        <f>"12/27/2019 00:39"</f>
        <v>12/27/2019 00:39</v>
      </c>
    </row>
    <row r="6663" spans="1:10" x14ac:dyDescent="0.3">
      <c r="A6663" t="s">
        <v>6</v>
      </c>
      <c r="B6663" t="str">
        <f>"12/27/2019 00:00"</f>
        <v>12/27/2019 00:00</v>
      </c>
      <c r="C6663">
        <v>0.81599999999999995</v>
      </c>
      <c r="D6663" t="s">
        <v>7</v>
      </c>
      <c r="E6663" s="2" t="s">
        <v>12</v>
      </c>
      <c r="F6663">
        <f t="shared" si="104"/>
        <v>1.618128</v>
      </c>
      <c r="G6663" t="s">
        <v>16</v>
      </c>
      <c r="H6663" t="s">
        <v>10</v>
      </c>
      <c r="J6663" t="str">
        <f>"12/28/2019 00:39"</f>
        <v>12/28/2019 00:39</v>
      </c>
    </row>
    <row r="6664" spans="1:10" x14ac:dyDescent="0.3">
      <c r="A6664" t="s">
        <v>6</v>
      </c>
      <c r="B6664" t="str">
        <f>"12/28/2019 00:00"</f>
        <v>12/28/2019 00:00</v>
      </c>
      <c r="C6664">
        <v>0.81599999999999995</v>
      </c>
      <c r="D6664" t="s">
        <v>7</v>
      </c>
      <c r="E6664" s="2" t="s">
        <v>12</v>
      </c>
      <c r="F6664">
        <f t="shared" si="104"/>
        <v>1.618128</v>
      </c>
      <c r="G6664" t="s">
        <v>16</v>
      </c>
      <c r="H6664" t="s">
        <v>10</v>
      </c>
      <c r="J6664" t="str">
        <f>"12/29/2019 00:39"</f>
        <v>12/29/2019 00:39</v>
      </c>
    </row>
    <row r="6665" spans="1:10" x14ac:dyDescent="0.3">
      <c r="A6665" t="s">
        <v>6</v>
      </c>
      <c r="B6665" t="str">
        <f>"12/29/2019 00:00"</f>
        <v>12/29/2019 00:00</v>
      </c>
      <c r="C6665">
        <v>0.67700000000000005</v>
      </c>
      <c r="D6665" t="s">
        <v>7</v>
      </c>
      <c r="E6665" s="2" t="s">
        <v>12</v>
      </c>
      <c r="F6665">
        <f t="shared" si="104"/>
        <v>1.3424910000000001</v>
      </c>
      <c r="G6665" t="s">
        <v>16</v>
      </c>
      <c r="H6665" t="s">
        <v>10</v>
      </c>
      <c r="J6665" t="str">
        <f>"12/30/2019 00:39"</f>
        <v>12/30/2019 00:39</v>
      </c>
    </row>
    <row r="6666" spans="1:10" x14ac:dyDescent="0.3">
      <c r="A6666" t="s">
        <v>6</v>
      </c>
      <c r="B6666" t="str">
        <f>"12/30/2019 00:00"</f>
        <v>12/30/2019 00:00</v>
      </c>
      <c r="C6666">
        <v>0.63</v>
      </c>
      <c r="D6666" t="s">
        <v>7</v>
      </c>
      <c r="E6666" s="2" t="s">
        <v>12</v>
      </c>
      <c r="F6666">
        <f t="shared" si="104"/>
        <v>1.24929</v>
      </c>
      <c r="G6666" t="s">
        <v>16</v>
      </c>
      <c r="H6666" t="s">
        <v>10</v>
      </c>
      <c r="J6666" t="str">
        <f>"12/31/2019 00:39"</f>
        <v>12/31/2019 00:39</v>
      </c>
    </row>
    <row r="6667" spans="1:10" x14ac:dyDescent="0.3">
      <c r="A6667" t="s">
        <v>6</v>
      </c>
      <c r="B6667" t="str">
        <f>"12/31/2019 00:00"</f>
        <v>12/31/2019 00:00</v>
      </c>
      <c r="C6667">
        <v>0.63</v>
      </c>
      <c r="D6667" t="s">
        <v>7</v>
      </c>
      <c r="E6667" s="2" t="s">
        <v>12</v>
      </c>
      <c r="F6667">
        <f t="shared" si="104"/>
        <v>1.24929</v>
      </c>
      <c r="G6667" t="s">
        <v>16</v>
      </c>
      <c r="H6667" t="s">
        <v>10</v>
      </c>
      <c r="J6667" t="str">
        <f>"01/01/2020 00:39"</f>
        <v>01/01/2020 00:39</v>
      </c>
    </row>
    <row r="6668" spans="1:10" x14ac:dyDescent="0.3">
      <c r="A6668" t="s">
        <v>6</v>
      </c>
      <c r="B6668" t="str">
        <f>"01/01/2020 00:00"</f>
        <v>01/01/2020 00:00</v>
      </c>
      <c r="C6668">
        <v>0.63</v>
      </c>
      <c r="D6668" t="s">
        <v>7</v>
      </c>
      <c r="E6668" s="2" t="s">
        <v>12</v>
      </c>
      <c r="F6668">
        <f t="shared" si="104"/>
        <v>1.24929</v>
      </c>
      <c r="G6668" t="s">
        <v>16</v>
      </c>
      <c r="H6668" t="s">
        <v>10</v>
      </c>
      <c r="J6668" t="str">
        <f>"01/02/2020 00:39"</f>
        <v>01/02/2020 00:39</v>
      </c>
    </row>
    <row r="6669" spans="1:10" x14ac:dyDescent="0.3">
      <c r="A6669" t="s">
        <v>6</v>
      </c>
      <c r="B6669" t="str">
        <f>"01/02/2020 00:00"</f>
        <v>01/02/2020 00:00</v>
      </c>
      <c r="C6669">
        <v>0.63</v>
      </c>
      <c r="D6669" t="s">
        <v>7</v>
      </c>
      <c r="E6669" s="2" t="s">
        <v>12</v>
      </c>
      <c r="F6669">
        <f t="shared" si="104"/>
        <v>1.24929</v>
      </c>
      <c r="G6669" t="s">
        <v>16</v>
      </c>
      <c r="H6669" t="s">
        <v>10</v>
      </c>
      <c r="J6669" t="str">
        <f>"01/03/2020 00:39"</f>
        <v>01/03/2020 00:39</v>
      </c>
    </row>
    <row r="6670" spans="1:10" x14ac:dyDescent="0.3">
      <c r="A6670" t="s">
        <v>6</v>
      </c>
      <c r="B6670" t="str">
        <f>"01/03/2020 00:00"</f>
        <v>01/03/2020 00:00</v>
      </c>
      <c r="C6670">
        <v>0.63</v>
      </c>
      <c r="D6670" t="s">
        <v>7</v>
      </c>
      <c r="E6670" s="2" t="s">
        <v>12</v>
      </c>
      <c r="F6670">
        <f t="shared" si="104"/>
        <v>1.24929</v>
      </c>
      <c r="G6670" t="s">
        <v>16</v>
      </c>
      <c r="H6670" t="s">
        <v>10</v>
      </c>
      <c r="J6670" t="str">
        <f>"01/04/2020 00:39"</f>
        <v>01/04/2020 00:39</v>
      </c>
    </row>
    <row r="6671" spans="1:10" x14ac:dyDescent="0.3">
      <c r="A6671" t="s">
        <v>6</v>
      </c>
      <c r="B6671" t="str">
        <f>"01/04/2020 00:00"</f>
        <v>01/04/2020 00:00</v>
      </c>
      <c r="C6671">
        <v>0.63</v>
      </c>
      <c r="D6671" t="s">
        <v>7</v>
      </c>
      <c r="E6671" s="2" t="s">
        <v>12</v>
      </c>
      <c r="F6671">
        <f t="shared" si="104"/>
        <v>1.24929</v>
      </c>
      <c r="G6671" t="s">
        <v>16</v>
      </c>
      <c r="H6671" t="s">
        <v>10</v>
      </c>
      <c r="J6671" t="str">
        <f>"01/05/2020 00:39"</f>
        <v>01/05/2020 00:39</v>
      </c>
    </row>
    <row r="6672" spans="1:10" x14ac:dyDescent="0.3">
      <c r="A6672" t="s">
        <v>6</v>
      </c>
      <c r="B6672" t="str">
        <f>"01/05/2020 00:00"</f>
        <v>01/05/2020 00:00</v>
      </c>
      <c r="C6672">
        <v>0.63</v>
      </c>
      <c r="D6672" t="s">
        <v>7</v>
      </c>
      <c r="E6672" s="2" t="s">
        <v>12</v>
      </c>
      <c r="F6672">
        <f t="shared" si="104"/>
        <v>1.24929</v>
      </c>
      <c r="G6672" t="s">
        <v>16</v>
      </c>
      <c r="H6672" t="s">
        <v>10</v>
      </c>
      <c r="J6672" t="str">
        <f>"01/06/2020 00:39"</f>
        <v>01/06/2020 00:39</v>
      </c>
    </row>
    <row r="6673" spans="1:10" x14ac:dyDescent="0.3">
      <c r="A6673" t="s">
        <v>6</v>
      </c>
      <c r="B6673" t="str">
        <f>"01/06/2020 00:00"</f>
        <v>01/06/2020 00:00</v>
      </c>
      <c r="C6673">
        <v>0.63</v>
      </c>
      <c r="D6673" t="s">
        <v>7</v>
      </c>
      <c r="E6673" s="2" t="s">
        <v>12</v>
      </c>
      <c r="F6673">
        <f t="shared" si="104"/>
        <v>1.24929</v>
      </c>
      <c r="G6673" t="s">
        <v>16</v>
      </c>
      <c r="H6673" t="s">
        <v>10</v>
      </c>
      <c r="J6673" t="str">
        <f>"01/07/2020 00:39"</f>
        <v>01/07/2020 00:39</v>
      </c>
    </row>
    <row r="6674" spans="1:10" x14ac:dyDescent="0.3">
      <c r="A6674" t="s">
        <v>6</v>
      </c>
      <c r="B6674" t="str">
        <f>"01/07/2020 00:00"</f>
        <v>01/07/2020 00:00</v>
      </c>
      <c r="C6674">
        <v>0.63</v>
      </c>
      <c r="D6674" t="s">
        <v>7</v>
      </c>
      <c r="E6674" s="2" t="s">
        <v>12</v>
      </c>
      <c r="F6674">
        <f t="shared" si="104"/>
        <v>1.24929</v>
      </c>
      <c r="G6674" t="s">
        <v>16</v>
      </c>
      <c r="H6674" t="s">
        <v>10</v>
      </c>
      <c r="J6674" t="str">
        <f>"01/10/2020 13:51"</f>
        <v>01/10/2020 13:51</v>
      </c>
    </row>
    <row r="6675" spans="1:10" x14ac:dyDescent="0.3">
      <c r="A6675" t="s">
        <v>6</v>
      </c>
      <c r="B6675" t="str">
        <f>"01/08/2020 00:00"</f>
        <v>01/08/2020 00:00</v>
      </c>
      <c r="C6675">
        <v>0.63</v>
      </c>
      <c r="D6675" t="s">
        <v>7</v>
      </c>
      <c r="E6675" s="2" t="s">
        <v>12</v>
      </c>
      <c r="F6675">
        <f t="shared" si="104"/>
        <v>1.24929</v>
      </c>
      <c r="G6675" t="s">
        <v>16</v>
      </c>
      <c r="H6675" t="s">
        <v>10</v>
      </c>
      <c r="J6675" t="str">
        <f>"01/09/2020 00:39"</f>
        <v>01/09/2020 00:39</v>
      </c>
    </row>
    <row r="6676" spans="1:10" x14ac:dyDescent="0.3">
      <c r="A6676" t="s">
        <v>6</v>
      </c>
      <c r="B6676" t="str">
        <f>"01/09/2020 00:00"</f>
        <v>01/09/2020 00:00</v>
      </c>
      <c r="C6676">
        <v>0.63</v>
      </c>
      <c r="D6676" t="s">
        <v>7</v>
      </c>
      <c r="E6676" s="2" t="s">
        <v>12</v>
      </c>
      <c r="F6676">
        <f t="shared" si="104"/>
        <v>1.24929</v>
      </c>
      <c r="G6676" t="s">
        <v>16</v>
      </c>
      <c r="H6676" t="s">
        <v>10</v>
      </c>
      <c r="J6676" t="str">
        <f>"01/10/2020 00:39"</f>
        <v>01/10/2020 00:39</v>
      </c>
    </row>
    <row r="6677" spans="1:10" x14ac:dyDescent="0.3">
      <c r="A6677" t="s">
        <v>6</v>
      </c>
      <c r="B6677" t="str">
        <f>"01/10/2020 00:00"</f>
        <v>01/10/2020 00:00</v>
      </c>
      <c r="C6677">
        <v>0.63</v>
      </c>
      <c r="D6677" t="s">
        <v>7</v>
      </c>
      <c r="E6677" s="2" t="s">
        <v>12</v>
      </c>
      <c r="F6677">
        <f t="shared" si="104"/>
        <v>1.24929</v>
      </c>
      <c r="G6677" t="s">
        <v>16</v>
      </c>
      <c r="H6677" t="s">
        <v>10</v>
      </c>
      <c r="J6677" t="str">
        <f>"01/11/2020 00:39"</f>
        <v>01/11/2020 00:39</v>
      </c>
    </row>
    <row r="6678" spans="1:10" x14ac:dyDescent="0.3">
      <c r="A6678" t="s">
        <v>6</v>
      </c>
      <c r="B6678" t="str">
        <f>"01/11/2020 00:00"</f>
        <v>01/11/2020 00:00</v>
      </c>
      <c r="C6678">
        <v>0.63</v>
      </c>
      <c r="D6678" t="s">
        <v>7</v>
      </c>
      <c r="E6678" s="2" t="s">
        <v>12</v>
      </c>
      <c r="F6678">
        <f t="shared" si="104"/>
        <v>1.24929</v>
      </c>
      <c r="G6678" t="s">
        <v>16</v>
      </c>
      <c r="H6678" t="s">
        <v>10</v>
      </c>
      <c r="J6678" t="str">
        <f>"01/12/2020 00:39"</f>
        <v>01/12/2020 00:39</v>
      </c>
    </row>
    <row r="6679" spans="1:10" x14ac:dyDescent="0.3">
      <c r="A6679" t="s">
        <v>6</v>
      </c>
      <c r="B6679" t="str">
        <f>"01/12/2020 00:00"</f>
        <v>01/12/2020 00:00</v>
      </c>
      <c r="C6679">
        <v>0.63</v>
      </c>
      <c r="D6679" t="s">
        <v>7</v>
      </c>
      <c r="E6679" s="2" t="s">
        <v>12</v>
      </c>
      <c r="F6679">
        <f t="shared" si="104"/>
        <v>1.24929</v>
      </c>
      <c r="G6679" t="s">
        <v>16</v>
      </c>
      <c r="H6679" t="s">
        <v>10</v>
      </c>
      <c r="J6679" t="str">
        <f>"01/13/2020 00:39"</f>
        <v>01/13/2020 00:39</v>
      </c>
    </row>
    <row r="6680" spans="1:10" x14ac:dyDescent="0.3">
      <c r="A6680" t="s">
        <v>6</v>
      </c>
      <c r="B6680" t="str">
        <f>"01/13/2020 00:00"</f>
        <v>01/13/2020 00:00</v>
      </c>
      <c r="C6680">
        <v>0.63</v>
      </c>
      <c r="D6680" t="s">
        <v>7</v>
      </c>
      <c r="E6680" s="2" t="s">
        <v>12</v>
      </c>
      <c r="F6680">
        <f t="shared" si="104"/>
        <v>1.24929</v>
      </c>
      <c r="G6680" t="s">
        <v>16</v>
      </c>
      <c r="H6680" t="s">
        <v>10</v>
      </c>
      <c r="J6680" t="str">
        <f>"01/14/2020 00:39"</f>
        <v>01/14/2020 00:39</v>
      </c>
    </row>
    <row r="6681" spans="1:10" x14ac:dyDescent="0.3">
      <c r="A6681" t="s">
        <v>6</v>
      </c>
      <c r="B6681" t="str">
        <f>"01/14/2020 00:00"</f>
        <v>01/14/2020 00:00</v>
      </c>
      <c r="C6681">
        <v>0.63</v>
      </c>
      <c r="D6681" t="s">
        <v>7</v>
      </c>
      <c r="E6681" s="2" t="s">
        <v>12</v>
      </c>
      <c r="F6681">
        <f t="shared" si="104"/>
        <v>1.24929</v>
      </c>
      <c r="G6681" t="s">
        <v>16</v>
      </c>
      <c r="H6681" t="s">
        <v>10</v>
      </c>
      <c r="J6681" t="str">
        <f>"01/15/2020 00:39"</f>
        <v>01/15/2020 00:39</v>
      </c>
    </row>
    <row r="6682" spans="1:10" x14ac:dyDescent="0.3">
      <c r="A6682" t="s">
        <v>6</v>
      </c>
      <c r="B6682" t="str">
        <f>"01/15/2020 00:00"</f>
        <v>01/15/2020 00:00</v>
      </c>
      <c r="C6682">
        <v>0.63</v>
      </c>
      <c r="D6682" t="s">
        <v>7</v>
      </c>
      <c r="E6682" s="2" t="s">
        <v>12</v>
      </c>
      <c r="F6682">
        <f t="shared" si="104"/>
        <v>1.24929</v>
      </c>
      <c r="G6682" t="s">
        <v>16</v>
      </c>
      <c r="H6682" t="s">
        <v>10</v>
      </c>
      <c r="J6682" t="str">
        <f>"01/16/2020 00:39"</f>
        <v>01/16/2020 00:39</v>
      </c>
    </row>
    <row r="6683" spans="1:10" x14ac:dyDescent="0.3">
      <c r="A6683" t="s">
        <v>6</v>
      </c>
      <c r="B6683" t="str">
        <f>"01/16/2020 00:00"</f>
        <v>01/16/2020 00:00</v>
      </c>
      <c r="C6683">
        <v>0.63</v>
      </c>
      <c r="D6683" t="s">
        <v>7</v>
      </c>
      <c r="E6683" s="2" t="s">
        <v>12</v>
      </c>
      <c r="F6683">
        <f t="shared" si="104"/>
        <v>1.24929</v>
      </c>
      <c r="G6683" t="s">
        <v>16</v>
      </c>
      <c r="H6683" t="s">
        <v>10</v>
      </c>
      <c r="J6683" t="str">
        <f>"01/17/2020 00:39"</f>
        <v>01/17/2020 00:39</v>
      </c>
    </row>
    <row r="6684" spans="1:10" x14ac:dyDescent="0.3">
      <c r="A6684" t="s">
        <v>6</v>
      </c>
      <c r="B6684" t="str">
        <f>"01/17/2020 00:00"</f>
        <v>01/17/2020 00:00</v>
      </c>
      <c r="C6684">
        <v>0.63</v>
      </c>
      <c r="D6684" t="s">
        <v>7</v>
      </c>
      <c r="E6684" s="2" t="s">
        <v>12</v>
      </c>
      <c r="F6684">
        <f t="shared" si="104"/>
        <v>1.24929</v>
      </c>
      <c r="G6684" t="s">
        <v>16</v>
      </c>
      <c r="H6684" t="s">
        <v>10</v>
      </c>
      <c r="J6684" t="str">
        <f>"01/18/2020 00:39"</f>
        <v>01/18/2020 00:39</v>
      </c>
    </row>
    <row r="6685" spans="1:10" x14ac:dyDescent="0.3">
      <c r="A6685" t="s">
        <v>6</v>
      </c>
      <c r="B6685" t="str">
        <f>"01/18/2020 00:00"</f>
        <v>01/18/2020 00:00</v>
      </c>
      <c r="C6685">
        <v>0.63</v>
      </c>
      <c r="D6685" t="s">
        <v>7</v>
      </c>
      <c r="E6685" s="2" t="s">
        <v>12</v>
      </c>
      <c r="F6685">
        <f t="shared" si="104"/>
        <v>1.24929</v>
      </c>
      <c r="G6685" t="s">
        <v>16</v>
      </c>
      <c r="H6685" t="s">
        <v>10</v>
      </c>
      <c r="J6685" t="str">
        <f>"01/19/2020 00:39"</f>
        <v>01/19/2020 00:39</v>
      </c>
    </row>
    <row r="6686" spans="1:10" x14ac:dyDescent="0.3">
      <c r="A6686" t="s">
        <v>6</v>
      </c>
      <c r="B6686" t="str">
        <f>"01/19/2020 00:00"</f>
        <v>01/19/2020 00:00</v>
      </c>
      <c r="C6686">
        <v>0.55400000000000005</v>
      </c>
      <c r="D6686" t="s">
        <v>7</v>
      </c>
      <c r="E6686" s="2" t="s">
        <v>12</v>
      </c>
      <c r="F6686">
        <f t="shared" si="104"/>
        <v>1.0985820000000002</v>
      </c>
      <c r="G6686" t="s">
        <v>16</v>
      </c>
      <c r="H6686" t="s">
        <v>10</v>
      </c>
      <c r="J6686" t="str">
        <f>"01/20/2020 00:39"</f>
        <v>01/20/2020 00:39</v>
      </c>
    </row>
    <row r="6687" spans="1:10" x14ac:dyDescent="0.3">
      <c r="A6687" t="s">
        <v>6</v>
      </c>
      <c r="B6687" t="str">
        <f>"01/20/2020 00:00"</f>
        <v>01/20/2020 00:00</v>
      </c>
      <c r="C6687">
        <v>0.46400000000000002</v>
      </c>
      <c r="D6687" t="s">
        <v>7</v>
      </c>
      <c r="E6687" s="2" t="s">
        <v>12</v>
      </c>
      <c r="F6687">
        <f t="shared" si="104"/>
        <v>0.92011200000000004</v>
      </c>
      <c r="G6687" t="s">
        <v>16</v>
      </c>
      <c r="H6687" t="s">
        <v>10</v>
      </c>
      <c r="J6687" t="str">
        <f>"01/21/2020 00:39"</f>
        <v>01/21/2020 00:39</v>
      </c>
    </row>
    <row r="6688" spans="1:10" x14ac:dyDescent="0.3">
      <c r="A6688" t="s">
        <v>6</v>
      </c>
      <c r="B6688" t="str">
        <f>"01/21/2020 00:00"</f>
        <v>01/21/2020 00:00</v>
      </c>
      <c r="C6688">
        <v>0.48499999999999999</v>
      </c>
      <c r="D6688" t="s">
        <v>7</v>
      </c>
      <c r="E6688" s="2" t="s">
        <v>12</v>
      </c>
      <c r="F6688">
        <f t="shared" si="104"/>
        <v>0.96175500000000003</v>
      </c>
      <c r="G6688" t="s">
        <v>16</v>
      </c>
      <c r="H6688" t="s">
        <v>10</v>
      </c>
      <c r="J6688" t="str">
        <f>"01/22/2020 00:39"</f>
        <v>01/22/2020 00:39</v>
      </c>
    </row>
    <row r="6689" spans="1:10" x14ac:dyDescent="0.3">
      <c r="A6689" t="s">
        <v>6</v>
      </c>
      <c r="B6689" t="str">
        <f>"01/22/2020 00:00"</f>
        <v>01/22/2020 00:00</v>
      </c>
      <c r="C6689">
        <v>0.63</v>
      </c>
      <c r="D6689" t="s">
        <v>7</v>
      </c>
      <c r="E6689" s="2" t="s">
        <v>12</v>
      </c>
      <c r="F6689">
        <f t="shared" si="104"/>
        <v>1.24929</v>
      </c>
      <c r="G6689" t="s">
        <v>16</v>
      </c>
      <c r="H6689" t="s">
        <v>10</v>
      </c>
      <c r="J6689" t="str">
        <f>"01/23/2020 00:39"</f>
        <v>01/23/2020 00:39</v>
      </c>
    </row>
    <row r="6690" spans="1:10" x14ac:dyDescent="0.3">
      <c r="A6690" t="s">
        <v>6</v>
      </c>
      <c r="B6690" t="str">
        <f>"01/23/2020 00:00"</f>
        <v>01/23/2020 00:00</v>
      </c>
      <c r="C6690">
        <v>0.63</v>
      </c>
      <c r="D6690" t="s">
        <v>7</v>
      </c>
      <c r="E6690" s="2" t="s">
        <v>12</v>
      </c>
      <c r="F6690">
        <f t="shared" si="104"/>
        <v>1.24929</v>
      </c>
      <c r="G6690" t="s">
        <v>16</v>
      </c>
      <c r="H6690" t="s">
        <v>10</v>
      </c>
      <c r="J6690" t="str">
        <f>"01/24/2020 00:39"</f>
        <v>01/24/2020 00:39</v>
      </c>
    </row>
    <row r="6691" spans="1:10" x14ac:dyDescent="0.3">
      <c r="A6691" t="s">
        <v>6</v>
      </c>
      <c r="B6691" t="str">
        <f>"01/24/2020 00:00"</f>
        <v>01/24/2020 00:00</v>
      </c>
      <c r="C6691">
        <v>0.63</v>
      </c>
      <c r="D6691" t="s">
        <v>7</v>
      </c>
      <c r="E6691" s="2" t="s">
        <v>12</v>
      </c>
      <c r="F6691">
        <f t="shared" si="104"/>
        <v>1.24929</v>
      </c>
      <c r="G6691" t="s">
        <v>16</v>
      </c>
      <c r="H6691" t="s">
        <v>10</v>
      </c>
      <c r="J6691" t="str">
        <f>"01/25/2020 00:39"</f>
        <v>01/25/2020 00:39</v>
      </c>
    </row>
    <row r="6692" spans="1:10" x14ac:dyDescent="0.3">
      <c r="A6692" t="s">
        <v>6</v>
      </c>
      <c r="B6692" t="str">
        <f>"01/25/2020 00:00"</f>
        <v>01/25/2020 00:00</v>
      </c>
      <c r="C6692">
        <v>0.63</v>
      </c>
      <c r="D6692" t="s">
        <v>7</v>
      </c>
      <c r="E6692" s="2" t="s">
        <v>12</v>
      </c>
      <c r="F6692">
        <f t="shared" si="104"/>
        <v>1.24929</v>
      </c>
      <c r="G6692" t="s">
        <v>16</v>
      </c>
      <c r="H6692" t="s">
        <v>10</v>
      </c>
      <c r="J6692" t="str">
        <f>"01/26/2020 00:39"</f>
        <v>01/26/2020 00:39</v>
      </c>
    </row>
    <row r="6693" spans="1:10" x14ac:dyDescent="0.3">
      <c r="A6693" t="s">
        <v>6</v>
      </c>
      <c r="B6693" t="str">
        <f>"01/26/2020 00:00"</f>
        <v>01/26/2020 00:00</v>
      </c>
      <c r="C6693">
        <v>0.63</v>
      </c>
      <c r="D6693" t="s">
        <v>7</v>
      </c>
      <c r="E6693" s="2" t="s">
        <v>12</v>
      </c>
      <c r="F6693">
        <f t="shared" si="104"/>
        <v>1.24929</v>
      </c>
      <c r="G6693" t="s">
        <v>16</v>
      </c>
      <c r="H6693" t="s">
        <v>10</v>
      </c>
      <c r="J6693" t="str">
        <f>"01/27/2020 00:39"</f>
        <v>01/27/2020 00:39</v>
      </c>
    </row>
    <row r="6694" spans="1:10" x14ac:dyDescent="0.3">
      <c r="A6694" t="s">
        <v>6</v>
      </c>
      <c r="B6694" t="str">
        <f>"01/27/2020 00:00"</f>
        <v>01/27/2020 00:00</v>
      </c>
      <c r="C6694">
        <v>0.63</v>
      </c>
      <c r="D6694" t="s">
        <v>7</v>
      </c>
      <c r="E6694" s="2" t="s">
        <v>12</v>
      </c>
      <c r="F6694">
        <f t="shared" si="104"/>
        <v>1.24929</v>
      </c>
      <c r="G6694" t="s">
        <v>16</v>
      </c>
      <c r="H6694" t="s">
        <v>10</v>
      </c>
      <c r="J6694" t="str">
        <f>"01/28/2020 00:40"</f>
        <v>01/28/2020 00:40</v>
      </c>
    </row>
    <row r="6695" spans="1:10" x14ac:dyDescent="0.3">
      <c r="A6695" t="s">
        <v>6</v>
      </c>
      <c r="B6695" t="str">
        <f>"01/28/2020 00:00"</f>
        <v>01/28/2020 00:00</v>
      </c>
      <c r="C6695">
        <v>0.63</v>
      </c>
      <c r="D6695" t="s">
        <v>7</v>
      </c>
      <c r="E6695" s="2" t="s">
        <v>12</v>
      </c>
      <c r="F6695">
        <f t="shared" si="104"/>
        <v>1.24929</v>
      </c>
      <c r="G6695" t="s">
        <v>16</v>
      </c>
      <c r="H6695" t="s">
        <v>10</v>
      </c>
      <c r="J6695" t="str">
        <f>"01/29/2020 00:40"</f>
        <v>01/29/2020 00:40</v>
      </c>
    </row>
    <row r="6696" spans="1:10" x14ac:dyDescent="0.3">
      <c r="A6696" t="s">
        <v>6</v>
      </c>
      <c r="B6696" t="str">
        <f>"01/29/2020 00:00"</f>
        <v>01/29/2020 00:00</v>
      </c>
      <c r="C6696">
        <v>0.63</v>
      </c>
      <c r="D6696" t="s">
        <v>7</v>
      </c>
      <c r="E6696" s="2" t="s">
        <v>12</v>
      </c>
      <c r="F6696">
        <f t="shared" si="104"/>
        <v>1.24929</v>
      </c>
      <c r="G6696" t="s">
        <v>16</v>
      </c>
      <c r="H6696" t="s">
        <v>10</v>
      </c>
      <c r="J6696" t="str">
        <f>"01/30/2020 00:40"</f>
        <v>01/30/2020 00:40</v>
      </c>
    </row>
    <row r="6697" spans="1:10" x14ac:dyDescent="0.3">
      <c r="A6697" t="s">
        <v>6</v>
      </c>
      <c r="B6697" t="str">
        <f>"01/30/2020 00:00"</f>
        <v>01/30/2020 00:00</v>
      </c>
      <c r="C6697">
        <v>0.63</v>
      </c>
      <c r="D6697" t="s">
        <v>7</v>
      </c>
      <c r="E6697" s="2" t="s">
        <v>12</v>
      </c>
      <c r="F6697">
        <f t="shared" si="104"/>
        <v>1.24929</v>
      </c>
      <c r="G6697" t="s">
        <v>16</v>
      </c>
      <c r="H6697" t="s">
        <v>10</v>
      </c>
      <c r="J6697" t="str">
        <f>"01/31/2020 00:40"</f>
        <v>01/31/2020 00:40</v>
      </c>
    </row>
    <row r="6698" spans="1:10" x14ac:dyDescent="0.3">
      <c r="A6698" t="s">
        <v>6</v>
      </c>
      <c r="B6698" t="str">
        <f>"01/31/2020 00:00"</f>
        <v>01/31/2020 00:00</v>
      </c>
      <c r="C6698">
        <v>0.63</v>
      </c>
      <c r="D6698" t="s">
        <v>7</v>
      </c>
      <c r="E6698" s="2" t="s">
        <v>12</v>
      </c>
      <c r="F6698">
        <f t="shared" si="104"/>
        <v>1.24929</v>
      </c>
      <c r="G6698" t="s">
        <v>16</v>
      </c>
      <c r="H6698" t="s">
        <v>10</v>
      </c>
      <c r="J6698" t="str">
        <f>"02/01/2020 00:39"</f>
        <v>02/01/2020 00:39</v>
      </c>
    </row>
    <row r="6699" spans="1:10" x14ac:dyDescent="0.3">
      <c r="A6699" t="s">
        <v>6</v>
      </c>
      <c r="B6699" t="str">
        <f>"02/01/2020 00:00"</f>
        <v>02/01/2020 00:00</v>
      </c>
      <c r="C6699">
        <v>0.63</v>
      </c>
      <c r="D6699" t="s">
        <v>7</v>
      </c>
      <c r="E6699" s="2" t="s">
        <v>12</v>
      </c>
      <c r="F6699">
        <f t="shared" si="104"/>
        <v>1.24929</v>
      </c>
      <c r="G6699" t="s">
        <v>16</v>
      </c>
      <c r="H6699" t="s">
        <v>10</v>
      </c>
      <c r="J6699" t="str">
        <f>"02/02/2020 00:39"</f>
        <v>02/02/2020 00:39</v>
      </c>
    </row>
    <row r="6700" spans="1:10" x14ac:dyDescent="0.3">
      <c r="A6700" t="s">
        <v>6</v>
      </c>
      <c r="B6700" t="str">
        <f>"02/02/2020 00:00"</f>
        <v>02/02/2020 00:00</v>
      </c>
      <c r="C6700">
        <v>0.63</v>
      </c>
      <c r="D6700" t="s">
        <v>7</v>
      </c>
      <c r="E6700" s="2" t="s">
        <v>12</v>
      </c>
      <c r="F6700">
        <f t="shared" si="104"/>
        <v>1.24929</v>
      </c>
      <c r="G6700" t="s">
        <v>16</v>
      </c>
      <c r="H6700" t="s">
        <v>10</v>
      </c>
      <c r="J6700" t="str">
        <f>"02/03/2020 00:39"</f>
        <v>02/03/2020 00:39</v>
      </c>
    </row>
    <row r="6701" spans="1:10" x14ac:dyDescent="0.3">
      <c r="A6701" t="s">
        <v>6</v>
      </c>
      <c r="B6701" t="str">
        <f>"02/03/2020 00:00"</f>
        <v>02/03/2020 00:00</v>
      </c>
      <c r="C6701">
        <v>0.63</v>
      </c>
      <c r="D6701" t="s">
        <v>7</v>
      </c>
      <c r="E6701" s="2" t="s">
        <v>12</v>
      </c>
      <c r="F6701">
        <f t="shared" si="104"/>
        <v>1.24929</v>
      </c>
      <c r="G6701" t="s">
        <v>16</v>
      </c>
      <c r="H6701" t="s">
        <v>10</v>
      </c>
      <c r="J6701" t="str">
        <f>"02/04/2020 00:39"</f>
        <v>02/04/2020 00:39</v>
      </c>
    </row>
    <row r="6702" spans="1:10" x14ac:dyDescent="0.3">
      <c r="A6702" t="s">
        <v>6</v>
      </c>
      <c r="B6702" t="str">
        <f>"02/04/2020 00:00"</f>
        <v>02/04/2020 00:00</v>
      </c>
      <c r="C6702">
        <v>0.47399999999999998</v>
      </c>
      <c r="D6702" t="s">
        <v>7</v>
      </c>
      <c r="E6702" s="2" t="s">
        <v>12</v>
      </c>
      <c r="F6702">
        <f t="shared" si="104"/>
        <v>0.93994199999999994</v>
      </c>
      <c r="G6702" t="s">
        <v>16</v>
      </c>
      <c r="H6702" t="s">
        <v>10</v>
      </c>
      <c r="J6702" t="str">
        <f>"02/05/2020 00:39"</f>
        <v>02/05/2020 00:39</v>
      </c>
    </row>
    <row r="6703" spans="1:10" x14ac:dyDescent="0.3">
      <c r="A6703" t="s">
        <v>6</v>
      </c>
      <c r="B6703" t="str">
        <f>"02/05/2020 00:00"</f>
        <v>02/05/2020 00:00</v>
      </c>
      <c r="C6703">
        <v>0.46400000000000002</v>
      </c>
      <c r="D6703" t="s">
        <v>7</v>
      </c>
      <c r="E6703" s="2" t="s">
        <v>12</v>
      </c>
      <c r="F6703">
        <f t="shared" si="104"/>
        <v>0.92011200000000004</v>
      </c>
      <c r="G6703" t="s">
        <v>16</v>
      </c>
      <c r="H6703" t="s">
        <v>10</v>
      </c>
      <c r="J6703" t="str">
        <f>"02/06/2020 00:39"</f>
        <v>02/06/2020 00:39</v>
      </c>
    </row>
    <row r="6704" spans="1:10" x14ac:dyDescent="0.3">
      <c r="A6704" t="s">
        <v>6</v>
      </c>
      <c r="B6704" t="str">
        <f>"02/06/2020 00:00"</f>
        <v>02/06/2020 00:00</v>
      </c>
      <c r="C6704">
        <v>0.46400000000000002</v>
      </c>
      <c r="D6704" t="s">
        <v>7</v>
      </c>
      <c r="E6704" s="2" t="s">
        <v>12</v>
      </c>
      <c r="F6704">
        <f t="shared" si="104"/>
        <v>0.92011200000000004</v>
      </c>
      <c r="G6704" t="s">
        <v>16</v>
      </c>
      <c r="H6704" t="s">
        <v>10</v>
      </c>
      <c r="J6704" t="str">
        <f>"02/07/2020 00:39"</f>
        <v>02/07/2020 00:39</v>
      </c>
    </row>
    <row r="6705" spans="1:10" x14ac:dyDescent="0.3">
      <c r="A6705" t="s">
        <v>6</v>
      </c>
      <c r="B6705" t="str">
        <f>"02/07/2020 00:00"</f>
        <v>02/07/2020 00:00</v>
      </c>
      <c r="C6705">
        <v>0.46400000000000002</v>
      </c>
      <c r="D6705" t="s">
        <v>7</v>
      </c>
      <c r="E6705" s="2" t="s">
        <v>12</v>
      </c>
      <c r="F6705">
        <f t="shared" si="104"/>
        <v>0.92011200000000004</v>
      </c>
      <c r="G6705" t="s">
        <v>16</v>
      </c>
      <c r="H6705" t="s">
        <v>10</v>
      </c>
      <c r="J6705" t="str">
        <f>"02/08/2020 00:39"</f>
        <v>02/08/2020 00:39</v>
      </c>
    </row>
    <row r="6706" spans="1:10" x14ac:dyDescent="0.3">
      <c r="A6706" t="s">
        <v>6</v>
      </c>
      <c r="B6706" t="str">
        <f>"02/08/2020 00:00"</f>
        <v>02/08/2020 00:00</v>
      </c>
      <c r="C6706">
        <v>0.46400000000000002</v>
      </c>
      <c r="D6706" t="s">
        <v>7</v>
      </c>
      <c r="E6706" s="2" t="s">
        <v>12</v>
      </c>
      <c r="F6706">
        <f t="shared" si="104"/>
        <v>0.92011200000000004</v>
      </c>
      <c r="G6706" t="s">
        <v>16</v>
      </c>
      <c r="H6706" t="s">
        <v>10</v>
      </c>
      <c r="J6706" t="str">
        <f>"02/09/2020 00:39"</f>
        <v>02/09/2020 00:39</v>
      </c>
    </row>
    <row r="6707" spans="1:10" x14ac:dyDescent="0.3">
      <c r="A6707" t="s">
        <v>6</v>
      </c>
      <c r="B6707" t="str">
        <f>"02/09/2020 00:00"</f>
        <v>02/09/2020 00:00</v>
      </c>
      <c r="C6707">
        <v>0.46400000000000002</v>
      </c>
      <c r="D6707" t="s">
        <v>7</v>
      </c>
      <c r="E6707" s="2" t="s">
        <v>12</v>
      </c>
      <c r="F6707">
        <f t="shared" si="104"/>
        <v>0.92011200000000004</v>
      </c>
      <c r="G6707" t="s">
        <v>16</v>
      </c>
      <c r="H6707" t="s">
        <v>10</v>
      </c>
      <c r="J6707" t="str">
        <f>"02/10/2020 00:39"</f>
        <v>02/10/2020 00:39</v>
      </c>
    </row>
    <row r="6708" spans="1:10" x14ac:dyDescent="0.3">
      <c r="A6708" t="s">
        <v>6</v>
      </c>
      <c r="B6708" t="str">
        <f>"02/10/2020 00:00"</f>
        <v>02/10/2020 00:00</v>
      </c>
      <c r="C6708">
        <v>0.46400000000000002</v>
      </c>
      <c r="D6708" t="s">
        <v>7</v>
      </c>
      <c r="E6708" s="2" t="s">
        <v>12</v>
      </c>
      <c r="F6708">
        <f t="shared" si="104"/>
        <v>0.92011200000000004</v>
      </c>
      <c r="G6708" t="s">
        <v>16</v>
      </c>
      <c r="H6708" t="s">
        <v>10</v>
      </c>
      <c r="J6708" t="str">
        <f>"02/11/2020 00:39"</f>
        <v>02/11/2020 00:39</v>
      </c>
    </row>
    <row r="6709" spans="1:10" x14ac:dyDescent="0.3">
      <c r="A6709" t="s">
        <v>6</v>
      </c>
      <c r="B6709" t="str">
        <f>"02/11/2020 00:00"</f>
        <v>02/11/2020 00:00</v>
      </c>
      <c r="C6709">
        <v>0.46400000000000002</v>
      </c>
      <c r="D6709" t="s">
        <v>7</v>
      </c>
      <c r="E6709" s="2" t="s">
        <v>12</v>
      </c>
      <c r="F6709">
        <f t="shared" si="104"/>
        <v>0.92011200000000004</v>
      </c>
      <c r="G6709" t="s">
        <v>16</v>
      </c>
      <c r="H6709" t="s">
        <v>10</v>
      </c>
      <c r="J6709" t="str">
        <f>"02/12/2020 00:39"</f>
        <v>02/12/2020 00:39</v>
      </c>
    </row>
    <row r="6710" spans="1:10" x14ac:dyDescent="0.3">
      <c r="A6710" t="s">
        <v>6</v>
      </c>
      <c r="B6710" t="str">
        <f>"02/12/2020 00:00"</f>
        <v>02/12/2020 00:00</v>
      </c>
      <c r="C6710">
        <v>0.46400000000000002</v>
      </c>
      <c r="D6710" t="s">
        <v>7</v>
      </c>
      <c r="E6710" s="2" t="s">
        <v>12</v>
      </c>
      <c r="F6710">
        <f t="shared" si="104"/>
        <v>0.92011200000000004</v>
      </c>
      <c r="G6710" t="s">
        <v>16</v>
      </c>
      <c r="H6710" t="s">
        <v>10</v>
      </c>
      <c r="J6710" t="str">
        <f>"02/13/2020 00:39"</f>
        <v>02/13/2020 00:39</v>
      </c>
    </row>
    <row r="6711" spans="1:10" x14ac:dyDescent="0.3">
      <c r="A6711" t="s">
        <v>6</v>
      </c>
      <c r="B6711" t="str">
        <f>"02/13/2020 00:00"</f>
        <v>02/13/2020 00:00</v>
      </c>
      <c r="C6711">
        <v>0.378</v>
      </c>
      <c r="D6711" t="s">
        <v>7</v>
      </c>
      <c r="E6711" s="2" t="s">
        <v>12</v>
      </c>
      <c r="F6711">
        <f t="shared" si="104"/>
        <v>0.74957400000000007</v>
      </c>
      <c r="G6711" t="s">
        <v>16</v>
      </c>
      <c r="H6711" t="s">
        <v>10</v>
      </c>
      <c r="J6711" t="str">
        <f>"02/14/2020 00:39"</f>
        <v>02/14/2020 00:39</v>
      </c>
    </row>
    <row r="6712" spans="1:10" x14ac:dyDescent="0.3">
      <c r="A6712" t="s">
        <v>6</v>
      </c>
      <c r="B6712" t="str">
        <f>"02/14/2020 00:00"</f>
        <v>02/14/2020 00:00</v>
      </c>
      <c r="C6712">
        <v>0.31900000000000001</v>
      </c>
      <c r="D6712" t="s">
        <v>7</v>
      </c>
      <c r="E6712" s="2" t="s">
        <v>12</v>
      </c>
      <c r="F6712">
        <f t="shared" si="104"/>
        <v>0.63257700000000006</v>
      </c>
      <c r="G6712" t="s">
        <v>16</v>
      </c>
      <c r="H6712" t="s">
        <v>10</v>
      </c>
      <c r="J6712" t="str">
        <f>"02/15/2020 00:39"</f>
        <v>02/15/2020 00:39</v>
      </c>
    </row>
    <row r="6713" spans="1:10" x14ac:dyDescent="0.3">
      <c r="A6713" t="s">
        <v>6</v>
      </c>
      <c r="B6713" t="str">
        <f>"02/15/2020 00:00"</f>
        <v>02/15/2020 00:00</v>
      </c>
      <c r="C6713">
        <v>0.31900000000000001</v>
      </c>
      <c r="D6713" t="s">
        <v>7</v>
      </c>
      <c r="E6713" s="2" t="s">
        <v>12</v>
      </c>
      <c r="F6713">
        <f t="shared" si="104"/>
        <v>0.63257700000000006</v>
      </c>
      <c r="G6713" t="s">
        <v>16</v>
      </c>
      <c r="H6713" t="s">
        <v>10</v>
      </c>
      <c r="J6713" t="str">
        <f>"02/16/2020 00:39"</f>
        <v>02/16/2020 00:39</v>
      </c>
    </row>
    <row r="6714" spans="1:10" x14ac:dyDescent="0.3">
      <c r="A6714" t="s">
        <v>6</v>
      </c>
      <c r="B6714" t="str">
        <f>"02/16/2020 00:00"</f>
        <v>02/16/2020 00:00</v>
      </c>
      <c r="C6714">
        <v>0.31900000000000001</v>
      </c>
      <c r="D6714" t="s">
        <v>7</v>
      </c>
      <c r="E6714" s="2" t="s">
        <v>12</v>
      </c>
      <c r="F6714">
        <f t="shared" si="104"/>
        <v>0.63257700000000006</v>
      </c>
      <c r="G6714" t="s">
        <v>16</v>
      </c>
      <c r="H6714" t="s">
        <v>10</v>
      </c>
      <c r="J6714" t="str">
        <f>"02/17/2020 00:39"</f>
        <v>02/17/2020 00:39</v>
      </c>
    </row>
    <row r="6715" spans="1:10" x14ac:dyDescent="0.3">
      <c r="A6715" t="s">
        <v>6</v>
      </c>
      <c r="B6715" t="str">
        <f>"02/17/2020 00:00"</f>
        <v>02/17/2020 00:00</v>
      </c>
      <c r="C6715">
        <v>0.31900000000000001</v>
      </c>
      <c r="D6715" t="s">
        <v>7</v>
      </c>
      <c r="E6715" s="2" t="s">
        <v>12</v>
      </c>
      <c r="F6715">
        <f t="shared" si="104"/>
        <v>0.63257700000000006</v>
      </c>
      <c r="G6715" t="s">
        <v>16</v>
      </c>
      <c r="H6715" t="s">
        <v>10</v>
      </c>
      <c r="J6715" t="str">
        <f>"02/18/2020 00:39"</f>
        <v>02/18/2020 00:39</v>
      </c>
    </row>
    <row r="6716" spans="1:10" x14ac:dyDescent="0.3">
      <c r="A6716" t="s">
        <v>6</v>
      </c>
      <c r="B6716" t="str">
        <f>"02/18/2020 00:00"</f>
        <v>02/18/2020 00:00</v>
      </c>
      <c r="C6716">
        <v>0.31900000000000001</v>
      </c>
      <c r="D6716" t="s">
        <v>7</v>
      </c>
      <c r="E6716" s="2" t="s">
        <v>12</v>
      </c>
      <c r="F6716">
        <f t="shared" si="104"/>
        <v>0.63257700000000006</v>
      </c>
      <c r="G6716" t="s">
        <v>16</v>
      </c>
      <c r="H6716" t="s">
        <v>10</v>
      </c>
      <c r="J6716" t="str">
        <f>"02/19/2020 00:39"</f>
        <v>02/19/2020 00:39</v>
      </c>
    </row>
    <row r="6717" spans="1:10" x14ac:dyDescent="0.3">
      <c r="A6717" t="s">
        <v>6</v>
      </c>
      <c r="B6717" t="str">
        <f>"02/19/2020 00:00"</f>
        <v>02/19/2020 00:00</v>
      </c>
      <c r="C6717">
        <v>0.31900000000000001</v>
      </c>
      <c r="D6717" t="s">
        <v>7</v>
      </c>
      <c r="E6717" s="2" t="s">
        <v>12</v>
      </c>
      <c r="F6717">
        <f t="shared" si="104"/>
        <v>0.63257700000000006</v>
      </c>
      <c r="G6717" t="s">
        <v>16</v>
      </c>
      <c r="H6717" t="s">
        <v>10</v>
      </c>
      <c r="J6717" t="str">
        <f>"02/20/2020 00:39"</f>
        <v>02/20/2020 00:39</v>
      </c>
    </row>
    <row r="6718" spans="1:10" x14ac:dyDescent="0.3">
      <c r="A6718" t="s">
        <v>6</v>
      </c>
      <c r="B6718" t="str">
        <f>"02/20/2020 00:00"</f>
        <v>02/20/2020 00:00</v>
      </c>
      <c r="C6718">
        <v>0.31900000000000001</v>
      </c>
      <c r="D6718" t="s">
        <v>7</v>
      </c>
      <c r="E6718" s="2" t="s">
        <v>12</v>
      </c>
      <c r="F6718">
        <f t="shared" si="104"/>
        <v>0.63257700000000006</v>
      </c>
      <c r="G6718" t="s">
        <v>16</v>
      </c>
      <c r="H6718" t="s">
        <v>10</v>
      </c>
      <c r="J6718" t="str">
        <f>"02/21/2020 00:39"</f>
        <v>02/21/2020 00:39</v>
      </c>
    </row>
    <row r="6719" spans="1:10" x14ac:dyDescent="0.3">
      <c r="A6719" t="s">
        <v>6</v>
      </c>
      <c r="B6719" t="str">
        <f>"02/21/2020 00:00"</f>
        <v>02/21/2020 00:00</v>
      </c>
      <c r="C6719">
        <v>0.31900000000000001</v>
      </c>
      <c r="D6719" t="s">
        <v>7</v>
      </c>
      <c r="E6719" s="2" t="s">
        <v>12</v>
      </c>
      <c r="F6719">
        <f t="shared" si="104"/>
        <v>0.63257700000000006</v>
      </c>
      <c r="G6719" t="s">
        <v>16</v>
      </c>
      <c r="H6719" t="s">
        <v>10</v>
      </c>
      <c r="J6719" t="str">
        <f>"02/22/2020 00:39"</f>
        <v>02/22/2020 00:39</v>
      </c>
    </row>
    <row r="6720" spans="1:10" x14ac:dyDescent="0.3">
      <c r="A6720" t="s">
        <v>6</v>
      </c>
      <c r="B6720" t="str">
        <f>"02/22/2020 00:00"</f>
        <v>02/22/2020 00:00</v>
      </c>
      <c r="C6720">
        <v>0.31900000000000001</v>
      </c>
      <c r="D6720" t="s">
        <v>7</v>
      </c>
      <c r="E6720" s="2" t="s">
        <v>12</v>
      </c>
      <c r="F6720">
        <f t="shared" si="104"/>
        <v>0.63257700000000006</v>
      </c>
      <c r="G6720" t="s">
        <v>16</v>
      </c>
      <c r="H6720" t="s">
        <v>10</v>
      </c>
      <c r="J6720" t="str">
        <f>"02/23/2020 00:39"</f>
        <v>02/23/2020 00:39</v>
      </c>
    </row>
    <row r="6721" spans="1:10" x14ac:dyDescent="0.3">
      <c r="A6721" t="s">
        <v>6</v>
      </c>
      <c r="B6721" t="str">
        <f>"02/23/2020 00:00"</f>
        <v>02/23/2020 00:00</v>
      </c>
      <c r="C6721">
        <v>0.31900000000000001</v>
      </c>
      <c r="D6721" t="s">
        <v>7</v>
      </c>
      <c r="E6721" s="2" t="s">
        <v>12</v>
      </c>
      <c r="F6721">
        <f t="shared" si="104"/>
        <v>0.63257700000000006</v>
      </c>
      <c r="G6721" t="s">
        <v>16</v>
      </c>
      <c r="H6721" t="s">
        <v>10</v>
      </c>
      <c r="J6721" t="str">
        <f>"02/24/2020 00:39"</f>
        <v>02/24/2020 00:39</v>
      </c>
    </row>
    <row r="6722" spans="1:10" x14ac:dyDescent="0.3">
      <c r="A6722" t="s">
        <v>6</v>
      </c>
      <c r="B6722" t="str">
        <f>"02/24/2020 00:00"</f>
        <v>02/24/2020 00:00</v>
      </c>
      <c r="C6722">
        <v>0.31900000000000001</v>
      </c>
      <c r="D6722" t="s">
        <v>7</v>
      </c>
      <c r="E6722" s="2" t="s">
        <v>12</v>
      </c>
      <c r="F6722">
        <f t="shared" si="104"/>
        <v>0.63257700000000006</v>
      </c>
      <c r="G6722" t="s">
        <v>16</v>
      </c>
      <c r="H6722" t="s">
        <v>10</v>
      </c>
      <c r="J6722" t="str">
        <f>"02/25/2020 00:39"</f>
        <v>02/25/2020 00:39</v>
      </c>
    </row>
    <row r="6723" spans="1:10" x14ac:dyDescent="0.3">
      <c r="A6723" t="s">
        <v>6</v>
      </c>
      <c r="B6723" t="str">
        <f>"02/25/2020 00:00"</f>
        <v>02/25/2020 00:00</v>
      </c>
      <c r="C6723">
        <v>0.31900000000000001</v>
      </c>
      <c r="D6723" t="s">
        <v>7</v>
      </c>
      <c r="E6723" s="2" t="s">
        <v>12</v>
      </c>
      <c r="F6723">
        <f t="shared" si="104"/>
        <v>0.63257700000000006</v>
      </c>
      <c r="G6723" t="s">
        <v>16</v>
      </c>
      <c r="H6723" t="s">
        <v>10</v>
      </c>
      <c r="J6723" t="str">
        <f>"02/26/2020 00:39"</f>
        <v>02/26/2020 00:39</v>
      </c>
    </row>
    <row r="6724" spans="1:10" x14ac:dyDescent="0.3">
      <c r="A6724" t="s">
        <v>6</v>
      </c>
      <c r="B6724" t="str">
        <f>"02/26/2020 00:00"</f>
        <v>02/26/2020 00:00</v>
      </c>
      <c r="C6724">
        <v>0.31900000000000001</v>
      </c>
      <c r="D6724" t="s">
        <v>7</v>
      </c>
      <c r="E6724" s="2" t="s">
        <v>12</v>
      </c>
      <c r="F6724">
        <f t="shared" ref="F6724:F6787" si="105">C6724*1.983</f>
        <v>0.63257700000000006</v>
      </c>
      <c r="G6724" t="s">
        <v>16</v>
      </c>
      <c r="H6724" t="s">
        <v>10</v>
      </c>
      <c r="J6724" t="str">
        <f>"02/27/2020 00:39"</f>
        <v>02/27/2020 00:39</v>
      </c>
    </row>
    <row r="6725" spans="1:10" x14ac:dyDescent="0.3">
      <c r="A6725" t="s">
        <v>6</v>
      </c>
      <c r="B6725" t="str">
        <f>"02/27/2020 00:00"</f>
        <v>02/27/2020 00:00</v>
      </c>
      <c r="C6725">
        <v>0.31900000000000001</v>
      </c>
      <c r="D6725" t="s">
        <v>7</v>
      </c>
      <c r="E6725" s="2" t="s">
        <v>12</v>
      </c>
      <c r="F6725">
        <f t="shared" si="105"/>
        <v>0.63257700000000006</v>
      </c>
      <c r="G6725" t="s">
        <v>16</v>
      </c>
      <c r="H6725" t="s">
        <v>10</v>
      </c>
      <c r="J6725" t="str">
        <f>"02/28/2020 00:39"</f>
        <v>02/28/2020 00:39</v>
      </c>
    </row>
    <row r="6726" spans="1:10" x14ac:dyDescent="0.3">
      <c r="A6726" t="s">
        <v>6</v>
      </c>
      <c r="B6726" t="str">
        <f>"02/28/2020 00:00"</f>
        <v>02/28/2020 00:00</v>
      </c>
      <c r="C6726">
        <v>0.31900000000000001</v>
      </c>
      <c r="D6726" t="s">
        <v>7</v>
      </c>
      <c r="E6726" s="2" t="s">
        <v>12</v>
      </c>
      <c r="F6726">
        <f t="shared" si="105"/>
        <v>0.63257700000000006</v>
      </c>
      <c r="G6726" t="s">
        <v>16</v>
      </c>
      <c r="H6726" t="s">
        <v>10</v>
      </c>
      <c r="J6726" t="str">
        <f>"02/29/2020 00:39"</f>
        <v>02/29/2020 00:39</v>
      </c>
    </row>
    <row r="6727" spans="1:10" x14ac:dyDescent="0.3">
      <c r="A6727" t="s">
        <v>6</v>
      </c>
      <c r="B6727" t="str">
        <f>"02/29/2020 00:00"</f>
        <v>02/29/2020 00:00</v>
      </c>
      <c r="C6727">
        <v>0.31900000000000001</v>
      </c>
      <c r="D6727" t="s">
        <v>7</v>
      </c>
      <c r="E6727" s="2" t="s">
        <v>12</v>
      </c>
      <c r="F6727">
        <f t="shared" si="105"/>
        <v>0.63257700000000006</v>
      </c>
      <c r="G6727" t="s">
        <v>16</v>
      </c>
      <c r="H6727" t="s">
        <v>10</v>
      </c>
      <c r="J6727" t="str">
        <f>"03/01/2020 00:39"</f>
        <v>03/01/2020 00:39</v>
      </c>
    </row>
    <row r="6728" spans="1:10" x14ac:dyDescent="0.3">
      <c r="A6728" t="s">
        <v>6</v>
      </c>
      <c r="B6728" t="str">
        <f>"03/01/2020 00:00"</f>
        <v>03/01/2020 00:00</v>
      </c>
      <c r="C6728">
        <v>0.31900000000000001</v>
      </c>
      <c r="D6728" t="s">
        <v>7</v>
      </c>
      <c r="E6728" s="2" t="s">
        <v>12</v>
      </c>
      <c r="F6728">
        <f t="shared" si="105"/>
        <v>0.63257700000000006</v>
      </c>
      <c r="G6728" t="s">
        <v>16</v>
      </c>
      <c r="H6728" t="s">
        <v>10</v>
      </c>
      <c r="J6728" t="str">
        <f>"03/02/2020 00:39"</f>
        <v>03/02/2020 00:39</v>
      </c>
    </row>
    <row r="6729" spans="1:10" x14ac:dyDescent="0.3">
      <c r="A6729" t="s">
        <v>6</v>
      </c>
      <c r="B6729" t="str">
        <f>"03/02/2020 00:00"</f>
        <v>03/02/2020 00:00</v>
      </c>
      <c r="C6729">
        <v>0.31900000000000001</v>
      </c>
      <c r="D6729" t="s">
        <v>7</v>
      </c>
      <c r="E6729" s="2" t="s">
        <v>12</v>
      </c>
      <c r="F6729">
        <f t="shared" si="105"/>
        <v>0.63257700000000006</v>
      </c>
      <c r="G6729" t="s">
        <v>16</v>
      </c>
      <c r="H6729" t="s">
        <v>10</v>
      </c>
      <c r="J6729" t="str">
        <f>"03/03/2020 00:39"</f>
        <v>03/03/2020 00:39</v>
      </c>
    </row>
    <row r="6730" spans="1:10" x14ac:dyDescent="0.3">
      <c r="A6730" t="s">
        <v>6</v>
      </c>
      <c r="B6730" t="str">
        <f>"03/03/2020 00:00"</f>
        <v>03/03/2020 00:00</v>
      </c>
      <c r="C6730">
        <v>0.31900000000000001</v>
      </c>
      <c r="D6730" t="s">
        <v>7</v>
      </c>
      <c r="E6730" s="2" t="s">
        <v>12</v>
      </c>
      <c r="F6730">
        <f t="shared" si="105"/>
        <v>0.63257700000000006</v>
      </c>
      <c r="G6730" t="s">
        <v>16</v>
      </c>
      <c r="H6730" t="s">
        <v>10</v>
      </c>
      <c r="J6730" t="str">
        <f>"03/04/2020 00:39"</f>
        <v>03/04/2020 00:39</v>
      </c>
    </row>
    <row r="6731" spans="1:10" x14ac:dyDescent="0.3">
      <c r="A6731" t="s">
        <v>6</v>
      </c>
      <c r="B6731" t="str">
        <f>"03/04/2020 00:00"</f>
        <v>03/04/2020 00:00</v>
      </c>
      <c r="C6731">
        <v>0.31900000000000001</v>
      </c>
      <c r="D6731" t="s">
        <v>7</v>
      </c>
      <c r="E6731" s="2" t="s">
        <v>12</v>
      </c>
      <c r="F6731">
        <f t="shared" si="105"/>
        <v>0.63257700000000006</v>
      </c>
      <c r="G6731" t="s">
        <v>16</v>
      </c>
      <c r="H6731" t="s">
        <v>10</v>
      </c>
      <c r="J6731" t="str">
        <f>"03/05/2020 00:39"</f>
        <v>03/05/2020 00:39</v>
      </c>
    </row>
    <row r="6732" spans="1:10" x14ac:dyDescent="0.3">
      <c r="A6732" t="s">
        <v>6</v>
      </c>
      <c r="B6732" t="str">
        <f>"03/05/2020 00:00"</f>
        <v>03/05/2020 00:00</v>
      </c>
      <c r="C6732">
        <v>0.31900000000000001</v>
      </c>
      <c r="D6732" t="s">
        <v>7</v>
      </c>
      <c r="E6732" s="2" t="s">
        <v>12</v>
      </c>
      <c r="F6732">
        <f t="shared" si="105"/>
        <v>0.63257700000000006</v>
      </c>
      <c r="G6732" t="s">
        <v>16</v>
      </c>
      <c r="H6732" t="s">
        <v>10</v>
      </c>
      <c r="J6732" t="str">
        <f>"03/06/2020 00:39"</f>
        <v>03/06/2020 00:39</v>
      </c>
    </row>
    <row r="6733" spans="1:10" x14ac:dyDescent="0.3">
      <c r="A6733" t="s">
        <v>6</v>
      </c>
      <c r="B6733" t="str">
        <f>"03/06/2020 00:00"</f>
        <v>03/06/2020 00:00</v>
      </c>
      <c r="C6733">
        <v>0.31900000000000001</v>
      </c>
      <c r="D6733" t="s">
        <v>7</v>
      </c>
      <c r="E6733" s="2" t="s">
        <v>12</v>
      </c>
      <c r="F6733">
        <f t="shared" si="105"/>
        <v>0.63257700000000006</v>
      </c>
      <c r="G6733" t="s">
        <v>16</v>
      </c>
      <c r="H6733" t="s">
        <v>10</v>
      </c>
      <c r="J6733" t="str">
        <f>"03/07/2020 00:39"</f>
        <v>03/07/2020 00:39</v>
      </c>
    </row>
    <row r="6734" spans="1:10" x14ac:dyDescent="0.3">
      <c r="A6734" t="s">
        <v>6</v>
      </c>
      <c r="B6734" t="str">
        <f>"03/07/2020 00:00"</f>
        <v>03/07/2020 00:00</v>
      </c>
      <c r="C6734">
        <v>0.31900000000000001</v>
      </c>
      <c r="D6734" t="s">
        <v>7</v>
      </c>
      <c r="E6734" s="2" t="s">
        <v>12</v>
      </c>
      <c r="F6734">
        <f t="shared" si="105"/>
        <v>0.63257700000000006</v>
      </c>
      <c r="G6734" t="s">
        <v>16</v>
      </c>
      <c r="H6734" t="s">
        <v>10</v>
      </c>
      <c r="J6734" t="str">
        <f>"03/08/2020 00:39"</f>
        <v>03/08/2020 00:39</v>
      </c>
    </row>
    <row r="6735" spans="1:10" x14ac:dyDescent="0.3">
      <c r="A6735" t="s">
        <v>6</v>
      </c>
      <c r="B6735" t="str">
        <f>"03/08/2020 00:00"</f>
        <v>03/08/2020 00:00</v>
      </c>
      <c r="C6735">
        <v>0.31900000000000001</v>
      </c>
      <c r="D6735" t="s">
        <v>7</v>
      </c>
      <c r="E6735" s="2" t="s">
        <v>12</v>
      </c>
      <c r="F6735">
        <f t="shared" si="105"/>
        <v>0.63257700000000006</v>
      </c>
      <c r="G6735" t="s">
        <v>16</v>
      </c>
      <c r="H6735" t="s">
        <v>10</v>
      </c>
      <c r="J6735" t="str">
        <f>"03/09/2020 00:39"</f>
        <v>03/09/2020 00:39</v>
      </c>
    </row>
    <row r="6736" spans="1:10" x14ac:dyDescent="0.3">
      <c r="A6736" t="s">
        <v>6</v>
      </c>
      <c r="B6736" t="str">
        <f>"03/09/2020 00:00"</f>
        <v>03/09/2020 00:00</v>
      </c>
      <c r="C6736">
        <v>0.31900000000000001</v>
      </c>
      <c r="D6736" t="s">
        <v>7</v>
      </c>
      <c r="E6736" s="2" t="s">
        <v>12</v>
      </c>
      <c r="F6736">
        <f t="shared" si="105"/>
        <v>0.63257700000000006</v>
      </c>
      <c r="G6736" t="s">
        <v>16</v>
      </c>
      <c r="H6736" t="s">
        <v>10</v>
      </c>
      <c r="J6736" t="str">
        <f>"03/10/2020 00:39"</f>
        <v>03/10/2020 00:39</v>
      </c>
    </row>
    <row r="6737" spans="1:10" x14ac:dyDescent="0.3">
      <c r="A6737" t="s">
        <v>6</v>
      </c>
      <c r="B6737" t="str">
        <f>"03/10/2020 00:00"</f>
        <v>03/10/2020 00:00</v>
      </c>
      <c r="C6737">
        <v>0.31900000000000001</v>
      </c>
      <c r="D6737" t="s">
        <v>7</v>
      </c>
      <c r="E6737" s="2" t="s">
        <v>12</v>
      </c>
      <c r="F6737">
        <f t="shared" si="105"/>
        <v>0.63257700000000006</v>
      </c>
      <c r="G6737" t="s">
        <v>16</v>
      </c>
      <c r="H6737" t="s">
        <v>10</v>
      </c>
      <c r="J6737" t="str">
        <f>"03/11/2020 00:39"</f>
        <v>03/11/2020 00:39</v>
      </c>
    </row>
    <row r="6738" spans="1:10" x14ac:dyDescent="0.3">
      <c r="A6738" t="s">
        <v>6</v>
      </c>
      <c r="B6738" t="str">
        <f>"03/11/2020 00:00"</f>
        <v>03/11/2020 00:00</v>
      </c>
      <c r="C6738">
        <v>0.31900000000000001</v>
      </c>
      <c r="D6738" t="s">
        <v>7</v>
      </c>
      <c r="E6738" s="2" t="s">
        <v>12</v>
      </c>
      <c r="F6738">
        <f t="shared" si="105"/>
        <v>0.63257700000000006</v>
      </c>
      <c r="G6738" t="s">
        <v>16</v>
      </c>
      <c r="H6738" t="s">
        <v>10</v>
      </c>
      <c r="J6738" t="str">
        <f>"03/12/2020 00:39"</f>
        <v>03/12/2020 00:39</v>
      </c>
    </row>
    <row r="6739" spans="1:10" x14ac:dyDescent="0.3">
      <c r="A6739" t="s">
        <v>6</v>
      </c>
      <c r="B6739" t="str">
        <f>"03/12/2020 00:00"</f>
        <v>03/12/2020 00:00</v>
      </c>
      <c r="C6739">
        <v>0.31900000000000001</v>
      </c>
      <c r="D6739" t="s">
        <v>7</v>
      </c>
      <c r="E6739" s="2" t="s">
        <v>12</v>
      </c>
      <c r="F6739">
        <f t="shared" si="105"/>
        <v>0.63257700000000006</v>
      </c>
      <c r="G6739" t="s">
        <v>16</v>
      </c>
      <c r="H6739" t="s">
        <v>10</v>
      </c>
      <c r="J6739" t="str">
        <f>"03/13/2020 00:39"</f>
        <v>03/13/2020 00:39</v>
      </c>
    </row>
    <row r="6740" spans="1:10" x14ac:dyDescent="0.3">
      <c r="A6740" t="s">
        <v>6</v>
      </c>
      <c r="B6740" t="str">
        <f>"03/13/2020 00:00"</f>
        <v>03/13/2020 00:00</v>
      </c>
      <c r="C6740">
        <v>0.31900000000000001</v>
      </c>
      <c r="D6740" t="s">
        <v>7</v>
      </c>
      <c r="E6740" s="2" t="s">
        <v>12</v>
      </c>
      <c r="F6740">
        <f t="shared" si="105"/>
        <v>0.63257700000000006</v>
      </c>
      <c r="G6740" t="s">
        <v>16</v>
      </c>
      <c r="H6740" t="s">
        <v>10</v>
      </c>
      <c r="J6740" t="str">
        <f>"03/14/2020 00:39"</f>
        <v>03/14/2020 00:39</v>
      </c>
    </row>
    <row r="6741" spans="1:10" x14ac:dyDescent="0.3">
      <c r="A6741" t="s">
        <v>6</v>
      </c>
      <c r="B6741" t="str">
        <f>"03/14/2020 00:00"</f>
        <v>03/14/2020 00:00</v>
      </c>
      <c r="C6741">
        <v>0.31900000000000001</v>
      </c>
      <c r="D6741" t="s">
        <v>7</v>
      </c>
      <c r="E6741" s="2" t="s">
        <v>12</v>
      </c>
      <c r="F6741">
        <f t="shared" si="105"/>
        <v>0.63257700000000006</v>
      </c>
      <c r="G6741" t="s">
        <v>16</v>
      </c>
      <c r="H6741" t="s">
        <v>10</v>
      </c>
      <c r="J6741" t="str">
        <f>"03/15/2020 00:39"</f>
        <v>03/15/2020 00:39</v>
      </c>
    </row>
    <row r="6742" spans="1:10" x14ac:dyDescent="0.3">
      <c r="A6742" t="s">
        <v>6</v>
      </c>
      <c r="B6742" t="str">
        <f>"03/15/2020 00:00"</f>
        <v>03/15/2020 00:00</v>
      </c>
      <c r="C6742">
        <v>0.31900000000000001</v>
      </c>
      <c r="D6742" t="s">
        <v>7</v>
      </c>
      <c r="E6742" s="2" t="s">
        <v>12</v>
      </c>
      <c r="F6742">
        <f t="shared" si="105"/>
        <v>0.63257700000000006</v>
      </c>
      <c r="G6742" t="s">
        <v>16</v>
      </c>
      <c r="H6742" t="s">
        <v>10</v>
      </c>
      <c r="J6742" t="str">
        <f>"03/16/2020 00:39"</f>
        <v>03/16/2020 00:39</v>
      </c>
    </row>
    <row r="6743" spans="1:10" x14ac:dyDescent="0.3">
      <c r="A6743" t="s">
        <v>6</v>
      </c>
      <c r="B6743" t="str">
        <f>"03/16/2020 00:00"</f>
        <v>03/16/2020 00:00</v>
      </c>
      <c r="C6743">
        <v>0.31900000000000001</v>
      </c>
      <c r="D6743" t="s">
        <v>7</v>
      </c>
      <c r="E6743" s="2" t="s">
        <v>12</v>
      </c>
      <c r="F6743">
        <f t="shared" si="105"/>
        <v>0.63257700000000006</v>
      </c>
      <c r="G6743" t="s">
        <v>16</v>
      </c>
      <c r="H6743" t="s">
        <v>10</v>
      </c>
      <c r="J6743" t="str">
        <f>"03/17/2020 00:39"</f>
        <v>03/17/2020 00:39</v>
      </c>
    </row>
    <row r="6744" spans="1:10" x14ac:dyDescent="0.3">
      <c r="A6744" t="s">
        <v>6</v>
      </c>
      <c r="B6744" t="str">
        <f>"03/17/2020 00:00"</f>
        <v>03/17/2020 00:00</v>
      </c>
      <c r="C6744">
        <v>0.315</v>
      </c>
      <c r="D6744" t="s">
        <v>7</v>
      </c>
      <c r="E6744" s="2" t="s">
        <v>12</v>
      </c>
      <c r="F6744">
        <f t="shared" si="105"/>
        <v>0.62464500000000001</v>
      </c>
      <c r="G6744" t="s">
        <v>16</v>
      </c>
      <c r="H6744" t="s">
        <v>10</v>
      </c>
      <c r="J6744" t="str">
        <f>"03/18/2020 00:39"</f>
        <v>03/18/2020 00:39</v>
      </c>
    </row>
    <row r="6745" spans="1:10" x14ac:dyDescent="0.3">
      <c r="A6745" t="s">
        <v>6</v>
      </c>
      <c r="B6745" t="str">
        <f>"03/18/2020 00:00"</f>
        <v>03/18/2020 00:00</v>
      </c>
      <c r="C6745">
        <v>0.19700000000000001</v>
      </c>
      <c r="D6745" t="s">
        <v>7</v>
      </c>
      <c r="E6745" s="2" t="s">
        <v>12</v>
      </c>
      <c r="F6745">
        <f t="shared" si="105"/>
        <v>0.39065100000000003</v>
      </c>
      <c r="G6745" t="s">
        <v>16</v>
      </c>
      <c r="H6745" t="s">
        <v>10</v>
      </c>
      <c r="J6745" t="str">
        <f>"03/19/2020 00:39"</f>
        <v>03/19/2020 00:39</v>
      </c>
    </row>
    <row r="6746" spans="1:10" x14ac:dyDescent="0.3">
      <c r="A6746" t="s">
        <v>6</v>
      </c>
      <c r="B6746" t="str">
        <f>"03/19/2020 00:00"</f>
        <v>03/19/2020 00:00</v>
      </c>
      <c r="C6746">
        <v>0.19700000000000001</v>
      </c>
      <c r="D6746" t="s">
        <v>7</v>
      </c>
      <c r="E6746" s="2" t="s">
        <v>12</v>
      </c>
      <c r="F6746">
        <f t="shared" si="105"/>
        <v>0.39065100000000003</v>
      </c>
      <c r="G6746" t="s">
        <v>16</v>
      </c>
      <c r="H6746" t="s">
        <v>10</v>
      </c>
      <c r="J6746" t="str">
        <f>"03/20/2020 00:39"</f>
        <v>03/20/2020 00:39</v>
      </c>
    </row>
    <row r="6747" spans="1:10" x14ac:dyDescent="0.3">
      <c r="A6747" t="s">
        <v>6</v>
      </c>
      <c r="B6747" t="str">
        <f>"03/20/2020 00:00"</f>
        <v>03/20/2020 00:00</v>
      </c>
      <c r="C6747">
        <v>0.19700000000000001</v>
      </c>
      <c r="D6747" t="s">
        <v>7</v>
      </c>
      <c r="E6747" s="2" t="s">
        <v>12</v>
      </c>
      <c r="F6747">
        <f t="shared" si="105"/>
        <v>0.39065100000000003</v>
      </c>
      <c r="G6747" t="s">
        <v>16</v>
      </c>
      <c r="H6747" t="s">
        <v>10</v>
      </c>
      <c r="J6747" t="str">
        <f>"03/21/2020 00:39"</f>
        <v>03/21/2020 00:39</v>
      </c>
    </row>
    <row r="6748" spans="1:10" x14ac:dyDescent="0.3">
      <c r="A6748" t="s">
        <v>6</v>
      </c>
      <c r="B6748" t="str">
        <f>"03/21/2020 00:00"</f>
        <v>03/21/2020 00:00</v>
      </c>
      <c r="C6748">
        <v>0.19700000000000001</v>
      </c>
      <c r="D6748" t="s">
        <v>7</v>
      </c>
      <c r="E6748" s="2" t="s">
        <v>12</v>
      </c>
      <c r="F6748">
        <f t="shared" si="105"/>
        <v>0.39065100000000003</v>
      </c>
      <c r="G6748" t="s">
        <v>16</v>
      </c>
      <c r="H6748" t="s">
        <v>10</v>
      </c>
      <c r="J6748" t="str">
        <f>"03/22/2020 00:39"</f>
        <v>03/22/2020 00:39</v>
      </c>
    </row>
    <row r="6749" spans="1:10" x14ac:dyDescent="0.3">
      <c r="A6749" t="s">
        <v>6</v>
      </c>
      <c r="B6749" t="str">
        <f>"03/22/2020 00:00"</f>
        <v>03/22/2020 00:00</v>
      </c>
      <c r="C6749">
        <v>0.19700000000000001</v>
      </c>
      <c r="D6749" t="s">
        <v>7</v>
      </c>
      <c r="E6749" s="2" t="s">
        <v>12</v>
      </c>
      <c r="F6749">
        <f t="shared" si="105"/>
        <v>0.39065100000000003</v>
      </c>
      <c r="G6749" t="s">
        <v>16</v>
      </c>
      <c r="H6749" t="s">
        <v>10</v>
      </c>
      <c r="J6749" t="str">
        <f>"03/23/2020 00:39"</f>
        <v>03/23/2020 00:39</v>
      </c>
    </row>
    <row r="6750" spans="1:10" x14ac:dyDescent="0.3">
      <c r="A6750" t="s">
        <v>6</v>
      </c>
      <c r="B6750" t="str">
        <f>"03/23/2020 00:00"</f>
        <v>03/23/2020 00:00</v>
      </c>
      <c r="C6750">
        <v>0.19700000000000001</v>
      </c>
      <c r="D6750" t="s">
        <v>7</v>
      </c>
      <c r="E6750" s="2" t="s">
        <v>12</v>
      </c>
      <c r="F6750">
        <f t="shared" si="105"/>
        <v>0.39065100000000003</v>
      </c>
      <c r="G6750" t="s">
        <v>16</v>
      </c>
      <c r="H6750" t="s">
        <v>10</v>
      </c>
      <c r="J6750" t="str">
        <f>"03/24/2020 00:39"</f>
        <v>03/24/2020 00:39</v>
      </c>
    </row>
    <row r="6751" spans="1:10" x14ac:dyDescent="0.3">
      <c r="A6751" t="s">
        <v>6</v>
      </c>
      <c r="B6751" t="str">
        <f>"03/24/2020 00:00"</f>
        <v>03/24/2020 00:00</v>
      </c>
      <c r="C6751">
        <v>0.19700000000000001</v>
      </c>
      <c r="D6751" t="s">
        <v>7</v>
      </c>
      <c r="E6751" s="2" t="s">
        <v>12</v>
      </c>
      <c r="F6751">
        <f t="shared" si="105"/>
        <v>0.39065100000000003</v>
      </c>
      <c r="G6751" t="s">
        <v>16</v>
      </c>
      <c r="H6751" t="s">
        <v>10</v>
      </c>
      <c r="J6751" t="str">
        <f>"03/25/2020 00:39"</f>
        <v>03/25/2020 00:39</v>
      </c>
    </row>
    <row r="6752" spans="1:10" x14ac:dyDescent="0.3">
      <c r="A6752" t="s">
        <v>6</v>
      </c>
      <c r="B6752" t="str">
        <f>"03/25/2020 00:00"</f>
        <v>03/25/2020 00:00</v>
      </c>
      <c r="C6752">
        <v>0.19700000000000001</v>
      </c>
      <c r="D6752" t="s">
        <v>7</v>
      </c>
      <c r="E6752" s="2" t="s">
        <v>12</v>
      </c>
      <c r="F6752">
        <f t="shared" si="105"/>
        <v>0.39065100000000003</v>
      </c>
      <c r="G6752" t="s">
        <v>16</v>
      </c>
      <c r="H6752" t="s">
        <v>10</v>
      </c>
      <c r="J6752" t="str">
        <f>"03/26/2020 00:39"</f>
        <v>03/26/2020 00:39</v>
      </c>
    </row>
    <row r="6753" spans="1:10" x14ac:dyDescent="0.3">
      <c r="A6753" t="s">
        <v>6</v>
      </c>
      <c r="B6753" t="str">
        <f>"03/26/2020 00:00"</f>
        <v>03/26/2020 00:00</v>
      </c>
      <c r="C6753">
        <v>0.19700000000000001</v>
      </c>
      <c r="D6753" t="s">
        <v>7</v>
      </c>
      <c r="E6753" s="2" t="s">
        <v>12</v>
      </c>
      <c r="F6753">
        <f t="shared" si="105"/>
        <v>0.39065100000000003</v>
      </c>
      <c r="G6753" t="s">
        <v>16</v>
      </c>
      <c r="H6753" t="s">
        <v>10</v>
      </c>
      <c r="J6753" t="str">
        <f>"03/27/2020 00:39"</f>
        <v>03/27/2020 00:39</v>
      </c>
    </row>
    <row r="6754" spans="1:10" x14ac:dyDescent="0.3">
      <c r="A6754" t="s">
        <v>6</v>
      </c>
      <c r="B6754" t="str">
        <f>"03/27/2020 00:00"</f>
        <v>03/27/2020 00:00</v>
      </c>
      <c r="C6754">
        <v>0.19700000000000001</v>
      </c>
      <c r="D6754" t="s">
        <v>7</v>
      </c>
      <c r="E6754" s="2" t="s">
        <v>12</v>
      </c>
      <c r="F6754">
        <f t="shared" si="105"/>
        <v>0.39065100000000003</v>
      </c>
      <c r="G6754" t="s">
        <v>16</v>
      </c>
      <c r="H6754" t="s">
        <v>10</v>
      </c>
      <c r="J6754" t="str">
        <f>"03/28/2020 00:39"</f>
        <v>03/28/2020 00:39</v>
      </c>
    </row>
    <row r="6755" spans="1:10" x14ac:dyDescent="0.3">
      <c r="A6755" t="s">
        <v>6</v>
      </c>
      <c r="B6755" t="str">
        <f>"03/28/2020 00:00"</f>
        <v>03/28/2020 00:00</v>
      </c>
      <c r="C6755">
        <v>0.19700000000000001</v>
      </c>
      <c r="D6755" t="s">
        <v>7</v>
      </c>
      <c r="E6755" s="2" t="s">
        <v>12</v>
      </c>
      <c r="F6755">
        <f t="shared" si="105"/>
        <v>0.39065100000000003</v>
      </c>
      <c r="G6755" t="s">
        <v>16</v>
      </c>
      <c r="H6755" t="s">
        <v>10</v>
      </c>
      <c r="J6755" t="str">
        <f>"03/29/2020 00:39"</f>
        <v>03/29/2020 00:39</v>
      </c>
    </row>
    <row r="6756" spans="1:10" x14ac:dyDescent="0.3">
      <c r="A6756" t="s">
        <v>6</v>
      </c>
      <c r="B6756" t="str">
        <f>"03/29/2020 00:00"</f>
        <v>03/29/2020 00:00</v>
      </c>
      <c r="C6756">
        <v>0.19700000000000001</v>
      </c>
      <c r="D6756" t="s">
        <v>7</v>
      </c>
      <c r="E6756" s="2" t="s">
        <v>12</v>
      </c>
      <c r="F6756">
        <f t="shared" si="105"/>
        <v>0.39065100000000003</v>
      </c>
      <c r="G6756" t="s">
        <v>16</v>
      </c>
      <c r="H6756" t="s">
        <v>10</v>
      </c>
      <c r="J6756" t="str">
        <f>"03/30/2020 00:39"</f>
        <v>03/30/2020 00:39</v>
      </c>
    </row>
    <row r="6757" spans="1:10" x14ac:dyDescent="0.3">
      <c r="A6757" t="s">
        <v>6</v>
      </c>
      <c r="B6757" t="str">
        <f>"03/30/2020 00:00"</f>
        <v>03/30/2020 00:00</v>
      </c>
      <c r="C6757">
        <v>0.19700000000000001</v>
      </c>
      <c r="D6757" t="s">
        <v>7</v>
      </c>
      <c r="E6757" s="2" t="s">
        <v>12</v>
      </c>
      <c r="F6757">
        <f t="shared" si="105"/>
        <v>0.39065100000000003</v>
      </c>
      <c r="G6757" t="s">
        <v>16</v>
      </c>
      <c r="H6757" t="s">
        <v>10</v>
      </c>
      <c r="J6757" t="str">
        <f>"03/31/2020 00:39"</f>
        <v>03/31/2020 00:39</v>
      </c>
    </row>
    <row r="6758" spans="1:10" x14ac:dyDescent="0.3">
      <c r="A6758" t="s">
        <v>6</v>
      </c>
      <c r="B6758" t="str">
        <f>"03/31/2020 00:00"</f>
        <v>03/31/2020 00:00</v>
      </c>
      <c r="C6758">
        <v>0.129</v>
      </c>
      <c r="D6758" t="s">
        <v>7</v>
      </c>
      <c r="E6758" s="2" t="s">
        <v>12</v>
      </c>
      <c r="F6758">
        <f t="shared" si="105"/>
        <v>0.25580700000000001</v>
      </c>
      <c r="G6758" t="s">
        <v>16</v>
      </c>
      <c r="H6758" t="s">
        <v>10</v>
      </c>
      <c r="J6758" t="str">
        <f>"04/01/2020 00:39"</f>
        <v>04/01/2020 00:39</v>
      </c>
    </row>
    <row r="6759" spans="1:10" x14ac:dyDescent="0.3">
      <c r="A6759" t="s">
        <v>6</v>
      </c>
      <c r="B6759" t="str">
        <f>"04/01/2020 00:00"</f>
        <v>04/01/2020 00:00</v>
      </c>
      <c r="C6759">
        <v>0</v>
      </c>
      <c r="D6759" t="s">
        <v>7</v>
      </c>
      <c r="E6759" s="2" t="s">
        <v>12</v>
      </c>
      <c r="F6759">
        <f t="shared" si="105"/>
        <v>0</v>
      </c>
      <c r="G6759" t="s">
        <v>16</v>
      </c>
      <c r="H6759" t="s">
        <v>10</v>
      </c>
      <c r="J6759" t="str">
        <f>"04/02/2020 00:39"</f>
        <v>04/02/2020 00:39</v>
      </c>
    </row>
    <row r="6760" spans="1:10" x14ac:dyDescent="0.3">
      <c r="A6760" t="s">
        <v>6</v>
      </c>
      <c r="B6760" t="str">
        <f>"04/02/2020 00:00"</f>
        <v>04/02/2020 00:00</v>
      </c>
      <c r="C6760">
        <v>0</v>
      </c>
      <c r="D6760" t="s">
        <v>7</v>
      </c>
      <c r="E6760" s="2" t="s">
        <v>12</v>
      </c>
      <c r="F6760">
        <f t="shared" si="105"/>
        <v>0</v>
      </c>
      <c r="G6760" t="s">
        <v>16</v>
      </c>
      <c r="H6760" t="s">
        <v>10</v>
      </c>
      <c r="J6760" t="str">
        <f>"04/03/2020 00:39"</f>
        <v>04/03/2020 00:39</v>
      </c>
    </row>
    <row r="6761" spans="1:10" x14ac:dyDescent="0.3">
      <c r="A6761" t="s">
        <v>6</v>
      </c>
      <c r="B6761" t="str">
        <f>"04/03/2020 00:00"</f>
        <v>04/03/2020 00:00</v>
      </c>
      <c r="C6761">
        <v>0</v>
      </c>
      <c r="D6761" t="s">
        <v>7</v>
      </c>
      <c r="E6761" s="2" t="s">
        <v>12</v>
      </c>
      <c r="F6761">
        <f t="shared" si="105"/>
        <v>0</v>
      </c>
      <c r="G6761" t="s">
        <v>16</v>
      </c>
      <c r="H6761" t="s">
        <v>10</v>
      </c>
      <c r="J6761" t="str">
        <f>"04/04/2020 00:39"</f>
        <v>04/04/2020 00:39</v>
      </c>
    </row>
    <row r="6762" spans="1:10" x14ac:dyDescent="0.3">
      <c r="A6762" t="s">
        <v>6</v>
      </c>
      <c r="B6762" t="str">
        <f>"04/04/2020 00:00"</f>
        <v>04/04/2020 00:00</v>
      </c>
      <c r="C6762">
        <v>0</v>
      </c>
      <c r="D6762" t="s">
        <v>7</v>
      </c>
      <c r="E6762" s="2" t="s">
        <v>12</v>
      </c>
      <c r="F6762">
        <f t="shared" si="105"/>
        <v>0</v>
      </c>
      <c r="G6762" t="s">
        <v>16</v>
      </c>
      <c r="H6762" t="s">
        <v>10</v>
      </c>
      <c r="J6762" t="str">
        <f>"04/05/2020 00:39"</f>
        <v>04/05/2020 00:39</v>
      </c>
    </row>
    <row r="6763" spans="1:10" x14ac:dyDescent="0.3">
      <c r="A6763" t="s">
        <v>6</v>
      </c>
      <c r="B6763" t="str">
        <f>"04/05/2020 00:00"</f>
        <v>04/05/2020 00:00</v>
      </c>
      <c r="C6763">
        <v>0</v>
      </c>
      <c r="D6763" t="s">
        <v>7</v>
      </c>
      <c r="E6763" s="2" t="s">
        <v>12</v>
      </c>
      <c r="F6763">
        <f t="shared" si="105"/>
        <v>0</v>
      </c>
      <c r="G6763" t="s">
        <v>16</v>
      </c>
      <c r="H6763" t="s">
        <v>10</v>
      </c>
      <c r="J6763" t="str">
        <f>"04/06/2020 00:39"</f>
        <v>04/06/2020 00:39</v>
      </c>
    </row>
    <row r="6764" spans="1:10" x14ac:dyDescent="0.3">
      <c r="A6764" t="s">
        <v>6</v>
      </c>
      <c r="B6764" t="str">
        <f>"04/06/2020 00:00"</f>
        <v>04/06/2020 00:00</v>
      </c>
      <c r="C6764">
        <v>0</v>
      </c>
      <c r="D6764" t="s">
        <v>7</v>
      </c>
      <c r="E6764" s="2" t="s">
        <v>12</v>
      </c>
      <c r="F6764">
        <f t="shared" si="105"/>
        <v>0</v>
      </c>
      <c r="G6764" t="s">
        <v>16</v>
      </c>
      <c r="H6764" t="s">
        <v>10</v>
      </c>
      <c r="J6764" t="str">
        <f>"04/07/2020 00:39"</f>
        <v>04/07/2020 00:39</v>
      </c>
    </row>
    <row r="6765" spans="1:10" x14ac:dyDescent="0.3">
      <c r="A6765" t="s">
        <v>6</v>
      </c>
      <c r="B6765" t="str">
        <f>"04/07/2020 00:00"</f>
        <v>04/07/2020 00:00</v>
      </c>
      <c r="C6765">
        <v>0</v>
      </c>
      <c r="D6765" t="s">
        <v>7</v>
      </c>
      <c r="E6765" s="2" t="s">
        <v>12</v>
      </c>
      <c r="F6765">
        <f t="shared" si="105"/>
        <v>0</v>
      </c>
      <c r="G6765" t="s">
        <v>16</v>
      </c>
      <c r="H6765" t="s">
        <v>10</v>
      </c>
      <c r="J6765" t="str">
        <f>"04/08/2020 00:39"</f>
        <v>04/08/2020 00:39</v>
      </c>
    </row>
    <row r="6766" spans="1:10" x14ac:dyDescent="0.3">
      <c r="A6766" t="s">
        <v>6</v>
      </c>
      <c r="B6766" t="str">
        <f>"04/08/2020 00:00"</f>
        <v>04/08/2020 00:00</v>
      </c>
      <c r="C6766">
        <v>0</v>
      </c>
      <c r="D6766" t="s">
        <v>7</v>
      </c>
      <c r="E6766" s="2" t="s">
        <v>12</v>
      </c>
      <c r="F6766">
        <f t="shared" si="105"/>
        <v>0</v>
      </c>
      <c r="G6766" t="s">
        <v>16</v>
      </c>
      <c r="H6766" t="s">
        <v>10</v>
      </c>
      <c r="J6766" t="str">
        <f>"04/09/2020 00:39"</f>
        <v>04/09/2020 00:39</v>
      </c>
    </row>
    <row r="6767" spans="1:10" x14ac:dyDescent="0.3">
      <c r="A6767" t="s">
        <v>6</v>
      </c>
      <c r="B6767" t="str">
        <f>"04/09/2020 00:00"</f>
        <v>04/09/2020 00:00</v>
      </c>
      <c r="C6767">
        <v>0</v>
      </c>
      <c r="D6767" t="s">
        <v>7</v>
      </c>
      <c r="E6767" s="2" t="s">
        <v>12</v>
      </c>
      <c r="F6767">
        <f t="shared" si="105"/>
        <v>0</v>
      </c>
      <c r="G6767" t="s">
        <v>16</v>
      </c>
      <c r="H6767" t="s">
        <v>10</v>
      </c>
      <c r="J6767" t="str">
        <f>"04/10/2020 00:39"</f>
        <v>04/10/2020 00:39</v>
      </c>
    </row>
    <row r="6768" spans="1:10" x14ac:dyDescent="0.3">
      <c r="A6768" t="s">
        <v>6</v>
      </c>
      <c r="B6768" t="str">
        <f>"04/10/2020 00:00"</f>
        <v>04/10/2020 00:00</v>
      </c>
      <c r="C6768">
        <v>0</v>
      </c>
      <c r="D6768" t="s">
        <v>7</v>
      </c>
      <c r="E6768" s="2" t="s">
        <v>12</v>
      </c>
      <c r="F6768">
        <f t="shared" si="105"/>
        <v>0</v>
      </c>
      <c r="G6768" t="s">
        <v>16</v>
      </c>
      <c r="H6768" t="s">
        <v>10</v>
      </c>
      <c r="J6768" t="str">
        <f>"04/11/2020 00:39"</f>
        <v>04/11/2020 00:39</v>
      </c>
    </row>
    <row r="6769" spans="1:10" x14ac:dyDescent="0.3">
      <c r="A6769" t="s">
        <v>6</v>
      </c>
      <c r="B6769" t="str">
        <f>"04/11/2020 00:00"</f>
        <v>04/11/2020 00:00</v>
      </c>
      <c r="C6769">
        <v>0</v>
      </c>
      <c r="D6769" t="s">
        <v>7</v>
      </c>
      <c r="E6769" s="2" t="s">
        <v>12</v>
      </c>
      <c r="F6769">
        <f t="shared" si="105"/>
        <v>0</v>
      </c>
      <c r="G6769" t="s">
        <v>16</v>
      </c>
      <c r="H6769" t="s">
        <v>10</v>
      </c>
      <c r="J6769" t="str">
        <f>"04/12/2020 00:39"</f>
        <v>04/12/2020 00:39</v>
      </c>
    </row>
    <row r="6770" spans="1:10" x14ac:dyDescent="0.3">
      <c r="A6770" t="s">
        <v>6</v>
      </c>
      <c r="B6770" t="str">
        <f>"04/12/2020 00:00"</f>
        <v>04/12/2020 00:00</v>
      </c>
      <c r="C6770">
        <v>0</v>
      </c>
      <c r="D6770" t="s">
        <v>7</v>
      </c>
      <c r="E6770" s="2" t="s">
        <v>12</v>
      </c>
      <c r="F6770">
        <f t="shared" si="105"/>
        <v>0</v>
      </c>
      <c r="G6770" t="s">
        <v>16</v>
      </c>
      <c r="H6770" t="s">
        <v>10</v>
      </c>
      <c r="J6770" t="str">
        <f>"04/13/2020 00:39"</f>
        <v>04/13/2020 00:39</v>
      </c>
    </row>
    <row r="6771" spans="1:10" x14ac:dyDescent="0.3">
      <c r="A6771" t="s">
        <v>6</v>
      </c>
      <c r="B6771" t="str">
        <f>"04/13/2020 00:00"</f>
        <v>04/13/2020 00:00</v>
      </c>
      <c r="C6771">
        <v>0</v>
      </c>
      <c r="D6771" t="s">
        <v>7</v>
      </c>
      <c r="E6771" s="2" t="s">
        <v>12</v>
      </c>
      <c r="F6771">
        <f t="shared" si="105"/>
        <v>0</v>
      </c>
      <c r="G6771" t="s">
        <v>16</v>
      </c>
      <c r="H6771" t="s">
        <v>10</v>
      </c>
      <c r="J6771" t="str">
        <f>"04/14/2020 00:39"</f>
        <v>04/14/2020 00:39</v>
      </c>
    </row>
    <row r="6772" spans="1:10" x14ac:dyDescent="0.3">
      <c r="A6772" t="s">
        <v>6</v>
      </c>
      <c r="B6772" t="str">
        <f>"04/14/2020 00:00"</f>
        <v>04/14/2020 00:00</v>
      </c>
      <c r="C6772">
        <v>0</v>
      </c>
      <c r="D6772" t="s">
        <v>7</v>
      </c>
      <c r="E6772" s="2" t="s">
        <v>12</v>
      </c>
      <c r="F6772">
        <f t="shared" si="105"/>
        <v>0</v>
      </c>
      <c r="G6772" t="s">
        <v>16</v>
      </c>
      <c r="H6772" t="s">
        <v>10</v>
      </c>
      <c r="J6772" t="str">
        <f>"04/15/2020 00:39"</f>
        <v>04/15/2020 00:39</v>
      </c>
    </row>
    <row r="6773" spans="1:10" x14ac:dyDescent="0.3">
      <c r="A6773" t="s">
        <v>6</v>
      </c>
      <c r="B6773" t="str">
        <f>"04/15/2020 00:00"</f>
        <v>04/15/2020 00:00</v>
      </c>
      <c r="C6773">
        <v>0</v>
      </c>
      <c r="D6773" t="s">
        <v>7</v>
      </c>
      <c r="E6773" s="2" t="s">
        <v>12</v>
      </c>
      <c r="F6773">
        <f t="shared" si="105"/>
        <v>0</v>
      </c>
      <c r="G6773" t="s">
        <v>16</v>
      </c>
      <c r="H6773" t="s">
        <v>10</v>
      </c>
      <c r="J6773" t="str">
        <f>"04/16/2020 00:39"</f>
        <v>04/16/2020 00:39</v>
      </c>
    </row>
    <row r="6774" spans="1:10" x14ac:dyDescent="0.3">
      <c r="A6774" t="s">
        <v>6</v>
      </c>
      <c r="B6774" t="str">
        <f>"04/16/2020 00:00"</f>
        <v>04/16/2020 00:00</v>
      </c>
      <c r="C6774">
        <v>0</v>
      </c>
      <c r="D6774" t="s">
        <v>7</v>
      </c>
      <c r="E6774" s="2" t="s">
        <v>12</v>
      </c>
      <c r="F6774">
        <f t="shared" si="105"/>
        <v>0</v>
      </c>
      <c r="G6774" t="s">
        <v>16</v>
      </c>
      <c r="H6774" t="s">
        <v>10</v>
      </c>
      <c r="J6774" t="str">
        <f>"04/17/2020 00:39"</f>
        <v>04/17/2020 00:39</v>
      </c>
    </row>
    <row r="6775" spans="1:10" x14ac:dyDescent="0.3">
      <c r="A6775" t="s">
        <v>6</v>
      </c>
      <c r="B6775" t="str">
        <f>"04/17/2020 00:00"</f>
        <v>04/17/2020 00:00</v>
      </c>
      <c r="C6775">
        <v>0</v>
      </c>
      <c r="D6775" t="s">
        <v>7</v>
      </c>
      <c r="E6775" s="2" t="s">
        <v>12</v>
      </c>
      <c r="F6775">
        <f t="shared" si="105"/>
        <v>0</v>
      </c>
      <c r="G6775" t="s">
        <v>16</v>
      </c>
      <c r="H6775" t="s">
        <v>10</v>
      </c>
      <c r="J6775" t="str">
        <f>"04/18/2020 00:39"</f>
        <v>04/18/2020 00:39</v>
      </c>
    </row>
    <row r="6776" spans="1:10" x14ac:dyDescent="0.3">
      <c r="A6776" t="s">
        <v>6</v>
      </c>
      <c r="B6776" t="str">
        <f>"04/18/2020 00:00"</f>
        <v>04/18/2020 00:00</v>
      </c>
      <c r="C6776">
        <v>0</v>
      </c>
      <c r="D6776" t="s">
        <v>7</v>
      </c>
      <c r="E6776" s="2" t="s">
        <v>12</v>
      </c>
      <c r="F6776">
        <f t="shared" si="105"/>
        <v>0</v>
      </c>
      <c r="G6776" t="s">
        <v>16</v>
      </c>
      <c r="H6776" t="s">
        <v>10</v>
      </c>
      <c r="J6776" t="str">
        <f>"04/19/2020 00:39"</f>
        <v>04/19/2020 00:39</v>
      </c>
    </row>
    <row r="6777" spans="1:10" x14ac:dyDescent="0.3">
      <c r="A6777" t="s">
        <v>6</v>
      </c>
      <c r="B6777" t="str">
        <f>"04/19/2020 00:00"</f>
        <v>04/19/2020 00:00</v>
      </c>
      <c r="C6777">
        <v>0</v>
      </c>
      <c r="D6777" t="s">
        <v>7</v>
      </c>
      <c r="E6777" s="2" t="s">
        <v>12</v>
      </c>
      <c r="F6777">
        <f t="shared" si="105"/>
        <v>0</v>
      </c>
      <c r="G6777" t="s">
        <v>16</v>
      </c>
      <c r="H6777" t="s">
        <v>10</v>
      </c>
      <c r="J6777" t="str">
        <f>"04/20/2020 00:39"</f>
        <v>04/20/2020 00:39</v>
      </c>
    </row>
    <row r="6778" spans="1:10" x14ac:dyDescent="0.3">
      <c r="A6778" t="s">
        <v>6</v>
      </c>
      <c r="B6778" t="str">
        <f>"04/20/2020 00:00"</f>
        <v>04/20/2020 00:00</v>
      </c>
      <c r="C6778">
        <v>0</v>
      </c>
      <c r="D6778" t="s">
        <v>7</v>
      </c>
      <c r="E6778" s="2" t="s">
        <v>12</v>
      </c>
      <c r="F6778">
        <f t="shared" si="105"/>
        <v>0</v>
      </c>
      <c r="G6778" t="s">
        <v>16</v>
      </c>
      <c r="H6778" t="s">
        <v>10</v>
      </c>
      <c r="J6778" t="str">
        <f>"04/21/2020 00:39"</f>
        <v>04/21/2020 00:39</v>
      </c>
    </row>
    <row r="6779" spans="1:10" x14ac:dyDescent="0.3">
      <c r="A6779" t="s">
        <v>6</v>
      </c>
      <c r="B6779" t="str">
        <f>"04/21/2020 00:00"</f>
        <v>04/21/2020 00:00</v>
      </c>
      <c r="C6779">
        <v>0</v>
      </c>
      <c r="D6779" t="s">
        <v>7</v>
      </c>
      <c r="E6779" s="2" t="s">
        <v>12</v>
      </c>
      <c r="F6779">
        <f t="shared" si="105"/>
        <v>0</v>
      </c>
      <c r="G6779" t="s">
        <v>16</v>
      </c>
      <c r="H6779" t="s">
        <v>10</v>
      </c>
      <c r="J6779" t="str">
        <f>"04/22/2020 00:39"</f>
        <v>04/22/2020 00:39</v>
      </c>
    </row>
    <row r="6780" spans="1:10" x14ac:dyDescent="0.3">
      <c r="A6780" t="s">
        <v>6</v>
      </c>
      <c r="B6780" t="str">
        <f>"04/22/2020 00:00"</f>
        <v>04/22/2020 00:00</v>
      </c>
      <c r="C6780">
        <v>0</v>
      </c>
      <c r="D6780" t="s">
        <v>7</v>
      </c>
      <c r="E6780" s="2" t="s">
        <v>12</v>
      </c>
      <c r="F6780">
        <f t="shared" si="105"/>
        <v>0</v>
      </c>
      <c r="G6780" t="s">
        <v>16</v>
      </c>
      <c r="H6780" t="s">
        <v>10</v>
      </c>
      <c r="J6780" t="str">
        <f>"04/23/2020 00:39"</f>
        <v>04/23/2020 00:39</v>
      </c>
    </row>
    <row r="6781" spans="1:10" x14ac:dyDescent="0.3">
      <c r="A6781" t="s">
        <v>6</v>
      </c>
      <c r="B6781" t="str">
        <f>"04/23/2020 00:00"</f>
        <v>04/23/2020 00:00</v>
      </c>
      <c r="C6781">
        <v>0</v>
      </c>
      <c r="D6781" t="s">
        <v>7</v>
      </c>
      <c r="E6781" s="2" t="s">
        <v>12</v>
      </c>
      <c r="F6781">
        <f t="shared" si="105"/>
        <v>0</v>
      </c>
      <c r="G6781" t="s">
        <v>16</v>
      </c>
      <c r="H6781" t="s">
        <v>10</v>
      </c>
      <c r="J6781" t="str">
        <f>"04/24/2020 00:39"</f>
        <v>04/24/2020 00:39</v>
      </c>
    </row>
    <row r="6782" spans="1:10" x14ac:dyDescent="0.3">
      <c r="A6782" t="s">
        <v>6</v>
      </c>
      <c r="B6782" t="str">
        <f>"04/24/2020 00:00"</f>
        <v>04/24/2020 00:00</v>
      </c>
      <c r="C6782">
        <v>0</v>
      </c>
      <c r="D6782" t="s">
        <v>7</v>
      </c>
      <c r="E6782" s="2" t="s">
        <v>12</v>
      </c>
      <c r="F6782">
        <f t="shared" si="105"/>
        <v>0</v>
      </c>
      <c r="G6782" t="s">
        <v>16</v>
      </c>
      <c r="H6782" t="s">
        <v>10</v>
      </c>
      <c r="J6782" t="str">
        <f>"04/25/2020 00:39"</f>
        <v>04/25/2020 00:39</v>
      </c>
    </row>
    <row r="6783" spans="1:10" x14ac:dyDescent="0.3">
      <c r="A6783" t="s">
        <v>6</v>
      </c>
      <c r="B6783" t="str">
        <f>"04/25/2020 00:00"</f>
        <v>04/25/2020 00:00</v>
      </c>
      <c r="C6783">
        <v>0</v>
      </c>
      <c r="D6783" t="s">
        <v>7</v>
      </c>
      <c r="E6783" s="2" t="s">
        <v>12</v>
      </c>
      <c r="F6783">
        <f t="shared" si="105"/>
        <v>0</v>
      </c>
      <c r="G6783" t="s">
        <v>16</v>
      </c>
      <c r="H6783" t="s">
        <v>10</v>
      </c>
      <c r="J6783" t="str">
        <f>"04/26/2020 00:39"</f>
        <v>04/26/2020 00:39</v>
      </c>
    </row>
    <row r="6784" spans="1:10" x14ac:dyDescent="0.3">
      <c r="A6784" t="s">
        <v>6</v>
      </c>
      <c r="B6784" t="str">
        <f>"04/26/2020 00:00"</f>
        <v>04/26/2020 00:00</v>
      </c>
      <c r="C6784">
        <v>0</v>
      </c>
      <c r="D6784" t="s">
        <v>7</v>
      </c>
      <c r="E6784" s="2" t="s">
        <v>12</v>
      </c>
      <c r="F6784">
        <f t="shared" si="105"/>
        <v>0</v>
      </c>
      <c r="G6784" t="s">
        <v>16</v>
      </c>
      <c r="H6784" t="s">
        <v>10</v>
      </c>
      <c r="J6784" t="str">
        <f>"04/27/2020 00:39"</f>
        <v>04/27/2020 00:39</v>
      </c>
    </row>
    <row r="6785" spans="1:10" x14ac:dyDescent="0.3">
      <c r="A6785" t="s">
        <v>6</v>
      </c>
      <c r="B6785" t="str">
        <f>"04/27/2020 00:00"</f>
        <v>04/27/2020 00:00</v>
      </c>
      <c r="C6785">
        <v>0</v>
      </c>
      <c r="D6785" t="s">
        <v>7</v>
      </c>
      <c r="E6785" s="2" t="s">
        <v>12</v>
      </c>
      <c r="F6785">
        <f t="shared" si="105"/>
        <v>0</v>
      </c>
      <c r="G6785" t="s">
        <v>16</v>
      </c>
      <c r="H6785" t="s">
        <v>10</v>
      </c>
      <c r="J6785" t="str">
        <f>"04/28/2020 00:39"</f>
        <v>04/28/2020 00:39</v>
      </c>
    </row>
    <row r="6786" spans="1:10" x14ac:dyDescent="0.3">
      <c r="A6786" t="s">
        <v>6</v>
      </c>
      <c r="B6786" t="str">
        <f>"04/28/2020 00:00"</f>
        <v>04/28/2020 00:00</v>
      </c>
      <c r="C6786">
        <v>0</v>
      </c>
      <c r="D6786" t="s">
        <v>7</v>
      </c>
      <c r="E6786" s="2" t="s">
        <v>12</v>
      </c>
      <c r="F6786">
        <f t="shared" si="105"/>
        <v>0</v>
      </c>
      <c r="G6786" t="s">
        <v>16</v>
      </c>
      <c r="H6786" t="s">
        <v>10</v>
      </c>
      <c r="J6786" t="str">
        <f>"04/29/2020 00:39"</f>
        <v>04/29/2020 00:39</v>
      </c>
    </row>
    <row r="6787" spans="1:10" x14ac:dyDescent="0.3">
      <c r="A6787" t="s">
        <v>6</v>
      </c>
      <c r="B6787" t="str">
        <f>"04/29/2020 00:00"</f>
        <v>04/29/2020 00:00</v>
      </c>
      <c r="C6787">
        <v>0</v>
      </c>
      <c r="D6787" t="s">
        <v>7</v>
      </c>
      <c r="E6787" s="2" t="s">
        <v>12</v>
      </c>
      <c r="F6787">
        <f t="shared" si="105"/>
        <v>0</v>
      </c>
      <c r="G6787" t="s">
        <v>16</v>
      </c>
      <c r="H6787" t="s">
        <v>10</v>
      </c>
      <c r="J6787" t="str">
        <f>"04/30/2020 00:39"</f>
        <v>04/30/2020 00:39</v>
      </c>
    </row>
    <row r="6788" spans="1:10" x14ac:dyDescent="0.3">
      <c r="A6788" t="s">
        <v>6</v>
      </c>
      <c r="B6788" t="str">
        <f>"04/30/2020 00:00"</f>
        <v>04/30/2020 00:00</v>
      </c>
      <c r="C6788">
        <v>0</v>
      </c>
      <c r="D6788" t="s">
        <v>7</v>
      </c>
      <c r="E6788" s="2" t="s">
        <v>12</v>
      </c>
      <c r="F6788">
        <f t="shared" ref="F6788:F6851" si="106">C6788*1.983</f>
        <v>0</v>
      </c>
      <c r="G6788" t="s">
        <v>16</v>
      </c>
      <c r="H6788" t="s">
        <v>10</v>
      </c>
      <c r="J6788" t="str">
        <f>"05/01/2020 00:39"</f>
        <v>05/01/2020 00:39</v>
      </c>
    </row>
    <row r="6789" spans="1:10" x14ac:dyDescent="0.3">
      <c r="A6789" t="s">
        <v>6</v>
      </c>
      <c r="B6789" t="str">
        <f>"05/01/2020 00:00"</f>
        <v>05/01/2020 00:00</v>
      </c>
      <c r="C6789">
        <v>0</v>
      </c>
      <c r="D6789" t="s">
        <v>7</v>
      </c>
      <c r="E6789" s="2" t="s">
        <v>12</v>
      </c>
      <c r="F6789">
        <f t="shared" si="106"/>
        <v>0</v>
      </c>
      <c r="G6789" t="s">
        <v>16</v>
      </c>
      <c r="H6789" t="s">
        <v>10</v>
      </c>
      <c r="J6789" t="str">
        <f>"05/02/2020 00:39"</f>
        <v>05/02/2020 00:39</v>
      </c>
    </row>
    <row r="6790" spans="1:10" x14ac:dyDescent="0.3">
      <c r="A6790" t="s">
        <v>6</v>
      </c>
      <c r="B6790" t="str">
        <f>"05/02/2020 00:00"</f>
        <v>05/02/2020 00:00</v>
      </c>
      <c r="C6790">
        <v>0</v>
      </c>
      <c r="D6790" t="s">
        <v>7</v>
      </c>
      <c r="E6790" s="2" t="s">
        <v>12</v>
      </c>
      <c r="F6790">
        <f t="shared" si="106"/>
        <v>0</v>
      </c>
      <c r="G6790" t="s">
        <v>16</v>
      </c>
      <c r="H6790" t="s">
        <v>10</v>
      </c>
      <c r="J6790" t="str">
        <f>"05/03/2020 00:39"</f>
        <v>05/03/2020 00:39</v>
      </c>
    </row>
    <row r="6791" spans="1:10" x14ac:dyDescent="0.3">
      <c r="A6791" t="s">
        <v>6</v>
      </c>
      <c r="B6791" t="str">
        <f>"05/03/2020 00:00"</f>
        <v>05/03/2020 00:00</v>
      </c>
      <c r="C6791">
        <v>0</v>
      </c>
      <c r="D6791" t="s">
        <v>7</v>
      </c>
      <c r="E6791" s="2" t="s">
        <v>12</v>
      </c>
      <c r="F6791">
        <f t="shared" si="106"/>
        <v>0</v>
      </c>
      <c r="G6791" t="s">
        <v>16</v>
      </c>
      <c r="H6791" t="s">
        <v>10</v>
      </c>
      <c r="J6791" t="str">
        <f>"05/04/2020 00:39"</f>
        <v>05/04/2020 00:39</v>
      </c>
    </row>
    <row r="6792" spans="1:10" x14ac:dyDescent="0.3">
      <c r="A6792" t="s">
        <v>6</v>
      </c>
      <c r="B6792" t="str">
        <f>"05/04/2020 00:00"</f>
        <v>05/04/2020 00:00</v>
      </c>
      <c r="C6792">
        <v>0</v>
      </c>
      <c r="D6792" t="s">
        <v>7</v>
      </c>
      <c r="E6792" s="2" t="s">
        <v>12</v>
      </c>
      <c r="F6792">
        <f t="shared" si="106"/>
        <v>0</v>
      </c>
      <c r="G6792" t="s">
        <v>16</v>
      </c>
      <c r="H6792" t="s">
        <v>10</v>
      </c>
      <c r="J6792" t="str">
        <f>"05/05/2020 00:39"</f>
        <v>05/05/2020 00:39</v>
      </c>
    </row>
    <row r="6793" spans="1:10" x14ac:dyDescent="0.3">
      <c r="A6793" t="s">
        <v>6</v>
      </c>
      <c r="B6793" t="str">
        <f>"05/05/2020 00:00"</f>
        <v>05/05/2020 00:00</v>
      </c>
      <c r="C6793">
        <v>0</v>
      </c>
      <c r="D6793" t="s">
        <v>7</v>
      </c>
      <c r="E6793" s="2" t="s">
        <v>12</v>
      </c>
      <c r="F6793">
        <f t="shared" si="106"/>
        <v>0</v>
      </c>
      <c r="G6793" t="s">
        <v>16</v>
      </c>
      <c r="H6793" t="s">
        <v>10</v>
      </c>
      <c r="J6793" t="str">
        <f>"05/06/2020 00:39"</f>
        <v>05/06/2020 00:39</v>
      </c>
    </row>
    <row r="6794" spans="1:10" x14ac:dyDescent="0.3">
      <c r="A6794" t="s">
        <v>6</v>
      </c>
      <c r="B6794" t="str">
        <f>"05/06/2020 00:00"</f>
        <v>05/06/2020 00:00</v>
      </c>
      <c r="C6794">
        <v>0</v>
      </c>
      <c r="D6794" t="s">
        <v>7</v>
      </c>
      <c r="E6794" s="2" t="s">
        <v>12</v>
      </c>
      <c r="F6794">
        <f t="shared" si="106"/>
        <v>0</v>
      </c>
      <c r="G6794" t="s">
        <v>16</v>
      </c>
      <c r="H6794" t="s">
        <v>10</v>
      </c>
      <c r="J6794" t="str">
        <f>"05/07/2020 00:39"</f>
        <v>05/07/2020 00:39</v>
      </c>
    </row>
    <row r="6795" spans="1:10" x14ac:dyDescent="0.3">
      <c r="A6795" t="s">
        <v>6</v>
      </c>
      <c r="B6795" t="str">
        <f>"05/07/2020 00:00"</f>
        <v>05/07/2020 00:00</v>
      </c>
      <c r="C6795">
        <v>0</v>
      </c>
      <c r="D6795" t="s">
        <v>7</v>
      </c>
      <c r="E6795" s="2" t="s">
        <v>12</v>
      </c>
      <c r="F6795">
        <f t="shared" si="106"/>
        <v>0</v>
      </c>
      <c r="G6795" t="s">
        <v>16</v>
      </c>
      <c r="H6795" t="s">
        <v>10</v>
      </c>
      <c r="J6795" t="str">
        <f>"05/08/2020 00:39"</f>
        <v>05/08/2020 00:39</v>
      </c>
    </row>
    <row r="6796" spans="1:10" x14ac:dyDescent="0.3">
      <c r="A6796" t="s">
        <v>6</v>
      </c>
      <c r="B6796" t="str">
        <f>"05/08/2020 00:00"</f>
        <v>05/08/2020 00:00</v>
      </c>
      <c r="C6796">
        <v>0</v>
      </c>
      <c r="D6796" t="s">
        <v>7</v>
      </c>
      <c r="E6796" s="2" t="s">
        <v>12</v>
      </c>
      <c r="F6796">
        <f t="shared" si="106"/>
        <v>0</v>
      </c>
      <c r="G6796" t="s">
        <v>16</v>
      </c>
      <c r="H6796" t="s">
        <v>10</v>
      </c>
      <c r="J6796" t="str">
        <f>"05/09/2020 00:39"</f>
        <v>05/09/2020 00:39</v>
      </c>
    </row>
    <row r="6797" spans="1:10" x14ac:dyDescent="0.3">
      <c r="A6797" t="s">
        <v>6</v>
      </c>
      <c r="B6797" t="str">
        <f>"05/09/2020 00:00"</f>
        <v>05/09/2020 00:00</v>
      </c>
      <c r="C6797">
        <v>0</v>
      </c>
      <c r="D6797" t="s">
        <v>7</v>
      </c>
      <c r="E6797" s="2" t="s">
        <v>12</v>
      </c>
      <c r="F6797">
        <f t="shared" si="106"/>
        <v>0</v>
      </c>
      <c r="G6797" t="s">
        <v>16</v>
      </c>
      <c r="H6797" t="s">
        <v>10</v>
      </c>
      <c r="J6797" t="str">
        <f>"05/10/2020 00:39"</f>
        <v>05/10/2020 00:39</v>
      </c>
    </row>
    <row r="6798" spans="1:10" x14ac:dyDescent="0.3">
      <c r="A6798" t="s">
        <v>6</v>
      </c>
      <c r="B6798" t="str">
        <f>"05/10/2020 00:00"</f>
        <v>05/10/2020 00:00</v>
      </c>
      <c r="C6798">
        <v>0</v>
      </c>
      <c r="D6798" t="s">
        <v>7</v>
      </c>
      <c r="E6798" s="2" t="s">
        <v>12</v>
      </c>
      <c r="F6798">
        <f t="shared" si="106"/>
        <v>0</v>
      </c>
      <c r="G6798" t="s">
        <v>16</v>
      </c>
      <c r="H6798" t="s">
        <v>10</v>
      </c>
      <c r="J6798" t="str">
        <f>"05/11/2020 00:39"</f>
        <v>05/11/2020 00:39</v>
      </c>
    </row>
    <row r="6799" spans="1:10" x14ac:dyDescent="0.3">
      <c r="A6799" t="s">
        <v>6</v>
      </c>
      <c r="B6799" t="str">
        <f>"05/11/2020 00:00"</f>
        <v>05/11/2020 00:00</v>
      </c>
      <c r="C6799">
        <v>0</v>
      </c>
      <c r="D6799" t="s">
        <v>7</v>
      </c>
      <c r="E6799" s="2" t="s">
        <v>12</v>
      </c>
      <c r="F6799">
        <f t="shared" si="106"/>
        <v>0</v>
      </c>
      <c r="G6799" t="s">
        <v>16</v>
      </c>
      <c r="H6799" t="s">
        <v>10</v>
      </c>
      <c r="J6799" t="str">
        <f>"05/12/2020 00:39"</f>
        <v>05/12/2020 00:39</v>
      </c>
    </row>
    <row r="6800" spans="1:10" x14ac:dyDescent="0.3">
      <c r="A6800" t="s">
        <v>6</v>
      </c>
      <c r="B6800" t="str">
        <f>"05/12/2020 00:00"</f>
        <v>05/12/2020 00:00</v>
      </c>
      <c r="C6800">
        <v>0</v>
      </c>
      <c r="D6800" t="s">
        <v>7</v>
      </c>
      <c r="E6800" s="2" t="s">
        <v>12</v>
      </c>
      <c r="F6800">
        <f t="shared" si="106"/>
        <v>0</v>
      </c>
      <c r="G6800" t="s">
        <v>16</v>
      </c>
      <c r="H6800" t="s">
        <v>10</v>
      </c>
      <c r="J6800" t="str">
        <f>"05/13/2020 00:39"</f>
        <v>05/13/2020 00:39</v>
      </c>
    </row>
    <row r="6801" spans="1:10" x14ac:dyDescent="0.3">
      <c r="A6801" t="s">
        <v>6</v>
      </c>
      <c r="B6801" t="str">
        <f>"05/13/2020 00:00"</f>
        <v>05/13/2020 00:00</v>
      </c>
      <c r="C6801">
        <v>0</v>
      </c>
      <c r="D6801" t="s">
        <v>7</v>
      </c>
      <c r="E6801" s="2" t="s">
        <v>12</v>
      </c>
      <c r="F6801">
        <f t="shared" si="106"/>
        <v>0</v>
      </c>
      <c r="G6801" t="s">
        <v>16</v>
      </c>
      <c r="H6801" t="s">
        <v>10</v>
      </c>
      <c r="J6801" t="str">
        <f>"05/14/2020 00:39"</f>
        <v>05/14/2020 00:39</v>
      </c>
    </row>
    <row r="6802" spans="1:10" x14ac:dyDescent="0.3">
      <c r="A6802" t="s">
        <v>6</v>
      </c>
      <c r="B6802" t="str">
        <f>"05/14/2020 00:00"</f>
        <v>05/14/2020 00:00</v>
      </c>
      <c r="C6802">
        <v>7.9200000000000007E-2</v>
      </c>
      <c r="D6802" t="s">
        <v>7</v>
      </c>
      <c r="E6802" s="2" t="s">
        <v>12</v>
      </c>
      <c r="F6802">
        <f t="shared" si="106"/>
        <v>0.15705360000000002</v>
      </c>
      <c r="G6802" t="s">
        <v>16</v>
      </c>
      <c r="H6802" t="s">
        <v>10</v>
      </c>
      <c r="J6802" t="str">
        <f>"05/15/2020 00:39"</f>
        <v>05/15/2020 00:39</v>
      </c>
    </row>
    <row r="6803" spans="1:10" x14ac:dyDescent="0.3">
      <c r="A6803" t="s">
        <v>6</v>
      </c>
      <c r="B6803" t="str">
        <f>"05/15/2020 00:00"</f>
        <v>05/15/2020 00:00</v>
      </c>
      <c r="C6803">
        <v>0.1</v>
      </c>
      <c r="D6803" t="s">
        <v>7</v>
      </c>
      <c r="E6803" s="2" t="s">
        <v>12</v>
      </c>
      <c r="F6803">
        <f t="shared" si="106"/>
        <v>0.19830000000000003</v>
      </c>
      <c r="G6803" t="s">
        <v>16</v>
      </c>
      <c r="H6803" t="s">
        <v>10</v>
      </c>
      <c r="J6803" t="str">
        <f>"05/16/2020 00:39"</f>
        <v>05/16/2020 00:39</v>
      </c>
    </row>
    <row r="6804" spans="1:10" x14ac:dyDescent="0.3">
      <c r="A6804" t="s">
        <v>6</v>
      </c>
      <c r="B6804" t="str">
        <f>"05/16/2020 00:00"</f>
        <v>05/16/2020 00:00</v>
      </c>
      <c r="C6804">
        <v>0.1</v>
      </c>
      <c r="D6804" t="s">
        <v>7</v>
      </c>
      <c r="E6804" s="2" t="s">
        <v>12</v>
      </c>
      <c r="F6804">
        <f t="shared" si="106"/>
        <v>0.19830000000000003</v>
      </c>
      <c r="G6804" t="s">
        <v>16</v>
      </c>
      <c r="H6804" t="s">
        <v>10</v>
      </c>
      <c r="J6804" t="str">
        <f>"05/17/2020 00:39"</f>
        <v>05/17/2020 00:39</v>
      </c>
    </row>
    <row r="6805" spans="1:10" x14ac:dyDescent="0.3">
      <c r="A6805" t="s">
        <v>6</v>
      </c>
      <c r="B6805" t="str">
        <f>"05/17/2020 00:00"</f>
        <v>05/17/2020 00:00</v>
      </c>
      <c r="C6805">
        <v>7.5499999999999998E-2</v>
      </c>
      <c r="D6805" t="s">
        <v>7</v>
      </c>
      <c r="E6805" s="2" t="s">
        <v>12</v>
      </c>
      <c r="F6805">
        <f t="shared" si="106"/>
        <v>0.1497165</v>
      </c>
      <c r="G6805" t="s">
        <v>16</v>
      </c>
      <c r="H6805" t="s">
        <v>10</v>
      </c>
      <c r="J6805" t="str">
        <f>"05/18/2020 00:39"</f>
        <v>05/18/2020 00:39</v>
      </c>
    </row>
    <row r="6806" spans="1:10" x14ac:dyDescent="0.3">
      <c r="A6806" t="s">
        <v>6</v>
      </c>
      <c r="B6806" t="str">
        <f>"05/18/2020 00:00"</f>
        <v>05/18/2020 00:00</v>
      </c>
      <c r="C6806">
        <v>0.05</v>
      </c>
      <c r="D6806" t="s">
        <v>7</v>
      </c>
      <c r="E6806" s="2" t="s">
        <v>12</v>
      </c>
      <c r="F6806">
        <f t="shared" si="106"/>
        <v>9.9150000000000016E-2</v>
      </c>
      <c r="G6806" t="s">
        <v>16</v>
      </c>
      <c r="H6806" t="s">
        <v>10</v>
      </c>
      <c r="J6806" t="str">
        <f>"05/19/2020 00:39"</f>
        <v>05/19/2020 00:39</v>
      </c>
    </row>
    <row r="6807" spans="1:10" x14ac:dyDescent="0.3">
      <c r="A6807" t="s">
        <v>6</v>
      </c>
      <c r="B6807" t="str">
        <f>"05/19/2020 00:00"</f>
        <v>05/19/2020 00:00</v>
      </c>
      <c r="C6807">
        <v>0.05</v>
      </c>
      <c r="D6807" t="s">
        <v>7</v>
      </c>
      <c r="E6807" s="2" t="s">
        <v>12</v>
      </c>
      <c r="F6807">
        <f t="shared" si="106"/>
        <v>9.9150000000000016E-2</v>
      </c>
      <c r="G6807" t="s">
        <v>16</v>
      </c>
      <c r="H6807" t="s">
        <v>10</v>
      </c>
      <c r="J6807" t="str">
        <f>"05/20/2020 00:39"</f>
        <v>05/20/2020 00:39</v>
      </c>
    </row>
    <row r="6808" spans="1:10" x14ac:dyDescent="0.3">
      <c r="A6808" t="s">
        <v>6</v>
      </c>
      <c r="B6808" t="str">
        <f>"05/20/2020 00:00"</f>
        <v>05/20/2020 00:00</v>
      </c>
      <c r="C6808">
        <v>0.05</v>
      </c>
      <c r="D6808" t="s">
        <v>7</v>
      </c>
      <c r="E6808" s="2" t="s">
        <v>12</v>
      </c>
      <c r="F6808">
        <f t="shared" si="106"/>
        <v>9.9150000000000016E-2</v>
      </c>
      <c r="G6808" t="s">
        <v>16</v>
      </c>
      <c r="H6808" t="s">
        <v>10</v>
      </c>
      <c r="J6808" t="str">
        <f>"05/21/2020 00:39"</f>
        <v>05/21/2020 00:39</v>
      </c>
    </row>
    <row r="6809" spans="1:10" x14ac:dyDescent="0.3">
      <c r="A6809" t="s">
        <v>6</v>
      </c>
      <c r="B6809" t="str">
        <f>"05/21/2020 00:00"</f>
        <v>05/21/2020 00:00</v>
      </c>
      <c r="C6809">
        <v>0.05</v>
      </c>
      <c r="D6809" t="s">
        <v>7</v>
      </c>
      <c r="E6809" s="2" t="s">
        <v>12</v>
      </c>
      <c r="F6809">
        <f t="shared" si="106"/>
        <v>9.9150000000000016E-2</v>
      </c>
      <c r="G6809" t="s">
        <v>16</v>
      </c>
      <c r="H6809" t="s">
        <v>10</v>
      </c>
      <c r="J6809" t="str">
        <f>"05/22/2020 00:39"</f>
        <v>05/22/2020 00:39</v>
      </c>
    </row>
    <row r="6810" spans="1:10" x14ac:dyDescent="0.3">
      <c r="A6810" t="s">
        <v>6</v>
      </c>
      <c r="B6810" t="str">
        <f>"05/22/2020 00:00"</f>
        <v>05/22/2020 00:00</v>
      </c>
      <c r="C6810">
        <v>0.05</v>
      </c>
      <c r="D6810" t="s">
        <v>7</v>
      </c>
      <c r="E6810" s="2" t="s">
        <v>12</v>
      </c>
      <c r="F6810">
        <f t="shared" si="106"/>
        <v>9.9150000000000016E-2</v>
      </c>
      <c r="G6810" t="s">
        <v>16</v>
      </c>
      <c r="H6810" t="s">
        <v>10</v>
      </c>
      <c r="J6810" t="str">
        <f>"05/23/2020 00:39"</f>
        <v>05/23/2020 00:39</v>
      </c>
    </row>
    <row r="6811" spans="1:10" x14ac:dyDescent="0.3">
      <c r="A6811" t="s">
        <v>6</v>
      </c>
      <c r="B6811" t="str">
        <f>"05/23/2020 00:00"</f>
        <v>05/23/2020 00:00</v>
      </c>
      <c r="C6811">
        <v>0.05</v>
      </c>
      <c r="D6811" t="s">
        <v>7</v>
      </c>
      <c r="E6811" s="2" t="s">
        <v>12</v>
      </c>
      <c r="F6811">
        <f t="shared" si="106"/>
        <v>9.9150000000000016E-2</v>
      </c>
      <c r="G6811" t="s">
        <v>16</v>
      </c>
      <c r="H6811" t="s">
        <v>10</v>
      </c>
      <c r="J6811" t="str">
        <f>"05/24/2020 00:39"</f>
        <v>05/24/2020 00:39</v>
      </c>
    </row>
    <row r="6812" spans="1:10" x14ac:dyDescent="0.3">
      <c r="A6812" t="s">
        <v>6</v>
      </c>
      <c r="B6812" t="str">
        <f>"05/24/2020 00:00"</f>
        <v>05/24/2020 00:00</v>
      </c>
      <c r="C6812">
        <v>0.05</v>
      </c>
      <c r="D6812" t="s">
        <v>7</v>
      </c>
      <c r="E6812" s="2" t="s">
        <v>12</v>
      </c>
      <c r="F6812">
        <f t="shared" si="106"/>
        <v>9.9150000000000016E-2</v>
      </c>
      <c r="G6812" t="s">
        <v>16</v>
      </c>
      <c r="H6812" t="s">
        <v>10</v>
      </c>
      <c r="J6812" t="str">
        <f>"05/25/2020 00:39"</f>
        <v>05/25/2020 00:39</v>
      </c>
    </row>
    <row r="6813" spans="1:10" x14ac:dyDescent="0.3">
      <c r="A6813" t="s">
        <v>6</v>
      </c>
      <c r="B6813" t="str">
        <f>"05/25/2020 00:00"</f>
        <v>05/25/2020 00:00</v>
      </c>
      <c r="C6813">
        <v>0.05</v>
      </c>
      <c r="D6813" t="s">
        <v>7</v>
      </c>
      <c r="E6813" s="2" t="s">
        <v>12</v>
      </c>
      <c r="F6813">
        <f t="shared" si="106"/>
        <v>9.9150000000000016E-2</v>
      </c>
      <c r="G6813" t="s">
        <v>16</v>
      </c>
      <c r="H6813" t="s">
        <v>10</v>
      </c>
      <c r="J6813" t="str">
        <f>"05/26/2020 00:39"</f>
        <v>05/26/2020 00:39</v>
      </c>
    </row>
    <row r="6814" spans="1:10" x14ac:dyDescent="0.3">
      <c r="A6814" t="s">
        <v>6</v>
      </c>
      <c r="B6814" t="str">
        <f>"05/26/2020 00:00"</f>
        <v>05/26/2020 00:00</v>
      </c>
      <c r="C6814">
        <v>49.5</v>
      </c>
      <c r="D6814" t="s">
        <v>7</v>
      </c>
      <c r="E6814" s="2" t="s">
        <v>12</v>
      </c>
      <c r="F6814">
        <f t="shared" si="106"/>
        <v>98.158500000000004</v>
      </c>
      <c r="G6814" t="s">
        <v>16</v>
      </c>
      <c r="H6814" t="s">
        <v>10</v>
      </c>
      <c r="J6814" t="str">
        <f>"05/27/2020 00:39"</f>
        <v>05/27/2020 00:39</v>
      </c>
    </row>
    <row r="6815" spans="1:10" x14ac:dyDescent="0.3">
      <c r="A6815" t="s">
        <v>6</v>
      </c>
      <c r="B6815" t="str">
        <f>"05/27/2020 00:00"</f>
        <v>05/27/2020 00:00</v>
      </c>
      <c r="C6815">
        <v>163</v>
      </c>
      <c r="D6815" t="s">
        <v>7</v>
      </c>
      <c r="E6815" s="2" t="s">
        <v>12</v>
      </c>
      <c r="F6815">
        <f t="shared" si="106"/>
        <v>323.22900000000004</v>
      </c>
      <c r="G6815" t="s">
        <v>16</v>
      </c>
      <c r="H6815" t="s">
        <v>10</v>
      </c>
      <c r="J6815" t="str">
        <f>"05/28/2020 00:39"</f>
        <v>05/28/2020 00:39</v>
      </c>
    </row>
    <row r="6816" spans="1:10" x14ac:dyDescent="0.3">
      <c r="A6816" t="s">
        <v>6</v>
      </c>
      <c r="B6816" t="str">
        <f>"05/28/2020 00:00"</f>
        <v>05/28/2020 00:00</v>
      </c>
      <c r="C6816">
        <v>267</v>
      </c>
      <c r="D6816" t="s">
        <v>7</v>
      </c>
      <c r="E6816" s="2" t="s">
        <v>12</v>
      </c>
      <c r="F6816">
        <f t="shared" si="106"/>
        <v>529.46100000000001</v>
      </c>
      <c r="G6816" t="s">
        <v>16</v>
      </c>
      <c r="H6816" t="s">
        <v>10</v>
      </c>
      <c r="J6816" t="str">
        <f>"05/29/2020 00:39"</f>
        <v>05/29/2020 00:39</v>
      </c>
    </row>
    <row r="6817" spans="1:10" x14ac:dyDescent="0.3">
      <c r="A6817" t="s">
        <v>6</v>
      </c>
      <c r="B6817" t="str">
        <f>"05/29/2020 00:00"</f>
        <v>05/29/2020 00:00</v>
      </c>
      <c r="C6817">
        <v>171</v>
      </c>
      <c r="D6817" t="s">
        <v>7</v>
      </c>
      <c r="E6817" s="2" t="s">
        <v>12</v>
      </c>
      <c r="F6817">
        <f t="shared" si="106"/>
        <v>339.09300000000002</v>
      </c>
      <c r="G6817" t="s">
        <v>16</v>
      </c>
      <c r="H6817" t="s">
        <v>10</v>
      </c>
      <c r="J6817" t="str">
        <f>"05/30/2020 00:39"</f>
        <v>05/30/2020 00:39</v>
      </c>
    </row>
    <row r="6818" spans="1:10" x14ac:dyDescent="0.3">
      <c r="A6818" t="s">
        <v>6</v>
      </c>
      <c r="B6818" t="str">
        <f>"05/30/2020 00:00"</f>
        <v>05/30/2020 00:00</v>
      </c>
      <c r="C6818">
        <v>199</v>
      </c>
      <c r="D6818" t="s">
        <v>7</v>
      </c>
      <c r="E6818" s="2" t="s">
        <v>12</v>
      </c>
      <c r="F6818">
        <f t="shared" si="106"/>
        <v>394.61700000000002</v>
      </c>
      <c r="G6818" t="s">
        <v>16</v>
      </c>
      <c r="H6818" t="s">
        <v>10</v>
      </c>
      <c r="J6818" t="str">
        <f>"05/31/2020 00:39"</f>
        <v>05/31/2020 00:39</v>
      </c>
    </row>
    <row r="6819" spans="1:10" x14ac:dyDescent="0.3">
      <c r="A6819" t="s">
        <v>6</v>
      </c>
      <c r="B6819" t="str">
        <f>"05/31/2020 00:00"</f>
        <v>05/31/2020 00:00</v>
      </c>
      <c r="C6819">
        <v>224</v>
      </c>
      <c r="D6819" t="s">
        <v>7</v>
      </c>
      <c r="E6819" s="2" t="s">
        <v>12</v>
      </c>
      <c r="F6819">
        <f t="shared" si="106"/>
        <v>444.19200000000001</v>
      </c>
      <c r="G6819" t="s">
        <v>16</v>
      </c>
      <c r="H6819" t="s">
        <v>10</v>
      </c>
      <c r="J6819" t="str">
        <f>"06/01/2020 00:39"</f>
        <v>06/01/2020 00:39</v>
      </c>
    </row>
    <row r="6820" spans="1:10" x14ac:dyDescent="0.3">
      <c r="A6820" t="s">
        <v>6</v>
      </c>
      <c r="B6820" t="str">
        <f>"06/01/2020 00:00"</f>
        <v>06/01/2020 00:00</v>
      </c>
      <c r="C6820">
        <v>264</v>
      </c>
      <c r="D6820" t="s">
        <v>7</v>
      </c>
      <c r="E6820" s="2" t="s">
        <v>12</v>
      </c>
      <c r="F6820">
        <f t="shared" si="106"/>
        <v>523.51200000000006</v>
      </c>
      <c r="G6820" t="s">
        <v>16</v>
      </c>
      <c r="H6820" t="s">
        <v>10</v>
      </c>
      <c r="J6820" t="str">
        <f>"06/02/2020 00:39"</f>
        <v>06/02/2020 00:39</v>
      </c>
    </row>
    <row r="6821" spans="1:10" x14ac:dyDescent="0.3">
      <c r="A6821" t="s">
        <v>6</v>
      </c>
      <c r="B6821" t="str">
        <f>"06/02/2020 00:00"</f>
        <v>06/02/2020 00:00</v>
      </c>
      <c r="C6821">
        <v>220</v>
      </c>
      <c r="D6821" t="s">
        <v>7</v>
      </c>
      <c r="E6821" s="2" t="s">
        <v>12</v>
      </c>
      <c r="F6821">
        <f t="shared" si="106"/>
        <v>436.26000000000005</v>
      </c>
      <c r="G6821" t="s">
        <v>16</v>
      </c>
      <c r="H6821" t="s">
        <v>10</v>
      </c>
      <c r="J6821" t="str">
        <f>"06/03/2020 00:39"</f>
        <v>06/03/2020 00:39</v>
      </c>
    </row>
    <row r="6822" spans="1:10" x14ac:dyDescent="0.3">
      <c r="A6822" t="s">
        <v>6</v>
      </c>
      <c r="B6822" t="str">
        <f>"06/03/2020 00:00"</f>
        <v>06/03/2020 00:00</v>
      </c>
      <c r="C6822">
        <v>297</v>
      </c>
      <c r="D6822" t="s">
        <v>7</v>
      </c>
      <c r="E6822" s="2" t="s">
        <v>12</v>
      </c>
      <c r="F6822">
        <f t="shared" si="106"/>
        <v>588.95100000000002</v>
      </c>
      <c r="G6822" t="s">
        <v>16</v>
      </c>
      <c r="H6822" t="s">
        <v>10</v>
      </c>
      <c r="J6822" t="str">
        <f>"06/04/2020 00:39"</f>
        <v>06/04/2020 00:39</v>
      </c>
    </row>
    <row r="6823" spans="1:10" x14ac:dyDescent="0.3">
      <c r="A6823" t="s">
        <v>6</v>
      </c>
      <c r="B6823" t="str">
        <f>"06/04/2020 00:00"</f>
        <v>06/04/2020 00:00</v>
      </c>
      <c r="C6823">
        <v>297</v>
      </c>
      <c r="D6823" t="s">
        <v>7</v>
      </c>
      <c r="E6823" s="2" t="s">
        <v>12</v>
      </c>
      <c r="F6823">
        <f t="shared" si="106"/>
        <v>588.95100000000002</v>
      </c>
      <c r="G6823" t="s">
        <v>16</v>
      </c>
      <c r="H6823" t="s">
        <v>10</v>
      </c>
      <c r="J6823" t="str">
        <f>"06/05/2020 00:39"</f>
        <v>06/05/2020 00:39</v>
      </c>
    </row>
    <row r="6824" spans="1:10" x14ac:dyDescent="0.3">
      <c r="A6824" t="s">
        <v>6</v>
      </c>
      <c r="B6824" t="str">
        <f>"06/05/2020 00:00"</f>
        <v>06/05/2020 00:00</v>
      </c>
      <c r="C6824">
        <v>335</v>
      </c>
      <c r="D6824" t="s">
        <v>7</v>
      </c>
      <c r="E6824" s="2" t="s">
        <v>12</v>
      </c>
      <c r="F6824">
        <f t="shared" si="106"/>
        <v>664.30500000000006</v>
      </c>
      <c r="G6824" t="s">
        <v>16</v>
      </c>
      <c r="H6824" t="s">
        <v>10</v>
      </c>
      <c r="J6824" t="str">
        <f>"06/06/2020 00:39"</f>
        <v>06/06/2020 00:39</v>
      </c>
    </row>
    <row r="6825" spans="1:10" x14ac:dyDescent="0.3">
      <c r="A6825" t="s">
        <v>6</v>
      </c>
      <c r="B6825" t="str">
        <f>"06/06/2020 00:00"</f>
        <v>06/06/2020 00:00</v>
      </c>
      <c r="C6825">
        <v>352</v>
      </c>
      <c r="D6825" t="s">
        <v>7</v>
      </c>
      <c r="E6825" s="2" t="s">
        <v>12</v>
      </c>
      <c r="F6825">
        <f t="shared" si="106"/>
        <v>698.01600000000008</v>
      </c>
      <c r="G6825" t="s">
        <v>16</v>
      </c>
      <c r="H6825" t="s">
        <v>10</v>
      </c>
      <c r="J6825" t="str">
        <f>"06/07/2020 00:39"</f>
        <v>06/07/2020 00:39</v>
      </c>
    </row>
    <row r="6826" spans="1:10" x14ac:dyDescent="0.3">
      <c r="A6826" t="s">
        <v>6</v>
      </c>
      <c r="B6826" t="str">
        <f>"06/07/2020 00:00"</f>
        <v>06/07/2020 00:00</v>
      </c>
      <c r="C6826">
        <v>323</v>
      </c>
      <c r="D6826" t="s">
        <v>7</v>
      </c>
      <c r="E6826" s="2" t="s">
        <v>12</v>
      </c>
      <c r="F6826">
        <f t="shared" si="106"/>
        <v>640.50900000000001</v>
      </c>
      <c r="G6826" t="s">
        <v>16</v>
      </c>
      <c r="H6826" t="s">
        <v>10</v>
      </c>
      <c r="J6826" t="str">
        <f>"06/08/2020 00:39"</f>
        <v>06/08/2020 00:39</v>
      </c>
    </row>
    <row r="6827" spans="1:10" x14ac:dyDescent="0.3">
      <c r="A6827" t="s">
        <v>6</v>
      </c>
      <c r="B6827" t="str">
        <f>"06/08/2020 00:00"</f>
        <v>06/08/2020 00:00</v>
      </c>
      <c r="C6827">
        <v>323</v>
      </c>
      <c r="D6827" t="s">
        <v>7</v>
      </c>
      <c r="E6827" s="2" t="s">
        <v>12</v>
      </c>
      <c r="F6827">
        <f t="shared" si="106"/>
        <v>640.50900000000001</v>
      </c>
      <c r="G6827" t="s">
        <v>16</v>
      </c>
      <c r="H6827" t="s">
        <v>10</v>
      </c>
      <c r="J6827" t="str">
        <f>"06/09/2020 00:39"</f>
        <v>06/09/2020 00:39</v>
      </c>
    </row>
    <row r="6828" spans="1:10" x14ac:dyDescent="0.3">
      <c r="A6828" t="s">
        <v>6</v>
      </c>
      <c r="B6828" t="str">
        <f>"06/09/2020 00:00"</f>
        <v>06/09/2020 00:00</v>
      </c>
      <c r="C6828">
        <v>301</v>
      </c>
      <c r="D6828" t="s">
        <v>7</v>
      </c>
      <c r="E6828" s="2" t="s">
        <v>12</v>
      </c>
      <c r="F6828">
        <f t="shared" si="106"/>
        <v>596.88300000000004</v>
      </c>
      <c r="G6828" t="s">
        <v>16</v>
      </c>
      <c r="H6828" t="s">
        <v>10</v>
      </c>
      <c r="J6828" t="str">
        <f>"06/10/2020 00:39"</f>
        <v>06/10/2020 00:39</v>
      </c>
    </row>
    <row r="6829" spans="1:10" x14ac:dyDescent="0.3">
      <c r="A6829" t="s">
        <v>6</v>
      </c>
      <c r="B6829" t="str">
        <f>"06/10/2020 00:00"</f>
        <v>06/10/2020 00:00</v>
      </c>
      <c r="C6829">
        <v>221</v>
      </c>
      <c r="D6829" t="s">
        <v>7</v>
      </c>
      <c r="E6829" s="2" t="s">
        <v>12</v>
      </c>
      <c r="F6829">
        <f t="shared" si="106"/>
        <v>438.24299999999999</v>
      </c>
      <c r="G6829" t="s">
        <v>16</v>
      </c>
      <c r="H6829" t="s">
        <v>10</v>
      </c>
      <c r="J6829" t="str">
        <f>"06/11/2020 00:39"</f>
        <v>06/11/2020 00:39</v>
      </c>
    </row>
    <row r="6830" spans="1:10" x14ac:dyDescent="0.3">
      <c r="A6830" t="s">
        <v>6</v>
      </c>
      <c r="B6830" t="str">
        <f>"06/11/2020 00:00"</f>
        <v>06/11/2020 00:00</v>
      </c>
      <c r="C6830">
        <v>194</v>
      </c>
      <c r="D6830" t="s">
        <v>7</v>
      </c>
      <c r="E6830" s="2" t="s">
        <v>12</v>
      </c>
      <c r="F6830">
        <f t="shared" si="106"/>
        <v>384.702</v>
      </c>
      <c r="G6830" t="s">
        <v>16</v>
      </c>
      <c r="H6830" t="s">
        <v>10</v>
      </c>
      <c r="J6830" t="str">
        <f>"06/12/2020 00:39"</f>
        <v>06/12/2020 00:39</v>
      </c>
    </row>
    <row r="6831" spans="1:10" x14ac:dyDescent="0.3">
      <c r="A6831" t="s">
        <v>6</v>
      </c>
      <c r="B6831" t="str">
        <f>"06/12/2020 00:00"</f>
        <v>06/12/2020 00:00</v>
      </c>
      <c r="C6831">
        <v>252</v>
      </c>
      <c r="D6831" t="s">
        <v>7</v>
      </c>
      <c r="E6831" s="2" t="s">
        <v>12</v>
      </c>
      <c r="F6831">
        <f t="shared" si="106"/>
        <v>499.71600000000001</v>
      </c>
      <c r="G6831" t="s">
        <v>16</v>
      </c>
      <c r="H6831" t="s">
        <v>10</v>
      </c>
      <c r="J6831" t="str">
        <f>"06/13/2020 00:39"</f>
        <v>06/13/2020 00:39</v>
      </c>
    </row>
    <row r="6832" spans="1:10" x14ac:dyDescent="0.3">
      <c r="A6832" t="s">
        <v>6</v>
      </c>
      <c r="B6832" t="str">
        <f>"06/13/2020 00:00"</f>
        <v>06/13/2020 00:00</v>
      </c>
      <c r="C6832">
        <v>357</v>
      </c>
      <c r="D6832" t="s">
        <v>7</v>
      </c>
      <c r="E6832" s="2" t="s">
        <v>12</v>
      </c>
      <c r="F6832">
        <f t="shared" si="106"/>
        <v>707.93100000000004</v>
      </c>
      <c r="G6832" t="s">
        <v>16</v>
      </c>
      <c r="H6832" t="s">
        <v>10</v>
      </c>
      <c r="J6832" t="str">
        <f>"06/14/2020 00:39"</f>
        <v>06/14/2020 00:39</v>
      </c>
    </row>
    <row r="6833" spans="1:10" x14ac:dyDescent="0.3">
      <c r="A6833" t="s">
        <v>6</v>
      </c>
      <c r="B6833" t="str">
        <f>"06/14/2020 00:00"</f>
        <v>06/14/2020 00:00</v>
      </c>
      <c r="C6833">
        <v>396</v>
      </c>
      <c r="D6833" t="s">
        <v>7</v>
      </c>
      <c r="E6833" s="2" t="s">
        <v>12</v>
      </c>
      <c r="F6833">
        <f t="shared" si="106"/>
        <v>785.26800000000003</v>
      </c>
      <c r="G6833" t="s">
        <v>16</v>
      </c>
      <c r="H6833" t="s">
        <v>10</v>
      </c>
      <c r="J6833" t="str">
        <f>"06/15/2020 00:39"</f>
        <v>06/15/2020 00:39</v>
      </c>
    </row>
    <row r="6834" spans="1:10" x14ac:dyDescent="0.3">
      <c r="A6834" t="s">
        <v>6</v>
      </c>
      <c r="B6834" t="str">
        <f>"06/15/2020 00:00"</f>
        <v>06/15/2020 00:00</v>
      </c>
      <c r="C6834">
        <v>343</v>
      </c>
      <c r="D6834" t="s">
        <v>7</v>
      </c>
      <c r="E6834" s="2" t="s">
        <v>12</v>
      </c>
      <c r="F6834">
        <f t="shared" si="106"/>
        <v>680.16899999999998</v>
      </c>
      <c r="G6834" t="s">
        <v>16</v>
      </c>
      <c r="H6834" t="s">
        <v>10</v>
      </c>
      <c r="J6834" t="str">
        <f>"06/16/2020 00:39"</f>
        <v>06/16/2020 00:39</v>
      </c>
    </row>
    <row r="6835" spans="1:10" x14ac:dyDescent="0.3">
      <c r="A6835" t="s">
        <v>6</v>
      </c>
      <c r="B6835" t="str">
        <f>"06/16/2020 00:00"</f>
        <v>06/16/2020 00:00</v>
      </c>
      <c r="C6835">
        <v>286</v>
      </c>
      <c r="D6835" t="s">
        <v>7</v>
      </c>
      <c r="E6835" s="2" t="s">
        <v>12</v>
      </c>
      <c r="F6835">
        <f t="shared" si="106"/>
        <v>567.13800000000003</v>
      </c>
      <c r="G6835" t="s">
        <v>16</v>
      </c>
      <c r="H6835" t="s">
        <v>10</v>
      </c>
      <c r="J6835" t="str">
        <f>"06/17/2020 00:39"</f>
        <v>06/17/2020 00:39</v>
      </c>
    </row>
    <row r="6836" spans="1:10" x14ac:dyDescent="0.3">
      <c r="A6836" t="s">
        <v>6</v>
      </c>
      <c r="B6836" t="str">
        <f>"06/17/2020 00:00"</f>
        <v>06/17/2020 00:00</v>
      </c>
      <c r="C6836">
        <v>226</v>
      </c>
      <c r="D6836" t="s">
        <v>7</v>
      </c>
      <c r="E6836" s="2" t="s">
        <v>12</v>
      </c>
      <c r="F6836">
        <f t="shared" si="106"/>
        <v>448.15800000000002</v>
      </c>
      <c r="G6836" t="s">
        <v>16</v>
      </c>
      <c r="H6836" t="s">
        <v>10</v>
      </c>
      <c r="J6836" t="str">
        <f>"06/18/2020 00:39"</f>
        <v>06/18/2020 00:39</v>
      </c>
    </row>
    <row r="6837" spans="1:10" x14ac:dyDescent="0.3">
      <c r="A6837" t="s">
        <v>6</v>
      </c>
      <c r="B6837" t="str">
        <f>"06/18/2020 00:00"</f>
        <v>06/18/2020 00:00</v>
      </c>
      <c r="C6837">
        <v>273</v>
      </c>
      <c r="D6837" t="s">
        <v>7</v>
      </c>
      <c r="E6837" s="2" t="s">
        <v>12</v>
      </c>
      <c r="F6837">
        <f t="shared" si="106"/>
        <v>541.35900000000004</v>
      </c>
      <c r="G6837" t="s">
        <v>16</v>
      </c>
      <c r="H6837" t="s">
        <v>10</v>
      </c>
      <c r="J6837" t="str">
        <f>"06/19/2020 00:39"</f>
        <v>06/19/2020 00:39</v>
      </c>
    </row>
    <row r="6838" spans="1:10" x14ac:dyDescent="0.3">
      <c r="A6838" t="s">
        <v>6</v>
      </c>
      <c r="B6838" t="str">
        <f>"06/19/2020 00:00"</f>
        <v>06/19/2020 00:00</v>
      </c>
      <c r="C6838">
        <v>236</v>
      </c>
      <c r="D6838" t="s">
        <v>7</v>
      </c>
      <c r="E6838" s="2" t="s">
        <v>12</v>
      </c>
      <c r="F6838">
        <f t="shared" si="106"/>
        <v>467.988</v>
      </c>
      <c r="G6838" t="s">
        <v>16</v>
      </c>
      <c r="H6838" t="s">
        <v>10</v>
      </c>
      <c r="J6838" t="str">
        <f>"06/20/2020 00:39"</f>
        <v>06/20/2020 00:39</v>
      </c>
    </row>
    <row r="6839" spans="1:10" x14ac:dyDescent="0.3">
      <c r="A6839" t="s">
        <v>6</v>
      </c>
      <c r="B6839" t="str">
        <f>"06/20/2020 00:00"</f>
        <v>06/20/2020 00:00</v>
      </c>
      <c r="C6839">
        <v>196</v>
      </c>
      <c r="D6839" t="s">
        <v>7</v>
      </c>
      <c r="E6839" s="2" t="s">
        <v>12</v>
      </c>
      <c r="F6839">
        <f t="shared" si="106"/>
        <v>388.66800000000001</v>
      </c>
      <c r="G6839" t="s">
        <v>16</v>
      </c>
      <c r="H6839" t="s">
        <v>10</v>
      </c>
      <c r="J6839" t="str">
        <f>"06/21/2020 00:39"</f>
        <v>06/21/2020 00:39</v>
      </c>
    </row>
    <row r="6840" spans="1:10" x14ac:dyDescent="0.3">
      <c r="A6840" t="s">
        <v>6</v>
      </c>
      <c r="B6840" t="str">
        <f>"06/21/2020 00:00"</f>
        <v>06/21/2020 00:00</v>
      </c>
      <c r="C6840">
        <v>199</v>
      </c>
      <c r="D6840" t="s">
        <v>7</v>
      </c>
      <c r="E6840" s="2" t="s">
        <v>12</v>
      </c>
      <c r="F6840">
        <f t="shared" si="106"/>
        <v>394.61700000000002</v>
      </c>
      <c r="G6840" t="s">
        <v>16</v>
      </c>
      <c r="H6840" t="s">
        <v>10</v>
      </c>
      <c r="J6840" t="str">
        <f>"06/22/2020 00:39"</f>
        <v>06/22/2020 00:39</v>
      </c>
    </row>
    <row r="6841" spans="1:10" x14ac:dyDescent="0.3">
      <c r="A6841" t="s">
        <v>6</v>
      </c>
      <c r="B6841" t="str">
        <f>"06/22/2020 00:00"</f>
        <v>06/22/2020 00:00</v>
      </c>
      <c r="C6841">
        <v>200</v>
      </c>
      <c r="D6841" t="s">
        <v>7</v>
      </c>
      <c r="E6841" s="2" t="s">
        <v>12</v>
      </c>
      <c r="F6841">
        <f t="shared" si="106"/>
        <v>396.6</v>
      </c>
      <c r="G6841" t="s">
        <v>16</v>
      </c>
      <c r="H6841" t="s">
        <v>10</v>
      </c>
      <c r="J6841" t="str">
        <f>"06/23/2020 00:39"</f>
        <v>06/23/2020 00:39</v>
      </c>
    </row>
    <row r="6842" spans="1:10" x14ac:dyDescent="0.3">
      <c r="A6842" t="s">
        <v>6</v>
      </c>
      <c r="B6842" t="str">
        <f>"06/23/2020 00:00"</f>
        <v>06/23/2020 00:00</v>
      </c>
      <c r="C6842">
        <v>200</v>
      </c>
      <c r="D6842" t="s">
        <v>7</v>
      </c>
      <c r="E6842" s="2" t="s">
        <v>12</v>
      </c>
      <c r="F6842">
        <f t="shared" si="106"/>
        <v>396.6</v>
      </c>
      <c r="G6842" t="s">
        <v>16</v>
      </c>
      <c r="H6842" t="s">
        <v>10</v>
      </c>
      <c r="J6842" t="str">
        <f>"06/24/2020 00:39"</f>
        <v>06/24/2020 00:39</v>
      </c>
    </row>
    <row r="6843" spans="1:10" x14ac:dyDescent="0.3">
      <c r="A6843" t="s">
        <v>6</v>
      </c>
      <c r="B6843" t="str">
        <f>"06/24/2020 00:00"</f>
        <v>06/24/2020 00:00</v>
      </c>
      <c r="C6843">
        <v>229</v>
      </c>
      <c r="D6843" t="s">
        <v>7</v>
      </c>
      <c r="E6843" s="2" t="s">
        <v>12</v>
      </c>
      <c r="F6843">
        <f t="shared" si="106"/>
        <v>454.10700000000003</v>
      </c>
      <c r="G6843" t="s">
        <v>16</v>
      </c>
      <c r="H6843" t="s">
        <v>10</v>
      </c>
      <c r="J6843" t="str">
        <f>"06/25/2020 00:39"</f>
        <v>06/25/2020 00:39</v>
      </c>
    </row>
    <row r="6844" spans="1:10" x14ac:dyDescent="0.3">
      <c r="A6844" t="s">
        <v>6</v>
      </c>
      <c r="B6844" t="str">
        <f>"06/25/2020 00:00"</f>
        <v>06/25/2020 00:00</v>
      </c>
      <c r="C6844">
        <v>249</v>
      </c>
      <c r="D6844" t="s">
        <v>7</v>
      </c>
      <c r="E6844" s="2" t="s">
        <v>12</v>
      </c>
      <c r="F6844">
        <f t="shared" si="106"/>
        <v>493.767</v>
      </c>
      <c r="G6844" t="s">
        <v>16</v>
      </c>
      <c r="H6844" t="s">
        <v>10</v>
      </c>
      <c r="J6844" t="str">
        <f>"06/26/2020 00:39"</f>
        <v>06/26/2020 00:39</v>
      </c>
    </row>
    <row r="6845" spans="1:10" x14ac:dyDescent="0.3">
      <c r="A6845" t="s">
        <v>6</v>
      </c>
      <c r="B6845" t="str">
        <f>"06/26/2020 00:00"</f>
        <v>06/26/2020 00:00</v>
      </c>
      <c r="C6845">
        <v>246</v>
      </c>
      <c r="D6845" t="s">
        <v>7</v>
      </c>
      <c r="E6845" s="2" t="s">
        <v>12</v>
      </c>
      <c r="F6845">
        <f t="shared" si="106"/>
        <v>487.81800000000004</v>
      </c>
      <c r="G6845" t="s">
        <v>16</v>
      </c>
      <c r="H6845" t="s">
        <v>10</v>
      </c>
      <c r="J6845" t="str">
        <f>"06/27/2020 00:39"</f>
        <v>06/27/2020 00:39</v>
      </c>
    </row>
    <row r="6846" spans="1:10" x14ac:dyDescent="0.3">
      <c r="A6846" t="s">
        <v>6</v>
      </c>
      <c r="B6846" t="str">
        <f>"06/27/2020 00:00"</f>
        <v>06/27/2020 00:00</v>
      </c>
      <c r="C6846">
        <v>248</v>
      </c>
      <c r="D6846" t="s">
        <v>7</v>
      </c>
      <c r="E6846" s="2" t="s">
        <v>12</v>
      </c>
      <c r="F6846">
        <f t="shared" si="106"/>
        <v>491.78400000000005</v>
      </c>
      <c r="G6846" t="s">
        <v>16</v>
      </c>
      <c r="H6846" t="s">
        <v>10</v>
      </c>
      <c r="J6846" t="str">
        <f>"06/28/2020 00:39"</f>
        <v>06/28/2020 00:39</v>
      </c>
    </row>
    <row r="6847" spans="1:10" x14ac:dyDescent="0.3">
      <c r="A6847" t="s">
        <v>6</v>
      </c>
      <c r="B6847" t="str">
        <f>"06/28/2020 00:00"</f>
        <v>06/28/2020 00:00</v>
      </c>
      <c r="C6847">
        <v>248</v>
      </c>
      <c r="D6847" t="s">
        <v>7</v>
      </c>
      <c r="E6847" s="2" t="s">
        <v>12</v>
      </c>
      <c r="F6847">
        <f t="shared" si="106"/>
        <v>491.78400000000005</v>
      </c>
      <c r="G6847" t="s">
        <v>16</v>
      </c>
      <c r="H6847" t="s">
        <v>10</v>
      </c>
      <c r="J6847" t="str">
        <f>"06/29/2020 00:39"</f>
        <v>06/29/2020 00:39</v>
      </c>
    </row>
    <row r="6848" spans="1:10" x14ac:dyDescent="0.3">
      <c r="A6848" t="s">
        <v>6</v>
      </c>
      <c r="B6848" t="str">
        <f>"06/29/2020 00:00"</f>
        <v>06/29/2020 00:00</v>
      </c>
      <c r="C6848">
        <v>248</v>
      </c>
      <c r="D6848" t="s">
        <v>7</v>
      </c>
      <c r="E6848" s="2" t="s">
        <v>12</v>
      </c>
      <c r="F6848">
        <f t="shared" si="106"/>
        <v>491.78400000000005</v>
      </c>
      <c r="G6848" t="s">
        <v>16</v>
      </c>
      <c r="H6848" t="s">
        <v>10</v>
      </c>
      <c r="J6848" t="str">
        <f>"06/30/2020 00:39"</f>
        <v>06/30/2020 00:39</v>
      </c>
    </row>
    <row r="6849" spans="1:10" x14ac:dyDescent="0.3">
      <c r="A6849" t="s">
        <v>6</v>
      </c>
      <c r="B6849" t="str">
        <f>"06/30/2020 00:00"</f>
        <v>06/30/2020 00:00</v>
      </c>
      <c r="C6849">
        <v>248</v>
      </c>
      <c r="D6849" t="s">
        <v>7</v>
      </c>
      <c r="E6849" s="2" t="s">
        <v>12</v>
      </c>
      <c r="F6849">
        <f t="shared" si="106"/>
        <v>491.78400000000005</v>
      </c>
      <c r="G6849" t="s">
        <v>16</v>
      </c>
      <c r="H6849" t="s">
        <v>10</v>
      </c>
      <c r="J6849" t="str">
        <f>"07/01/2020 00:39"</f>
        <v>07/01/2020 00:39</v>
      </c>
    </row>
    <row r="6850" spans="1:10" x14ac:dyDescent="0.3">
      <c r="A6850" t="s">
        <v>6</v>
      </c>
      <c r="B6850" t="str">
        <f>"07/01/2020 00:00"</f>
        <v>07/01/2020 00:00</v>
      </c>
      <c r="C6850">
        <v>278</v>
      </c>
      <c r="D6850" t="s">
        <v>7</v>
      </c>
      <c r="E6850" s="2" t="s">
        <v>12</v>
      </c>
      <c r="F6850">
        <f t="shared" si="106"/>
        <v>551.274</v>
      </c>
      <c r="G6850" t="s">
        <v>16</v>
      </c>
      <c r="H6850" t="s">
        <v>10</v>
      </c>
      <c r="J6850" t="str">
        <f>"07/02/2020 00:39"</f>
        <v>07/02/2020 00:39</v>
      </c>
    </row>
    <row r="6851" spans="1:10" x14ac:dyDescent="0.3">
      <c r="A6851" t="s">
        <v>6</v>
      </c>
      <c r="B6851" t="str">
        <f>"07/02/2020 00:00"</f>
        <v>07/02/2020 00:00</v>
      </c>
      <c r="C6851">
        <v>321</v>
      </c>
      <c r="D6851" t="s">
        <v>7</v>
      </c>
      <c r="E6851" s="2" t="s">
        <v>12</v>
      </c>
      <c r="F6851">
        <f t="shared" si="106"/>
        <v>636.54300000000001</v>
      </c>
      <c r="G6851" t="s">
        <v>16</v>
      </c>
      <c r="H6851" t="s">
        <v>10</v>
      </c>
      <c r="J6851" t="str">
        <f>"07/03/2020 00:39"</f>
        <v>07/03/2020 00:39</v>
      </c>
    </row>
    <row r="6852" spans="1:10" x14ac:dyDescent="0.3">
      <c r="A6852" t="s">
        <v>6</v>
      </c>
      <c r="B6852" t="str">
        <f>"07/03/2020 00:00"</f>
        <v>07/03/2020 00:00</v>
      </c>
      <c r="C6852">
        <v>350</v>
      </c>
      <c r="D6852" t="s">
        <v>7</v>
      </c>
      <c r="E6852" s="2" t="s">
        <v>12</v>
      </c>
      <c r="F6852">
        <f t="shared" ref="F6852:F6915" si="107">C6852*1.983</f>
        <v>694.05000000000007</v>
      </c>
      <c r="G6852" t="s">
        <v>16</v>
      </c>
      <c r="H6852" t="s">
        <v>10</v>
      </c>
      <c r="J6852" t="str">
        <f>"07/04/2020 00:39"</f>
        <v>07/04/2020 00:39</v>
      </c>
    </row>
    <row r="6853" spans="1:10" x14ac:dyDescent="0.3">
      <c r="A6853" t="s">
        <v>6</v>
      </c>
      <c r="B6853" t="str">
        <f>"07/04/2020 00:00"</f>
        <v>07/04/2020 00:00</v>
      </c>
      <c r="C6853">
        <v>351</v>
      </c>
      <c r="D6853" t="s">
        <v>7</v>
      </c>
      <c r="E6853" s="2" t="s">
        <v>12</v>
      </c>
      <c r="F6853">
        <f t="shared" si="107"/>
        <v>696.03300000000002</v>
      </c>
      <c r="G6853" t="s">
        <v>16</v>
      </c>
      <c r="H6853" t="s">
        <v>10</v>
      </c>
      <c r="J6853" t="str">
        <f>"07/05/2020 00:39"</f>
        <v>07/05/2020 00:39</v>
      </c>
    </row>
    <row r="6854" spans="1:10" x14ac:dyDescent="0.3">
      <c r="A6854" t="s">
        <v>6</v>
      </c>
      <c r="B6854" t="str">
        <f>"07/05/2020 00:00"</f>
        <v>07/05/2020 00:00</v>
      </c>
      <c r="C6854">
        <v>352</v>
      </c>
      <c r="D6854" t="s">
        <v>7</v>
      </c>
      <c r="E6854" s="2" t="s">
        <v>12</v>
      </c>
      <c r="F6854">
        <f t="shared" si="107"/>
        <v>698.01600000000008</v>
      </c>
      <c r="G6854" t="s">
        <v>16</v>
      </c>
      <c r="H6854" t="s">
        <v>10</v>
      </c>
      <c r="J6854" t="str">
        <f>"07/06/2020 00:39"</f>
        <v>07/06/2020 00:39</v>
      </c>
    </row>
    <row r="6855" spans="1:10" x14ac:dyDescent="0.3">
      <c r="A6855" t="s">
        <v>6</v>
      </c>
      <c r="B6855" t="str">
        <f>"07/06/2020 00:00"</f>
        <v>07/06/2020 00:00</v>
      </c>
      <c r="C6855">
        <v>352</v>
      </c>
      <c r="D6855" t="s">
        <v>7</v>
      </c>
      <c r="E6855" s="2" t="s">
        <v>12</v>
      </c>
      <c r="F6855">
        <f t="shared" si="107"/>
        <v>698.01600000000008</v>
      </c>
      <c r="G6855" t="s">
        <v>16</v>
      </c>
      <c r="H6855" t="s">
        <v>10</v>
      </c>
      <c r="J6855" t="str">
        <f>"07/07/2020 00:39"</f>
        <v>07/07/2020 00:39</v>
      </c>
    </row>
    <row r="6856" spans="1:10" x14ac:dyDescent="0.3">
      <c r="A6856" t="s">
        <v>6</v>
      </c>
      <c r="B6856" t="str">
        <f>"07/07/2020 00:00"</f>
        <v>07/07/2020 00:00</v>
      </c>
      <c r="C6856">
        <v>370</v>
      </c>
      <c r="D6856" t="s">
        <v>7</v>
      </c>
      <c r="E6856" s="2" t="s">
        <v>12</v>
      </c>
      <c r="F6856">
        <f t="shared" si="107"/>
        <v>733.71</v>
      </c>
      <c r="G6856" t="s">
        <v>16</v>
      </c>
      <c r="H6856" t="s">
        <v>10</v>
      </c>
      <c r="J6856" t="str">
        <f>"07/08/2020 00:39"</f>
        <v>07/08/2020 00:39</v>
      </c>
    </row>
    <row r="6857" spans="1:10" x14ac:dyDescent="0.3">
      <c r="A6857" t="s">
        <v>6</v>
      </c>
      <c r="B6857" t="str">
        <f>"07/08/2020 00:00"</f>
        <v>07/08/2020 00:00</v>
      </c>
      <c r="C6857">
        <v>383</v>
      </c>
      <c r="D6857" t="s">
        <v>7</v>
      </c>
      <c r="E6857" s="2" t="s">
        <v>12</v>
      </c>
      <c r="F6857">
        <f t="shared" si="107"/>
        <v>759.48900000000003</v>
      </c>
      <c r="G6857" t="s">
        <v>16</v>
      </c>
      <c r="H6857" t="s">
        <v>10</v>
      </c>
      <c r="J6857" t="str">
        <f>"07/09/2020 00:39"</f>
        <v>07/09/2020 00:39</v>
      </c>
    </row>
    <row r="6858" spans="1:10" x14ac:dyDescent="0.3">
      <c r="A6858" t="s">
        <v>6</v>
      </c>
      <c r="B6858" t="str">
        <f>"07/09/2020 00:00"</f>
        <v>07/09/2020 00:00</v>
      </c>
      <c r="C6858">
        <v>383</v>
      </c>
      <c r="D6858" t="s">
        <v>7</v>
      </c>
      <c r="E6858" s="2" t="s">
        <v>12</v>
      </c>
      <c r="F6858">
        <f t="shared" si="107"/>
        <v>759.48900000000003</v>
      </c>
      <c r="G6858" t="s">
        <v>16</v>
      </c>
      <c r="H6858" t="s">
        <v>10</v>
      </c>
      <c r="J6858" t="str">
        <f>"07/10/2020 00:39"</f>
        <v>07/10/2020 00:39</v>
      </c>
    </row>
    <row r="6859" spans="1:10" x14ac:dyDescent="0.3">
      <c r="A6859" t="s">
        <v>6</v>
      </c>
      <c r="B6859" t="str">
        <f>"07/10/2020 00:00"</f>
        <v>07/10/2020 00:00</v>
      </c>
      <c r="C6859">
        <v>383</v>
      </c>
      <c r="D6859" t="s">
        <v>7</v>
      </c>
      <c r="E6859" s="2" t="s">
        <v>12</v>
      </c>
      <c r="F6859">
        <f t="shared" si="107"/>
        <v>759.48900000000003</v>
      </c>
      <c r="G6859" t="s">
        <v>16</v>
      </c>
      <c r="H6859" t="s">
        <v>10</v>
      </c>
      <c r="J6859" t="str">
        <f>"07/11/2020 00:39"</f>
        <v>07/11/2020 00:39</v>
      </c>
    </row>
    <row r="6860" spans="1:10" x14ac:dyDescent="0.3">
      <c r="A6860" t="s">
        <v>6</v>
      </c>
      <c r="B6860" t="str">
        <f>"07/11/2020 00:00"</f>
        <v>07/11/2020 00:00</v>
      </c>
      <c r="C6860">
        <v>383</v>
      </c>
      <c r="D6860" t="s">
        <v>7</v>
      </c>
      <c r="E6860" s="2" t="s">
        <v>12</v>
      </c>
      <c r="F6860">
        <f t="shared" si="107"/>
        <v>759.48900000000003</v>
      </c>
      <c r="G6860" t="s">
        <v>16</v>
      </c>
      <c r="H6860" t="s">
        <v>10</v>
      </c>
      <c r="J6860" t="str">
        <f>"07/12/2020 00:39"</f>
        <v>07/12/2020 00:39</v>
      </c>
    </row>
    <row r="6861" spans="1:10" x14ac:dyDescent="0.3">
      <c r="A6861" t="s">
        <v>6</v>
      </c>
      <c r="B6861" t="str">
        <f>"07/12/2020 00:00"</f>
        <v>07/12/2020 00:00</v>
      </c>
      <c r="C6861">
        <v>382</v>
      </c>
      <c r="D6861" t="s">
        <v>7</v>
      </c>
      <c r="E6861" s="2" t="s">
        <v>12</v>
      </c>
      <c r="F6861">
        <f t="shared" si="107"/>
        <v>757.50600000000009</v>
      </c>
      <c r="G6861" t="s">
        <v>16</v>
      </c>
      <c r="H6861" t="s">
        <v>10</v>
      </c>
      <c r="J6861" t="str">
        <f>"07/13/2020 00:39"</f>
        <v>07/13/2020 00:39</v>
      </c>
    </row>
    <row r="6862" spans="1:10" x14ac:dyDescent="0.3">
      <c r="A6862" t="s">
        <v>6</v>
      </c>
      <c r="B6862" t="str">
        <f>"07/13/2020 00:00"</f>
        <v>07/13/2020 00:00</v>
      </c>
      <c r="C6862">
        <v>382</v>
      </c>
      <c r="D6862" t="s">
        <v>7</v>
      </c>
      <c r="E6862" s="2" t="s">
        <v>12</v>
      </c>
      <c r="F6862">
        <f t="shared" si="107"/>
        <v>757.50600000000009</v>
      </c>
      <c r="G6862" t="s">
        <v>16</v>
      </c>
      <c r="H6862" t="s">
        <v>10</v>
      </c>
      <c r="J6862" t="str">
        <f>"07/14/2020 00:39"</f>
        <v>07/14/2020 00:39</v>
      </c>
    </row>
    <row r="6863" spans="1:10" x14ac:dyDescent="0.3">
      <c r="A6863" t="s">
        <v>6</v>
      </c>
      <c r="B6863" t="str">
        <f>"07/14/2020 00:00"</f>
        <v>07/14/2020 00:00</v>
      </c>
      <c r="C6863">
        <v>382</v>
      </c>
      <c r="D6863" t="s">
        <v>7</v>
      </c>
      <c r="E6863" s="2" t="s">
        <v>12</v>
      </c>
      <c r="F6863">
        <f t="shared" si="107"/>
        <v>757.50600000000009</v>
      </c>
      <c r="G6863" t="s">
        <v>16</v>
      </c>
      <c r="H6863" t="s">
        <v>10</v>
      </c>
      <c r="J6863" t="str">
        <f>"07/15/2020 00:39"</f>
        <v>07/15/2020 00:39</v>
      </c>
    </row>
    <row r="6864" spans="1:10" x14ac:dyDescent="0.3">
      <c r="A6864" t="s">
        <v>6</v>
      </c>
      <c r="B6864" t="str">
        <f>"07/15/2020 00:00"</f>
        <v>07/15/2020 00:00</v>
      </c>
      <c r="C6864">
        <v>382</v>
      </c>
      <c r="D6864" t="s">
        <v>7</v>
      </c>
      <c r="E6864" s="2" t="s">
        <v>12</v>
      </c>
      <c r="F6864">
        <f t="shared" si="107"/>
        <v>757.50600000000009</v>
      </c>
      <c r="G6864" t="s">
        <v>16</v>
      </c>
      <c r="H6864" t="s">
        <v>10</v>
      </c>
      <c r="J6864" t="str">
        <f>"07/16/2020 00:39"</f>
        <v>07/16/2020 00:39</v>
      </c>
    </row>
    <row r="6865" spans="1:10" x14ac:dyDescent="0.3">
      <c r="A6865" t="s">
        <v>6</v>
      </c>
      <c r="B6865" t="str">
        <f>"07/16/2020 00:00"</f>
        <v>07/16/2020 00:00</v>
      </c>
      <c r="C6865">
        <v>382</v>
      </c>
      <c r="D6865" t="s">
        <v>7</v>
      </c>
      <c r="E6865" s="2" t="s">
        <v>12</v>
      </c>
      <c r="F6865">
        <f t="shared" si="107"/>
        <v>757.50600000000009</v>
      </c>
      <c r="G6865" t="s">
        <v>16</v>
      </c>
      <c r="H6865" t="s">
        <v>10</v>
      </c>
      <c r="J6865" t="str">
        <f>"07/17/2020 00:39"</f>
        <v>07/17/2020 00:39</v>
      </c>
    </row>
    <row r="6866" spans="1:10" x14ac:dyDescent="0.3">
      <c r="A6866" t="s">
        <v>6</v>
      </c>
      <c r="B6866" t="str">
        <f>"07/17/2020 00:00"</f>
        <v>07/17/2020 00:00</v>
      </c>
      <c r="C6866">
        <v>382</v>
      </c>
      <c r="D6866" t="s">
        <v>7</v>
      </c>
      <c r="E6866" s="2" t="s">
        <v>12</v>
      </c>
      <c r="F6866">
        <f t="shared" si="107"/>
        <v>757.50600000000009</v>
      </c>
      <c r="G6866" t="s">
        <v>16</v>
      </c>
      <c r="H6866" t="s">
        <v>10</v>
      </c>
      <c r="J6866" t="str">
        <f>"07/18/2020 00:39"</f>
        <v>07/18/2020 00:39</v>
      </c>
    </row>
    <row r="6867" spans="1:10" x14ac:dyDescent="0.3">
      <c r="A6867" t="s">
        <v>6</v>
      </c>
      <c r="B6867" t="str">
        <f>"07/18/2020 00:00"</f>
        <v>07/18/2020 00:00</v>
      </c>
      <c r="C6867">
        <v>381</v>
      </c>
      <c r="D6867" t="s">
        <v>7</v>
      </c>
      <c r="E6867" s="2" t="s">
        <v>12</v>
      </c>
      <c r="F6867">
        <f t="shared" si="107"/>
        <v>755.52300000000002</v>
      </c>
      <c r="G6867" t="s">
        <v>16</v>
      </c>
      <c r="H6867" t="s">
        <v>10</v>
      </c>
      <c r="J6867" t="str">
        <f>"07/19/2020 00:39"</f>
        <v>07/19/2020 00:39</v>
      </c>
    </row>
    <row r="6868" spans="1:10" x14ac:dyDescent="0.3">
      <c r="A6868" t="s">
        <v>6</v>
      </c>
      <c r="B6868" t="str">
        <f>"07/19/2020 00:00"</f>
        <v>07/19/2020 00:00</v>
      </c>
      <c r="C6868">
        <v>381</v>
      </c>
      <c r="D6868" t="s">
        <v>7</v>
      </c>
      <c r="E6868" s="2" t="s">
        <v>12</v>
      </c>
      <c r="F6868">
        <f t="shared" si="107"/>
        <v>755.52300000000002</v>
      </c>
      <c r="G6868" t="s">
        <v>16</v>
      </c>
      <c r="H6868" t="s">
        <v>10</v>
      </c>
      <c r="J6868" t="str">
        <f>"07/20/2020 00:39"</f>
        <v>07/20/2020 00:39</v>
      </c>
    </row>
    <row r="6869" spans="1:10" x14ac:dyDescent="0.3">
      <c r="A6869" t="s">
        <v>6</v>
      </c>
      <c r="B6869" t="str">
        <f>"07/20/2020 00:00"</f>
        <v>07/20/2020 00:00</v>
      </c>
      <c r="C6869">
        <v>381</v>
      </c>
      <c r="D6869" t="s">
        <v>7</v>
      </c>
      <c r="E6869" s="2" t="s">
        <v>12</v>
      </c>
      <c r="F6869">
        <f t="shared" si="107"/>
        <v>755.52300000000002</v>
      </c>
      <c r="G6869" t="s">
        <v>16</v>
      </c>
      <c r="H6869" t="s">
        <v>10</v>
      </c>
      <c r="J6869" t="str">
        <f>"07/21/2020 00:39"</f>
        <v>07/21/2020 00:39</v>
      </c>
    </row>
    <row r="6870" spans="1:10" x14ac:dyDescent="0.3">
      <c r="A6870" t="s">
        <v>6</v>
      </c>
      <c r="B6870" t="str">
        <f>"07/21/2020 00:00"</f>
        <v>07/21/2020 00:00</v>
      </c>
      <c r="C6870">
        <v>381</v>
      </c>
      <c r="D6870" t="s">
        <v>7</v>
      </c>
      <c r="E6870" s="2" t="s">
        <v>12</v>
      </c>
      <c r="F6870">
        <f t="shared" si="107"/>
        <v>755.52300000000002</v>
      </c>
      <c r="G6870" t="s">
        <v>16</v>
      </c>
      <c r="H6870" t="s">
        <v>10</v>
      </c>
      <c r="J6870" t="str">
        <f>"07/22/2020 00:39"</f>
        <v>07/22/2020 00:39</v>
      </c>
    </row>
    <row r="6871" spans="1:10" x14ac:dyDescent="0.3">
      <c r="A6871" t="s">
        <v>6</v>
      </c>
      <c r="B6871" t="str">
        <f>"07/22/2020 00:00"</f>
        <v>07/22/2020 00:00</v>
      </c>
      <c r="C6871">
        <v>381</v>
      </c>
      <c r="D6871" t="s">
        <v>7</v>
      </c>
      <c r="E6871" s="2" t="s">
        <v>12</v>
      </c>
      <c r="F6871">
        <f t="shared" si="107"/>
        <v>755.52300000000002</v>
      </c>
      <c r="G6871" t="s">
        <v>16</v>
      </c>
      <c r="H6871" t="s">
        <v>10</v>
      </c>
      <c r="J6871" t="str">
        <f>"07/23/2020 00:39"</f>
        <v>07/23/2020 00:39</v>
      </c>
    </row>
    <row r="6872" spans="1:10" x14ac:dyDescent="0.3">
      <c r="A6872" t="s">
        <v>6</v>
      </c>
      <c r="B6872" t="str">
        <f>"07/23/2020 00:00"</f>
        <v>07/23/2020 00:00</v>
      </c>
      <c r="C6872">
        <v>381</v>
      </c>
      <c r="D6872" t="s">
        <v>7</v>
      </c>
      <c r="E6872" s="2" t="s">
        <v>12</v>
      </c>
      <c r="F6872">
        <f t="shared" si="107"/>
        <v>755.52300000000002</v>
      </c>
      <c r="G6872" t="s">
        <v>16</v>
      </c>
      <c r="H6872" t="s">
        <v>10</v>
      </c>
      <c r="J6872" t="str">
        <f>"07/24/2020 00:39"</f>
        <v>07/24/2020 00:39</v>
      </c>
    </row>
    <row r="6873" spans="1:10" x14ac:dyDescent="0.3">
      <c r="A6873" t="s">
        <v>6</v>
      </c>
      <c r="B6873" t="str">
        <f>"07/24/2020 00:00"</f>
        <v>07/24/2020 00:00</v>
      </c>
      <c r="C6873">
        <v>381</v>
      </c>
      <c r="D6873" t="s">
        <v>7</v>
      </c>
      <c r="E6873" s="2" t="s">
        <v>12</v>
      </c>
      <c r="F6873">
        <f t="shared" si="107"/>
        <v>755.52300000000002</v>
      </c>
      <c r="G6873" t="s">
        <v>16</v>
      </c>
      <c r="H6873" t="s">
        <v>10</v>
      </c>
      <c r="J6873" t="str">
        <f>"07/25/2020 00:39"</f>
        <v>07/25/2020 00:39</v>
      </c>
    </row>
    <row r="6874" spans="1:10" x14ac:dyDescent="0.3">
      <c r="A6874" t="s">
        <v>6</v>
      </c>
      <c r="B6874" t="str">
        <f>"07/25/2020 00:00"</f>
        <v>07/25/2020 00:00</v>
      </c>
      <c r="C6874">
        <v>381</v>
      </c>
      <c r="D6874" t="s">
        <v>7</v>
      </c>
      <c r="E6874" s="2" t="s">
        <v>12</v>
      </c>
      <c r="F6874">
        <f t="shared" si="107"/>
        <v>755.52300000000002</v>
      </c>
      <c r="G6874" t="s">
        <v>16</v>
      </c>
      <c r="H6874" t="s">
        <v>10</v>
      </c>
      <c r="J6874" t="str">
        <f>"07/26/2020 00:39"</f>
        <v>07/26/2020 00:39</v>
      </c>
    </row>
    <row r="6875" spans="1:10" x14ac:dyDescent="0.3">
      <c r="A6875" t="s">
        <v>6</v>
      </c>
      <c r="B6875" t="str">
        <f>"07/26/2020 00:00"</f>
        <v>07/26/2020 00:00</v>
      </c>
      <c r="C6875">
        <v>381</v>
      </c>
      <c r="D6875" t="s">
        <v>7</v>
      </c>
      <c r="E6875" s="2" t="s">
        <v>12</v>
      </c>
      <c r="F6875">
        <f t="shared" si="107"/>
        <v>755.52300000000002</v>
      </c>
      <c r="G6875" t="s">
        <v>16</v>
      </c>
      <c r="H6875" t="s">
        <v>10</v>
      </c>
      <c r="J6875" t="str">
        <f>"07/27/2020 00:39"</f>
        <v>07/27/2020 00:39</v>
      </c>
    </row>
    <row r="6876" spans="1:10" x14ac:dyDescent="0.3">
      <c r="A6876" t="s">
        <v>6</v>
      </c>
      <c r="B6876" t="str">
        <f>"07/27/2020 00:00"</f>
        <v>07/27/2020 00:00</v>
      </c>
      <c r="C6876">
        <v>381</v>
      </c>
      <c r="D6876" t="s">
        <v>7</v>
      </c>
      <c r="E6876" s="2" t="s">
        <v>12</v>
      </c>
      <c r="F6876">
        <f t="shared" si="107"/>
        <v>755.52300000000002</v>
      </c>
      <c r="G6876" t="s">
        <v>16</v>
      </c>
      <c r="H6876" t="s">
        <v>10</v>
      </c>
      <c r="J6876" t="str">
        <f>"07/28/2020 00:39"</f>
        <v>07/28/2020 00:39</v>
      </c>
    </row>
    <row r="6877" spans="1:10" x14ac:dyDescent="0.3">
      <c r="A6877" t="s">
        <v>6</v>
      </c>
      <c r="B6877" t="str">
        <f>"07/28/2020 00:00"</f>
        <v>07/28/2020 00:00</v>
      </c>
      <c r="C6877">
        <v>381</v>
      </c>
      <c r="D6877" t="s">
        <v>7</v>
      </c>
      <c r="E6877" s="2" t="s">
        <v>12</v>
      </c>
      <c r="F6877">
        <f t="shared" si="107"/>
        <v>755.52300000000002</v>
      </c>
      <c r="G6877" t="s">
        <v>16</v>
      </c>
      <c r="H6877" t="s">
        <v>10</v>
      </c>
      <c r="J6877" t="str">
        <f>"07/29/2020 00:39"</f>
        <v>07/29/2020 00:39</v>
      </c>
    </row>
    <row r="6878" spans="1:10" x14ac:dyDescent="0.3">
      <c r="A6878" t="s">
        <v>6</v>
      </c>
      <c r="B6878" t="str">
        <f>"07/29/2020 00:00"</f>
        <v>07/29/2020 00:00</v>
      </c>
      <c r="C6878">
        <v>380</v>
      </c>
      <c r="D6878" t="s">
        <v>7</v>
      </c>
      <c r="E6878" s="2" t="s">
        <v>12</v>
      </c>
      <c r="F6878">
        <f t="shared" si="107"/>
        <v>753.54000000000008</v>
      </c>
      <c r="G6878" t="s">
        <v>16</v>
      </c>
      <c r="H6878" t="s">
        <v>10</v>
      </c>
      <c r="J6878" t="str">
        <f>"07/30/2020 00:39"</f>
        <v>07/30/2020 00:39</v>
      </c>
    </row>
    <row r="6879" spans="1:10" x14ac:dyDescent="0.3">
      <c r="A6879" t="s">
        <v>6</v>
      </c>
      <c r="B6879" t="str">
        <f>"07/30/2020 00:00"</f>
        <v>07/30/2020 00:00</v>
      </c>
      <c r="C6879">
        <v>381</v>
      </c>
      <c r="D6879" t="s">
        <v>7</v>
      </c>
      <c r="E6879" s="2" t="s">
        <v>12</v>
      </c>
      <c r="F6879">
        <f t="shared" si="107"/>
        <v>755.52300000000002</v>
      </c>
      <c r="G6879" t="s">
        <v>16</v>
      </c>
      <c r="H6879" t="s">
        <v>10</v>
      </c>
      <c r="J6879" t="str">
        <f>"07/31/2020 00:39"</f>
        <v>07/31/2020 00:39</v>
      </c>
    </row>
    <row r="6880" spans="1:10" x14ac:dyDescent="0.3">
      <c r="A6880" t="s">
        <v>6</v>
      </c>
      <c r="B6880" t="str">
        <f>"07/31/2020 00:00"</f>
        <v>07/31/2020 00:00</v>
      </c>
      <c r="C6880">
        <v>381</v>
      </c>
      <c r="D6880" t="s">
        <v>7</v>
      </c>
      <c r="E6880" s="2" t="s">
        <v>12</v>
      </c>
      <c r="F6880">
        <f t="shared" si="107"/>
        <v>755.52300000000002</v>
      </c>
      <c r="G6880" t="s">
        <v>16</v>
      </c>
      <c r="H6880" t="s">
        <v>10</v>
      </c>
      <c r="J6880" t="str">
        <f>"08/01/2020 00:39"</f>
        <v>08/01/2020 00:39</v>
      </c>
    </row>
    <row r="6881" spans="1:10" x14ac:dyDescent="0.3">
      <c r="A6881" t="s">
        <v>6</v>
      </c>
      <c r="B6881" t="str">
        <f>"08/01/2020 00:00"</f>
        <v>08/01/2020 00:00</v>
      </c>
      <c r="C6881">
        <v>381</v>
      </c>
      <c r="D6881" t="s">
        <v>7</v>
      </c>
      <c r="E6881" s="2" t="s">
        <v>12</v>
      </c>
      <c r="F6881">
        <f t="shared" si="107"/>
        <v>755.52300000000002</v>
      </c>
      <c r="G6881" t="s">
        <v>16</v>
      </c>
      <c r="H6881" t="s">
        <v>10</v>
      </c>
      <c r="J6881" t="str">
        <f>"08/02/2020 00:39"</f>
        <v>08/02/2020 00:39</v>
      </c>
    </row>
    <row r="6882" spans="1:10" x14ac:dyDescent="0.3">
      <c r="A6882" t="s">
        <v>6</v>
      </c>
      <c r="B6882" t="str">
        <f>"08/02/2020 00:00"</f>
        <v>08/02/2020 00:00</v>
      </c>
      <c r="C6882">
        <v>381</v>
      </c>
      <c r="D6882" t="s">
        <v>7</v>
      </c>
      <c r="E6882" s="2" t="s">
        <v>12</v>
      </c>
      <c r="F6882">
        <f t="shared" si="107"/>
        <v>755.52300000000002</v>
      </c>
      <c r="G6882" t="s">
        <v>16</v>
      </c>
      <c r="H6882" t="s">
        <v>10</v>
      </c>
      <c r="J6882" t="str">
        <f>"08/03/2020 00:39"</f>
        <v>08/03/2020 00:39</v>
      </c>
    </row>
    <row r="6883" spans="1:10" x14ac:dyDescent="0.3">
      <c r="A6883" t="s">
        <v>6</v>
      </c>
      <c r="B6883" t="str">
        <f>"08/03/2020 00:00"</f>
        <v>08/03/2020 00:00</v>
      </c>
      <c r="C6883">
        <v>381</v>
      </c>
      <c r="D6883" t="s">
        <v>7</v>
      </c>
      <c r="E6883" s="2" t="s">
        <v>12</v>
      </c>
      <c r="F6883">
        <f t="shared" si="107"/>
        <v>755.52300000000002</v>
      </c>
      <c r="G6883" t="s">
        <v>16</v>
      </c>
      <c r="H6883" t="s">
        <v>10</v>
      </c>
      <c r="J6883" t="str">
        <f>"08/04/2020 00:39"</f>
        <v>08/04/2020 00:39</v>
      </c>
    </row>
    <row r="6884" spans="1:10" x14ac:dyDescent="0.3">
      <c r="A6884" t="s">
        <v>6</v>
      </c>
      <c r="B6884" t="str">
        <f>"08/04/2020 00:00"</f>
        <v>08/04/2020 00:00</v>
      </c>
      <c r="C6884">
        <v>381</v>
      </c>
      <c r="D6884" t="s">
        <v>7</v>
      </c>
      <c r="E6884" s="2" t="s">
        <v>12</v>
      </c>
      <c r="F6884">
        <f t="shared" si="107"/>
        <v>755.52300000000002</v>
      </c>
      <c r="G6884" t="s">
        <v>16</v>
      </c>
      <c r="H6884" t="s">
        <v>10</v>
      </c>
      <c r="J6884" t="str">
        <f>"08/05/2020 00:39"</f>
        <v>08/05/2020 00:39</v>
      </c>
    </row>
    <row r="6885" spans="1:10" x14ac:dyDescent="0.3">
      <c r="A6885" t="s">
        <v>6</v>
      </c>
      <c r="B6885" t="str">
        <f>"08/05/2020 00:00"</f>
        <v>08/05/2020 00:00</v>
      </c>
      <c r="C6885">
        <v>381</v>
      </c>
      <c r="D6885" t="s">
        <v>7</v>
      </c>
      <c r="E6885" s="2" t="s">
        <v>12</v>
      </c>
      <c r="F6885">
        <f t="shared" si="107"/>
        <v>755.52300000000002</v>
      </c>
      <c r="G6885" t="s">
        <v>16</v>
      </c>
      <c r="H6885" t="s">
        <v>10</v>
      </c>
      <c r="J6885" t="str">
        <f>"08/06/2020 00:39"</f>
        <v>08/06/2020 00:39</v>
      </c>
    </row>
    <row r="6886" spans="1:10" x14ac:dyDescent="0.3">
      <c r="A6886" t="s">
        <v>6</v>
      </c>
      <c r="B6886" t="str">
        <f>"08/06/2020 00:00"</f>
        <v>08/06/2020 00:00</v>
      </c>
      <c r="C6886">
        <v>380</v>
      </c>
      <c r="D6886" t="s">
        <v>7</v>
      </c>
      <c r="E6886" s="2" t="s">
        <v>12</v>
      </c>
      <c r="F6886">
        <f t="shared" si="107"/>
        <v>753.54000000000008</v>
      </c>
      <c r="G6886" t="s">
        <v>16</v>
      </c>
      <c r="H6886" t="s">
        <v>10</v>
      </c>
      <c r="J6886" t="str">
        <f>"08/07/2020 00:39"</f>
        <v>08/07/2020 00:39</v>
      </c>
    </row>
    <row r="6887" spans="1:10" x14ac:dyDescent="0.3">
      <c r="A6887" t="s">
        <v>6</v>
      </c>
      <c r="B6887" t="str">
        <f>"08/07/2020 00:00"</f>
        <v>08/07/2020 00:00</v>
      </c>
      <c r="C6887">
        <v>380</v>
      </c>
      <c r="D6887" t="s">
        <v>7</v>
      </c>
      <c r="E6887" s="2" t="s">
        <v>12</v>
      </c>
      <c r="F6887">
        <f t="shared" si="107"/>
        <v>753.54000000000008</v>
      </c>
      <c r="G6887" t="s">
        <v>16</v>
      </c>
      <c r="H6887" t="s">
        <v>10</v>
      </c>
      <c r="J6887" t="str">
        <f>"08/08/2020 00:39"</f>
        <v>08/08/2020 00:39</v>
      </c>
    </row>
    <row r="6888" spans="1:10" x14ac:dyDescent="0.3">
      <c r="A6888" t="s">
        <v>6</v>
      </c>
      <c r="B6888" t="str">
        <f>"08/08/2020 00:00"</f>
        <v>08/08/2020 00:00</v>
      </c>
      <c r="C6888">
        <v>380</v>
      </c>
      <c r="D6888" t="s">
        <v>7</v>
      </c>
      <c r="E6888" s="2" t="s">
        <v>12</v>
      </c>
      <c r="F6888">
        <f t="shared" si="107"/>
        <v>753.54000000000008</v>
      </c>
      <c r="G6888" t="s">
        <v>16</v>
      </c>
      <c r="H6888" t="s">
        <v>10</v>
      </c>
      <c r="J6888" t="str">
        <f>"08/09/2020 00:39"</f>
        <v>08/09/2020 00:39</v>
      </c>
    </row>
    <row r="6889" spans="1:10" x14ac:dyDescent="0.3">
      <c r="A6889" t="s">
        <v>6</v>
      </c>
      <c r="B6889" t="str">
        <f>"08/09/2020 00:00"</f>
        <v>08/09/2020 00:00</v>
      </c>
      <c r="C6889">
        <v>380</v>
      </c>
      <c r="D6889" t="s">
        <v>7</v>
      </c>
      <c r="E6889" s="2" t="s">
        <v>12</v>
      </c>
      <c r="F6889">
        <f t="shared" si="107"/>
        <v>753.54000000000008</v>
      </c>
      <c r="G6889" t="s">
        <v>16</v>
      </c>
      <c r="H6889" t="s">
        <v>10</v>
      </c>
      <c r="J6889" t="str">
        <f>"08/10/2020 00:39"</f>
        <v>08/10/2020 00:39</v>
      </c>
    </row>
    <row r="6890" spans="1:10" x14ac:dyDescent="0.3">
      <c r="A6890" t="s">
        <v>6</v>
      </c>
      <c r="B6890" t="str">
        <f>"08/10/2020 00:00"</f>
        <v>08/10/2020 00:00</v>
      </c>
      <c r="C6890">
        <v>358</v>
      </c>
      <c r="D6890" t="s">
        <v>7</v>
      </c>
      <c r="E6890" s="2" t="s">
        <v>12</v>
      </c>
      <c r="F6890">
        <f t="shared" si="107"/>
        <v>709.91399999999999</v>
      </c>
      <c r="G6890" t="s">
        <v>16</v>
      </c>
      <c r="H6890" t="s">
        <v>10</v>
      </c>
      <c r="J6890" t="str">
        <f>"08/11/2020 00:39"</f>
        <v>08/11/2020 00:39</v>
      </c>
    </row>
    <row r="6891" spans="1:10" x14ac:dyDescent="0.3">
      <c r="A6891" t="s">
        <v>6</v>
      </c>
      <c r="B6891" t="str">
        <f>"08/11/2020 00:00"</f>
        <v>08/11/2020 00:00</v>
      </c>
      <c r="C6891">
        <v>313</v>
      </c>
      <c r="D6891" t="s">
        <v>7</v>
      </c>
      <c r="E6891" s="2" t="s">
        <v>12</v>
      </c>
      <c r="F6891">
        <f t="shared" si="107"/>
        <v>620.67899999999997</v>
      </c>
      <c r="G6891" t="s">
        <v>16</v>
      </c>
      <c r="H6891" t="s">
        <v>10</v>
      </c>
      <c r="J6891" t="str">
        <f>"08/12/2020 00:39"</f>
        <v>08/12/2020 00:39</v>
      </c>
    </row>
    <row r="6892" spans="1:10" x14ac:dyDescent="0.3">
      <c r="A6892" t="s">
        <v>6</v>
      </c>
      <c r="B6892" t="str">
        <f>"08/12/2020 00:00"</f>
        <v>08/12/2020 00:00</v>
      </c>
      <c r="C6892">
        <v>273</v>
      </c>
      <c r="D6892" t="s">
        <v>7</v>
      </c>
      <c r="E6892" s="2" t="s">
        <v>12</v>
      </c>
      <c r="F6892">
        <f t="shared" si="107"/>
        <v>541.35900000000004</v>
      </c>
      <c r="G6892" t="s">
        <v>16</v>
      </c>
      <c r="H6892" t="s">
        <v>10</v>
      </c>
      <c r="J6892" t="str">
        <f>"08/13/2020 00:39"</f>
        <v>08/13/2020 00:39</v>
      </c>
    </row>
    <row r="6893" spans="1:10" x14ac:dyDescent="0.3">
      <c r="A6893" t="s">
        <v>6</v>
      </c>
      <c r="B6893" t="str">
        <f>"08/13/2020 00:00"</f>
        <v>08/13/2020 00:00</v>
      </c>
      <c r="C6893">
        <v>235</v>
      </c>
      <c r="D6893" t="s">
        <v>7</v>
      </c>
      <c r="E6893" s="2" t="s">
        <v>12</v>
      </c>
      <c r="F6893">
        <f t="shared" si="107"/>
        <v>466.005</v>
      </c>
      <c r="G6893" t="s">
        <v>16</v>
      </c>
      <c r="H6893" t="s">
        <v>10</v>
      </c>
      <c r="J6893" t="str">
        <f>"08/14/2020 00:39"</f>
        <v>08/14/2020 00:39</v>
      </c>
    </row>
    <row r="6894" spans="1:10" x14ac:dyDescent="0.3">
      <c r="A6894" t="s">
        <v>6</v>
      </c>
      <c r="B6894" t="str">
        <f>"08/14/2020 00:00"</f>
        <v>08/14/2020 00:00</v>
      </c>
      <c r="C6894">
        <v>195</v>
      </c>
      <c r="D6894" t="s">
        <v>7</v>
      </c>
      <c r="E6894" s="2" t="s">
        <v>12</v>
      </c>
      <c r="F6894">
        <f t="shared" si="107"/>
        <v>386.685</v>
      </c>
      <c r="G6894" t="s">
        <v>16</v>
      </c>
      <c r="H6894" t="s">
        <v>10</v>
      </c>
      <c r="J6894" t="str">
        <f>"08/15/2020 00:39"</f>
        <v>08/15/2020 00:39</v>
      </c>
    </row>
    <row r="6895" spans="1:10" x14ac:dyDescent="0.3">
      <c r="A6895" t="s">
        <v>6</v>
      </c>
      <c r="B6895" t="str">
        <f>"08/15/2020 00:00"</f>
        <v>08/15/2020 00:00</v>
      </c>
      <c r="C6895">
        <v>154</v>
      </c>
      <c r="D6895" t="s">
        <v>7</v>
      </c>
      <c r="E6895" s="2" t="s">
        <v>12</v>
      </c>
      <c r="F6895">
        <f t="shared" si="107"/>
        <v>305.38200000000001</v>
      </c>
      <c r="G6895" t="s">
        <v>16</v>
      </c>
      <c r="H6895" t="s">
        <v>10</v>
      </c>
      <c r="J6895" t="str">
        <f>"08/16/2020 00:39"</f>
        <v>08/16/2020 00:39</v>
      </c>
    </row>
    <row r="6896" spans="1:10" x14ac:dyDescent="0.3">
      <c r="A6896" t="s">
        <v>6</v>
      </c>
      <c r="B6896" t="str">
        <f>"08/16/2020 00:00"</f>
        <v>08/16/2020 00:00</v>
      </c>
      <c r="C6896">
        <v>111</v>
      </c>
      <c r="D6896" t="s">
        <v>7</v>
      </c>
      <c r="E6896" s="2" t="s">
        <v>12</v>
      </c>
      <c r="F6896">
        <f t="shared" si="107"/>
        <v>220.113</v>
      </c>
      <c r="G6896" t="s">
        <v>16</v>
      </c>
      <c r="H6896" t="s">
        <v>10</v>
      </c>
      <c r="J6896" t="str">
        <f>"08/17/2020 00:39"</f>
        <v>08/17/2020 00:39</v>
      </c>
    </row>
    <row r="6897" spans="1:10" x14ac:dyDescent="0.3">
      <c r="A6897" t="s">
        <v>6</v>
      </c>
      <c r="B6897" t="str">
        <f>"08/17/2020 00:00"</f>
        <v>08/17/2020 00:00</v>
      </c>
      <c r="C6897">
        <v>72.099999999999994</v>
      </c>
      <c r="D6897" t="s">
        <v>7</v>
      </c>
      <c r="E6897" s="2" t="s">
        <v>12</v>
      </c>
      <c r="F6897">
        <f t="shared" si="107"/>
        <v>142.9743</v>
      </c>
      <c r="G6897" t="s">
        <v>16</v>
      </c>
      <c r="H6897" t="s">
        <v>10</v>
      </c>
      <c r="J6897" t="str">
        <f>"08/18/2020 00:39"</f>
        <v>08/18/2020 00:39</v>
      </c>
    </row>
    <row r="6898" spans="1:10" x14ac:dyDescent="0.3">
      <c r="A6898" t="s">
        <v>6</v>
      </c>
      <c r="B6898" t="str">
        <f>"08/18/2020 00:00"</f>
        <v>08/18/2020 00:00</v>
      </c>
      <c r="C6898">
        <v>57.7</v>
      </c>
      <c r="D6898" t="s">
        <v>7</v>
      </c>
      <c r="E6898" s="2" t="s">
        <v>12</v>
      </c>
      <c r="F6898">
        <f t="shared" si="107"/>
        <v>114.41910000000001</v>
      </c>
      <c r="G6898" t="s">
        <v>16</v>
      </c>
      <c r="H6898" t="s">
        <v>10</v>
      </c>
      <c r="J6898" t="str">
        <f>"08/19/2020 00:39"</f>
        <v>08/19/2020 00:39</v>
      </c>
    </row>
    <row r="6899" spans="1:10" x14ac:dyDescent="0.3">
      <c r="A6899" t="s">
        <v>6</v>
      </c>
      <c r="B6899" t="str">
        <f>"08/19/2020 00:00"</f>
        <v>08/19/2020 00:00</v>
      </c>
      <c r="C6899">
        <v>70.400000000000006</v>
      </c>
      <c r="D6899" t="s">
        <v>7</v>
      </c>
      <c r="E6899" s="2" t="s">
        <v>12</v>
      </c>
      <c r="F6899">
        <f t="shared" si="107"/>
        <v>139.60320000000002</v>
      </c>
      <c r="G6899" t="s">
        <v>16</v>
      </c>
      <c r="H6899" t="s">
        <v>10</v>
      </c>
      <c r="J6899" t="str">
        <f>"08/20/2020 00:39"</f>
        <v>08/20/2020 00:39</v>
      </c>
    </row>
    <row r="6900" spans="1:10" x14ac:dyDescent="0.3">
      <c r="A6900" t="s">
        <v>6</v>
      </c>
      <c r="B6900" t="str">
        <f>"08/20/2020 00:00"</f>
        <v>08/20/2020 00:00</v>
      </c>
      <c r="C6900">
        <v>42.4</v>
      </c>
      <c r="D6900" t="s">
        <v>7</v>
      </c>
      <c r="E6900" s="2" t="s">
        <v>12</v>
      </c>
      <c r="F6900">
        <f t="shared" si="107"/>
        <v>84.0792</v>
      </c>
      <c r="G6900" t="s">
        <v>16</v>
      </c>
      <c r="H6900" t="s">
        <v>10</v>
      </c>
      <c r="J6900" t="str">
        <f>"08/21/2020 00:39"</f>
        <v>08/21/2020 00:39</v>
      </c>
    </row>
    <row r="6901" spans="1:10" x14ac:dyDescent="0.3">
      <c r="A6901" t="s">
        <v>6</v>
      </c>
      <c r="B6901" t="str">
        <f>"08/21/2020 00:00"</f>
        <v>08/21/2020 00:00</v>
      </c>
      <c r="C6901">
        <v>9.25</v>
      </c>
      <c r="D6901" t="s">
        <v>7</v>
      </c>
      <c r="E6901" s="2" t="s">
        <v>12</v>
      </c>
      <c r="F6901">
        <f t="shared" si="107"/>
        <v>18.342750000000002</v>
      </c>
      <c r="G6901" t="s">
        <v>16</v>
      </c>
      <c r="H6901" t="s">
        <v>10</v>
      </c>
      <c r="J6901" t="str">
        <f>"08/22/2020 00:39"</f>
        <v>08/22/2020 00:39</v>
      </c>
    </row>
    <row r="6902" spans="1:10" x14ac:dyDescent="0.3">
      <c r="A6902" t="s">
        <v>6</v>
      </c>
      <c r="B6902" t="str">
        <f>"08/22/2020 00:00"</f>
        <v>08/22/2020 00:00</v>
      </c>
      <c r="C6902">
        <v>8.58</v>
      </c>
      <c r="D6902" t="s">
        <v>7</v>
      </c>
      <c r="E6902" s="2" t="s">
        <v>12</v>
      </c>
      <c r="F6902">
        <f t="shared" si="107"/>
        <v>17.014140000000001</v>
      </c>
      <c r="G6902" t="s">
        <v>16</v>
      </c>
      <c r="H6902" t="s">
        <v>10</v>
      </c>
      <c r="J6902" t="str">
        <f>"08/23/2020 00:39"</f>
        <v>08/23/2020 00:39</v>
      </c>
    </row>
    <row r="6903" spans="1:10" x14ac:dyDescent="0.3">
      <c r="A6903" t="s">
        <v>6</v>
      </c>
      <c r="B6903" t="str">
        <f>"08/23/2020 00:00"</f>
        <v>08/23/2020 00:00</v>
      </c>
      <c r="C6903">
        <v>8.14</v>
      </c>
      <c r="D6903" t="s">
        <v>7</v>
      </c>
      <c r="E6903" s="2" t="s">
        <v>12</v>
      </c>
      <c r="F6903">
        <f t="shared" si="107"/>
        <v>16.141620000000003</v>
      </c>
      <c r="G6903" t="s">
        <v>16</v>
      </c>
      <c r="H6903" t="s">
        <v>10</v>
      </c>
      <c r="J6903" t="str">
        <f>"08/24/2020 00:39"</f>
        <v>08/24/2020 00:39</v>
      </c>
    </row>
    <row r="6904" spans="1:10" x14ac:dyDescent="0.3">
      <c r="A6904" t="s">
        <v>6</v>
      </c>
      <c r="B6904" t="str">
        <f>"08/24/2020 00:00"</f>
        <v>08/24/2020 00:00</v>
      </c>
      <c r="C6904">
        <v>8.6999999999999993</v>
      </c>
      <c r="D6904" t="s">
        <v>7</v>
      </c>
      <c r="E6904" s="2" t="s">
        <v>12</v>
      </c>
      <c r="F6904">
        <f t="shared" si="107"/>
        <v>17.252099999999999</v>
      </c>
      <c r="G6904" t="s">
        <v>16</v>
      </c>
      <c r="H6904" t="s">
        <v>10</v>
      </c>
      <c r="J6904" t="str">
        <f>"08/25/2020 00:39"</f>
        <v>08/25/2020 00:39</v>
      </c>
    </row>
    <row r="6905" spans="1:10" x14ac:dyDescent="0.3">
      <c r="A6905" t="s">
        <v>6</v>
      </c>
      <c r="B6905" t="str">
        <f>"08/25/2020 00:00"</f>
        <v>08/25/2020 00:00</v>
      </c>
      <c r="C6905">
        <v>9.39</v>
      </c>
      <c r="D6905" t="s">
        <v>7</v>
      </c>
      <c r="E6905" s="2" t="s">
        <v>12</v>
      </c>
      <c r="F6905">
        <f t="shared" si="107"/>
        <v>18.620370000000001</v>
      </c>
      <c r="G6905" t="s">
        <v>16</v>
      </c>
      <c r="H6905" t="s">
        <v>10</v>
      </c>
      <c r="J6905" t="str">
        <f>"08/26/2020 00:39"</f>
        <v>08/26/2020 00:39</v>
      </c>
    </row>
    <row r="6906" spans="1:10" x14ac:dyDescent="0.3">
      <c r="A6906" t="s">
        <v>6</v>
      </c>
      <c r="B6906" t="str">
        <f>"08/26/2020 00:00"</f>
        <v>08/26/2020 00:00</v>
      </c>
      <c r="C6906">
        <v>6.72</v>
      </c>
      <c r="D6906" t="s">
        <v>7</v>
      </c>
      <c r="E6906" s="2" t="s">
        <v>12</v>
      </c>
      <c r="F6906">
        <f t="shared" si="107"/>
        <v>13.325760000000001</v>
      </c>
      <c r="G6906" t="s">
        <v>16</v>
      </c>
      <c r="H6906" t="s">
        <v>10</v>
      </c>
      <c r="J6906" t="str">
        <f>"08/27/2020 00:39"</f>
        <v>08/27/2020 00:39</v>
      </c>
    </row>
    <row r="6907" spans="1:10" x14ac:dyDescent="0.3">
      <c r="A6907" t="s">
        <v>6</v>
      </c>
      <c r="B6907" t="str">
        <f>"08/27/2020 00:00"</f>
        <v>08/27/2020 00:00</v>
      </c>
      <c r="C6907">
        <v>3.81</v>
      </c>
      <c r="D6907" t="s">
        <v>7</v>
      </c>
      <c r="E6907" s="2" t="s">
        <v>12</v>
      </c>
      <c r="F6907">
        <f t="shared" si="107"/>
        <v>7.5552300000000008</v>
      </c>
      <c r="G6907" t="s">
        <v>16</v>
      </c>
      <c r="H6907" t="s">
        <v>10</v>
      </c>
      <c r="J6907" t="str">
        <f>"08/28/2020 00:39"</f>
        <v>08/28/2020 00:39</v>
      </c>
    </row>
    <row r="6908" spans="1:10" x14ac:dyDescent="0.3">
      <c r="A6908" t="s">
        <v>6</v>
      </c>
      <c r="B6908" t="str">
        <f>"08/28/2020 00:00"</f>
        <v>08/28/2020 00:00</v>
      </c>
      <c r="C6908">
        <v>2.2999999999999998</v>
      </c>
      <c r="D6908" t="s">
        <v>7</v>
      </c>
      <c r="E6908" s="2" t="s">
        <v>12</v>
      </c>
      <c r="F6908">
        <f t="shared" si="107"/>
        <v>4.5609000000000002</v>
      </c>
      <c r="G6908" t="s">
        <v>16</v>
      </c>
      <c r="H6908" t="s">
        <v>10</v>
      </c>
      <c r="J6908" t="str">
        <f>"08/29/2020 00:39"</f>
        <v>08/29/2020 00:39</v>
      </c>
    </row>
    <row r="6909" spans="1:10" x14ac:dyDescent="0.3">
      <c r="A6909" t="s">
        <v>6</v>
      </c>
      <c r="B6909" t="str">
        <f>"08/29/2020 00:00"</f>
        <v>08/29/2020 00:00</v>
      </c>
      <c r="C6909">
        <v>2.33</v>
      </c>
      <c r="D6909" t="s">
        <v>7</v>
      </c>
      <c r="E6909" s="2" t="s">
        <v>12</v>
      </c>
      <c r="F6909">
        <f t="shared" si="107"/>
        <v>4.6203900000000004</v>
      </c>
      <c r="G6909" t="s">
        <v>16</v>
      </c>
      <c r="H6909" t="s">
        <v>10</v>
      </c>
      <c r="J6909" t="str">
        <f>"08/30/2020 00:39"</f>
        <v>08/30/2020 00:39</v>
      </c>
    </row>
    <row r="6910" spans="1:10" x14ac:dyDescent="0.3">
      <c r="A6910" t="s">
        <v>6</v>
      </c>
      <c r="B6910" t="str">
        <f>"08/30/2020 00:00"</f>
        <v>08/30/2020 00:00</v>
      </c>
      <c r="C6910">
        <v>2.33</v>
      </c>
      <c r="D6910" t="s">
        <v>7</v>
      </c>
      <c r="E6910" s="2" t="s">
        <v>12</v>
      </c>
      <c r="F6910">
        <f t="shared" si="107"/>
        <v>4.6203900000000004</v>
      </c>
      <c r="G6910" t="s">
        <v>16</v>
      </c>
      <c r="H6910" t="s">
        <v>10</v>
      </c>
      <c r="J6910" t="str">
        <f>"08/31/2020 00:39"</f>
        <v>08/31/2020 00:39</v>
      </c>
    </row>
    <row r="6911" spans="1:10" x14ac:dyDescent="0.3">
      <c r="A6911" t="s">
        <v>6</v>
      </c>
      <c r="B6911" t="str">
        <f>"08/31/2020 00:00"</f>
        <v>08/31/2020 00:00</v>
      </c>
      <c r="C6911">
        <v>2.33</v>
      </c>
      <c r="D6911" t="s">
        <v>7</v>
      </c>
      <c r="E6911" s="2" t="s">
        <v>12</v>
      </c>
      <c r="F6911">
        <f t="shared" si="107"/>
        <v>4.6203900000000004</v>
      </c>
      <c r="G6911" t="s">
        <v>16</v>
      </c>
      <c r="H6911" t="s">
        <v>10</v>
      </c>
      <c r="J6911" t="str">
        <f>"09/01/2020 00:39"</f>
        <v>09/01/2020 00:39</v>
      </c>
    </row>
    <row r="6912" spans="1:10" x14ac:dyDescent="0.3">
      <c r="A6912" t="s">
        <v>6</v>
      </c>
      <c r="B6912" t="str">
        <f>"09/01/2020 00:00"</f>
        <v>09/01/2020 00:00</v>
      </c>
      <c r="C6912">
        <v>2.33</v>
      </c>
      <c r="D6912" t="s">
        <v>7</v>
      </c>
      <c r="E6912" s="2" t="s">
        <v>12</v>
      </c>
      <c r="F6912">
        <f t="shared" si="107"/>
        <v>4.6203900000000004</v>
      </c>
      <c r="G6912" t="s">
        <v>16</v>
      </c>
      <c r="H6912" t="s">
        <v>10</v>
      </c>
      <c r="J6912" t="str">
        <f>"09/02/2020 00:39"</f>
        <v>09/02/2020 00:39</v>
      </c>
    </row>
    <row r="6913" spans="1:10" x14ac:dyDescent="0.3">
      <c r="A6913" t="s">
        <v>6</v>
      </c>
      <c r="B6913" t="str">
        <f>"09/02/2020 00:00"</f>
        <v>09/02/2020 00:00</v>
      </c>
      <c r="C6913">
        <v>2.33</v>
      </c>
      <c r="D6913" t="s">
        <v>7</v>
      </c>
      <c r="E6913" s="2" t="s">
        <v>12</v>
      </c>
      <c r="F6913">
        <f t="shared" si="107"/>
        <v>4.6203900000000004</v>
      </c>
      <c r="G6913" t="s">
        <v>16</v>
      </c>
      <c r="H6913" t="s">
        <v>10</v>
      </c>
      <c r="J6913" t="str">
        <f>"09/03/2020 00:39"</f>
        <v>09/03/2020 00:39</v>
      </c>
    </row>
    <row r="6914" spans="1:10" x14ac:dyDescent="0.3">
      <c r="A6914" t="s">
        <v>6</v>
      </c>
      <c r="B6914" t="str">
        <f>"09/03/2020 00:00"</f>
        <v>09/03/2020 00:00</v>
      </c>
      <c r="C6914">
        <v>2.31</v>
      </c>
      <c r="D6914" t="s">
        <v>7</v>
      </c>
      <c r="E6914" s="2" t="s">
        <v>12</v>
      </c>
      <c r="F6914">
        <f t="shared" si="107"/>
        <v>4.58073</v>
      </c>
      <c r="G6914" t="s">
        <v>16</v>
      </c>
      <c r="H6914" t="s">
        <v>10</v>
      </c>
      <c r="J6914" t="str">
        <f>"09/04/2020 00:39"</f>
        <v>09/04/2020 00:39</v>
      </c>
    </row>
    <row r="6915" spans="1:10" x14ac:dyDescent="0.3">
      <c r="A6915" t="s">
        <v>6</v>
      </c>
      <c r="B6915" t="str">
        <f>"09/04/2020 00:00"</f>
        <v>09/04/2020 00:00</v>
      </c>
      <c r="C6915">
        <v>2.2799999999999998</v>
      </c>
      <c r="D6915" t="s">
        <v>7</v>
      </c>
      <c r="E6915" s="2" t="s">
        <v>12</v>
      </c>
      <c r="F6915">
        <f t="shared" si="107"/>
        <v>4.5212399999999997</v>
      </c>
      <c r="G6915" t="s">
        <v>16</v>
      </c>
      <c r="H6915" t="s">
        <v>10</v>
      </c>
      <c r="J6915" t="str">
        <f>"09/05/2020 00:40"</f>
        <v>09/05/2020 00:40</v>
      </c>
    </row>
    <row r="6916" spans="1:10" x14ac:dyDescent="0.3">
      <c r="A6916" t="s">
        <v>6</v>
      </c>
      <c r="B6916" t="str">
        <f>"09/05/2020 00:00"</f>
        <v>09/05/2020 00:00</v>
      </c>
      <c r="C6916">
        <v>2.06</v>
      </c>
      <c r="D6916" t="s">
        <v>7</v>
      </c>
      <c r="E6916" s="2" t="s">
        <v>12</v>
      </c>
      <c r="F6916">
        <f t="shared" ref="F6916:F6979" si="108">C6916*1.983</f>
        <v>4.0849800000000007</v>
      </c>
      <c r="G6916" t="s">
        <v>16</v>
      </c>
      <c r="H6916" t="s">
        <v>10</v>
      </c>
      <c r="J6916" t="str">
        <f>"09/06/2020 00:39"</f>
        <v>09/06/2020 00:39</v>
      </c>
    </row>
    <row r="6917" spans="1:10" x14ac:dyDescent="0.3">
      <c r="A6917" t="s">
        <v>6</v>
      </c>
      <c r="B6917" t="str">
        <f>"09/06/2020 00:00"</f>
        <v>09/06/2020 00:00</v>
      </c>
      <c r="C6917">
        <v>2.0499999999999998</v>
      </c>
      <c r="D6917" t="s">
        <v>7</v>
      </c>
      <c r="E6917" s="2" t="s">
        <v>12</v>
      </c>
      <c r="F6917">
        <f t="shared" si="108"/>
        <v>4.06515</v>
      </c>
      <c r="G6917" t="s">
        <v>16</v>
      </c>
      <c r="H6917" t="s">
        <v>10</v>
      </c>
      <c r="J6917" t="str">
        <f>"09/07/2020 00:39"</f>
        <v>09/07/2020 00:39</v>
      </c>
    </row>
    <row r="6918" spans="1:10" x14ac:dyDescent="0.3">
      <c r="A6918" t="s">
        <v>6</v>
      </c>
      <c r="B6918" t="str">
        <f>"09/07/2020 00:00"</f>
        <v>09/07/2020 00:00</v>
      </c>
      <c r="C6918">
        <v>2.02</v>
      </c>
      <c r="D6918" t="s">
        <v>7</v>
      </c>
      <c r="E6918" s="2" t="s">
        <v>12</v>
      </c>
      <c r="F6918">
        <f t="shared" si="108"/>
        <v>4.0056600000000007</v>
      </c>
      <c r="G6918" t="s">
        <v>16</v>
      </c>
      <c r="H6918" t="s">
        <v>10</v>
      </c>
      <c r="J6918" t="str">
        <f>"09/08/2020 00:39"</f>
        <v>09/08/2020 00:39</v>
      </c>
    </row>
    <row r="6919" spans="1:10" x14ac:dyDescent="0.3">
      <c r="A6919" t="s">
        <v>6</v>
      </c>
      <c r="B6919" t="str">
        <f>"09/08/2020 00:00"</f>
        <v>09/08/2020 00:00</v>
      </c>
      <c r="C6919">
        <v>2.12</v>
      </c>
      <c r="D6919" t="s">
        <v>7</v>
      </c>
      <c r="E6919" s="2" t="s">
        <v>12</v>
      </c>
      <c r="F6919">
        <f t="shared" si="108"/>
        <v>4.2039600000000004</v>
      </c>
      <c r="G6919" t="s">
        <v>16</v>
      </c>
      <c r="H6919" t="s">
        <v>10</v>
      </c>
      <c r="J6919" t="str">
        <f>"09/09/2020 00:39"</f>
        <v>09/09/2020 00:39</v>
      </c>
    </row>
    <row r="6920" spans="1:10" x14ac:dyDescent="0.3">
      <c r="A6920" t="s">
        <v>6</v>
      </c>
      <c r="B6920" t="str">
        <f>"09/09/2020 00:00"</f>
        <v>09/09/2020 00:00</v>
      </c>
      <c r="C6920">
        <v>2.14</v>
      </c>
      <c r="D6920" t="s">
        <v>7</v>
      </c>
      <c r="E6920" s="2" t="s">
        <v>12</v>
      </c>
      <c r="F6920">
        <f t="shared" si="108"/>
        <v>4.2436200000000008</v>
      </c>
      <c r="G6920" t="s">
        <v>16</v>
      </c>
      <c r="H6920" t="s">
        <v>10</v>
      </c>
      <c r="J6920" t="str">
        <f>"09/10/2020 00:39"</f>
        <v>09/10/2020 00:39</v>
      </c>
    </row>
    <row r="6921" spans="1:10" x14ac:dyDescent="0.3">
      <c r="A6921" t="s">
        <v>6</v>
      </c>
      <c r="B6921" t="str">
        <f>"09/10/2020 00:00"</f>
        <v>09/10/2020 00:00</v>
      </c>
      <c r="C6921">
        <v>2.0299999999999998</v>
      </c>
      <c r="D6921" t="s">
        <v>7</v>
      </c>
      <c r="E6921" s="2" t="s">
        <v>12</v>
      </c>
      <c r="F6921">
        <f t="shared" si="108"/>
        <v>4.0254899999999996</v>
      </c>
      <c r="G6921" t="s">
        <v>16</v>
      </c>
      <c r="H6921" t="s">
        <v>10</v>
      </c>
      <c r="J6921" t="str">
        <f>"09/11/2020 00:39"</f>
        <v>09/11/2020 00:39</v>
      </c>
    </row>
    <row r="6922" spans="1:10" x14ac:dyDescent="0.3">
      <c r="A6922" t="s">
        <v>6</v>
      </c>
      <c r="B6922" t="str">
        <f>"09/11/2020 00:00"</f>
        <v>09/11/2020 00:00</v>
      </c>
      <c r="C6922">
        <v>2.02</v>
      </c>
      <c r="D6922" t="s">
        <v>7</v>
      </c>
      <c r="E6922" s="2" t="s">
        <v>12</v>
      </c>
      <c r="F6922">
        <f t="shared" si="108"/>
        <v>4.0056600000000007</v>
      </c>
      <c r="G6922" t="s">
        <v>16</v>
      </c>
      <c r="H6922" t="s">
        <v>10</v>
      </c>
      <c r="J6922" t="str">
        <f>"09/12/2020 00:39"</f>
        <v>09/12/2020 00:39</v>
      </c>
    </row>
    <row r="6923" spans="1:10" x14ac:dyDescent="0.3">
      <c r="A6923" t="s">
        <v>6</v>
      </c>
      <c r="B6923" t="str">
        <f>"09/12/2020 00:00"</f>
        <v>09/12/2020 00:00</v>
      </c>
      <c r="C6923">
        <v>2.02</v>
      </c>
      <c r="D6923" t="s">
        <v>7</v>
      </c>
      <c r="E6923" s="2" t="s">
        <v>12</v>
      </c>
      <c r="F6923">
        <f t="shared" si="108"/>
        <v>4.0056600000000007</v>
      </c>
      <c r="G6923" t="s">
        <v>16</v>
      </c>
      <c r="H6923" t="s">
        <v>10</v>
      </c>
      <c r="J6923" t="str">
        <f>"09/13/2020 00:39"</f>
        <v>09/13/2020 00:39</v>
      </c>
    </row>
    <row r="6924" spans="1:10" x14ac:dyDescent="0.3">
      <c r="A6924" t="s">
        <v>6</v>
      </c>
      <c r="B6924" t="str">
        <f>"09/13/2020 00:00"</f>
        <v>09/13/2020 00:00</v>
      </c>
      <c r="C6924">
        <v>2.02</v>
      </c>
      <c r="D6924" t="s">
        <v>7</v>
      </c>
      <c r="E6924" s="2" t="s">
        <v>12</v>
      </c>
      <c r="F6924">
        <f t="shared" si="108"/>
        <v>4.0056600000000007</v>
      </c>
      <c r="G6924" t="s">
        <v>16</v>
      </c>
      <c r="H6924" t="s">
        <v>10</v>
      </c>
      <c r="J6924" t="str">
        <f>"09/14/2020 00:39"</f>
        <v>09/14/2020 00:39</v>
      </c>
    </row>
    <row r="6925" spans="1:10" x14ac:dyDescent="0.3">
      <c r="A6925" t="s">
        <v>6</v>
      </c>
      <c r="B6925" t="str">
        <f>"09/14/2020 00:00"</f>
        <v>09/14/2020 00:00</v>
      </c>
      <c r="C6925">
        <v>1.9</v>
      </c>
      <c r="D6925" t="s">
        <v>7</v>
      </c>
      <c r="E6925" s="2" t="s">
        <v>12</v>
      </c>
      <c r="F6925">
        <f t="shared" si="108"/>
        <v>3.7677</v>
      </c>
      <c r="G6925" t="s">
        <v>16</v>
      </c>
      <c r="H6925" t="s">
        <v>10</v>
      </c>
      <c r="J6925" t="str">
        <f>"09/15/2020 00:40"</f>
        <v>09/15/2020 00:40</v>
      </c>
    </row>
    <row r="6926" spans="1:10" x14ac:dyDescent="0.3">
      <c r="A6926" t="s">
        <v>6</v>
      </c>
      <c r="B6926" t="str">
        <f>"09/15/2020 00:00"</f>
        <v>09/15/2020 00:00</v>
      </c>
      <c r="C6926">
        <v>1.74</v>
      </c>
      <c r="D6926" t="s">
        <v>7</v>
      </c>
      <c r="E6926" s="2" t="s">
        <v>12</v>
      </c>
      <c r="F6926">
        <f t="shared" si="108"/>
        <v>3.4504200000000003</v>
      </c>
      <c r="G6926" t="s">
        <v>16</v>
      </c>
      <c r="H6926" t="s">
        <v>10</v>
      </c>
      <c r="J6926" t="str">
        <f>"09/16/2020 00:39"</f>
        <v>09/16/2020 00:39</v>
      </c>
    </row>
    <row r="6927" spans="1:10" x14ac:dyDescent="0.3">
      <c r="A6927" t="s">
        <v>6</v>
      </c>
      <c r="B6927" t="str">
        <f>"09/16/2020 00:00"</f>
        <v>09/16/2020 00:00</v>
      </c>
      <c r="C6927">
        <v>1.77</v>
      </c>
      <c r="D6927" t="s">
        <v>7</v>
      </c>
      <c r="E6927" s="2" t="s">
        <v>12</v>
      </c>
      <c r="F6927">
        <f t="shared" si="108"/>
        <v>3.5099100000000001</v>
      </c>
      <c r="G6927" t="s">
        <v>16</v>
      </c>
      <c r="H6927" t="s">
        <v>10</v>
      </c>
      <c r="J6927" t="str">
        <f>"09/17/2020 00:39"</f>
        <v>09/17/2020 00:39</v>
      </c>
    </row>
    <row r="6928" spans="1:10" x14ac:dyDescent="0.3">
      <c r="A6928" t="s">
        <v>6</v>
      </c>
      <c r="B6928" t="str">
        <f>"09/17/2020 00:00"</f>
        <v>09/17/2020 00:00</v>
      </c>
      <c r="C6928">
        <v>1.74</v>
      </c>
      <c r="D6928" t="s">
        <v>7</v>
      </c>
      <c r="E6928" s="2" t="s">
        <v>12</v>
      </c>
      <c r="F6928">
        <f t="shared" si="108"/>
        <v>3.4504200000000003</v>
      </c>
      <c r="G6928" t="s">
        <v>16</v>
      </c>
      <c r="H6928" t="s">
        <v>10</v>
      </c>
      <c r="J6928" t="str">
        <f>"09/18/2020 00:40"</f>
        <v>09/18/2020 00:40</v>
      </c>
    </row>
    <row r="6929" spans="1:10" x14ac:dyDescent="0.3">
      <c r="A6929" t="s">
        <v>6</v>
      </c>
      <c r="B6929" t="str">
        <f>"09/18/2020 00:00"</f>
        <v>09/18/2020 00:00</v>
      </c>
      <c r="C6929">
        <v>1.74</v>
      </c>
      <c r="D6929" t="s">
        <v>7</v>
      </c>
      <c r="E6929" s="2" t="s">
        <v>12</v>
      </c>
      <c r="F6929">
        <f t="shared" si="108"/>
        <v>3.4504200000000003</v>
      </c>
      <c r="G6929" t="s">
        <v>16</v>
      </c>
      <c r="H6929" t="s">
        <v>10</v>
      </c>
      <c r="J6929" t="str">
        <f>"09/19/2020 00:39"</f>
        <v>09/19/2020 00:39</v>
      </c>
    </row>
    <row r="6930" spans="1:10" x14ac:dyDescent="0.3">
      <c r="A6930" t="s">
        <v>6</v>
      </c>
      <c r="B6930" t="str">
        <f>"09/19/2020 00:00"</f>
        <v>09/19/2020 00:00</v>
      </c>
      <c r="C6930">
        <v>1.74</v>
      </c>
      <c r="D6930" t="s">
        <v>7</v>
      </c>
      <c r="E6930" s="2" t="s">
        <v>12</v>
      </c>
      <c r="F6930">
        <f t="shared" si="108"/>
        <v>3.4504200000000003</v>
      </c>
      <c r="G6930" t="s">
        <v>16</v>
      </c>
      <c r="H6930" t="s">
        <v>10</v>
      </c>
      <c r="J6930" t="str">
        <f>"09/20/2020 00:39"</f>
        <v>09/20/2020 00:39</v>
      </c>
    </row>
    <row r="6931" spans="1:10" x14ac:dyDescent="0.3">
      <c r="A6931" t="s">
        <v>6</v>
      </c>
      <c r="B6931" t="str">
        <f>"09/20/2020 00:00"</f>
        <v>09/20/2020 00:00</v>
      </c>
      <c r="C6931">
        <v>1.74</v>
      </c>
      <c r="D6931" t="s">
        <v>7</v>
      </c>
      <c r="E6931" s="2" t="s">
        <v>12</v>
      </c>
      <c r="F6931">
        <f t="shared" si="108"/>
        <v>3.4504200000000003</v>
      </c>
      <c r="G6931" t="s">
        <v>16</v>
      </c>
      <c r="H6931" t="s">
        <v>10</v>
      </c>
      <c r="J6931" t="str">
        <f>"09/21/2020 00:40"</f>
        <v>09/21/2020 00:40</v>
      </c>
    </row>
    <row r="6932" spans="1:10" x14ac:dyDescent="0.3">
      <c r="A6932" t="s">
        <v>6</v>
      </c>
      <c r="B6932" t="str">
        <f>"09/21/2020 00:00"</f>
        <v>09/21/2020 00:00</v>
      </c>
      <c r="C6932">
        <v>1.74</v>
      </c>
      <c r="D6932" t="s">
        <v>7</v>
      </c>
      <c r="E6932" s="2" t="s">
        <v>12</v>
      </c>
      <c r="F6932">
        <f t="shared" si="108"/>
        <v>3.4504200000000003</v>
      </c>
      <c r="G6932" t="s">
        <v>16</v>
      </c>
      <c r="H6932" t="s">
        <v>10</v>
      </c>
      <c r="J6932" t="str">
        <f>"09/22/2020 00:39"</f>
        <v>09/22/2020 00:39</v>
      </c>
    </row>
    <row r="6933" spans="1:10" x14ac:dyDescent="0.3">
      <c r="A6933" t="s">
        <v>6</v>
      </c>
      <c r="B6933" t="str">
        <f>"09/22/2020 00:00"</f>
        <v>09/22/2020 00:00</v>
      </c>
      <c r="C6933">
        <v>1.74</v>
      </c>
      <c r="D6933" t="s">
        <v>7</v>
      </c>
      <c r="E6933" s="2" t="s">
        <v>12</v>
      </c>
      <c r="F6933">
        <f t="shared" si="108"/>
        <v>3.4504200000000003</v>
      </c>
      <c r="G6933" t="s">
        <v>16</v>
      </c>
      <c r="H6933" t="s">
        <v>10</v>
      </c>
      <c r="J6933" t="str">
        <f>"09/23/2020 00:39"</f>
        <v>09/23/2020 00:39</v>
      </c>
    </row>
    <row r="6934" spans="1:10" x14ac:dyDescent="0.3">
      <c r="A6934" t="s">
        <v>6</v>
      </c>
      <c r="B6934" t="str">
        <f>"09/23/2020 00:00"</f>
        <v>09/23/2020 00:00</v>
      </c>
      <c r="C6934">
        <v>1.74</v>
      </c>
      <c r="D6934" t="s">
        <v>7</v>
      </c>
      <c r="E6934" s="2" t="s">
        <v>12</v>
      </c>
      <c r="F6934">
        <f t="shared" si="108"/>
        <v>3.4504200000000003</v>
      </c>
      <c r="G6934" t="s">
        <v>16</v>
      </c>
      <c r="H6934" t="s">
        <v>10</v>
      </c>
      <c r="J6934" t="str">
        <f>"09/24/2020 00:39"</f>
        <v>09/24/2020 00:39</v>
      </c>
    </row>
    <row r="6935" spans="1:10" x14ac:dyDescent="0.3">
      <c r="A6935" t="s">
        <v>6</v>
      </c>
      <c r="B6935" t="str">
        <f>"09/24/2020 00:00"</f>
        <v>09/24/2020 00:00</v>
      </c>
      <c r="C6935">
        <v>1.74</v>
      </c>
      <c r="D6935" t="s">
        <v>7</v>
      </c>
      <c r="E6935" s="2" t="s">
        <v>12</v>
      </c>
      <c r="F6935">
        <f t="shared" si="108"/>
        <v>3.4504200000000003</v>
      </c>
      <c r="G6935" t="s">
        <v>16</v>
      </c>
      <c r="H6935" t="s">
        <v>10</v>
      </c>
      <c r="J6935" t="str">
        <f>"09/25/2020 00:40"</f>
        <v>09/25/2020 00:40</v>
      </c>
    </row>
    <row r="6936" spans="1:10" x14ac:dyDescent="0.3">
      <c r="A6936" t="s">
        <v>6</v>
      </c>
      <c r="B6936" t="str">
        <f>"09/25/2020 00:00"</f>
        <v>09/25/2020 00:00</v>
      </c>
      <c r="C6936">
        <v>1.76</v>
      </c>
      <c r="D6936" t="s">
        <v>7</v>
      </c>
      <c r="E6936" s="2" t="s">
        <v>12</v>
      </c>
      <c r="F6936">
        <f t="shared" si="108"/>
        <v>3.4900800000000003</v>
      </c>
      <c r="G6936" t="s">
        <v>16</v>
      </c>
      <c r="H6936" t="s">
        <v>10</v>
      </c>
      <c r="J6936" t="str">
        <f>"09/26/2020 00:39"</f>
        <v>09/26/2020 00:39</v>
      </c>
    </row>
    <row r="6937" spans="1:10" x14ac:dyDescent="0.3">
      <c r="A6937" t="s">
        <v>6</v>
      </c>
      <c r="B6937" t="str">
        <f>"09/26/2020 00:00"</f>
        <v>09/26/2020 00:00</v>
      </c>
      <c r="C6937">
        <v>1.74</v>
      </c>
      <c r="D6937" t="s">
        <v>7</v>
      </c>
      <c r="E6937" s="2" t="s">
        <v>12</v>
      </c>
      <c r="F6937">
        <f t="shared" si="108"/>
        <v>3.4504200000000003</v>
      </c>
      <c r="G6937" t="s">
        <v>16</v>
      </c>
      <c r="H6937" t="s">
        <v>10</v>
      </c>
      <c r="J6937" t="str">
        <f>"09/27/2020 00:40"</f>
        <v>09/27/2020 00:40</v>
      </c>
    </row>
    <row r="6938" spans="1:10" x14ac:dyDescent="0.3">
      <c r="A6938" t="s">
        <v>6</v>
      </c>
      <c r="B6938" t="str">
        <f>"09/27/2020 00:00"</f>
        <v>09/27/2020 00:00</v>
      </c>
      <c r="C6938">
        <v>1.74</v>
      </c>
      <c r="D6938" t="s">
        <v>7</v>
      </c>
      <c r="E6938" s="2" t="s">
        <v>12</v>
      </c>
      <c r="F6938">
        <f t="shared" si="108"/>
        <v>3.4504200000000003</v>
      </c>
      <c r="G6938" t="s">
        <v>16</v>
      </c>
      <c r="H6938" t="s">
        <v>10</v>
      </c>
      <c r="J6938" t="str">
        <f>"09/28/2020 00:40"</f>
        <v>09/28/2020 00:40</v>
      </c>
    </row>
    <row r="6939" spans="1:10" x14ac:dyDescent="0.3">
      <c r="A6939" t="s">
        <v>6</v>
      </c>
      <c r="B6939" t="str">
        <f>"09/28/2020 00:00"</f>
        <v>09/28/2020 00:00</v>
      </c>
      <c r="C6939">
        <v>1.74</v>
      </c>
      <c r="D6939" t="s">
        <v>7</v>
      </c>
      <c r="E6939" s="2" t="s">
        <v>12</v>
      </c>
      <c r="F6939">
        <f t="shared" si="108"/>
        <v>3.4504200000000003</v>
      </c>
      <c r="G6939" t="s">
        <v>16</v>
      </c>
      <c r="H6939" t="s">
        <v>10</v>
      </c>
      <c r="J6939" t="str">
        <f>"09/29/2020 00:40"</f>
        <v>09/29/2020 00:40</v>
      </c>
    </row>
    <row r="6940" spans="1:10" x14ac:dyDescent="0.3">
      <c r="A6940" t="s">
        <v>6</v>
      </c>
      <c r="B6940" t="str">
        <f>"09/29/2020 00:00"</f>
        <v>09/29/2020 00:00</v>
      </c>
      <c r="C6940">
        <v>1.72</v>
      </c>
      <c r="D6940" t="s">
        <v>7</v>
      </c>
      <c r="E6940" s="2" t="s">
        <v>12</v>
      </c>
      <c r="F6940">
        <f t="shared" si="108"/>
        <v>3.4107600000000002</v>
      </c>
      <c r="G6940" t="s">
        <v>16</v>
      </c>
      <c r="H6940" t="s">
        <v>10</v>
      </c>
      <c r="J6940" t="str">
        <f>"09/30/2020 00:39"</f>
        <v>09/30/2020 00:39</v>
      </c>
    </row>
    <row r="6941" spans="1:10" x14ac:dyDescent="0.3">
      <c r="A6941" t="s">
        <v>6</v>
      </c>
      <c r="B6941" t="str">
        <f>"09/30/2020 00:00"</f>
        <v>09/30/2020 00:00</v>
      </c>
      <c r="C6941">
        <v>1.68</v>
      </c>
      <c r="D6941" t="s">
        <v>7</v>
      </c>
      <c r="E6941" s="2" t="s">
        <v>12</v>
      </c>
      <c r="F6941">
        <f t="shared" si="108"/>
        <v>3.3314400000000002</v>
      </c>
      <c r="G6941" t="s">
        <v>16</v>
      </c>
      <c r="H6941" t="s">
        <v>10</v>
      </c>
      <c r="J6941" t="str">
        <f>"10/01/2020 00:39"</f>
        <v>10/01/2020 00:39</v>
      </c>
    </row>
    <row r="6942" spans="1:10" x14ac:dyDescent="0.3">
      <c r="A6942" t="s">
        <v>6</v>
      </c>
      <c r="B6942" t="str">
        <f>"10/01/2020 00:00"</f>
        <v>10/01/2020 00:00</v>
      </c>
      <c r="C6942">
        <v>1.7</v>
      </c>
      <c r="D6942" t="s">
        <v>7</v>
      </c>
      <c r="E6942" s="2" t="s">
        <v>12</v>
      </c>
      <c r="F6942">
        <f t="shared" si="108"/>
        <v>3.3711000000000002</v>
      </c>
      <c r="G6942" t="s">
        <v>16</v>
      </c>
      <c r="H6942" t="s">
        <v>10</v>
      </c>
      <c r="J6942" t="str">
        <f>"10/02/2020 00:40"</f>
        <v>10/02/2020 00:40</v>
      </c>
    </row>
    <row r="6943" spans="1:10" x14ac:dyDescent="0.3">
      <c r="A6943" t="s">
        <v>6</v>
      </c>
      <c r="B6943" t="str">
        <f>"10/02/2020 00:00"</f>
        <v>10/02/2020 00:00</v>
      </c>
      <c r="C6943">
        <v>1.56</v>
      </c>
      <c r="D6943" t="s">
        <v>7</v>
      </c>
      <c r="E6943" s="2" t="s">
        <v>12</v>
      </c>
      <c r="F6943">
        <f t="shared" si="108"/>
        <v>3.0934800000000005</v>
      </c>
      <c r="G6943" t="s">
        <v>16</v>
      </c>
      <c r="H6943" t="s">
        <v>10</v>
      </c>
      <c r="J6943" t="str">
        <f>"10/03/2020 00:39"</f>
        <v>10/03/2020 00:39</v>
      </c>
    </row>
    <row r="6944" spans="1:10" x14ac:dyDescent="0.3">
      <c r="A6944" t="s">
        <v>6</v>
      </c>
      <c r="B6944" t="str">
        <f>"10/03/2020 00:00"</f>
        <v>10/03/2020 00:00</v>
      </c>
      <c r="C6944">
        <v>1.53</v>
      </c>
      <c r="D6944" t="s">
        <v>7</v>
      </c>
      <c r="E6944" s="2" t="s">
        <v>12</v>
      </c>
      <c r="F6944">
        <f t="shared" si="108"/>
        <v>3.0339900000000002</v>
      </c>
      <c r="G6944" t="s">
        <v>16</v>
      </c>
      <c r="H6944" t="s">
        <v>10</v>
      </c>
      <c r="J6944" t="str">
        <f>"10/04/2020 00:39"</f>
        <v>10/04/2020 00:39</v>
      </c>
    </row>
    <row r="6945" spans="1:10" x14ac:dyDescent="0.3">
      <c r="A6945" t="s">
        <v>6</v>
      </c>
      <c r="B6945" t="str">
        <f>"10/04/2020 00:00"</f>
        <v>10/04/2020 00:00</v>
      </c>
      <c r="C6945">
        <v>1.48</v>
      </c>
      <c r="D6945" t="s">
        <v>7</v>
      </c>
      <c r="E6945" s="2" t="s">
        <v>12</v>
      </c>
      <c r="F6945">
        <f t="shared" si="108"/>
        <v>2.9348399999999999</v>
      </c>
      <c r="G6945" t="s">
        <v>16</v>
      </c>
      <c r="H6945" t="s">
        <v>10</v>
      </c>
      <c r="J6945" t="str">
        <f>"10/05/2020 09:09"</f>
        <v>10/05/2020 09:09</v>
      </c>
    </row>
    <row r="6946" spans="1:10" x14ac:dyDescent="0.3">
      <c r="A6946" t="s">
        <v>6</v>
      </c>
      <c r="B6946" t="str">
        <f>"10/05/2020 00:00"</f>
        <v>10/05/2020 00:00</v>
      </c>
      <c r="C6946">
        <v>2.3199999999999998</v>
      </c>
      <c r="D6946" t="s">
        <v>7</v>
      </c>
      <c r="E6946" s="2" t="s">
        <v>12</v>
      </c>
      <c r="F6946">
        <f t="shared" si="108"/>
        <v>4.6005599999999998</v>
      </c>
      <c r="G6946" t="s">
        <v>16</v>
      </c>
      <c r="H6946" t="s">
        <v>10</v>
      </c>
      <c r="J6946" t="str">
        <f>"10/06/2020 00:40"</f>
        <v>10/06/2020 00:40</v>
      </c>
    </row>
    <row r="6947" spans="1:10" x14ac:dyDescent="0.3">
      <c r="A6947" t="s">
        <v>6</v>
      </c>
      <c r="B6947" t="str">
        <f>"10/06/2020 00:00"</f>
        <v>10/06/2020 00:00</v>
      </c>
      <c r="C6947">
        <v>3.63</v>
      </c>
      <c r="D6947" t="s">
        <v>7</v>
      </c>
      <c r="E6947" s="2" t="s">
        <v>12</v>
      </c>
      <c r="F6947">
        <f t="shared" si="108"/>
        <v>7.1982900000000001</v>
      </c>
      <c r="G6947" t="s">
        <v>16</v>
      </c>
      <c r="H6947" t="s">
        <v>10</v>
      </c>
      <c r="J6947" t="str">
        <f>"10/07/2020 00:39"</f>
        <v>10/07/2020 00:39</v>
      </c>
    </row>
    <row r="6948" spans="1:10" x14ac:dyDescent="0.3">
      <c r="A6948" t="s">
        <v>6</v>
      </c>
      <c r="B6948" t="str">
        <f>"10/07/2020 00:00"</f>
        <v>10/07/2020 00:00</v>
      </c>
      <c r="C6948">
        <v>5.77</v>
      </c>
      <c r="D6948" t="s">
        <v>7</v>
      </c>
      <c r="E6948" s="2" t="s">
        <v>12</v>
      </c>
      <c r="F6948">
        <f t="shared" si="108"/>
        <v>11.44191</v>
      </c>
      <c r="G6948" t="s">
        <v>16</v>
      </c>
      <c r="H6948" t="s">
        <v>10</v>
      </c>
      <c r="J6948" t="str">
        <f>"10/08/2020 00:39"</f>
        <v>10/08/2020 00:39</v>
      </c>
    </row>
    <row r="6949" spans="1:10" x14ac:dyDescent="0.3">
      <c r="A6949" t="s">
        <v>6</v>
      </c>
      <c r="B6949" t="str">
        <f>"10/08/2020 00:00"</f>
        <v>10/08/2020 00:00</v>
      </c>
      <c r="C6949">
        <v>3</v>
      </c>
      <c r="D6949" t="s">
        <v>7</v>
      </c>
      <c r="E6949" s="2" t="s">
        <v>12</v>
      </c>
      <c r="F6949">
        <f t="shared" si="108"/>
        <v>5.9489999999999998</v>
      </c>
      <c r="G6949" t="s">
        <v>16</v>
      </c>
      <c r="H6949" t="s">
        <v>10</v>
      </c>
      <c r="J6949" t="str">
        <f>"10/09/2020 00:39"</f>
        <v>10/09/2020 00:39</v>
      </c>
    </row>
    <row r="6950" spans="1:10" x14ac:dyDescent="0.3">
      <c r="A6950" t="s">
        <v>6</v>
      </c>
      <c r="B6950" t="str">
        <f>"10/09/2020 00:00"</f>
        <v>10/09/2020 00:00</v>
      </c>
      <c r="C6950">
        <v>46.6</v>
      </c>
      <c r="D6950" t="s">
        <v>7</v>
      </c>
      <c r="E6950" s="2" t="s">
        <v>12</v>
      </c>
      <c r="F6950">
        <f t="shared" si="108"/>
        <v>92.407800000000009</v>
      </c>
      <c r="G6950" t="s">
        <v>16</v>
      </c>
      <c r="H6950" t="s">
        <v>10</v>
      </c>
      <c r="J6950" t="str">
        <f>"10/10/2020 00:39"</f>
        <v>10/10/2020 00:39</v>
      </c>
    </row>
    <row r="6951" spans="1:10" x14ac:dyDescent="0.3">
      <c r="A6951" t="s">
        <v>6</v>
      </c>
      <c r="B6951" t="str">
        <f>"10/10/2020 00:00"</f>
        <v>10/10/2020 00:00</v>
      </c>
      <c r="C6951">
        <v>156</v>
      </c>
      <c r="D6951" t="s">
        <v>7</v>
      </c>
      <c r="E6951" s="2" t="s">
        <v>12</v>
      </c>
      <c r="F6951">
        <f t="shared" si="108"/>
        <v>309.34800000000001</v>
      </c>
      <c r="G6951" t="s">
        <v>16</v>
      </c>
      <c r="H6951" t="s">
        <v>10</v>
      </c>
      <c r="J6951" t="str">
        <f>"10/11/2020 00:39"</f>
        <v>10/11/2020 00:39</v>
      </c>
    </row>
    <row r="6952" spans="1:10" x14ac:dyDescent="0.3">
      <c r="A6952" t="s">
        <v>6</v>
      </c>
      <c r="B6952" t="str">
        <f>"10/11/2020 00:00"</f>
        <v>10/11/2020 00:00</v>
      </c>
      <c r="C6952">
        <v>263</v>
      </c>
      <c r="D6952" t="s">
        <v>7</v>
      </c>
      <c r="E6952" s="2" t="s">
        <v>12</v>
      </c>
      <c r="F6952">
        <f t="shared" si="108"/>
        <v>521.529</v>
      </c>
      <c r="G6952" t="s">
        <v>16</v>
      </c>
      <c r="H6952" t="s">
        <v>10</v>
      </c>
      <c r="J6952" t="str">
        <f>"10/12/2020 06:58"</f>
        <v>10/12/2020 06:58</v>
      </c>
    </row>
    <row r="6953" spans="1:10" x14ac:dyDescent="0.3">
      <c r="A6953" t="s">
        <v>6</v>
      </c>
      <c r="B6953" t="str">
        <f>"10/12/2020 00:00"</f>
        <v>10/12/2020 00:00</v>
      </c>
      <c r="C6953">
        <v>300</v>
      </c>
      <c r="D6953" t="s">
        <v>7</v>
      </c>
      <c r="E6953" s="2" t="s">
        <v>12</v>
      </c>
      <c r="F6953">
        <f t="shared" si="108"/>
        <v>594.9</v>
      </c>
      <c r="G6953" t="s">
        <v>16</v>
      </c>
      <c r="H6953" t="s">
        <v>10</v>
      </c>
      <c r="J6953" t="str">
        <f>"10/13/2020 00:39"</f>
        <v>10/13/2020 00:39</v>
      </c>
    </row>
    <row r="6954" spans="1:10" x14ac:dyDescent="0.3">
      <c r="A6954" t="s">
        <v>6</v>
      </c>
      <c r="B6954" t="str">
        <f>"10/13/2020 00:00"</f>
        <v>10/13/2020 00:00</v>
      </c>
      <c r="C6954">
        <v>297</v>
      </c>
      <c r="D6954" t="s">
        <v>7</v>
      </c>
      <c r="E6954" s="2" t="s">
        <v>12</v>
      </c>
      <c r="F6954">
        <f t="shared" si="108"/>
        <v>588.95100000000002</v>
      </c>
      <c r="G6954" t="s">
        <v>16</v>
      </c>
      <c r="H6954" t="s">
        <v>10</v>
      </c>
      <c r="J6954" t="str">
        <f>"10/14/2020 00:39"</f>
        <v>10/14/2020 00:39</v>
      </c>
    </row>
    <row r="6955" spans="1:10" x14ac:dyDescent="0.3">
      <c r="A6955" t="s">
        <v>6</v>
      </c>
      <c r="B6955" t="str">
        <f>"10/14/2020 00:00"</f>
        <v>10/14/2020 00:00</v>
      </c>
      <c r="C6955">
        <v>345</v>
      </c>
      <c r="D6955" t="s">
        <v>7</v>
      </c>
      <c r="E6955" s="2" t="s">
        <v>12</v>
      </c>
      <c r="F6955">
        <f t="shared" si="108"/>
        <v>684.13499999999999</v>
      </c>
      <c r="G6955" t="s">
        <v>16</v>
      </c>
      <c r="H6955" t="s">
        <v>10</v>
      </c>
      <c r="J6955" t="str">
        <f>"10/15/2020 00:40"</f>
        <v>10/15/2020 00:40</v>
      </c>
    </row>
    <row r="6956" spans="1:10" x14ac:dyDescent="0.3">
      <c r="A6956" t="s">
        <v>6</v>
      </c>
      <c r="B6956" t="str">
        <f>"10/15/2020 00:00"</f>
        <v>10/15/2020 00:00</v>
      </c>
      <c r="C6956">
        <v>374</v>
      </c>
      <c r="D6956" t="s">
        <v>7</v>
      </c>
      <c r="E6956" s="2" t="s">
        <v>12</v>
      </c>
      <c r="F6956">
        <f t="shared" si="108"/>
        <v>741.64200000000005</v>
      </c>
      <c r="G6956" t="s">
        <v>16</v>
      </c>
      <c r="H6956" t="s">
        <v>10</v>
      </c>
      <c r="J6956" t="str">
        <f>"10/16/2020 00:39"</f>
        <v>10/16/2020 00:39</v>
      </c>
    </row>
    <row r="6957" spans="1:10" x14ac:dyDescent="0.3">
      <c r="A6957" t="s">
        <v>6</v>
      </c>
      <c r="B6957" t="str">
        <f>"10/16/2020 00:00"</f>
        <v>10/16/2020 00:00</v>
      </c>
      <c r="C6957">
        <v>353</v>
      </c>
      <c r="D6957" t="s">
        <v>7</v>
      </c>
      <c r="E6957" s="2" t="s">
        <v>12</v>
      </c>
      <c r="F6957">
        <f t="shared" si="108"/>
        <v>699.99900000000002</v>
      </c>
      <c r="G6957" t="s">
        <v>16</v>
      </c>
      <c r="H6957" t="s">
        <v>10</v>
      </c>
      <c r="J6957" t="str">
        <f>"10/17/2020 00:39"</f>
        <v>10/17/2020 00:39</v>
      </c>
    </row>
    <row r="6958" spans="1:10" x14ac:dyDescent="0.3">
      <c r="A6958" t="s">
        <v>6</v>
      </c>
      <c r="B6958" t="str">
        <f>"10/17/2020 00:00"</f>
        <v>10/17/2020 00:00</v>
      </c>
      <c r="C6958">
        <v>336</v>
      </c>
      <c r="D6958" t="s">
        <v>7</v>
      </c>
      <c r="E6958" s="2" t="s">
        <v>12</v>
      </c>
      <c r="F6958">
        <f t="shared" si="108"/>
        <v>666.28800000000001</v>
      </c>
      <c r="G6958" t="s">
        <v>16</v>
      </c>
      <c r="H6958" t="s">
        <v>10</v>
      </c>
      <c r="J6958" t="str">
        <f>"10/18/2020 00:40"</f>
        <v>10/18/2020 00:40</v>
      </c>
    </row>
    <row r="6959" spans="1:10" x14ac:dyDescent="0.3">
      <c r="A6959" t="s">
        <v>6</v>
      </c>
      <c r="B6959" t="str">
        <f>"10/18/2020 00:00"</f>
        <v>10/18/2020 00:00</v>
      </c>
      <c r="C6959">
        <v>335</v>
      </c>
      <c r="D6959" t="s">
        <v>7</v>
      </c>
      <c r="E6959" s="2" t="s">
        <v>12</v>
      </c>
      <c r="F6959">
        <f t="shared" si="108"/>
        <v>664.30500000000006</v>
      </c>
      <c r="G6959" t="s">
        <v>16</v>
      </c>
      <c r="H6959" t="s">
        <v>10</v>
      </c>
      <c r="J6959" t="str">
        <f>"10/19/2020 00:39"</f>
        <v>10/19/2020 00:39</v>
      </c>
    </row>
    <row r="6960" spans="1:10" x14ac:dyDescent="0.3">
      <c r="A6960" t="s">
        <v>6</v>
      </c>
      <c r="B6960" t="str">
        <f>"10/19/2020 00:00"</f>
        <v>10/19/2020 00:00</v>
      </c>
      <c r="C6960">
        <v>271</v>
      </c>
      <c r="D6960" t="s">
        <v>7</v>
      </c>
      <c r="E6960" s="2" t="s">
        <v>12</v>
      </c>
      <c r="F6960">
        <f t="shared" si="108"/>
        <v>537.39300000000003</v>
      </c>
      <c r="G6960" t="s">
        <v>16</v>
      </c>
      <c r="H6960" t="s">
        <v>10</v>
      </c>
      <c r="J6960" t="str">
        <f>"10/20/2020 00:39"</f>
        <v>10/20/2020 00:39</v>
      </c>
    </row>
    <row r="6961" spans="1:10" x14ac:dyDescent="0.3">
      <c r="A6961" t="s">
        <v>6</v>
      </c>
      <c r="B6961" t="str">
        <f>"10/20/2020 00:00"</f>
        <v>10/20/2020 00:00</v>
      </c>
      <c r="C6961">
        <v>209</v>
      </c>
      <c r="D6961" t="s">
        <v>7</v>
      </c>
      <c r="E6961" s="2" t="s">
        <v>12</v>
      </c>
      <c r="F6961">
        <f t="shared" si="108"/>
        <v>414.447</v>
      </c>
      <c r="G6961" t="s">
        <v>16</v>
      </c>
      <c r="H6961" t="s">
        <v>10</v>
      </c>
      <c r="J6961" t="str">
        <f>"10/21/2020 00:39"</f>
        <v>10/21/2020 00:39</v>
      </c>
    </row>
    <row r="6962" spans="1:10" x14ac:dyDescent="0.3">
      <c r="A6962" t="s">
        <v>6</v>
      </c>
      <c r="B6962" t="str">
        <f>"10/21/2020 00:00"</f>
        <v>10/21/2020 00:00</v>
      </c>
      <c r="C6962">
        <v>181</v>
      </c>
      <c r="D6962" t="s">
        <v>7</v>
      </c>
      <c r="E6962" s="2" t="s">
        <v>12</v>
      </c>
      <c r="F6962">
        <f t="shared" si="108"/>
        <v>358.923</v>
      </c>
      <c r="G6962" t="s">
        <v>16</v>
      </c>
      <c r="H6962" t="s">
        <v>10</v>
      </c>
      <c r="J6962" t="str">
        <f>"10/22/2020 00:39"</f>
        <v>10/22/2020 00:39</v>
      </c>
    </row>
    <row r="6963" spans="1:10" x14ac:dyDescent="0.3">
      <c r="A6963" t="s">
        <v>6</v>
      </c>
      <c r="B6963" t="str">
        <f>"10/22/2020 00:00"</f>
        <v>10/22/2020 00:00</v>
      </c>
      <c r="C6963">
        <v>154</v>
      </c>
      <c r="D6963" t="s">
        <v>7</v>
      </c>
      <c r="E6963" s="2" t="s">
        <v>12</v>
      </c>
      <c r="F6963">
        <f t="shared" si="108"/>
        <v>305.38200000000001</v>
      </c>
      <c r="G6963" t="s">
        <v>16</v>
      </c>
      <c r="H6963" t="s">
        <v>10</v>
      </c>
      <c r="J6963" t="str">
        <f>"10/23/2020 08:20"</f>
        <v>10/23/2020 08:20</v>
      </c>
    </row>
    <row r="6964" spans="1:10" x14ac:dyDescent="0.3">
      <c r="A6964" t="s">
        <v>6</v>
      </c>
      <c r="B6964" t="str">
        <f>"10/23/2020 00:00"</f>
        <v>10/23/2020 00:00</v>
      </c>
      <c r="C6964">
        <v>154</v>
      </c>
      <c r="D6964" t="s">
        <v>7</v>
      </c>
      <c r="E6964" s="2" t="s">
        <v>12</v>
      </c>
      <c r="F6964">
        <f t="shared" si="108"/>
        <v>305.38200000000001</v>
      </c>
      <c r="G6964" t="s">
        <v>16</v>
      </c>
      <c r="H6964" t="s">
        <v>10</v>
      </c>
      <c r="J6964" t="str">
        <f>"10/24/2020 00:39"</f>
        <v>10/24/2020 00:39</v>
      </c>
    </row>
    <row r="6965" spans="1:10" x14ac:dyDescent="0.3">
      <c r="A6965" t="s">
        <v>6</v>
      </c>
      <c r="B6965" t="str">
        <f>"10/24/2020 00:00"</f>
        <v>10/24/2020 00:00</v>
      </c>
      <c r="C6965">
        <v>132</v>
      </c>
      <c r="D6965" t="s">
        <v>7</v>
      </c>
      <c r="E6965" s="2" t="s">
        <v>12</v>
      </c>
      <c r="F6965">
        <f t="shared" si="108"/>
        <v>261.75600000000003</v>
      </c>
      <c r="G6965" t="s">
        <v>16</v>
      </c>
      <c r="H6965" t="s">
        <v>10</v>
      </c>
      <c r="J6965" t="str">
        <f>"10/25/2020 00:40"</f>
        <v>10/25/2020 00:40</v>
      </c>
    </row>
    <row r="6966" spans="1:10" x14ac:dyDescent="0.3">
      <c r="A6966" t="s">
        <v>6</v>
      </c>
      <c r="B6966" t="str">
        <f>"10/25/2020 00:00"</f>
        <v>10/25/2020 00:00</v>
      </c>
      <c r="C6966">
        <v>120</v>
      </c>
      <c r="D6966" t="s">
        <v>7</v>
      </c>
      <c r="E6966" s="2" t="s">
        <v>12</v>
      </c>
      <c r="F6966">
        <f t="shared" si="108"/>
        <v>237.96</v>
      </c>
      <c r="G6966" t="s">
        <v>16</v>
      </c>
      <c r="H6966" t="s">
        <v>10</v>
      </c>
      <c r="J6966" t="str">
        <f>"10/26/2020 00:39"</f>
        <v>10/26/2020 00:39</v>
      </c>
    </row>
    <row r="6967" spans="1:10" x14ac:dyDescent="0.3">
      <c r="A6967" t="s">
        <v>6</v>
      </c>
      <c r="B6967" t="str">
        <f>"10/26/2020 00:00"</f>
        <v>10/26/2020 00:00</v>
      </c>
      <c r="C6967">
        <v>120</v>
      </c>
      <c r="D6967" t="s">
        <v>7</v>
      </c>
      <c r="E6967" s="2" t="s">
        <v>12</v>
      </c>
      <c r="F6967">
        <f t="shared" si="108"/>
        <v>237.96</v>
      </c>
      <c r="G6967" t="s">
        <v>16</v>
      </c>
      <c r="H6967" t="s">
        <v>10</v>
      </c>
      <c r="J6967" t="str">
        <f>"10/27/2020 00:39"</f>
        <v>10/27/2020 00:39</v>
      </c>
    </row>
    <row r="6968" spans="1:10" x14ac:dyDescent="0.3">
      <c r="A6968" t="s">
        <v>6</v>
      </c>
      <c r="B6968" t="str">
        <f>"10/27/2020 00:00"</f>
        <v>10/27/2020 00:00</v>
      </c>
      <c r="C6968">
        <v>120</v>
      </c>
      <c r="D6968" t="s">
        <v>7</v>
      </c>
      <c r="E6968" s="2" t="s">
        <v>12</v>
      </c>
      <c r="F6968">
        <f t="shared" si="108"/>
        <v>237.96</v>
      </c>
      <c r="G6968" t="s">
        <v>16</v>
      </c>
      <c r="H6968" t="s">
        <v>10</v>
      </c>
      <c r="J6968" t="str">
        <f>"10/28/2020 00:39"</f>
        <v>10/28/2020 00:39</v>
      </c>
    </row>
    <row r="6969" spans="1:10" x14ac:dyDescent="0.3">
      <c r="A6969" t="s">
        <v>6</v>
      </c>
      <c r="B6969" t="str">
        <f>"10/28/2020 00:00"</f>
        <v>10/28/2020 00:00</v>
      </c>
      <c r="C6969">
        <v>120</v>
      </c>
      <c r="D6969" t="s">
        <v>7</v>
      </c>
      <c r="E6969" s="2" t="s">
        <v>12</v>
      </c>
      <c r="F6969">
        <f t="shared" si="108"/>
        <v>237.96</v>
      </c>
      <c r="G6969" t="s">
        <v>16</v>
      </c>
      <c r="H6969" t="s">
        <v>10</v>
      </c>
      <c r="J6969" t="str">
        <f>"10/29/2020 00:40"</f>
        <v>10/29/2020 00:40</v>
      </c>
    </row>
    <row r="6970" spans="1:10" x14ac:dyDescent="0.3">
      <c r="A6970" t="s">
        <v>6</v>
      </c>
      <c r="B6970" t="str">
        <f>"10/29/2020 00:00"</f>
        <v>10/29/2020 00:00</v>
      </c>
      <c r="C6970">
        <v>120</v>
      </c>
      <c r="D6970" t="s">
        <v>7</v>
      </c>
      <c r="E6970" s="2" t="s">
        <v>12</v>
      </c>
      <c r="F6970">
        <f t="shared" si="108"/>
        <v>237.96</v>
      </c>
      <c r="G6970" t="s">
        <v>16</v>
      </c>
      <c r="H6970" t="s">
        <v>10</v>
      </c>
      <c r="J6970" t="str">
        <f>"10/30/2020 00:39"</f>
        <v>10/30/2020 00:39</v>
      </c>
    </row>
    <row r="6971" spans="1:10" x14ac:dyDescent="0.3">
      <c r="A6971" t="s">
        <v>6</v>
      </c>
      <c r="B6971" t="str">
        <f>"10/30/2020 00:00"</f>
        <v>10/30/2020 00:00</v>
      </c>
      <c r="C6971">
        <v>120</v>
      </c>
      <c r="D6971" t="s">
        <v>7</v>
      </c>
      <c r="E6971" s="2" t="s">
        <v>12</v>
      </c>
      <c r="F6971">
        <f t="shared" si="108"/>
        <v>237.96</v>
      </c>
      <c r="G6971" t="s">
        <v>16</v>
      </c>
      <c r="H6971" t="s">
        <v>10</v>
      </c>
      <c r="J6971" t="str">
        <f>"10/31/2020 00:39"</f>
        <v>10/31/2020 00:39</v>
      </c>
    </row>
    <row r="6972" spans="1:10" x14ac:dyDescent="0.3">
      <c r="A6972" t="s">
        <v>6</v>
      </c>
      <c r="B6972" t="str">
        <f>"10/31/2020 00:00"</f>
        <v>10/31/2020 00:00</v>
      </c>
      <c r="C6972">
        <v>119</v>
      </c>
      <c r="D6972" t="s">
        <v>7</v>
      </c>
      <c r="E6972" s="2" t="s">
        <v>12</v>
      </c>
      <c r="F6972">
        <f t="shared" si="108"/>
        <v>235.977</v>
      </c>
      <c r="G6972" t="s">
        <v>16</v>
      </c>
      <c r="H6972" t="s">
        <v>10</v>
      </c>
      <c r="J6972" t="str">
        <f>"11/01/2020 00:39"</f>
        <v>11/01/2020 00:39</v>
      </c>
    </row>
    <row r="6973" spans="1:10" x14ac:dyDescent="0.3">
      <c r="A6973" t="s">
        <v>6</v>
      </c>
      <c r="B6973" t="str">
        <f>"11/01/2020 00:00"</f>
        <v>11/01/2020 00:00</v>
      </c>
      <c r="C6973">
        <v>120</v>
      </c>
      <c r="D6973" t="s">
        <v>7</v>
      </c>
      <c r="E6973" s="2" t="s">
        <v>12</v>
      </c>
      <c r="F6973">
        <f t="shared" si="108"/>
        <v>237.96</v>
      </c>
      <c r="G6973" t="s">
        <v>16</v>
      </c>
      <c r="H6973" t="s">
        <v>10</v>
      </c>
      <c r="J6973" t="str">
        <f>"11/02/2020 00:39"</f>
        <v>11/02/2020 00:39</v>
      </c>
    </row>
    <row r="6974" spans="1:10" x14ac:dyDescent="0.3">
      <c r="A6974" t="s">
        <v>6</v>
      </c>
      <c r="B6974" t="str">
        <f>"11/02/2020 00:00"</f>
        <v>11/02/2020 00:00</v>
      </c>
      <c r="C6974">
        <v>120</v>
      </c>
      <c r="D6974" t="s">
        <v>7</v>
      </c>
      <c r="E6974" s="2" t="s">
        <v>12</v>
      </c>
      <c r="F6974">
        <f t="shared" si="108"/>
        <v>237.96</v>
      </c>
      <c r="G6974" t="s">
        <v>16</v>
      </c>
      <c r="H6974" t="s">
        <v>10</v>
      </c>
      <c r="J6974" t="str">
        <f>"11/03/2020 00:40"</f>
        <v>11/03/2020 00:40</v>
      </c>
    </row>
    <row r="6975" spans="1:10" x14ac:dyDescent="0.3">
      <c r="A6975" t="s">
        <v>6</v>
      </c>
      <c r="B6975" t="str">
        <f>"11/03/2020 00:00"</f>
        <v>11/03/2020 00:00</v>
      </c>
      <c r="C6975">
        <v>119</v>
      </c>
      <c r="D6975" t="s">
        <v>7</v>
      </c>
      <c r="E6975" s="2" t="s">
        <v>12</v>
      </c>
      <c r="F6975">
        <f t="shared" si="108"/>
        <v>235.977</v>
      </c>
      <c r="G6975" t="s">
        <v>16</v>
      </c>
      <c r="H6975" t="s">
        <v>10</v>
      </c>
      <c r="J6975" t="str">
        <f>"11/04/2020 00:39"</f>
        <v>11/04/2020 00:39</v>
      </c>
    </row>
    <row r="6976" spans="1:10" x14ac:dyDescent="0.3">
      <c r="A6976" t="s">
        <v>6</v>
      </c>
      <c r="B6976" t="str">
        <f>"11/04/2020 00:00"</f>
        <v>11/04/2020 00:00</v>
      </c>
      <c r="C6976">
        <v>119</v>
      </c>
      <c r="D6976" t="s">
        <v>7</v>
      </c>
      <c r="E6976" s="2" t="s">
        <v>12</v>
      </c>
      <c r="F6976">
        <f t="shared" si="108"/>
        <v>235.977</v>
      </c>
      <c r="G6976" t="s">
        <v>16</v>
      </c>
      <c r="H6976" t="s">
        <v>10</v>
      </c>
      <c r="J6976" t="str">
        <f>"11/05/2020 00:39"</f>
        <v>11/05/2020 00:39</v>
      </c>
    </row>
    <row r="6977" spans="1:10" x14ac:dyDescent="0.3">
      <c r="A6977" t="s">
        <v>6</v>
      </c>
      <c r="B6977" t="str">
        <f>"11/05/2020 00:00"</f>
        <v>11/05/2020 00:00</v>
      </c>
      <c r="C6977">
        <v>119</v>
      </c>
      <c r="D6977" t="s">
        <v>7</v>
      </c>
      <c r="E6977" s="2" t="s">
        <v>12</v>
      </c>
      <c r="F6977">
        <f t="shared" si="108"/>
        <v>235.977</v>
      </c>
      <c r="G6977" t="s">
        <v>16</v>
      </c>
      <c r="H6977" t="s">
        <v>10</v>
      </c>
      <c r="J6977" t="str">
        <f>"11/06/2020 00:40"</f>
        <v>11/06/2020 00:40</v>
      </c>
    </row>
    <row r="6978" spans="1:10" x14ac:dyDescent="0.3">
      <c r="A6978" t="s">
        <v>6</v>
      </c>
      <c r="B6978" t="str">
        <f>"11/06/2020 00:00"</f>
        <v>11/06/2020 00:00</v>
      </c>
      <c r="C6978">
        <v>119</v>
      </c>
      <c r="D6978" t="s">
        <v>7</v>
      </c>
      <c r="E6978" s="2" t="s">
        <v>12</v>
      </c>
      <c r="F6978">
        <f t="shared" si="108"/>
        <v>235.977</v>
      </c>
      <c r="G6978" t="s">
        <v>16</v>
      </c>
      <c r="H6978" t="s">
        <v>10</v>
      </c>
      <c r="J6978" t="str">
        <f>"11/07/2020 00:39"</f>
        <v>11/07/2020 00:39</v>
      </c>
    </row>
    <row r="6979" spans="1:10" x14ac:dyDescent="0.3">
      <c r="A6979" t="s">
        <v>6</v>
      </c>
      <c r="B6979" t="str">
        <f>"11/07/2020 00:00"</f>
        <v>11/07/2020 00:00</v>
      </c>
      <c r="C6979">
        <v>119</v>
      </c>
      <c r="D6979" t="s">
        <v>7</v>
      </c>
      <c r="E6979" s="2" t="s">
        <v>12</v>
      </c>
      <c r="F6979">
        <f t="shared" si="108"/>
        <v>235.977</v>
      </c>
      <c r="G6979" t="s">
        <v>16</v>
      </c>
      <c r="H6979" t="s">
        <v>10</v>
      </c>
      <c r="J6979" t="str">
        <f>"11/08/2020 00:40"</f>
        <v>11/08/2020 00:40</v>
      </c>
    </row>
    <row r="6980" spans="1:10" x14ac:dyDescent="0.3">
      <c r="A6980" t="s">
        <v>6</v>
      </c>
      <c r="B6980" t="str">
        <f>"11/08/2020 00:00"</f>
        <v>11/08/2020 00:00</v>
      </c>
      <c r="C6980">
        <v>119</v>
      </c>
      <c r="D6980" t="s">
        <v>7</v>
      </c>
      <c r="E6980" s="2" t="s">
        <v>12</v>
      </c>
      <c r="F6980">
        <f t="shared" ref="F6980:F7043" si="109">C6980*1.983</f>
        <v>235.977</v>
      </c>
      <c r="G6980" t="s">
        <v>16</v>
      </c>
      <c r="H6980" t="s">
        <v>10</v>
      </c>
      <c r="J6980" t="str">
        <f>"11/09/2020 00:39"</f>
        <v>11/09/2020 00:39</v>
      </c>
    </row>
    <row r="6981" spans="1:10" x14ac:dyDescent="0.3">
      <c r="A6981" t="s">
        <v>6</v>
      </c>
      <c r="B6981" t="str">
        <f>"11/09/2020 00:00"</f>
        <v>11/09/2020 00:00</v>
      </c>
      <c r="C6981">
        <v>119</v>
      </c>
      <c r="D6981" t="s">
        <v>7</v>
      </c>
      <c r="E6981" s="2" t="s">
        <v>12</v>
      </c>
      <c r="F6981">
        <f t="shared" si="109"/>
        <v>235.977</v>
      </c>
      <c r="G6981" t="s">
        <v>16</v>
      </c>
      <c r="H6981" t="s">
        <v>10</v>
      </c>
      <c r="J6981" t="str">
        <f>"11/10/2020 00:39"</f>
        <v>11/10/2020 00:39</v>
      </c>
    </row>
    <row r="6982" spans="1:10" x14ac:dyDescent="0.3">
      <c r="A6982" t="s">
        <v>6</v>
      </c>
      <c r="B6982" t="str">
        <f>"11/10/2020 00:00"</f>
        <v>11/10/2020 00:00</v>
      </c>
      <c r="C6982">
        <v>125</v>
      </c>
      <c r="D6982" t="s">
        <v>7</v>
      </c>
      <c r="E6982" s="2" t="s">
        <v>12</v>
      </c>
      <c r="F6982">
        <f t="shared" si="109"/>
        <v>247.875</v>
      </c>
      <c r="G6982" t="s">
        <v>16</v>
      </c>
      <c r="H6982" t="s">
        <v>10</v>
      </c>
      <c r="J6982" t="str">
        <f>"11/11/2020 08:46"</f>
        <v>11/11/2020 08:46</v>
      </c>
    </row>
    <row r="6983" spans="1:10" x14ac:dyDescent="0.3">
      <c r="A6983" t="s">
        <v>6</v>
      </c>
      <c r="B6983" t="str">
        <f>"11/11/2020 00:00"</f>
        <v>11/11/2020 00:00</v>
      </c>
      <c r="C6983">
        <v>130</v>
      </c>
      <c r="D6983" t="s">
        <v>7</v>
      </c>
      <c r="E6983" s="2" t="s">
        <v>12</v>
      </c>
      <c r="F6983">
        <f t="shared" si="109"/>
        <v>257.79000000000002</v>
      </c>
      <c r="G6983" t="s">
        <v>16</v>
      </c>
      <c r="H6983" t="s">
        <v>10</v>
      </c>
      <c r="J6983" t="str">
        <f>"11/12/2020 00:40"</f>
        <v>11/12/2020 00:40</v>
      </c>
    </row>
    <row r="6984" spans="1:10" x14ac:dyDescent="0.3">
      <c r="A6984" t="s">
        <v>6</v>
      </c>
      <c r="B6984" t="str">
        <f>"11/12/2020 00:00"</f>
        <v>11/12/2020 00:00</v>
      </c>
      <c r="C6984">
        <v>130</v>
      </c>
      <c r="D6984" t="s">
        <v>7</v>
      </c>
      <c r="E6984" s="2" t="s">
        <v>12</v>
      </c>
      <c r="F6984">
        <f t="shared" si="109"/>
        <v>257.79000000000002</v>
      </c>
      <c r="G6984" t="s">
        <v>16</v>
      </c>
      <c r="H6984" t="s">
        <v>10</v>
      </c>
      <c r="J6984" t="str">
        <f>"11/13/2020 00:40"</f>
        <v>11/13/2020 00:40</v>
      </c>
    </row>
    <row r="6985" spans="1:10" x14ac:dyDescent="0.3">
      <c r="A6985" t="s">
        <v>6</v>
      </c>
      <c r="B6985" t="str">
        <f>"11/13/2020 00:00"</f>
        <v>11/13/2020 00:00</v>
      </c>
      <c r="C6985">
        <v>130</v>
      </c>
      <c r="D6985" t="s">
        <v>7</v>
      </c>
      <c r="E6985" s="2" t="s">
        <v>12</v>
      </c>
      <c r="F6985">
        <f t="shared" si="109"/>
        <v>257.79000000000002</v>
      </c>
      <c r="G6985" t="s">
        <v>16</v>
      </c>
      <c r="H6985" t="s">
        <v>10</v>
      </c>
      <c r="J6985" t="str">
        <f>"11/14/2020 00:39"</f>
        <v>11/14/2020 00:39</v>
      </c>
    </row>
    <row r="6986" spans="1:10" x14ac:dyDescent="0.3">
      <c r="A6986" t="s">
        <v>6</v>
      </c>
      <c r="B6986" t="str">
        <f>"11/14/2020 00:00"</f>
        <v>11/14/2020 00:00</v>
      </c>
      <c r="C6986">
        <v>130</v>
      </c>
      <c r="D6986" t="s">
        <v>7</v>
      </c>
      <c r="E6986" s="2" t="s">
        <v>12</v>
      </c>
      <c r="F6986">
        <f t="shared" si="109"/>
        <v>257.79000000000002</v>
      </c>
      <c r="G6986" t="s">
        <v>16</v>
      </c>
      <c r="H6986" t="s">
        <v>10</v>
      </c>
      <c r="J6986" t="str">
        <f>"11/15/2020 00:39"</f>
        <v>11/15/2020 00:39</v>
      </c>
    </row>
    <row r="6987" spans="1:10" x14ac:dyDescent="0.3">
      <c r="A6987" t="s">
        <v>6</v>
      </c>
      <c r="B6987" t="str">
        <f>"11/15/2020 00:00"</f>
        <v>11/15/2020 00:00</v>
      </c>
      <c r="C6987">
        <v>130</v>
      </c>
      <c r="D6987" t="s">
        <v>7</v>
      </c>
      <c r="E6987" s="2" t="s">
        <v>12</v>
      </c>
      <c r="F6987">
        <f t="shared" si="109"/>
        <v>257.79000000000002</v>
      </c>
      <c r="G6987" t="s">
        <v>16</v>
      </c>
      <c r="H6987" t="s">
        <v>10</v>
      </c>
      <c r="J6987" t="str">
        <f>"11/16/2020 00:39"</f>
        <v>11/16/2020 00:39</v>
      </c>
    </row>
    <row r="6988" spans="1:10" x14ac:dyDescent="0.3">
      <c r="A6988" t="s">
        <v>6</v>
      </c>
      <c r="B6988" t="str">
        <f>"11/16/2020 00:00"</f>
        <v>11/16/2020 00:00</v>
      </c>
      <c r="C6988">
        <v>130</v>
      </c>
      <c r="D6988" t="s">
        <v>7</v>
      </c>
      <c r="E6988" s="2" t="s">
        <v>12</v>
      </c>
      <c r="F6988">
        <f t="shared" si="109"/>
        <v>257.79000000000002</v>
      </c>
      <c r="G6988" t="s">
        <v>16</v>
      </c>
      <c r="H6988" t="s">
        <v>10</v>
      </c>
      <c r="J6988" t="str">
        <f>"11/17/2020 00:39"</f>
        <v>11/17/2020 00:39</v>
      </c>
    </row>
    <row r="6989" spans="1:10" x14ac:dyDescent="0.3">
      <c r="A6989" t="s">
        <v>6</v>
      </c>
      <c r="B6989" t="str">
        <f>"11/17/2020 00:00"</f>
        <v>11/17/2020 00:00</v>
      </c>
      <c r="C6989">
        <v>139</v>
      </c>
      <c r="D6989" t="s">
        <v>7</v>
      </c>
      <c r="E6989" s="2" t="s">
        <v>12</v>
      </c>
      <c r="F6989">
        <f t="shared" si="109"/>
        <v>275.637</v>
      </c>
      <c r="G6989" t="s">
        <v>16</v>
      </c>
      <c r="H6989" t="s">
        <v>10</v>
      </c>
      <c r="J6989" t="str">
        <f>"11/18/2020 00:40"</f>
        <v>11/18/2020 00:40</v>
      </c>
    </row>
    <row r="6990" spans="1:10" x14ac:dyDescent="0.3">
      <c r="A6990" t="s">
        <v>6</v>
      </c>
      <c r="B6990" t="str">
        <f>"11/18/2020 00:00"</f>
        <v>11/18/2020 00:00</v>
      </c>
      <c r="C6990">
        <v>146</v>
      </c>
      <c r="D6990" t="s">
        <v>7</v>
      </c>
      <c r="E6990" s="2" t="s">
        <v>12</v>
      </c>
      <c r="F6990">
        <f t="shared" si="109"/>
        <v>289.51800000000003</v>
      </c>
      <c r="G6990" t="s">
        <v>16</v>
      </c>
      <c r="H6990" t="s">
        <v>10</v>
      </c>
      <c r="J6990" t="str">
        <f>"11/19/2020 00:39"</f>
        <v>11/19/2020 00:39</v>
      </c>
    </row>
    <row r="6991" spans="1:10" x14ac:dyDescent="0.3">
      <c r="A6991" t="s">
        <v>6</v>
      </c>
      <c r="B6991" t="str">
        <f>"11/19/2020 00:00"</f>
        <v>11/19/2020 00:00</v>
      </c>
      <c r="C6991">
        <v>146</v>
      </c>
      <c r="D6991" t="s">
        <v>7</v>
      </c>
      <c r="E6991" s="2" t="s">
        <v>12</v>
      </c>
      <c r="F6991">
        <f t="shared" si="109"/>
        <v>289.51800000000003</v>
      </c>
      <c r="G6991" t="s">
        <v>16</v>
      </c>
      <c r="H6991" t="s">
        <v>10</v>
      </c>
      <c r="J6991" t="str">
        <f>"11/20/2020 00:39"</f>
        <v>11/20/2020 00:39</v>
      </c>
    </row>
    <row r="6992" spans="1:10" x14ac:dyDescent="0.3">
      <c r="A6992" t="s">
        <v>6</v>
      </c>
      <c r="B6992" t="str">
        <f>"11/20/2020 00:00"</f>
        <v>11/20/2020 00:00</v>
      </c>
      <c r="C6992">
        <v>146</v>
      </c>
      <c r="D6992" t="s">
        <v>7</v>
      </c>
      <c r="E6992" s="2" t="s">
        <v>12</v>
      </c>
      <c r="F6992">
        <f t="shared" si="109"/>
        <v>289.51800000000003</v>
      </c>
      <c r="G6992" t="s">
        <v>16</v>
      </c>
      <c r="H6992" t="s">
        <v>10</v>
      </c>
      <c r="J6992" t="str">
        <f>"11/21/2020 00:39"</f>
        <v>11/21/2020 00:39</v>
      </c>
    </row>
    <row r="6993" spans="1:10" x14ac:dyDescent="0.3">
      <c r="A6993" t="s">
        <v>6</v>
      </c>
      <c r="B6993" t="str">
        <f>"11/21/2020 00:00"</f>
        <v>11/21/2020 00:00</v>
      </c>
      <c r="C6993">
        <v>146</v>
      </c>
      <c r="D6993" t="s">
        <v>7</v>
      </c>
      <c r="E6993" s="2" t="s">
        <v>12</v>
      </c>
      <c r="F6993">
        <f t="shared" si="109"/>
        <v>289.51800000000003</v>
      </c>
      <c r="G6993" t="s">
        <v>16</v>
      </c>
      <c r="H6993" t="s">
        <v>10</v>
      </c>
      <c r="J6993" t="str">
        <f>"11/22/2020 00:39"</f>
        <v>11/22/2020 00:39</v>
      </c>
    </row>
    <row r="6994" spans="1:10" x14ac:dyDescent="0.3">
      <c r="A6994" t="s">
        <v>6</v>
      </c>
      <c r="B6994" t="str">
        <f>"11/22/2020 00:00"</f>
        <v>11/22/2020 00:00</v>
      </c>
      <c r="C6994">
        <v>147</v>
      </c>
      <c r="D6994" t="s">
        <v>7</v>
      </c>
      <c r="E6994" s="2" t="s">
        <v>12</v>
      </c>
      <c r="F6994">
        <f t="shared" si="109"/>
        <v>291.50100000000003</v>
      </c>
      <c r="G6994" t="s">
        <v>16</v>
      </c>
      <c r="H6994" t="s">
        <v>10</v>
      </c>
      <c r="J6994" t="str">
        <f>"11/23/2020 00:39"</f>
        <v>11/23/2020 00:39</v>
      </c>
    </row>
    <row r="6995" spans="1:10" x14ac:dyDescent="0.3">
      <c r="A6995" t="s">
        <v>6</v>
      </c>
      <c r="B6995" t="str">
        <f>"11/23/2020 00:00"</f>
        <v>11/23/2020 00:00</v>
      </c>
      <c r="C6995">
        <v>147</v>
      </c>
      <c r="D6995" t="s">
        <v>7</v>
      </c>
      <c r="E6995" s="2" t="s">
        <v>12</v>
      </c>
      <c r="F6995">
        <f t="shared" si="109"/>
        <v>291.50100000000003</v>
      </c>
      <c r="G6995" t="s">
        <v>16</v>
      </c>
      <c r="H6995" t="s">
        <v>10</v>
      </c>
      <c r="J6995" t="str">
        <f>"11/24/2020 00:39"</f>
        <v>11/24/2020 00:39</v>
      </c>
    </row>
    <row r="6996" spans="1:10" x14ac:dyDescent="0.3">
      <c r="A6996" t="s">
        <v>6</v>
      </c>
      <c r="B6996" t="str">
        <f>"11/24/2020 00:00"</f>
        <v>11/24/2020 00:00</v>
      </c>
      <c r="C6996">
        <v>147</v>
      </c>
      <c r="D6996" t="s">
        <v>7</v>
      </c>
      <c r="E6996" s="2" t="s">
        <v>12</v>
      </c>
      <c r="F6996">
        <f t="shared" si="109"/>
        <v>291.50100000000003</v>
      </c>
      <c r="G6996" t="s">
        <v>16</v>
      </c>
      <c r="H6996" t="s">
        <v>10</v>
      </c>
      <c r="J6996" t="str">
        <f>"11/25/2020 00:39"</f>
        <v>11/25/2020 00:39</v>
      </c>
    </row>
    <row r="6997" spans="1:10" x14ac:dyDescent="0.3">
      <c r="A6997" t="s">
        <v>6</v>
      </c>
      <c r="B6997" t="str">
        <f>"11/25/2020 00:00"</f>
        <v>11/25/2020 00:00</v>
      </c>
      <c r="C6997">
        <v>147</v>
      </c>
      <c r="D6997" t="s">
        <v>7</v>
      </c>
      <c r="E6997" s="2" t="s">
        <v>12</v>
      </c>
      <c r="F6997">
        <f t="shared" si="109"/>
        <v>291.50100000000003</v>
      </c>
      <c r="G6997" t="s">
        <v>16</v>
      </c>
      <c r="H6997" t="s">
        <v>10</v>
      </c>
      <c r="J6997" t="str">
        <f>"11/26/2020 00:40"</f>
        <v>11/26/2020 00:40</v>
      </c>
    </row>
    <row r="6998" spans="1:10" x14ac:dyDescent="0.3">
      <c r="A6998" t="s">
        <v>6</v>
      </c>
      <c r="B6998" t="str">
        <f>"11/26/2020 00:00"</f>
        <v>11/26/2020 00:00</v>
      </c>
      <c r="C6998">
        <v>147</v>
      </c>
      <c r="D6998" t="s">
        <v>7</v>
      </c>
      <c r="E6998" s="2" t="s">
        <v>12</v>
      </c>
      <c r="F6998">
        <f t="shared" si="109"/>
        <v>291.50100000000003</v>
      </c>
      <c r="G6998" t="s">
        <v>16</v>
      </c>
      <c r="H6998" t="s">
        <v>10</v>
      </c>
      <c r="J6998" t="str">
        <f>"11/27/2020 00:40"</f>
        <v>11/27/2020 00:40</v>
      </c>
    </row>
    <row r="6999" spans="1:10" x14ac:dyDescent="0.3">
      <c r="A6999" t="s">
        <v>6</v>
      </c>
      <c r="B6999" t="str">
        <f>"11/27/2020 00:00"</f>
        <v>11/27/2020 00:00</v>
      </c>
      <c r="C6999">
        <v>147</v>
      </c>
      <c r="D6999" t="s">
        <v>7</v>
      </c>
      <c r="E6999" s="2" t="s">
        <v>12</v>
      </c>
      <c r="F6999">
        <f t="shared" si="109"/>
        <v>291.50100000000003</v>
      </c>
      <c r="G6999" t="s">
        <v>16</v>
      </c>
      <c r="H6999" t="s">
        <v>10</v>
      </c>
      <c r="J6999" t="str">
        <f>"11/28/2020 00:40"</f>
        <v>11/28/2020 00:40</v>
      </c>
    </row>
    <row r="7000" spans="1:10" x14ac:dyDescent="0.3">
      <c r="A7000" t="s">
        <v>6</v>
      </c>
      <c r="B7000" t="str">
        <f>"11/28/2020 00:00"</f>
        <v>11/28/2020 00:00</v>
      </c>
      <c r="C7000">
        <v>147</v>
      </c>
      <c r="D7000" t="s">
        <v>7</v>
      </c>
      <c r="E7000" s="2" t="s">
        <v>12</v>
      </c>
      <c r="F7000">
        <f t="shared" si="109"/>
        <v>291.50100000000003</v>
      </c>
      <c r="G7000" t="s">
        <v>16</v>
      </c>
      <c r="H7000" t="s">
        <v>10</v>
      </c>
      <c r="J7000" t="str">
        <f>"11/29/2020 00:39"</f>
        <v>11/29/2020 00:39</v>
      </c>
    </row>
    <row r="7001" spans="1:10" x14ac:dyDescent="0.3">
      <c r="A7001" t="s">
        <v>6</v>
      </c>
      <c r="B7001" t="str">
        <f>"11/29/2020 00:00"</f>
        <v>11/29/2020 00:00</v>
      </c>
      <c r="C7001">
        <v>147</v>
      </c>
      <c r="D7001" t="s">
        <v>7</v>
      </c>
      <c r="E7001" s="2" t="s">
        <v>12</v>
      </c>
      <c r="F7001">
        <f t="shared" si="109"/>
        <v>291.50100000000003</v>
      </c>
      <c r="G7001" t="s">
        <v>16</v>
      </c>
      <c r="H7001" t="s">
        <v>10</v>
      </c>
      <c r="J7001" t="str">
        <f>"11/30/2020 00:39"</f>
        <v>11/30/2020 00:39</v>
      </c>
    </row>
    <row r="7002" spans="1:10" x14ac:dyDescent="0.3">
      <c r="A7002" t="s">
        <v>6</v>
      </c>
      <c r="B7002" t="str">
        <f>"11/30/2020 00:00"</f>
        <v>11/30/2020 00:00</v>
      </c>
      <c r="C7002">
        <v>147</v>
      </c>
      <c r="D7002" t="s">
        <v>7</v>
      </c>
      <c r="E7002" s="2" t="s">
        <v>12</v>
      </c>
      <c r="F7002">
        <f t="shared" si="109"/>
        <v>291.50100000000003</v>
      </c>
      <c r="G7002" t="s">
        <v>16</v>
      </c>
      <c r="H7002" t="s">
        <v>10</v>
      </c>
      <c r="J7002" t="str">
        <f>"12/01/2020 00:39"</f>
        <v>12/01/2020 00:39</v>
      </c>
    </row>
    <row r="7003" spans="1:10" x14ac:dyDescent="0.3">
      <c r="A7003" t="s">
        <v>6</v>
      </c>
      <c r="B7003" t="str">
        <f>"12/01/2020 00:00"</f>
        <v>12/01/2020 00:00</v>
      </c>
      <c r="C7003">
        <v>147</v>
      </c>
      <c r="D7003" t="s">
        <v>7</v>
      </c>
      <c r="E7003" s="2" t="s">
        <v>12</v>
      </c>
      <c r="F7003">
        <f t="shared" si="109"/>
        <v>291.50100000000003</v>
      </c>
      <c r="G7003" t="s">
        <v>16</v>
      </c>
      <c r="H7003" t="s">
        <v>10</v>
      </c>
      <c r="J7003" t="str">
        <f>"12/02/2020 00:39"</f>
        <v>12/02/2020 00:39</v>
      </c>
    </row>
    <row r="7004" spans="1:10" x14ac:dyDescent="0.3">
      <c r="A7004" t="s">
        <v>6</v>
      </c>
      <c r="B7004" t="str">
        <f>"12/02/2020 00:00"</f>
        <v>12/02/2020 00:00</v>
      </c>
      <c r="C7004">
        <v>147</v>
      </c>
      <c r="D7004" t="s">
        <v>7</v>
      </c>
      <c r="E7004" s="2" t="s">
        <v>12</v>
      </c>
      <c r="F7004">
        <f t="shared" si="109"/>
        <v>291.50100000000003</v>
      </c>
      <c r="G7004" t="s">
        <v>16</v>
      </c>
      <c r="H7004" t="s">
        <v>10</v>
      </c>
      <c r="J7004" t="str">
        <f>"12/03/2020 00:39"</f>
        <v>12/03/2020 00:39</v>
      </c>
    </row>
    <row r="7005" spans="1:10" x14ac:dyDescent="0.3">
      <c r="A7005" t="s">
        <v>6</v>
      </c>
      <c r="B7005" t="str">
        <f>"12/03/2020 00:00"</f>
        <v>12/03/2020 00:00</v>
      </c>
      <c r="C7005">
        <v>147</v>
      </c>
      <c r="D7005" t="s">
        <v>7</v>
      </c>
      <c r="E7005" s="2" t="s">
        <v>12</v>
      </c>
      <c r="F7005">
        <f t="shared" si="109"/>
        <v>291.50100000000003</v>
      </c>
      <c r="G7005" t="s">
        <v>16</v>
      </c>
      <c r="H7005" t="s">
        <v>10</v>
      </c>
      <c r="J7005" t="str">
        <f>"12/04/2020 00:40"</f>
        <v>12/04/2020 00:40</v>
      </c>
    </row>
    <row r="7006" spans="1:10" x14ac:dyDescent="0.3">
      <c r="A7006" t="s">
        <v>6</v>
      </c>
      <c r="B7006" t="str">
        <f>"12/04/2020 00:00"</f>
        <v>12/04/2020 00:00</v>
      </c>
      <c r="C7006">
        <v>147</v>
      </c>
      <c r="D7006" t="s">
        <v>7</v>
      </c>
      <c r="E7006" s="2" t="s">
        <v>12</v>
      </c>
      <c r="F7006">
        <f t="shared" si="109"/>
        <v>291.50100000000003</v>
      </c>
      <c r="G7006" t="s">
        <v>16</v>
      </c>
      <c r="H7006" t="s">
        <v>10</v>
      </c>
      <c r="J7006" t="str">
        <f>"12/05/2020 00:40"</f>
        <v>12/05/2020 00:40</v>
      </c>
    </row>
    <row r="7007" spans="1:10" x14ac:dyDescent="0.3">
      <c r="A7007" t="s">
        <v>6</v>
      </c>
      <c r="B7007" t="str">
        <f>"12/05/2020 00:00"</f>
        <v>12/05/2020 00:00</v>
      </c>
      <c r="C7007">
        <v>147</v>
      </c>
      <c r="D7007" t="s">
        <v>7</v>
      </c>
      <c r="E7007" s="2" t="s">
        <v>12</v>
      </c>
      <c r="F7007">
        <f t="shared" si="109"/>
        <v>291.50100000000003</v>
      </c>
      <c r="G7007" t="s">
        <v>16</v>
      </c>
      <c r="H7007" t="s">
        <v>10</v>
      </c>
      <c r="J7007" t="str">
        <f>"12/06/2020 00:39"</f>
        <v>12/06/2020 00:39</v>
      </c>
    </row>
    <row r="7008" spans="1:10" x14ac:dyDescent="0.3">
      <c r="A7008" t="s">
        <v>6</v>
      </c>
      <c r="B7008" t="str">
        <f>"12/06/2020 00:00"</f>
        <v>12/06/2020 00:00</v>
      </c>
      <c r="C7008">
        <v>147</v>
      </c>
      <c r="D7008" t="s">
        <v>7</v>
      </c>
      <c r="E7008" s="2" t="s">
        <v>12</v>
      </c>
      <c r="F7008">
        <f t="shared" si="109"/>
        <v>291.50100000000003</v>
      </c>
      <c r="G7008" t="s">
        <v>16</v>
      </c>
      <c r="H7008" t="s">
        <v>10</v>
      </c>
      <c r="J7008" t="str">
        <f>"12/07/2020 00:39"</f>
        <v>12/07/2020 00:39</v>
      </c>
    </row>
    <row r="7009" spans="1:10" x14ac:dyDescent="0.3">
      <c r="A7009" t="s">
        <v>6</v>
      </c>
      <c r="B7009" t="str">
        <f>"12/07/2020 00:00"</f>
        <v>12/07/2020 00:00</v>
      </c>
      <c r="C7009">
        <v>147</v>
      </c>
      <c r="D7009" t="s">
        <v>7</v>
      </c>
      <c r="E7009" s="2" t="s">
        <v>12</v>
      </c>
      <c r="F7009">
        <f t="shared" si="109"/>
        <v>291.50100000000003</v>
      </c>
      <c r="G7009" t="s">
        <v>16</v>
      </c>
      <c r="H7009" t="s">
        <v>10</v>
      </c>
      <c r="J7009" t="str">
        <f>"12/08/2020 00:40"</f>
        <v>12/08/2020 00:40</v>
      </c>
    </row>
    <row r="7010" spans="1:10" x14ac:dyDescent="0.3">
      <c r="A7010" t="s">
        <v>6</v>
      </c>
      <c r="B7010" t="str">
        <f>"12/08/2020 00:00"</f>
        <v>12/08/2020 00:00</v>
      </c>
      <c r="C7010">
        <v>144</v>
      </c>
      <c r="D7010" t="s">
        <v>7</v>
      </c>
      <c r="E7010" s="2" t="s">
        <v>12</v>
      </c>
      <c r="F7010">
        <f t="shared" si="109"/>
        <v>285.55200000000002</v>
      </c>
      <c r="G7010" t="s">
        <v>16</v>
      </c>
      <c r="H7010" t="s">
        <v>10</v>
      </c>
      <c r="J7010" t="str">
        <f>"12/09/2020 00:39"</f>
        <v>12/09/2020 00:39</v>
      </c>
    </row>
    <row r="7011" spans="1:10" x14ac:dyDescent="0.3">
      <c r="A7011" t="s">
        <v>6</v>
      </c>
      <c r="B7011" t="str">
        <f>"12/09/2020 00:00"</f>
        <v>12/09/2020 00:00</v>
      </c>
      <c r="C7011">
        <v>141</v>
      </c>
      <c r="D7011" t="s">
        <v>7</v>
      </c>
      <c r="E7011" s="2" t="s">
        <v>12</v>
      </c>
      <c r="F7011">
        <f t="shared" si="109"/>
        <v>279.60300000000001</v>
      </c>
      <c r="G7011" t="s">
        <v>16</v>
      </c>
      <c r="H7011" t="s">
        <v>10</v>
      </c>
      <c r="J7011" t="str">
        <f>"12/10/2020 00:39"</f>
        <v>12/10/2020 00:39</v>
      </c>
    </row>
    <row r="7012" spans="1:10" x14ac:dyDescent="0.3">
      <c r="A7012" t="s">
        <v>6</v>
      </c>
      <c r="B7012" t="str">
        <f>"12/10/2020 00:00"</f>
        <v>12/10/2020 00:00</v>
      </c>
      <c r="C7012">
        <v>141</v>
      </c>
      <c r="D7012" t="s">
        <v>7</v>
      </c>
      <c r="E7012" s="2" t="s">
        <v>12</v>
      </c>
      <c r="F7012">
        <f t="shared" si="109"/>
        <v>279.60300000000001</v>
      </c>
      <c r="G7012" t="s">
        <v>16</v>
      </c>
      <c r="H7012" t="s">
        <v>10</v>
      </c>
      <c r="J7012" t="str">
        <f>"12/11/2020 00:40"</f>
        <v>12/11/2020 00:40</v>
      </c>
    </row>
    <row r="7013" spans="1:10" x14ac:dyDescent="0.3">
      <c r="A7013" t="s">
        <v>6</v>
      </c>
      <c r="B7013" t="str">
        <f>"12/11/2020 00:00"</f>
        <v>12/11/2020 00:00</v>
      </c>
      <c r="C7013">
        <v>141</v>
      </c>
      <c r="D7013" t="s">
        <v>7</v>
      </c>
      <c r="E7013" s="2" t="s">
        <v>12</v>
      </c>
      <c r="F7013">
        <f t="shared" si="109"/>
        <v>279.60300000000001</v>
      </c>
      <c r="G7013" t="s">
        <v>16</v>
      </c>
      <c r="H7013" t="s">
        <v>10</v>
      </c>
      <c r="J7013" t="str">
        <f>"12/12/2020 00:39"</f>
        <v>12/12/2020 00:39</v>
      </c>
    </row>
    <row r="7014" spans="1:10" x14ac:dyDescent="0.3">
      <c r="A7014" t="s">
        <v>6</v>
      </c>
      <c r="B7014" t="str">
        <f>"12/12/2020 00:00"</f>
        <v>12/12/2020 00:00</v>
      </c>
      <c r="C7014">
        <v>141</v>
      </c>
      <c r="D7014" t="s">
        <v>7</v>
      </c>
      <c r="E7014" s="2" t="s">
        <v>12</v>
      </c>
      <c r="F7014">
        <f t="shared" si="109"/>
        <v>279.60300000000001</v>
      </c>
      <c r="G7014" t="s">
        <v>16</v>
      </c>
      <c r="H7014" t="s">
        <v>10</v>
      </c>
      <c r="J7014" t="str">
        <f>"12/13/2020 00:39"</f>
        <v>12/13/2020 00:39</v>
      </c>
    </row>
    <row r="7015" spans="1:10" x14ac:dyDescent="0.3">
      <c r="A7015" t="s">
        <v>6</v>
      </c>
      <c r="B7015" t="str">
        <f>"12/13/2020 00:00"</f>
        <v>12/13/2020 00:00</v>
      </c>
      <c r="C7015">
        <v>141</v>
      </c>
      <c r="D7015" t="s">
        <v>7</v>
      </c>
      <c r="E7015" s="2" t="s">
        <v>12</v>
      </c>
      <c r="F7015">
        <f t="shared" si="109"/>
        <v>279.60300000000001</v>
      </c>
      <c r="G7015" t="s">
        <v>16</v>
      </c>
      <c r="H7015" t="s">
        <v>10</v>
      </c>
      <c r="J7015" t="str">
        <f>"12/14/2020 00:39"</f>
        <v>12/14/2020 00:39</v>
      </c>
    </row>
    <row r="7016" spans="1:10" x14ac:dyDescent="0.3">
      <c r="A7016" t="s">
        <v>6</v>
      </c>
      <c r="B7016" t="str">
        <f>"12/14/2020 00:00"</f>
        <v>12/14/2020 00:00</v>
      </c>
      <c r="C7016">
        <v>141</v>
      </c>
      <c r="D7016" t="s">
        <v>7</v>
      </c>
      <c r="E7016" s="2" t="s">
        <v>12</v>
      </c>
      <c r="F7016">
        <f t="shared" si="109"/>
        <v>279.60300000000001</v>
      </c>
      <c r="G7016" t="s">
        <v>16</v>
      </c>
      <c r="H7016" t="s">
        <v>10</v>
      </c>
      <c r="J7016" t="str">
        <f>"12/15/2020 00:39"</f>
        <v>12/15/2020 00:39</v>
      </c>
    </row>
    <row r="7017" spans="1:10" x14ac:dyDescent="0.3">
      <c r="A7017" t="s">
        <v>6</v>
      </c>
      <c r="B7017" t="str">
        <f>"12/15/2020 00:00"</f>
        <v>12/15/2020 00:00</v>
      </c>
      <c r="C7017">
        <v>141</v>
      </c>
      <c r="D7017" t="s">
        <v>7</v>
      </c>
      <c r="E7017" s="2" t="s">
        <v>12</v>
      </c>
      <c r="F7017">
        <f t="shared" si="109"/>
        <v>279.60300000000001</v>
      </c>
      <c r="G7017" t="s">
        <v>16</v>
      </c>
      <c r="H7017" t="s">
        <v>10</v>
      </c>
      <c r="J7017" t="str">
        <f>"12/16/2020 00:39"</f>
        <v>12/16/2020 00:39</v>
      </c>
    </row>
    <row r="7018" spans="1:10" x14ac:dyDescent="0.3">
      <c r="A7018" t="s">
        <v>6</v>
      </c>
      <c r="B7018" t="str">
        <f>"12/16/2020 00:00"</f>
        <v>12/16/2020 00:00</v>
      </c>
      <c r="C7018">
        <v>141</v>
      </c>
      <c r="D7018" t="s">
        <v>7</v>
      </c>
      <c r="E7018" s="2" t="s">
        <v>12</v>
      </c>
      <c r="F7018">
        <f t="shared" si="109"/>
        <v>279.60300000000001</v>
      </c>
      <c r="G7018" t="s">
        <v>16</v>
      </c>
      <c r="H7018" t="s">
        <v>10</v>
      </c>
      <c r="J7018" t="str">
        <f>"12/17/2020 00:39"</f>
        <v>12/17/2020 00:39</v>
      </c>
    </row>
    <row r="7019" spans="1:10" x14ac:dyDescent="0.3">
      <c r="A7019" t="s">
        <v>6</v>
      </c>
      <c r="B7019" t="str">
        <f>"12/17/2020 00:00"</f>
        <v>12/17/2020 00:00</v>
      </c>
      <c r="C7019">
        <v>148</v>
      </c>
      <c r="D7019" t="s">
        <v>7</v>
      </c>
      <c r="E7019" s="2" t="s">
        <v>12</v>
      </c>
      <c r="F7019">
        <f t="shared" si="109"/>
        <v>293.48400000000004</v>
      </c>
      <c r="G7019" t="s">
        <v>16</v>
      </c>
      <c r="H7019" t="s">
        <v>10</v>
      </c>
      <c r="J7019" t="str">
        <f>"12/18/2020 00:39"</f>
        <v>12/18/2020 00:39</v>
      </c>
    </row>
    <row r="7020" spans="1:10" x14ac:dyDescent="0.3">
      <c r="A7020" t="s">
        <v>6</v>
      </c>
      <c r="B7020" t="str">
        <f>"12/18/2020 00:00"</f>
        <v>12/18/2020 00:00</v>
      </c>
      <c r="C7020">
        <v>156</v>
      </c>
      <c r="D7020" t="s">
        <v>7</v>
      </c>
      <c r="E7020" s="2" t="s">
        <v>12</v>
      </c>
      <c r="F7020">
        <f t="shared" si="109"/>
        <v>309.34800000000001</v>
      </c>
      <c r="G7020" t="s">
        <v>16</v>
      </c>
      <c r="H7020" t="s">
        <v>10</v>
      </c>
      <c r="J7020" t="str">
        <f>"12/19/2020 00:39"</f>
        <v>12/19/2020 00:39</v>
      </c>
    </row>
    <row r="7021" spans="1:10" x14ac:dyDescent="0.3">
      <c r="A7021" t="s">
        <v>6</v>
      </c>
      <c r="B7021" t="str">
        <f>"12/19/2020 00:00"</f>
        <v>12/19/2020 00:00</v>
      </c>
      <c r="C7021">
        <v>156</v>
      </c>
      <c r="D7021" t="s">
        <v>7</v>
      </c>
      <c r="E7021" s="2" t="s">
        <v>12</v>
      </c>
      <c r="F7021">
        <f t="shared" si="109"/>
        <v>309.34800000000001</v>
      </c>
      <c r="G7021" t="s">
        <v>16</v>
      </c>
      <c r="H7021" t="s">
        <v>10</v>
      </c>
      <c r="J7021" t="str">
        <f>"12/20/2020 00:39"</f>
        <v>12/20/2020 00:39</v>
      </c>
    </row>
    <row r="7022" spans="1:10" x14ac:dyDescent="0.3">
      <c r="A7022" t="s">
        <v>6</v>
      </c>
      <c r="B7022" t="str">
        <f>"12/20/2020 00:00"</f>
        <v>12/20/2020 00:00</v>
      </c>
      <c r="C7022">
        <v>153</v>
      </c>
      <c r="D7022" t="s">
        <v>7</v>
      </c>
      <c r="E7022" s="2" t="s">
        <v>12</v>
      </c>
      <c r="F7022">
        <f t="shared" si="109"/>
        <v>303.399</v>
      </c>
      <c r="G7022" t="s">
        <v>16</v>
      </c>
      <c r="H7022" t="s">
        <v>10</v>
      </c>
      <c r="J7022" t="str">
        <f>"12/21/2020 00:39"</f>
        <v>12/21/2020 00:39</v>
      </c>
    </row>
    <row r="7023" spans="1:10" x14ac:dyDescent="0.3">
      <c r="A7023" t="s">
        <v>6</v>
      </c>
      <c r="B7023" t="str">
        <f>"12/21/2020 00:00"</f>
        <v>12/21/2020 00:00</v>
      </c>
      <c r="C7023">
        <v>157</v>
      </c>
      <c r="D7023" t="s">
        <v>7</v>
      </c>
      <c r="E7023" s="2" t="s">
        <v>12</v>
      </c>
      <c r="F7023">
        <f t="shared" si="109"/>
        <v>311.33100000000002</v>
      </c>
      <c r="G7023" t="s">
        <v>16</v>
      </c>
      <c r="H7023" t="s">
        <v>10</v>
      </c>
      <c r="J7023" t="str">
        <f>"12/22/2020 00:39"</f>
        <v>12/22/2020 00:39</v>
      </c>
    </row>
    <row r="7024" spans="1:10" x14ac:dyDescent="0.3">
      <c r="A7024" t="s">
        <v>6</v>
      </c>
      <c r="B7024" t="str">
        <f>"12/22/2020 00:00"</f>
        <v>12/22/2020 00:00</v>
      </c>
      <c r="C7024">
        <v>156</v>
      </c>
      <c r="D7024" t="s">
        <v>7</v>
      </c>
      <c r="E7024" s="2" t="s">
        <v>12</v>
      </c>
      <c r="F7024">
        <f t="shared" si="109"/>
        <v>309.34800000000001</v>
      </c>
      <c r="G7024" t="s">
        <v>16</v>
      </c>
      <c r="H7024" t="s">
        <v>10</v>
      </c>
      <c r="J7024" t="str">
        <f>"12/23/2020 00:39"</f>
        <v>12/23/2020 00:39</v>
      </c>
    </row>
    <row r="7025" spans="1:10" x14ac:dyDescent="0.3">
      <c r="A7025" t="s">
        <v>6</v>
      </c>
      <c r="B7025" t="str">
        <f>"12/23/2020 00:00"</f>
        <v>12/23/2020 00:00</v>
      </c>
      <c r="C7025">
        <v>154</v>
      </c>
      <c r="D7025" t="s">
        <v>7</v>
      </c>
      <c r="E7025" s="2" t="s">
        <v>12</v>
      </c>
      <c r="F7025">
        <f t="shared" si="109"/>
        <v>305.38200000000001</v>
      </c>
      <c r="G7025" t="s">
        <v>16</v>
      </c>
      <c r="H7025" t="s">
        <v>10</v>
      </c>
      <c r="J7025" t="str">
        <f>"12/24/2020 00:39"</f>
        <v>12/24/2020 00:39</v>
      </c>
    </row>
    <row r="7026" spans="1:10" x14ac:dyDescent="0.3">
      <c r="A7026" t="s">
        <v>6</v>
      </c>
      <c r="B7026" t="str">
        <f>"12/24/2020 00:00"</f>
        <v>12/24/2020 00:00</v>
      </c>
      <c r="C7026">
        <v>150</v>
      </c>
      <c r="D7026" t="s">
        <v>7</v>
      </c>
      <c r="E7026" s="2" t="s">
        <v>12</v>
      </c>
      <c r="F7026">
        <f t="shared" si="109"/>
        <v>297.45</v>
      </c>
      <c r="G7026" t="s">
        <v>16</v>
      </c>
      <c r="H7026" t="s">
        <v>10</v>
      </c>
      <c r="J7026" t="str">
        <f>"12/25/2020 00:39"</f>
        <v>12/25/2020 00:39</v>
      </c>
    </row>
    <row r="7027" spans="1:10" x14ac:dyDescent="0.3">
      <c r="A7027" t="s">
        <v>6</v>
      </c>
      <c r="B7027" t="str">
        <f>"12/25/2020 00:00"</f>
        <v>12/25/2020 00:00</v>
      </c>
      <c r="C7027">
        <v>150</v>
      </c>
      <c r="D7027" t="s">
        <v>7</v>
      </c>
      <c r="E7027" s="2" t="s">
        <v>12</v>
      </c>
      <c r="F7027">
        <f t="shared" si="109"/>
        <v>297.45</v>
      </c>
      <c r="G7027" t="s">
        <v>16</v>
      </c>
      <c r="H7027" t="s">
        <v>10</v>
      </c>
      <c r="J7027" t="str">
        <f>"12/26/2020 00:39"</f>
        <v>12/26/2020 00:39</v>
      </c>
    </row>
    <row r="7028" spans="1:10" x14ac:dyDescent="0.3">
      <c r="A7028" t="s">
        <v>6</v>
      </c>
      <c r="B7028" t="str">
        <f>"12/26/2020 00:00"</f>
        <v>12/26/2020 00:00</v>
      </c>
      <c r="C7028">
        <v>150</v>
      </c>
      <c r="D7028" t="s">
        <v>7</v>
      </c>
      <c r="E7028" s="2" t="s">
        <v>12</v>
      </c>
      <c r="F7028">
        <f t="shared" si="109"/>
        <v>297.45</v>
      </c>
      <c r="G7028" t="s">
        <v>16</v>
      </c>
      <c r="H7028" t="s">
        <v>10</v>
      </c>
      <c r="J7028" t="str">
        <f>"12/27/2020 01:39"</f>
        <v>12/27/2020 01:39</v>
      </c>
    </row>
    <row r="7029" spans="1:10" x14ac:dyDescent="0.3">
      <c r="A7029" t="s">
        <v>6</v>
      </c>
      <c r="B7029" t="str">
        <f>"12/27/2020 00:00"</f>
        <v>12/27/2020 00:00</v>
      </c>
      <c r="C7029">
        <v>150</v>
      </c>
      <c r="D7029" t="s">
        <v>7</v>
      </c>
      <c r="E7029" s="2" t="s">
        <v>12</v>
      </c>
      <c r="F7029">
        <f t="shared" si="109"/>
        <v>297.45</v>
      </c>
      <c r="G7029" t="s">
        <v>16</v>
      </c>
      <c r="H7029" t="s">
        <v>10</v>
      </c>
      <c r="J7029" t="str">
        <f>"12/28/2020 00:39"</f>
        <v>12/28/2020 00:39</v>
      </c>
    </row>
    <row r="7030" spans="1:10" x14ac:dyDescent="0.3">
      <c r="A7030" t="s">
        <v>6</v>
      </c>
      <c r="B7030" t="str">
        <f>"12/28/2020 00:00"</f>
        <v>12/28/2020 00:00</v>
      </c>
      <c r="C7030">
        <v>150</v>
      </c>
      <c r="D7030" t="s">
        <v>7</v>
      </c>
      <c r="E7030" s="2" t="s">
        <v>12</v>
      </c>
      <c r="F7030">
        <f t="shared" si="109"/>
        <v>297.45</v>
      </c>
      <c r="G7030" t="s">
        <v>16</v>
      </c>
      <c r="H7030" t="s">
        <v>10</v>
      </c>
      <c r="J7030" t="str">
        <f>"12/29/2020 00:39"</f>
        <v>12/29/2020 00:39</v>
      </c>
    </row>
    <row r="7031" spans="1:10" x14ac:dyDescent="0.3">
      <c r="A7031" t="s">
        <v>6</v>
      </c>
      <c r="B7031" t="str">
        <f>"12/29/2020 00:00"</f>
        <v>12/29/2020 00:00</v>
      </c>
      <c r="C7031">
        <v>150</v>
      </c>
      <c r="D7031" t="s">
        <v>7</v>
      </c>
      <c r="E7031" s="2" t="s">
        <v>12</v>
      </c>
      <c r="F7031">
        <f t="shared" si="109"/>
        <v>297.45</v>
      </c>
      <c r="G7031" t="s">
        <v>16</v>
      </c>
      <c r="H7031" t="s">
        <v>10</v>
      </c>
      <c r="J7031" t="str">
        <f>"12/30/2020 00:39"</f>
        <v>12/30/2020 00:39</v>
      </c>
    </row>
    <row r="7032" spans="1:10" x14ac:dyDescent="0.3">
      <c r="A7032" t="s">
        <v>6</v>
      </c>
      <c r="B7032" t="str">
        <f>"12/30/2020 00:00"</f>
        <v>12/30/2020 00:00</v>
      </c>
      <c r="C7032">
        <v>150</v>
      </c>
      <c r="D7032" t="s">
        <v>7</v>
      </c>
      <c r="E7032" s="2" t="s">
        <v>12</v>
      </c>
      <c r="F7032">
        <f t="shared" si="109"/>
        <v>297.45</v>
      </c>
      <c r="G7032" t="s">
        <v>16</v>
      </c>
      <c r="H7032" t="s">
        <v>10</v>
      </c>
      <c r="J7032" t="str">
        <f>"12/31/2020 00:39"</f>
        <v>12/31/2020 00:39</v>
      </c>
    </row>
    <row r="7033" spans="1:10" x14ac:dyDescent="0.3">
      <c r="A7033" t="s">
        <v>6</v>
      </c>
      <c r="B7033" t="str">
        <f>"12/31/2020 00:00"</f>
        <v>12/31/2020 00:00</v>
      </c>
      <c r="C7033">
        <v>150</v>
      </c>
      <c r="D7033" t="s">
        <v>7</v>
      </c>
      <c r="E7033" s="2" t="s">
        <v>12</v>
      </c>
      <c r="F7033">
        <f t="shared" si="109"/>
        <v>297.45</v>
      </c>
      <c r="G7033" t="s">
        <v>16</v>
      </c>
      <c r="H7033" t="s">
        <v>10</v>
      </c>
      <c r="J7033" t="str">
        <f>"01/01/2021 00:39"</f>
        <v>01/01/2021 00:39</v>
      </c>
    </row>
    <row r="7034" spans="1:10" x14ac:dyDescent="0.3">
      <c r="A7034" t="s">
        <v>6</v>
      </c>
      <c r="B7034" t="str">
        <f>"01/01/2021 00:00"</f>
        <v>01/01/2021 00:00</v>
      </c>
      <c r="C7034">
        <v>150</v>
      </c>
      <c r="D7034" t="s">
        <v>7</v>
      </c>
      <c r="E7034" s="2" t="s">
        <v>12</v>
      </c>
      <c r="F7034">
        <f t="shared" si="109"/>
        <v>297.45</v>
      </c>
      <c r="G7034" t="s">
        <v>16</v>
      </c>
      <c r="H7034" t="s">
        <v>10</v>
      </c>
      <c r="J7034" t="str">
        <f>"01/02/2021 02:49"</f>
        <v>01/02/2021 02:49</v>
      </c>
    </row>
    <row r="7035" spans="1:10" x14ac:dyDescent="0.3">
      <c r="A7035" t="s">
        <v>6</v>
      </c>
      <c r="B7035" t="str">
        <f>"01/02/2021 00:00"</f>
        <v>01/02/2021 00:00</v>
      </c>
      <c r="C7035">
        <v>150</v>
      </c>
      <c r="D7035" t="s">
        <v>7</v>
      </c>
      <c r="E7035" s="2" t="s">
        <v>12</v>
      </c>
      <c r="F7035">
        <f t="shared" si="109"/>
        <v>297.45</v>
      </c>
      <c r="G7035" t="s">
        <v>16</v>
      </c>
      <c r="H7035" t="s">
        <v>10</v>
      </c>
      <c r="J7035" t="str">
        <f>"01/03/2021 00:39"</f>
        <v>01/03/2021 00:39</v>
      </c>
    </row>
    <row r="7036" spans="1:10" x14ac:dyDescent="0.3">
      <c r="A7036" t="s">
        <v>6</v>
      </c>
      <c r="B7036" t="str">
        <f>"01/03/2021 00:00"</f>
        <v>01/03/2021 00:00</v>
      </c>
      <c r="C7036">
        <v>150</v>
      </c>
      <c r="D7036" t="s">
        <v>7</v>
      </c>
      <c r="E7036" s="2" t="s">
        <v>12</v>
      </c>
      <c r="F7036">
        <f t="shared" si="109"/>
        <v>297.45</v>
      </c>
      <c r="G7036" t="s">
        <v>16</v>
      </c>
      <c r="H7036" t="s">
        <v>10</v>
      </c>
      <c r="J7036" t="str">
        <f>"01/04/2021 00:39"</f>
        <v>01/04/2021 00:39</v>
      </c>
    </row>
    <row r="7037" spans="1:10" x14ac:dyDescent="0.3">
      <c r="A7037" t="s">
        <v>6</v>
      </c>
      <c r="B7037" t="str">
        <f>"01/04/2021 00:00"</f>
        <v>01/04/2021 00:00</v>
      </c>
      <c r="C7037">
        <v>150</v>
      </c>
      <c r="D7037" t="s">
        <v>7</v>
      </c>
      <c r="E7037" s="2" t="s">
        <v>12</v>
      </c>
      <c r="F7037">
        <f t="shared" si="109"/>
        <v>297.45</v>
      </c>
      <c r="G7037" t="s">
        <v>16</v>
      </c>
      <c r="H7037" t="s">
        <v>10</v>
      </c>
      <c r="J7037" t="str">
        <f>"01/05/2021 00:39"</f>
        <v>01/05/2021 00:39</v>
      </c>
    </row>
    <row r="7038" spans="1:10" x14ac:dyDescent="0.3">
      <c r="A7038" t="s">
        <v>6</v>
      </c>
      <c r="B7038" t="str">
        <f>"01/05/2021 00:00"</f>
        <v>01/05/2021 00:00</v>
      </c>
      <c r="C7038">
        <v>150</v>
      </c>
      <c r="D7038" t="s">
        <v>7</v>
      </c>
      <c r="E7038" s="2" t="s">
        <v>12</v>
      </c>
      <c r="F7038">
        <f t="shared" si="109"/>
        <v>297.45</v>
      </c>
      <c r="G7038" t="s">
        <v>16</v>
      </c>
      <c r="H7038" t="s">
        <v>10</v>
      </c>
      <c r="J7038" t="str">
        <f>"01/06/2021 00:39"</f>
        <v>01/06/2021 00:39</v>
      </c>
    </row>
    <row r="7039" spans="1:10" x14ac:dyDescent="0.3">
      <c r="A7039" t="s">
        <v>6</v>
      </c>
      <c r="B7039" t="str">
        <f>"01/06/2021 00:00"</f>
        <v>01/06/2021 00:00</v>
      </c>
      <c r="C7039">
        <v>150</v>
      </c>
      <c r="D7039" t="s">
        <v>7</v>
      </c>
      <c r="E7039" s="2" t="s">
        <v>12</v>
      </c>
      <c r="F7039">
        <f t="shared" si="109"/>
        <v>297.45</v>
      </c>
      <c r="G7039" t="s">
        <v>16</v>
      </c>
      <c r="H7039" t="s">
        <v>10</v>
      </c>
      <c r="J7039" t="str">
        <f>"01/07/2021 00:39"</f>
        <v>01/07/2021 00:39</v>
      </c>
    </row>
    <row r="7040" spans="1:10" x14ac:dyDescent="0.3">
      <c r="A7040" t="s">
        <v>6</v>
      </c>
      <c r="B7040" t="str">
        <f>"01/07/2021 00:00"</f>
        <v>01/07/2021 00:00</v>
      </c>
      <c r="C7040">
        <v>150</v>
      </c>
      <c r="D7040" t="s">
        <v>7</v>
      </c>
      <c r="E7040" s="2" t="s">
        <v>12</v>
      </c>
      <c r="F7040">
        <f t="shared" si="109"/>
        <v>297.45</v>
      </c>
      <c r="G7040" t="s">
        <v>16</v>
      </c>
      <c r="H7040" t="s">
        <v>10</v>
      </c>
      <c r="J7040" t="str">
        <f>"01/08/2021 00:39"</f>
        <v>01/08/2021 00:39</v>
      </c>
    </row>
    <row r="7041" spans="1:10" x14ac:dyDescent="0.3">
      <c r="A7041" t="s">
        <v>6</v>
      </c>
      <c r="B7041" t="str">
        <f>"01/08/2021 00:00"</f>
        <v>01/08/2021 00:00</v>
      </c>
      <c r="C7041">
        <v>150</v>
      </c>
      <c r="D7041" t="s">
        <v>7</v>
      </c>
      <c r="E7041" s="2" t="s">
        <v>12</v>
      </c>
      <c r="F7041">
        <f t="shared" si="109"/>
        <v>297.45</v>
      </c>
      <c r="G7041" t="s">
        <v>16</v>
      </c>
      <c r="H7041" t="s">
        <v>10</v>
      </c>
      <c r="J7041" t="str">
        <f>"01/09/2021 00:39"</f>
        <v>01/09/2021 00:39</v>
      </c>
    </row>
    <row r="7042" spans="1:10" x14ac:dyDescent="0.3">
      <c r="A7042" t="s">
        <v>6</v>
      </c>
      <c r="B7042" t="str">
        <f>"01/09/2021 00:00"</f>
        <v>01/09/2021 00:00</v>
      </c>
      <c r="C7042">
        <v>150</v>
      </c>
      <c r="D7042" t="s">
        <v>7</v>
      </c>
      <c r="E7042" s="2" t="s">
        <v>12</v>
      </c>
      <c r="F7042">
        <f t="shared" si="109"/>
        <v>297.45</v>
      </c>
      <c r="G7042" t="s">
        <v>16</v>
      </c>
      <c r="H7042" t="s">
        <v>10</v>
      </c>
      <c r="J7042" t="str">
        <f>"01/10/2021 00:39"</f>
        <v>01/10/2021 00:39</v>
      </c>
    </row>
    <row r="7043" spans="1:10" x14ac:dyDescent="0.3">
      <c r="A7043" t="s">
        <v>6</v>
      </c>
      <c r="B7043" t="str">
        <f>"01/10/2021 00:00"</f>
        <v>01/10/2021 00:00</v>
      </c>
      <c r="C7043">
        <v>150</v>
      </c>
      <c r="D7043" t="s">
        <v>7</v>
      </c>
      <c r="E7043" s="2" t="s">
        <v>12</v>
      </c>
      <c r="F7043">
        <f t="shared" si="109"/>
        <v>297.45</v>
      </c>
      <c r="G7043" t="s">
        <v>16</v>
      </c>
      <c r="H7043" t="s">
        <v>10</v>
      </c>
      <c r="J7043" t="str">
        <f>"01/11/2021 00:39"</f>
        <v>01/11/2021 00:39</v>
      </c>
    </row>
    <row r="7044" spans="1:10" x14ac:dyDescent="0.3">
      <c r="A7044" t="s">
        <v>6</v>
      </c>
      <c r="B7044" t="str">
        <f>"01/11/2021 00:00"</f>
        <v>01/11/2021 00:00</v>
      </c>
      <c r="C7044">
        <v>150</v>
      </c>
      <c r="D7044" t="s">
        <v>7</v>
      </c>
      <c r="E7044" s="2" t="s">
        <v>12</v>
      </c>
      <c r="F7044">
        <f t="shared" ref="F7044:F7107" si="110">C7044*1.983</f>
        <v>297.45</v>
      </c>
      <c r="G7044" t="s">
        <v>16</v>
      </c>
      <c r="H7044" t="s">
        <v>10</v>
      </c>
      <c r="J7044" t="str">
        <f>"01/12/2021 00:39"</f>
        <v>01/12/2021 00:39</v>
      </c>
    </row>
    <row r="7045" spans="1:10" x14ac:dyDescent="0.3">
      <c r="A7045" t="s">
        <v>6</v>
      </c>
      <c r="B7045" t="str">
        <f>"01/12/2021 00:00"</f>
        <v>01/12/2021 00:00</v>
      </c>
      <c r="C7045">
        <v>150</v>
      </c>
      <c r="D7045" t="s">
        <v>7</v>
      </c>
      <c r="E7045" s="2" t="s">
        <v>12</v>
      </c>
      <c r="F7045">
        <f t="shared" si="110"/>
        <v>297.45</v>
      </c>
      <c r="G7045" t="s">
        <v>16</v>
      </c>
      <c r="H7045" t="s">
        <v>10</v>
      </c>
      <c r="J7045" t="str">
        <f>"01/13/2021 00:39"</f>
        <v>01/13/2021 00:39</v>
      </c>
    </row>
    <row r="7046" spans="1:10" x14ac:dyDescent="0.3">
      <c r="A7046" t="s">
        <v>6</v>
      </c>
      <c r="B7046" t="str">
        <f>"01/13/2021 00:00"</f>
        <v>01/13/2021 00:00</v>
      </c>
      <c r="C7046">
        <v>150</v>
      </c>
      <c r="D7046" t="s">
        <v>7</v>
      </c>
      <c r="E7046" s="2" t="s">
        <v>12</v>
      </c>
      <c r="F7046">
        <f t="shared" si="110"/>
        <v>297.45</v>
      </c>
      <c r="G7046" t="s">
        <v>16</v>
      </c>
      <c r="H7046" t="s">
        <v>10</v>
      </c>
      <c r="J7046" t="str">
        <f>"01/14/2021 00:39"</f>
        <v>01/14/2021 00:39</v>
      </c>
    </row>
    <row r="7047" spans="1:10" x14ac:dyDescent="0.3">
      <c r="A7047" t="s">
        <v>6</v>
      </c>
      <c r="B7047" t="str">
        <f>"01/14/2021 00:00"</f>
        <v>01/14/2021 00:00</v>
      </c>
      <c r="C7047">
        <v>150</v>
      </c>
      <c r="D7047" t="s">
        <v>7</v>
      </c>
      <c r="E7047" s="2" t="s">
        <v>12</v>
      </c>
      <c r="F7047">
        <f t="shared" si="110"/>
        <v>297.45</v>
      </c>
      <c r="G7047" t="s">
        <v>16</v>
      </c>
      <c r="H7047" t="s">
        <v>10</v>
      </c>
      <c r="J7047" t="str">
        <f>"01/15/2021 00:39"</f>
        <v>01/15/2021 00:39</v>
      </c>
    </row>
    <row r="7048" spans="1:10" x14ac:dyDescent="0.3">
      <c r="A7048" t="s">
        <v>6</v>
      </c>
      <c r="B7048" t="str">
        <f>"01/15/2021 00:00"</f>
        <v>01/15/2021 00:00</v>
      </c>
      <c r="C7048">
        <v>150</v>
      </c>
      <c r="D7048" t="s">
        <v>7</v>
      </c>
      <c r="E7048" s="2" t="s">
        <v>12</v>
      </c>
      <c r="F7048">
        <f t="shared" si="110"/>
        <v>297.45</v>
      </c>
      <c r="G7048" t="s">
        <v>16</v>
      </c>
      <c r="H7048" t="s">
        <v>10</v>
      </c>
      <c r="J7048" t="str">
        <f>"01/16/2021 00:39"</f>
        <v>01/16/2021 00:39</v>
      </c>
    </row>
    <row r="7049" spans="1:10" x14ac:dyDescent="0.3">
      <c r="A7049" t="s">
        <v>6</v>
      </c>
      <c r="B7049" t="str">
        <f>"01/16/2021 00:00"</f>
        <v>01/16/2021 00:00</v>
      </c>
      <c r="C7049">
        <v>150</v>
      </c>
      <c r="D7049" t="s">
        <v>7</v>
      </c>
      <c r="E7049" s="2" t="s">
        <v>12</v>
      </c>
      <c r="F7049">
        <f t="shared" si="110"/>
        <v>297.45</v>
      </c>
      <c r="G7049" t="s">
        <v>16</v>
      </c>
      <c r="H7049" t="s">
        <v>10</v>
      </c>
      <c r="J7049" t="str">
        <f>"01/17/2021 00:39"</f>
        <v>01/17/2021 00:39</v>
      </c>
    </row>
    <row r="7050" spans="1:10" x14ac:dyDescent="0.3">
      <c r="A7050" t="s">
        <v>6</v>
      </c>
      <c r="B7050" t="str">
        <f>"01/17/2021 00:00"</f>
        <v>01/17/2021 00:00</v>
      </c>
      <c r="C7050">
        <v>150</v>
      </c>
      <c r="D7050" t="s">
        <v>7</v>
      </c>
      <c r="E7050" s="2" t="s">
        <v>12</v>
      </c>
      <c r="F7050">
        <f t="shared" si="110"/>
        <v>297.45</v>
      </c>
      <c r="G7050" t="s">
        <v>16</v>
      </c>
      <c r="H7050" t="s">
        <v>10</v>
      </c>
      <c r="J7050" t="str">
        <f>"01/18/2021 00:39"</f>
        <v>01/18/2021 00:39</v>
      </c>
    </row>
    <row r="7051" spans="1:10" x14ac:dyDescent="0.3">
      <c r="A7051" t="s">
        <v>6</v>
      </c>
      <c r="B7051" t="str">
        <f>"01/18/2021 00:00"</f>
        <v>01/18/2021 00:00</v>
      </c>
      <c r="C7051">
        <v>150</v>
      </c>
      <c r="D7051" t="s">
        <v>7</v>
      </c>
      <c r="E7051" s="2" t="s">
        <v>12</v>
      </c>
      <c r="F7051">
        <f t="shared" si="110"/>
        <v>297.45</v>
      </c>
      <c r="G7051" t="s">
        <v>16</v>
      </c>
      <c r="H7051" t="s">
        <v>10</v>
      </c>
      <c r="J7051" t="str">
        <f>"01/19/2021 00:39"</f>
        <v>01/19/2021 00:39</v>
      </c>
    </row>
    <row r="7052" spans="1:10" x14ac:dyDescent="0.3">
      <c r="A7052" t="s">
        <v>6</v>
      </c>
      <c r="B7052" t="str">
        <f>"01/19/2021 00:00"</f>
        <v>01/19/2021 00:00</v>
      </c>
      <c r="C7052">
        <v>150</v>
      </c>
      <c r="D7052" t="s">
        <v>7</v>
      </c>
      <c r="E7052" s="2" t="s">
        <v>12</v>
      </c>
      <c r="F7052">
        <f t="shared" si="110"/>
        <v>297.45</v>
      </c>
      <c r="G7052" t="s">
        <v>16</v>
      </c>
      <c r="H7052" t="s">
        <v>10</v>
      </c>
      <c r="J7052" t="str">
        <f>"01/20/2021 00:39"</f>
        <v>01/20/2021 00:39</v>
      </c>
    </row>
    <row r="7053" spans="1:10" x14ac:dyDescent="0.3">
      <c r="A7053" t="s">
        <v>6</v>
      </c>
      <c r="B7053" t="str">
        <f>"01/20/2021 00:00"</f>
        <v>01/20/2021 00:00</v>
      </c>
      <c r="C7053">
        <v>150</v>
      </c>
      <c r="D7053" t="s">
        <v>7</v>
      </c>
      <c r="E7053" s="2" t="s">
        <v>12</v>
      </c>
      <c r="F7053">
        <f t="shared" si="110"/>
        <v>297.45</v>
      </c>
      <c r="G7053" t="s">
        <v>16</v>
      </c>
      <c r="H7053" t="s">
        <v>10</v>
      </c>
      <c r="J7053" t="str">
        <f>"01/21/2021 00:39"</f>
        <v>01/21/2021 00:39</v>
      </c>
    </row>
    <row r="7054" spans="1:10" x14ac:dyDescent="0.3">
      <c r="A7054" t="s">
        <v>6</v>
      </c>
      <c r="B7054" t="str">
        <f>"01/21/2021 00:00"</f>
        <v>01/21/2021 00:00</v>
      </c>
      <c r="C7054">
        <v>150</v>
      </c>
      <c r="D7054" t="s">
        <v>7</v>
      </c>
      <c r="E7054" s="2" t="s">
        <v>12</v>
      </c>
      <c r="F7054">
        <f t="shared" si="110"/>
        <v>297.45</v>
      </c>
      <c r="G7054" t="s">
        <v>16</v>
      </c>
      <c r="H7054" t="s">
        <v>10</v>
      </c>
      <c r="J7054" t="str">
        <f>"01/22/2021 00:39"</f>
        <v>01/22/2021 00:39</v>
      </c>
    </row>
    <row r="7055" spans="1:10" x14ac:dyDescent="0.3">
      <c r="A7055" t="s">
        <v>6</v>
      </c>
      <c r="B7055" t="str">
        <f>"01/22/2021 00:00"</f>
        <v>01/22/2021 00:00</v>
      </c>
      <c r="C7055">
        <v>150</v>
      </c>
      <c r="D7055" t="s">
        <v>7</v>
      </c>
      <c r="E7055" s="2" t="s">
        <v>12</v>
      </c>
      <c r="F7055">
        <f t="shared" si="110"/>
        <v>297.45</v>
      </c>
      <c r="G7055" t="s">
        <v>16</v>
      </c>
      <c r="H7055" t="s">
        <v>10</v>
      </c>
      <c r="J7055" t="str">
        <f>"01/23/2021 00:39"</f>
        <v>01/23/2021 00:39</v>
      </c>
    </row>
    <row r="7056" spans="1:10" x14ac:dyDescent="0.3">
      <c r="A7056" t="s">
        <v>6</v>
      </c>
      <c r="B7056" t="str">
        <f>"01/23/2021 00:00"</f>
        <v>01/23/2021 00:00</v>
      </c>
      <c r="C7056">
        <v>150</v>
      </c>
      <c r="D7056" t="s">
        <v>7</v>
      </c>
      <c r="E7056" s="2" t="s">
        <v>12</v>
      </c>
      <c r="F7056">
        <f t="shared" si="110"/>
        <v>297.45</v>
      </c>
      <c r="G7056" t="s">
        <v>16</v>
      </c>
      <c r="H7056" t="s">
        <v>10</v>
      </c>
      <c r="J7056" t="str">
        <f>"01/24/2021 00:39"</f>
        <v>01/24/2021 00:39</v>
      </c>
    </row>
    <row r="7057" spans="1:10" x14ac:dyDescent="0.3">
      <c r="A7057" t="s">
        <v>6</v>
      </c>
      <c r="B7057" t="str">
        <f>"01/24/2021 00:00"</f>
        <v>01/24/2021 00:00</v>
      </c>
      <c r="C7057">
        <v>150</v>
      </c>
      <c r="D7057" t="s">
        <v>7</v>
      </c>
      <c r="E7057" s="2" t="s">
        <v>12</v>
      </c>
      <c r="F7057">
        <f t="shared" si="110"/>
        <v>297.45</v>
      </c>
      <c r="G7057" t="s">
        <v>16</v>
      </c>
      <c r="H7057" t="s">
        <v>10</v>
      </c>
      <c r="J7057" t="str">
        <f>"01/25/2021 00:39"</f>
        <v>01/25/2021 00:39</v>
      </c>
    </row>
    <row r="7058" spans="1:10" x14ac:dyDescent="0.3">
      <c r="A7058" t="s">
        <v>6</v>
      </c>
      <c r="B7058" t="str">
        <f>"01/25/2021 00:00"</f>
        <v>01/25/2021 00:00</v>
      </c>
      <c r="C7058">
        <v>150</v>
      </c>
      <c r="D7058" t="s">
        <v>7</v>
      </c>
      <c r="E7058" s="2" t="s">
        <v>12</v>
      </c>
      <c r="F7058">
        <f t="shared" si="110"/>
        <v>297.45</v>
      </c>
      <c r="G7058" t="s">
        <v>16</v>
      </c>
      <c r="H7058" t="s">
        <v>10</v>
      </c>
      <c r="J7058" t="str">
        <f>"01/26/2021 00:39"</f>
        <v>01/26/2021 00:39</v>
      </c>
    </row>
    <row r="7059" spans="1:10" x14ac:dyDescent="0.3">
      <c r="A7059" t="s">
        <v>6</v>
      </c>
      <c r="B7059" t="str">
        <f>"01/26/2021 00:00"</f>
        <v>01/26/2021 00:00</v>
      </c>
      <c r="C7059">
        <v>150</v>
      </c>
      <c r="D7059" t="s">
        <v>7</v>
      </c>
      <c r="E7059" s="2" t="s">
        <v>12</v>
      </c>
      <c r="F7059">
        <f t="shared" si="110"/>
        <v>297.45</v>
      </c>
      <c r="G7059" t="s">
        <v>16</v>
      </c>
      <c r="H7059" t="s">
        <v>10</v>
      </c>
      <c r="J7059" t="str">
        <f>"01/27/2021 00:39"</f>
        <v>01/27/2021 00:39</v>
      </c>
    </row>
    <row r="7060" spans="1:10" x14ac:dyDescent="0.3">
      <c r="A7060" t="s">
        <v>6</v>
      </c>
      <c r="B7060" t="str">
        <f>"01/27/2021 00:00"</f>
        <v>01/27/2021 00:00</v>
      </c>
      <c r="C7060">
        <v>150</v>
      </c>
      <c r="D7060" t="s">
        <v>7</v>
      </c>
      <c r="E7060" s="2" t="s">
        <v>12</v>
      </c>
      <c r="F7060">
        <f t="shared" si="110"/>
        <v>297.45</v>
      </c>
      <c r="G7060" t="s">
        <v>16</v>
      </c>
      <c r="H7060" t="s">
        <v>10</v>
      </c>
      <c r="J7060" t="str">
        <f>"01/28/2021 00:39"</f>
        <v>01/28/2021 00:39</v>
      </c>
    </row>
    <row r="7061" spans="1:10" x14ac:dyDescent="0.3">
      <c r="A7061" t="s">
        <v>6</v>
      </c>
      <c r="B7061" t="str">
        <f>"01/28/2021 00:00"</f>
        <v>01/28/2021 00:00</v>
      </c>
      <c r="C7061">
        <v>150</v>
      </c>
      <c r="D7061" t="s">
        <v>7</v>
      </c>
      <c r="E7061" s="2" t="s">
        <v>12</v>
      </c>
      <c r="F7061">
        <f t="shared" si="110"/>
        <v>297.45</v>
      </c>
      <c r="G7061" t="s">
        <v>16</v>
      </c>
      <c r="H7061" t="s">
        <v>10</v>
      </c>
      <c r="J7061" t="str">
        <f>"01/29/2021 00:39"</f>
        <v>01/29/2021 00:39</v>
      </c>
    </row>
    <row r="7062" spans="1:10" x14ac:dyDescent="0.3">
      <c r="A7062" t="s">
        <v>6</v>
      </c>
      <c r="B7062" t="str">
        <f>"01/29/2021 00:00"</f>
        <v>01/29/2021 00:00</v>
      </c>
      <c r="C7062">
        <v>150</v>
      </c>
      <c r="D7062" t="s">
        <v>7</v>
      </c>
      <c r="E7062" s="2" t="s">
        <v>12</v>
      </c>
      <c r="F7062">
        <f t="shared" si="110"/>
        <v>297.45</v>
      </c>
      <c r="G7062" t="s">
        <v>16</v>
      </c>
      <c r="H7062" t="s">
        <v>10</v>
      </c>
      <c r="J7062" t="str">
        <f>"01/30/2021 00:39"</f>
        <v>01/30/2021 00:39</v>
      </c>
    </row>
    <row r="7063" spans="1:10" x14ac:dyDescent="0.3">
      <c r="A7063" t="s">
        <v>6</v>
      </c>
      <c r="B7063" t="str">
        <f>"01/30/2021 00:00"</f>
        <v>01/30/2021 00:00</v>
      </c>
      <c r="C7063">
        <v>150</v>
      </c>
      <c r="D7063" t="s">
        <v>7</v>
      </c>
      <c r="E7063" s="2" t="s">
        <v>12</v>
      </c>
      <c r="F7063">
        <f t="shared" si="110"/>
        <v>297.45</v>
      </c>
      <c r="G7063" t="s">
        <v>16</v>
      </c>
      <c r="H7063" t="s">
        <v>10</v>
      </c>
      <c r="J7063" t="str">
        <f>"01/31/2021 00:39"</f>
        <v>01/31/2021 00:39</v>
      </c>
    </row>
    <row r="7064" spans="1:10" x14ac:dyDescent="0.3">
      <c r="A7064" t="s">
        <v>6</v>
      </c>
      <c r="B7064" t="str">
        <f>"01/31/2021 00:00"</f>
        <v>01/31/2021 00:00</v>
      </c>
      <c r="C7064">
        <v>150</v>
      </c>
      <c r="D7064" t="s">
        <v>7</v>
      </c>
      <c r="E7064" s="2" t="s">
        <v>12</v>
      </c>
      <c r="F7064">
        <f t="shared" si="110"/>
        <v>297.45</v>
      </c>
      <c r="G7064" t="s">
        <v>16</v>
      </c>
      <c r="H7064" t="s">
        <v>10</v>
      </c>
      <c r="J7064" t="str">
        <f>"02/01/2021 00:39"</f>
        <v>02/01/2021 00:39</v>
      </c>
    </row>
    <row r="7065" spans="1:10" x14ac:dyDescent="0.3">
      <c r="A7065" t="s">
        <v>6</v>
      </c>
      <c r="B7065" t="str">
        <f>"02/01/2021 00:00"</f>
        <v>02/01/2021 00:00</v>
      </c>
      <c r="C7065">
        <v>150</v>
      </c>
      <c r="D7065" t="s">
        <v>7</v>
      </c>
      <c r="E7065" s="2" t="s">
        <v>12</v>
      </c>
      <c r="F7065">
        <f t="shared" si="110"/>
        <v>297.45</v>
      </c>
      <c r="G7065" t="s">
        <v>16</v>
      </c>
      <c r="H7065" t="s">
        <v>10</v>
      </c>
      <c r="J7065" t="str">
        <f>"02/02/2021 00:39"</f>
        <v>02/02/2021 00:39</v>
      </c>
    </row>
    <row r="7066" spans="1:10" x14ac:dyDescent="0.3">
      <c r="A7066" t="s">
        <v>6</v>
      </c>
      <c r="B7066" t="str">
        <f>"02/02/2021 00:00"</f>
        <v>02/02/2021 00:00</v>
      </c>
      <c r="C7066">
        <v>150</v>
      </c>
      <c r="D7066" t="s">
        <v>7</v>
      </c>
      <c r="E7066" s="2" t="s">
        <v>12</v>
      </c>
      <c r="F7066">
        <f t="shared" si="110"/>
        <v>297.45</v>
      </c>
      <c r="G7066" t="s">
        <v>16</v>
      </c>
      <c r="H7066" t="s">
        <v>10</v>
      </c>
      <c r="J7066" t="str">
        <f>"02/03/2021 00:39"</f>
        <v>02/03/2021 00:39</v>
      </c>
    </row>
    <row r="7067" spans="1:10" x14ac:dyDescent="0.3">
      <c r="A7067" t="s">
        <v>6</v>
      </c>
      <c r="B7067" t="str">
        <f>"02/03/2021 00:00"</f>
        <v>02/03/2021 00:00</v>
      </c>
      <c r="C7067">
        <v>150</v>
      </c>
      <c r="D7067" t="s">
        <v>7</v>
      </c>
      <c r="E7067" s="2" t="s">
        <v>12</v>
      </c>
      <c r="F7067">
        <f t="shared" si="110"/>
        <v>297.45</v>
      </c>
      <c r="G7067" t="s">
        <v>16</v>
      </c>
      <c r="H7067" t="s">
        <v>10</v>
      </c>
      <c r="J7067" t="str">
        <f>"02/04/2021 00:39"</f>
        <v>02/04/2021 00:39</v>
      </c>
    </row>
    <row r="7068" spans="1:10" x14ac:dyDescent="0.3">
      <c r="A7068" t="s">
        <v>6</v>
      </c>
      <c r="B7068" t="str">
        <f>"02/04/2021 00:00"</f>
        <v>02/04/2021 00:00</v>
      </c>
      <c r="C7068">
        <v>150</v>
      </c>
      <c r="D7068" t="s">
        <v>7</v>
      </c>
      <c r="E7068" s="2" t="s">
        <v>12</v>
      </c>
      <c r="F7068">
        <f t="shared" si="110"/>
        <v>297.45</v>
      </c>
      <c r="G7068" t="s">
        <v>16</v>
      </c>
      <c r="H7068" t="s">
        <v>10</v>
      </c>
      <c r="J7068" t="str">
        <f>"02/05/2021 00:39"</f>
        <v>02/05/2021 00:39</v>
      </c>
    </row>
    <row r="7069" spans="1:10" x14ac:dyDescent="0.3">
      <c r="A7069" t="s">
        <v>6</v>
      </c>
      <c r="B7069" t="str">
        <f>"02/05/2021 00:00"</f>
        <v>02/05/2021 00:00</v>
      </c>
      <c r="C7069">
        <v>150</v>
      </c>
      <c r="D7069" t="s">
        <v>7</v>
      </c>
      <c r="E7069" s="2" t="s">
        <v>12</v>
      </c>
      <c r="F7069">
        <f t="shared" si="110"/>
        <v>297.45</v>
      </c>
      <c r="G7069" t="s">
        <v>16</v>
      </c>
      <c r="H7069" t="s">
        <v>10</v>
      </c>
      <c r="J7069" t="str">
        <f>"02/06/2021 00:39"</f>
        <v>02/06/2021 00:39</v>
      </c>
    </row>
    <row r="7070" spans="1:10" x14ac:dyDescent="0.3">
      <c r="A7070" t="s">
        <v>6</v>
      </c>
      <c r="B7070" t="str">
        <f>"02/06/2021 00:00"</f>
        <v>02/06/2021 00:00</v>
      </c>
      <c r="C7070">
        <v>150</v>
      </c>
      <c r="D7070" t="s">
        <v>7</v>
      </c>
      <c r="E7070" s="2" t="s">
        <v>12</v>
      </c>
      <c r="F7070">
        <f t="shared" si="110"/>
        <v>297.45</v>
      </c>
      <c r="G7070" t="s">
        <v>16</v>
      </c>
      <c r="H7070" t="s">
        <v>10</v>
      </c>
      <c r="J7070" t="str">
        <f>"02/07/2021 00:39"</f>
        <v>02/07/2021 00:39</v>
      </c>
    </row>
    <row r="7071" spans="1:10" x14ac:dyDescent="0.3">
      <c r="A7071" t="s">
        <v>6</v>
      </c>
      <c r="B7071" t="str">
        <f>"02/07/2021 00:00"</f>
        <v>02/07/2021 00:00</v>
      </c>
      <c r="C7071">
        <v>150</v>
      </c>
      <c r="D7071" t="s">
        <v>7</v>
      </c>
      <c r="E7071" s="2" t="s">
        <v>12</v>
      </c>
      <c r="F7071">
        <f t="shared" si="110"/>
        <v>297.45</v>
      </c>
      <c r="G7071" t="s">
        <v>16</v>
      </c>
      <c r="H7071" t="s">
        <v>10</v>
      </c>
      <c r="J7071" t="str">
        <f>"02/08/2021 00:39"</f>
        <v>02/08/2021 00:39</v>
      </c>
    </row>
    <row r="7072" spans="1:10" x14ac:dyDescent="0.3">
      <c r="A7072" t="s">
        <v>6</v>
      </c>
      <c r="B7072" t="str">
        <f>"02/08/2021 00:00"</f>
        <v>02/08/2021 00:00</v>
      </c>
      <c r="C7072">
        <v>150</v>
      </c>
      <c r="D7072" t="s">
        <v>7</v>
      </c>
      <c r="E7072" s="2" t="s">
        <v>12</v>
      </c>
      <c r="F7072">
        <f t="shared" si="110"/>
        <v>297.45</v>
      </c>
      <c r="G7072" t="s">
        <v>16</v>
      </c>
      <c r="H7072" t="s">
        <v>10</v>
      </c>
      <c r="J7072" t="str">
        <f>"02/09/2021 00:39"</f>
        <v>02/09/2021 00:39</v>
      </c>
    </row>
    <row r="7073" spans="1:10" x14ac:dyDescent="0.3">
      <c r="A7073" t="s">
        <v>6</v>
      </c>
      <c r="B7073" t="str">
        <f>"02/09/2021 00:00"</f>
        <v>02/09/2021 00:00</v>
      </c>
      <c r="C7073">
        <v>150</v>
      </c>
      <c r="D7073" t="s">
        <v>7</v>
      </c>
      <c r="E7073" s="2" t="s">
        <v>12</v>
      </c>
      <c r="F7073">
        <f t="shared" si="110"/>
        <v>297.45</v>
      </c>
      <c r="G7073" t="s">
        <v>16</v>
      </c>
      <c r="H7073" t="s">
        <v>10</v>
      </c>
      <c r="J7073" t="str">
        <f>"02/10/2021 00:39"</f>
        <v>02/10/2021 00:39</v>
      </c>
    </row>
    <row r="7074" spans="1:10" x14ac:dyDescent="0.3">
      <c r="A7074" t="s">
        <v>6</v>
      </c>
      <c r="B7074" t="str">
        <f>"02/10/2021 00:00"</f>
        <v>02/10/2021 00:00</v>
      </c>
      <c r="C7074">
        <v>150</v>
      </c>
      <c r="D7074" t="s">
        <v>7</v>
      </c>
      <c r="E7074" s="2" t="s">
        <v>12</v>
      </c>
      <c r="F7074">
        <f t="shared" si="110"/>
        <v>297.45</v>
      </c>
      <c r="G7074" t="s">
        <v>16</v>
      </c>
      <c r="H7074" t="s">
        <v>10</v>
      </c>
      <c r="J7074" t="str">
        <f>"02/11/2021 00:39"</f>
        <v>02/11/2021 00:39</v>
      </c>
    </row>
    <row r="7075" spans="1:10" x14ac:dyDescent="0.3">
      <c r="A7075" t="s">
        <v>6</v>
      </c>
      <c r="B7075" t="str">
        <f>"02/11/2021 00:00"</f>
        <v>02/11/2021 00:00</v>
      </c>
      <c r="C7075">
        <v>150</v>
      </c>
      <c r="D7075" t="s">
        <v>7</v>
      </c>
      <c r="E7075" s="2" t="s">
        <v>12</v>
      </c>
      <c r="F7075">
        <f t="shared" si="110"/>
        <v>297.45</v>
      </c>
      <c r="G7075" t="s">
        <v>16</v>
      </c>
      <c r="H7075" t="s">
        <v>10</v>
      </c>
      <c r="J7075" t="str">
        <f>"02/12/2021 00:39"</f>
        <v>02/12/2021 00:39</v>
      </c>
    </row>
    <row r="7076" spans="1:10" x14ac:dyDescent="0.3">
      <c r="A7076" t="s">
        <v>6</v>
      </c>
      <c r="B7076" t="str">
        <f>"02/12/2021 00:00"</f>
        <v>02/12/2021 00:00</v>
      </c>
      <c r="C7076">
        <v>144</v>
      </c>
      <c r="D7076" t="s">
        <v>7</v>
      </c>
      <c r="E7076" s="2" t="s">
        <v>12</v>
      </c>
      <c r="F7076">
        <f t="shared" si="110"/>
        <v>285.55200000000002</v>
      </c>
      <c r="G7076" t="s">
        <v>16</v>
      </c>
      <c r="H7076" t="s">
        <v>10</v>
      </c>
      <c r="J7076" t="str">
        <f>"02/13/2021 00:39"</f>
        <v>02/13/2021 00:39</v>
      </c>
    </row>
    <row r="7077" spans="1:10" x14ac:dyDescent="0.3">
      <c r="A7077" t="s">
        <v>6</v>
      </c>
      <c r="B7077" t="str">
        <f>"02/13/2021 00:00"</f>
        <v>02/13/2021 00:00</v>
      </c>
      <c r="C7077">
        <v>139</v>
      </c>
      <c r="D7077" t="s">
        <v>7</v>
      </c>
      <c r="E7077" s="2" t="s">
        <v>12</v>
      </c>
      <c r="F7077">
        <f t="shared" si="110"/>
        <v>275.637</v>
      </c>
      <c r="G7077" t="s">
        <v>16</v>
      </c>
      <c r="H7077" t="s">
        <v>10</v>
      </c>
      <c r="J7077" t="str">
        <f>"02/14/2021 00:39"</f>
        <v>02/14/2021 00:39</v>
      </c>
    </row>
    <row r="7078" spans="1:10" x14ac:dyDescent="0.3">
      <c r="A7078" t="s">
        <v>6</v>
      </c>
      <c r="B7078" t="str">
        <f>"02/14/2021 00:00"</f>
        <v>02/14/2021 00:00</v>
      </c>
      <c r="C7078">
        <v>140</v>
      </c>
      <c r="D7078" t="s">
        <v>7</v>
      </c>
      <c r="E7078" s="2" t="s">
        <v>12</v>
      </c>
      <c r="F7078">
        <f t="shared" si="110"/>
        <v>277.62</v>
      </c>
      <c r="G7078" t="s">
        <v>16</v>
      </c>
      <c r="H7078" t="s">
        <v>10</v>
      </c>
      <c r="J7078" t="str">
        <f>"02/15/2021 00:39"</f>
        <v>02/15/2021 00:39</v>
      </c>
    </row>
    <row r="7079" spans="1:10" x14ac:dyDescent="0.3">
      <c r="A7079" t="s">
        <v>6</v>
      </c>
      <c r="B7079" t="str">
        <f>"02/15/2021 00:00"</f>
        <v>02/15/2021 00:00</v>
      </c>
      <c r="C7079">
        <v>139</v>
      </c>
      <c r="D7079" t="s">
        <v>7</v>
      </c>
      <c r="E7079" s="2" t="s">
        <v>12</v>
      </c>
      <c r="F7079">
        <f t="shared" si="110"/>
        <v>275.637</v>
      </c>
      <c r="G7079" t="s">
        <v>16</v>
      </c>
      <c r="H7079" t="s">
        <v>10</v>
      </c>
      <c r="J7079" t="str">
        <f>"02/16/2021 00:39"</f>
        <v>02/16/2021 00:39</v>
      </c>
    </row>
    <row r="7080" spans="1:10" x14ac:dyDescent="0.3">
      <c r="A7080" t="s">
        <v>6</v>
      </c>
      <c r="B7080" t="str">
        <f>"02/16/2021 00:00"</f>
        <v>02/16/2021 00:00</v>
      </c>
      <c r="C7080">
        <v>139</v>
      </c>
      <c r="D7080" t="s">
        <v>7</v>
      </c>
      <c r="E7080" s="2" t="s">
        <v>12</v>
      </c>
      <c r="F7080">
        <f t="shared" si="110"/>
        <v>275.637</v>
      </c>
      <c r="G7080" t="s">
        <v>16</v>
      </c>
      <c r="H7080" t="s">
        <v>10</v>
      </c>
      <c r="J7080" t="str">
        <f>"02/17/2021 00:39"</f>
        <v>02/17/2021 00:39</v>
      </c>
    </row>
    <row r="7081" spans="1:10" x14ac:dyDescent="0.3">
      <c r="A7081" t="s">
        <v>6</v>
      </c>
      <c r="B7081" t="str">
        <f>"02/17/2021 00:00"</f>
        <v>02/17/2021 00:00</v>
      </c>
      <c r="C7081">
        <v>139</v>
      </c>
      <c r="D7081" t="s">
        <v>7</v>
      </c>
      <c r="E7081" s="2" t="s">
        <v>12</v>
      </c>
      <c r="F7081">
        <f t="shared" si="110"/>
        <v>275.637</v>
      </c>
      <c r="G7081" t="s">
        <v>16</v>
      </c>
      <c r="H7081" t="s">
        <v>10</v>
      </c>
      <c r="J7081" t="str">
        <f>"02/18/2021 00:39"</f>
        <v>02/18/2021 00:39</v>
      </c>
    </row>
    <row r="7082" spans="1:10" x14ac:dyDescent="0.3">
      <c r="A7082" t="s">
        <v>6</v>
      </c>
      <c r="B7082" t="str">
        <f>"02/18/2021 00:00"</f>
        <v>02/18/2021 00:00</v>
      </c>
      <c r="C7082">
        <v>139</v>
      </c>
      <c r="D7082" t="s">
        <v>7</v>
      </c>
      <c r="E7082" s="2" t="s">
        <v>12</v>
      </c>
      <c r="F7082">
        <f t="shared" si="110"/>
        <v>275.637</v>
      </c>
      <c r="G7082" t="s">
        <v>16</v>
      </c>
      <c r="H7082" t="s">
        <v>10</v>
      </c>
      <c r="J7082" t="str">
        <f>"02/19/2021 00:39"</f>
        <v>02/19/2021 00:39</v>
      </c>
    </row>
    <row r="7083" spans="1:10" x14ac:dyDescent="0.3">
      <c r="A7083" t="s">
        <v>6</v>
      </c>
      <c r="B7083" t="str">
        <f>"02/19/2021 00:00"</f>
        <v>02/19/2021 00:00</v>
      </c>
      <c r="C7083">
        <v>139</v>
      </c>
      <c r="D7083" t="s">
        <v>7</v>
      </c>
      <c r="E7083" s="2" t="s">
        <v>12</v>
      </c>
      <c r="F7083">
        <f t="shared" si="110"/>
        <v>275.637</v>
      </c>
      <c r="G7083" t="s">
        <v>16</v>
      </c>
      <c r="H7083" t="s">
        <v>10</v>
      </c>
      <c r="J7083" t="str">
        <f>"02/20/2021 00:39"</f>
        <v>02/20/2021 00:39</v>
      </c>
    </row>
    <row r="7084" spans="1:10" x14ac:dyDescent="0.3">
      <c r="A7084" t="s">
        <v>6</v>
      </c>
      <c r="B7084" t="str">
        <f>"02/20/2021 00:00"</f>
        <v>02/20/2021 00:00</v>
      </c>
      <c r="C7084">
        <v>139</v>
      </c>
      <c r="D7084" t="s">
        <v>7</v>
      </c>
      <c r="E7084" s="2" t="s">
        <v>12</v>
      </c>
      <c r="F7084">
        <f t="shared" si="110"/>
        <v>275.637</v>
      </c>
      <c r="G7084" t="s">
        <v>16</v>
      </c>
      <c r="H7084" t="s">
        <v>10</v>
      </c>
      <c r="J7084" t="str">
        <f>"02/21/2021 00:39"</f>
        <v>02/21/2021 00:39</v>
      </c>
    </row>
    <row r="7085" spans="1:10" x14ac:dyDescent="0.3">
      <c r="A7085" t="s">
        <v>6</v>
      </c>
      <c r="B7085" t="str">
        <f>"02/21/2021 00:00"</f>
        <v>02/21/2021 00:00</v>
      </c>
      <c r="C7085">
        <v>139</v>
      </c>
      <c r="D7085" t="s">
        <v>7</v>
      </c>
      <c r="E7085" s="2" t="s">
        <v>12</v>
      </c>
      <c r="F7085">
        <f t="shared" si="110"/>
        <v>275.637</v>
      </c>
      <c r="G7085" t="s">
        <v>16</v>
      </c>
      <c r="H7085" t="s">
        <v>10</v>
      </c>
      <c r="J7085" t="str">
        <f>"02/22/2021 00:39"</f>
        <v>02/22/2021 00:39</v>
      </c>
    </row>
    <row r="7086" spans="1:10" x14ac:dyDescent="0.3">
      <c r="A7086" t="s">
        <v>6</v>
      </c>
      <c r="B7086" t="str">
        <f>"02/22/2021 00:00"</f>
        <v>02/22/2021 00:00</v>
      </c>
      <c r="C7086">
        <v>139</v>
      </c>
      <c r="D7086" t="s">
        <v>7</v>
      </c>
      <c r="E7086" s="2" t="s">
        <v>12</v>
      </c>
      <c r="F7086">
        <f t="shared" si="110"/>
        <v>275.637</v>
      </c>
      <c r="G7086" t="s">
        <v>16</v>
      </c>
      <c r="H7086" t="s">
        <v>10</v>
      </c>
      <c r="J7086" t="str">
        <f>"02/23/2021 00:39"</f>
        <v>02/23/2021 00:39</v>
      </c>
    </row>
    <row r="7087" spans="1:10" x14ac:dyDescent="0.3">
      <c r="A7087" t="s">
        <v>6</v>
      </c>
      <c r="B7087" t="str">
        <f>"02/23/2021 00:00"</f>
        <v>02/23/2021 00:00</v>
      </c>
      <c r="C7087">
        <v>139</v>
      </c>
      <c r="D7087" t="s">
        <v>7</v>
      </c>
      <c r="E7087" s="2" t="s">
        <v>12</v>
      </c>
      <c r="F7087">
        <f t="shared" si="110"/>
        <v>275.637</v>
      </c>
      <c r="G7087" t="s">
        <v>16</v>
      </c>
      <c r="H7087" t="s">
        <v>10</v>
      </c>
      <c r="J7087" t="str">
        <f>"02/24/2021 00:39"</f>
        <v>02/24/2021 00:39</v>
      </c>
    </row>
    <row r="7088" spans="1:10" x14ac:dyDescent="0.3">
      <c r="A7088" t="s">
        <v>6</v>
      </c>
      <c r="B7088" t="str">
        <f>"02/24/2021 00:00"</f>
        <v>02/24/2021 00:00</v>
      </c>
      <c r="C7088">
        <v>139</v>
      </c>
      <c r="D7088" t="s">
        <v>7</v>
      </c>
      <c r="E7088" s="2" t="s">
        <v>12</v>
      </c>
      <c r="F7088">
        <f t="shared" si="110"/>
        <v>275.637</v>
      </c>
      <c r="G7088" t="s">
        <v>16</v>
      </c>
      <c r="H7088" t="s">
        <v>10</v>
      </c>
      <c r="J7088" t="str">
        <f>"02/25/2021 00:39"</f>
        <v>02/25/2021 00:39</v>
      </c>
    </row>
    <row r="7089" spans="1:10" x14ac:dyDescent="0.3">
      <c r="A7089" t="s">
        <v>6</v>
      </c>
      <c r="B7089" t="str">
        <f>"02/25/2021 00:00"</f>
        <v>02/25/2021 00:00</v>
      </c>
      <c r="C7089">
        <v>139</v>
      </c>
      <c r="D7089" t="s">
        <v>7</v>
      </c>
      <c r="E7089" s="2" t="s">
        <v>12</v>
      </c>
      <c r="F7089">
        <f t="shared" si="110"/>
        <v>275.637</v>
      </c>
      <c r="G7089" t="s">
        <v>16</v>
      </c>
      <c r="H7089" t="s">
        <v>10</v>
      </c>
      <c r="J7089" t="str">
        <f>"02/26/2021 00:39"</f>
        <v>02/26/2021 00:39</v>
      </c>
    </row>
    <row r="7090" spans="1:10" x14ac:dyDescent="0.3">
      <c r="A7090" t="s">
        <v>6</v>
      </c>
      <c r="B7090" t="str">
        <f>"02/26/2021 00:00"</f>
        <v>02/26/2021 00:00</v>
      </c>
      <c r="C7090">
        <v>139</v>
      </c>
      <c r="D7090" t="s">
        <v>7</v>
      </c>
      <c r="E7090" s="2" t="s">
        <v>12</v>
      </c>
      <c r="F7090">
        <f t="shared" si="110"/>
        <v>275.637</v>
      </c>
      <c r="G7090" t="s">
        <v>16</v>
      </c>
      <c r="H7090" t="s">
        <v>10</v>
      </c>
      <c r="J7090" t="str">
        <f>"02/27/2021 00:39"</f>
        <v>02/27/2021 00:39</v>
      </c>
    </row>
    <row r="7091" spans="1:10" x14ac:dyDescent="0.3">
      <c r="A7091" t="s">
        <v>6</v>
      </c>
      <c r="B7091" t="str">
        <f>"02/27/2021 00:00"</f>
        <v>02/27/2021 00:00</v>
      </c>
      <c r="C7091">
        <v>140</v>
      </c>
      <c r="D7091" t="s">
        <v>7</v>
      </c>
      <c r="E7091" s="2" t="s">
        <v>12</v>
      </c>
      <c r="F7091">
        <f t="shared" si="110"/>
        <v>277.62</v>
      </c>
      <c r="G7091" t="s">
        <v>16</v>
      </c>
      <c r="H7091" t="s">
        <v>10</v>
      </c>
      <c r="J7091" t="str">
        <f>"02/28/2021 00:39"</f>
        <v>02/28/2021 00:39</v>
      </c>
    </row>
    <row r="7092" spans="1:10" x14ac:dyDescent="0.3">
      <c r="A7092" t="s">
        <v>6</v>
      </c>
      <c r="B7092" t="str">
        <f>"02/28/2021 00:00"</f>
        <v>02/28/2021 00:00</v>
      </c>
      <c r="C7092">
        <v>140</v>
      </c>
      <c r="D7092" t="s">
        <v>7</v>
      </c>
      <c r="E7092" s="2" t="s">
        <v>12</v>
      </c>
      <c r="F7092">
        <f t="shared" si="110"/>
        <v>277.62</v>
      </c>
      <c r="G7092" t="s">
        <v>16</v>
      </c>
      <c r="H7092" t="s">
        <v>10</v>
      </c>
      <c r="J7092" t="str">
        <f>"03/01/2021 00:39"</f>
        <v>03/01/2021 00:39</v>
      </c>
    </row>
    <row r="7093" spans="1:10" x14ac:dyDescent="0.3">
      <c r="A7093" t="s">
        <v>6</v>
      </c>
      <c r="B7093" t="str">
        <f>"03/01/2021 00:00"</f>
        <v>03/01/2021 00:00</v>
      </c>
      <c r="C7093">
        <v>139</v>
      </c>
      <c r="D7093" t="s">
        <v>7</v>
      </c>
      <c r="E7093" s="2" t="s">
        <v>12</v>
      </c>
      <c r="F7093">
        <f t="shared" si="110"/>
        <v>275.637</v>
      </c>
      <c r="G7093" t="s">
        <v>16</v>
      </c>
      <c r="H7093" t="s">
        <v>10</v>
      </c>
      <c r="J7093" t="str">
        <f>"03/02/2021 00:39"</f>
        <v>03/02/2021 00:39</v>
      </c>
    </row>
    <row r="7094" spans="1:10" x14ac:dyDescent="0.3">
      <c r="A7094" t="s">
        <v>6</v>
      </c>
      <c r="B7094" t="str">
        <f>"03/02/2021 00:00"</f>
        <v>03/02/2021 00:00</v>
      </c>
      <c r="C7094">
        <v>139</v>
      </c>
      <c r="D7094" t="s">
        <v>7</v>
      </c>
      <c r="E7094" s="2" t="s">
        <v>12</v>
      </c>
      <c r="F7094">
        <f t="shared" si="110"/>
        <v>275.637</v>
      </c>
      <c r="G7094" t="s">
        <v>16</v>
      </c>
      <c r="H7094" t="s">
        <v>10</v>
      </c>
      <c r="J7094" t="str">
        <f>"03/03/2021 00:39"</f>
        <v>03/03/2021 00:39</v>
      </c>
    </row>
    <row r="7095" spans="1:10" x14ac:dyDescent="0.3">
      <c r="A7095" t="s">
        <v>6</v>
      </c>
      <c r="B7095" t="str">
        <f>"03/03/2021 00:00"</f>
        <v>03/03/2021 00:00</v>
      </c>
      <c r="C7095">
        <v>139</v>
      </c>
      <c r="D7095" t="s">
        <v>7</v>
      </c>
      <c r="E7095" s="2" t="s">
        <v>12</v>
      </c>
      <c r="F7095">
        <f t="shared" si="110"/>
        <v>275.637</v>
      </c>
      <c r="G7095" t="s">
        <v>16</v>
      </c>
      <c r="H7095" t="s">
        <v>10</v>
      </c>
      <c r="J7095" t="str">
        <f>"03/04/2021 00:39"</f>
        <v>03/04/2021 00:39</v>
      </c>
    </row>
    <row r="7096" spans="1:10" x14ac:dyDescent="0.3">
      <c r="A7096" t="s">
        <v>6</v>
      </c>
      <c r="B7096" t="str">
        <f>"03/04/2021 00:00"</f>
        <v>03/04/2021 00:00</v>
      </c>
      <c r="C7096">
        <v>139</v>
      </c>
      <c r="D7096" t="s">
        <v>7</v>
      </c>
      <c r="E7096" s="2" t="s">
        <v>12</v>
      </c>
      <c r="F7096">
        <f t="shared" si="110"/>
        <v>275.637</v>
      </c>
      <c r="G7096" t="s">
        <v>16</v>
      </c>
      <c r="H7096" t="s">
        <v>10</v>
      </c>
      <c r="J7096" t="str">
        <f>"03/05/2021 00:39"</f>
        <v>03/05/2021 00:39</v>
      </c>
    </row>
    <row r="7097" spans="1:10" x14ac:dyDescent="0.3">
      <c r="A7097" t="s">
        <v>6</v>
      </c>
      <c r="B7097" t="str">
        <f>"03/05/2021 00:00"</f>
        <v>03/05/2021 00:00</v>
      </c>
      <c r="C7097">
        <v>139</v>
      </c>
      <c r="D7097" t="s">
        <v>7</v>
      </c>
      <c r="E7097" s="2" t="s">
        <v>12</v>
      </c>
      <c r="F7097">
        <f t="shared" si="110"/>
        <v>275.637</v>
      </c>
      <c r="G7097" t="s">
        <v>16</v>
      </c>
      <c r="H7097" t="s">
        <v>10</v>
      </c>
      <c r="J7097" t="str">
        <f>"03/06/2021 00:39"</f>
        <v>03/06/2021 00:39</v>
      </c>
    </row>
    <row r="7098" spans="1:10" x14ac:dyDescent="0.3">
      <c r="A7098" t="s">
        <v>6</v>
      </c>
      <c r="B7098" t="str">
        <f>"03/06/2021 00:00"</f>
        <v>03/06/2021 00:00</v>
      </c>
      <c r="C7098">
        <v>139</v>
      </c>
      <c r="D7098" t="s">
        <v>7</v>
      </c>
      <c r="E7098" s="2" t="s">
        <v>12</v>
      </c>
      <c r="F7098">
        <f t="shared" si="110"/>
        <v>275.637</v>
      </c>
      <c r="G7098" t="s">
        <v>16</v>
      </c>
      <c r="H7098" t="s">
        <v>10</v>
      </c>
      <c r="J7098" t="str">
        <f>"03/07/2021 00:39"</f>
        <v>03/07/2021 00:39</v>
      </c>
    </row>
    <row r="7099" spans="1:10" x14ac:dyDescent="0.3">
      <c r="A7099" t="s">
        <v>6</v>
      </c>
      <c r="B7099" t="str">
        <f>"03/07/2021 00:00"</f>
        <v>03/07/2021 00:00</v>
      </c>
      <c r="C7099">
        <v>139</v>
      </c>
      <c r="D7099" t="s">
        <v>7</v>
      </c>
      <c r="E7099" s="2" t="s">
        <v>12</v>
      </c>
      <c r="F7099">
        <f t="shared" si="110"/>
        <v>275.637</v>
      </c>
      <c r="G7099" t="s">
        <v>16</v>
      </c>
      <c r="H7099" t="s">
        <v>10</v>
      </c>
      <c r="J7099" t="str">
        <f>"03/08/2021 00:39"</f>
        <v>03/08/2021 00:39</v>
      </c>
    </row>
    <row r="7100" spans="1:10" x14ac:dyDescent="0.3">
      <c r="A7100" t="s">
        <v>6</v>
      </c>
      <c r="B7100" t="str">
        <f>"03/08/2021 00:00"</f>
        <v>03/08/2021 00:00</v>
      </c>
      <c r="C7100">
        <v>139</v>
      </c>
      <c r="D7100" t="s">
        <v>7</v>
      </c>
      <c r="E7100" s="2" t="s">
        <v>12</v>
      </c>
      <c r="F7100">
        <f t="shared" si="110"/>
        <v>275.637</v>
      </c>
      <c r="G7100" t="s">
        <v>16</v>
      </c>
      <c r="H7100" t="s">
        <v>10</v>
      </c>
      <c r="J7100" t="str">
        <f>"03/09/2021 00:39"</f>
        <v>03/09/2021 00:39</v>
      </c>
    </row>
    <row r="7101" spans="1:10" x14ac:dyDescent="0.3">
      <c r="A7101" t="s">
        <v>6</v>
      </c>
      <c r="B7101" t="str">
        <f>"03/09/2021 00:00"</f>
        <v>03/09/2021 00:00</v>
      </c>
      <c r="C7101">
        <v>139</v>
      </c>
      <c r="D7101" t="s">
        <v>7</v>
      </c>
      <c r="E7101" s="2" t="s">
        <v>12</v>
      </c>
      <c r="F7101">
        <f t="shared" si="110"/>
        <v>275.637</v>
      </c>
      <c r="G7101" t="s">
        <v>16</v>
      </c>
      <c r="H7101" t="s">
        <v>10</v>
      </c>
      <c r="J7101" t="str">
        <f>"03/10/2021 00:39"</f>
        <v>03/10/2021 00:39</v>
      </c>
    </row>
    <row r="7102" spans="1:10" x14ac:dyDescent="0.3">
      <c r="A7102" t="s">
        <v>6</v>
      </c>
      <c r="B7102" t="str">
        <f>"03/10/2021 00:00"</f>
        <v>03/10/2021 00:00</v>
      </c>
      <c r="C7102">
        <v>139</v>
      </c>
      <c r="D7102" t="s">
        <v>7</v>
      </c>
      <c r="E7102" s="2" t="s">
        <v>12</v>
      </c>
      <c r="F7102">
        <f t="shared" si="110"/>
        <v>275.637</v>
      </c>
      <c r="G7102" t="s">
        <v>16</v>
      </c>
      <c r="H7102" t="s">
        <v>10</v>
      </c>
      <c r="J7102" t="str">
        <f>"03/11/2021 00:39"</f>
        <v>03/11/2021 00:39</v>
      </c>
    </row>
    <row r="7103" spans="1:10" x14ac:dyDescent="0.3">
      <c r="A7103" t="s">
        <v>6</v>
      </c>
      <c r="B7103" t="str">
        <f>"03/11/2021 00:00"</f>
        <v>03/11/2021 00:00</v>
      </c>
      <c r="C7103">
        <v>139</v>
      </c>
      <c r="D7103" t="s">
        <v>7</v>
      </c>
      <c r="E7103" s="2" t="s">
        <v>12</v>
      </c>
      <c r="F7103">
        <f t="shared" si="110"/>
        <v>275.637</v>
      </c>
      <c r="G7103" t="s">
        <v>16</v>
      </c>
      <c r="H7103" t="s">
        <v>10</v>
      </c>
      <c r="J7103" t="str">
        <f>"03/12/2021 00:39"</f>
        <v>03/12/2021 00:39</v>
      </c>
    </row>
    <row r="7104" spans="1:10" x14ac:dyDescent="0.3">
      <c r="A7104" t="s">
        <v>6</v>
      </c>
      <c r="B7104" t="str">
        <f>"03/12/2021 00:00"</f>
        <v>03/12/2021 00:00</v>
      </c>
      <c r="C7104">
        <v>139</v>
      </c>
      <c r="D7104" t="s">
        <v>7</v>
      </c>
      <c r="E7104" s="2" t="s">
        <v>12</v>
      </c>
      <c r="F7104">
        <f t="shared" si="110"/>
        <v>275.637</v>
      </c>
      <c r="G7104" t="s">
        <v>16</v>
      </c>
      <c r="H7104" t="s">
        <v>10</v>
      </c>
      <c r="J7104" t="str">
        <f>"03/13/2021 00:39"</f>
        <v>03/13/2021 00:39</v>
      </c>
    </row>
    <row r="7105" spans="1:10" x14ac:dyDescent="0.3">
      <c r="A7105" t="s">
        <v>6</v>
      </c>
      <c r="B7105" t="str">
        <f>"03/13/2021 00:00"</f>
        <v>03/13/2021 00:00</v>
      </c>
      <c r="C7105">
        <v>139</v>
      </c>
      <c r="D7105" t="s">
        <v>7</v>
      </c>
      <c r="E7105" s="2" t="s">
        <v>12</v>
      </c>
      <c r="F7105">
        <f t="shared" si="110"/>
        <v>275.637</v>
      </c>
      <c r="G7105" t="s">
        <v>16</v>
      </c>
      <c r="H7105" t="s">
        <v>10</v>
      </c>
      <c r="J7105" t="str">
        <f>"03/14/2021 00:39"</f>
        <v>03/14/2021 00:39</v>
      </c>
    </row>
    <row r="7106" spans="1:10" x14ac:dyDescent="0.3">
      <c r="A7106" t="s">
        <v>6</v>
      </c>
      <c r="B7106" t="str">
        <f>"03/14/2021 00:00"</f>
        <v>03/14/2021 00:00</v>
      </c>
      <c r="C7106">
        <v>139</v>
      </c>
      <c r="D7106" t="s">
        <v>7</v>
      </c>
      <c r="E7106" s="2" t="s">
        <v>12</v>
      </c>
      <c r="F7106">
        <f t="shared" si="110"/>
        <v>275.637</v>
      </c>
      <c r="G7106" t="s">
        <v>16</v>
      </c>
      <c r="H7106" t="s">
        <v>10</v>
      </c>
      <c r="J7106" t="str">
        <f>"03/15/2021 00:39"</f>
        <v>03/15/2021 00:39</v>
      </c>
    </row>
    <row r="7107" spans="1:10" x14ac:dyDescent="0.3">
      <c r="A7107" t="s">
        <v>6</v>
      </c>
      <c r="B7107" t="str">
        <f>"03/15/2021 00:00"</f>
        <v>03/15/2021 00:00</v>
      </c>
      <c r="C7107">
        <v>139</v>
      </c>
      <c r="D7107" t="s">
        <v>7</v>
      </c>
      <c r="E7107" s="2" t="s">
        <v>12</v>
      </c>
      <c r="F7107">
        <f t="shared" si="110"/>
        <v>275.637</v>
      </c>
      <c r="G7107" t="s">
        <v>16</v>
      </c>
      <c r="H7107" t="s">
        <v>10</v>
      </c>
      <c r="J7107" t="str">
        <f>"03/16/2021 00:39"</f>
        <v>03/16/2021 00:39</v>
      </c>
    </row>
    <row r="7108" spans="1:10" x14ac:dyDescent="0.3">
      <c r="A7108" t="s">
        <v>6</v>
      </c>
      <c r="B7108" t="str">
        <f>"03/16/2021 00:00"</f>
        <v>03/16/2021 00:00</v>
      </c>
      <c r="C7108">
        <v>139</v>
      </c>
      <c r="D7108" t="s">
        <v>7</v>
      </c>
      <c r="E7108" s="2" t="s">
        <v>12</v>
      </c>
      <c r="F7108">
        <f t="shared" ref="F7108:F7171" si="111">C7108*1.983</f>
        <v>275.637</v>
      </c>
      <c r="G7108" t="s">
        <v>16</v>
      </c>
      <c r="H7108" t="s">
        <v>10</v>
      </c>
      <c r="J7108" t="str">
        <f>"03/17/2021 00:39"</f>
        <v>03/17/2021 00:39</v>
      </c>
    </row>
    <row r="7109" spans="1:10" x14ac:dyDescent="0.3">
      <c r="A7109" t="s">
        <v>6</v>
      </c>
      <c r="B7109" t="str">
        <f>"03/17/2021 00:00"</f>
        <v>03/17/2021 00:00</v>
      </c>
      <c r="C7109">
        <v>125</v>
      </c>
      <c r="D7109" t="s">
        <v>7</v>
      </c>
      <c r="E7109" s="2" t="s">
        <v>12</v>
      </c>
      <c r="F7109">
        <f t="shared" si="111"/>
        <v>247.875</v>
      </c>
      <c r="G7109" t="s">
        <v>16</v>
      </c>
      <c r="H7109" t="s">
        <v>10</v>
      </c>
      <c r="J7109" t="str">
        <f>"03/18/2021 00:39"</f>
        <v>03/18/2021 00:39</v>
      </c>
    </row>
    <row r="7110" spans="1:10" x14ac:dyDescent="0.3">
      <c r="A7110" t="s">
        <v>6</v>
      </c>
      <c r="B7110" t="str">
        <f>"03/18/2021 00:00"</f>
        <v>03/18/2021 00:00</v>
      </c>
      <c r="C7110">
        <v>110</v>
      </c>
      <c r="D7110" t="s">
        <v>7</v>
      </c>
      <c r="E7110" s="2" t="s">
        <v>12</v>
      </c>
      <c r="F7110">
        <f t="shared" si="111"/>
        <v>218.13000000000002</v>
      </c>
      <c r="G7110" t="s">
        <v>16</v>
      </c>
      <c r="H7110" t="s">
        <v>10</v>
      </c>
      <c r="J7110" t="str">
        <f>"03/19/2021 00:39"</f>
        <v>03/19/2021 00:39</v>
      </c>
    </row>
    <row r="7111" spans="1:10" x14ac:dyDescent="0.3">
      <c r="A7111" t="s">
        <v>6</v>
      </c>
      <c r="B7111" t="str">
        <f>"03/19/2021 00:00"</f>
        <v>03/19/2021 00:00</v>
      </c>
      <c r="C7111">
        <v>110</v>
      </c>
      <c r="D7111" t="s">
        <v>7</v>
      </c>
      <c r="E7111" s="2" t="s">
        <v>12</v>
      </c>
      <c r="F7111">
        <f t="shared" si="111"/>
        <v>218.13000000000002</v>
      </c>
      <c r="G7111" t="s">
        <v>16</v>
      </c>
      <c r="H7111" t="s">
        <v>10</v>
      </c>
      <c r="J7111" t="str">
        <f>"03/20/2021 00:39"</f>
        <v>03/20/2021 00:39</v>
      </c>
    </row>
    <row r="7112" spans="1:10" x14ac:dyDescent="0.3">
      <c r="A7112" t="s">
        <v>6</v>
      </c>
      <c r="B7112" t="str">
        <f>"03/20/2021 00:00"</f>
        <v>03/20/2021 00:00</v>
      </c>
      <c r="C7112">
        <v>110</v>
      </c>
      <c r="D7112" t="s">
        <v>7</v>
      </c>
      <c r="E7112" s="2" t="s">
        <v>12</v>
      </c>
      <c r="F7112">
        <f t="shared" si="111"/>
        <v>218.13000000000002</v>
      </c>
      <c r="G7112" t="s">
        <v>16</v>
      </c>
      <c r="H7112" t="s">
        <v>10</v>
      </c>
      <c r="J7112" t="str">
        <f>"03/21/2021 00:39"</f>
        <v>03/21/2021 00:39</v>
      </c>
    </row>
    <row r="7113" spans="1:10" x14ac:dyDescent="0.3">
      <c r="A7113" t="s">
        <v>6</v>
      </c>
      <c r="B7113" t="str">
        <f>"03/21/2021 00:00"</f>
        <v>03/21/2021 00:00</v>
      </c>
      <c r="C7113">
        <v>110</v>
      </c>
      <c r="D7113" t="s">
        <v>7</v>
      </c>
      <c r="E7113" s="2" t="s">
        <v>12</v>
      </c>
      <c r="F7113">
        <f t="shared" si="111"/>
        <v>218.13000000000002</v>
      </c>
      <c r="G7113" t="s">
        <v>16</v>
      </c>
      <c r="H7113" t="s">
        <v>10</v>
      </c>
      <c r="J7113" t="str">
        <f>"03/22/2021 00:39"</f>
        <v>03/22/2021 00:39</v>
      </c>
    </row>
    <row r="7114" spans="1:10" x14ac:dyDescent="0.3">
      <c r="A7114" t="s">
        <v>6</v>
      </c>
      <c r="B7114" t="str">
        <f>"03/22/2021 00:00"</f>
        <v>03/22/2021 00:00</v>
      </c>
      <c r="C7114">
        <v>87</v>
      </c>
      <c r="D7114" t="s">
        <v>7</v>
      </c>
      <c r="E7114" s="2" t="s">
        <v>12</v>
      </c>
      <c r="F7114">
        <f t="shared" si="111"/>
        <v>172.52100000000002</v>
      </c>
      <c r="G7114" t="s">
        <v>16</v>
      </c>
      <c r="H7114" t="s">
        <v>10</v>
      </c>
      <c r="J7114" t="str">
        <f>"03/23/2021 00:39"</f>
        <v>03/23/2021 00:39</v>
      </c>
    </row>
    <row r="7115" spans="1:10" x14ac:dyDescent="0.3">
      <c r="A7115" t="s">
        <v>6</v>
      </c>
      <c r="B7115" t="str">
        <f>"03/23/2021 00:00"</f>
        <v>03/23/2021 00:00</v>
      </c>
      <c r="C7115">
        <v>62.7</v>
      </c>
      <c r="D7115" t="s">
        <v>7</v>
      </c>
      <c r="E7115" s="2" t="s">
        <v>12</v>
      </c>
      <c r="F7115">
        <f t="shared" si="111"/>
        <v>124.33410000000001</v>
      </c>
      <c r="G7115" t="s">
        <v>16</v>
      </c>
      <c r="H7115" t="s">
        <v>10</v>
      </c>
      <c r="J7115" t="str">
        <f>"03/24/2021 00:39"</f>
        <v>03/24/2021 00:39</v>
      </c>
    </row>
    <row r="7116" spans="1:10" x14ac:dyDescent="0.3">
      <c r="A7116" t="s">
        <v>6</v>
      </c>
      <c r="B7116" t="str">
        <f>"03/24/2021 00:00"</f>
        <v>03/24/2021 00:00</v>
      </c>
      <c r="C7116">
        <v>63.2</v>
      </c>
      <c r="D7116" t="s">
        <v>7</v>
      </c>
      <c r="E7116" s="2" t="s">
        <v>12</v>
      </c>
      <c r="F7116">
        <f t="shared" si="111"/>
        <v>125.32560000000001</v>
      </c>
      <c r="G7116" t="s">
        <v>16</v>
      </c>
      <c r="H7116" t="s">
        <v>10</v>
      </c>
      <c r="J7116" t="str">
        <f>"03/25/2021 00:39"</f>
        <v>03/25/2021 00:39</v>
      </c>
    </row>
    <row r="7117" spans="1:10" x14ac:dyDescent="0.3">
      <c r="A7117" t="s">
        <v>6</v>
      </c>
      <c r="B7117" t="str">
        <f>"03/25/2021 00:00"</f>
        <v>03/25/2021 00:00</v>
      </c>
      <c r="C7117">
        <v>63.2</v>
      </c>
      <c r="D7117" t="s">
        <v>7</v>
      </c>
      <c r="E7117" s="2" t="s">
        <v>12</v>
      </c>
      <c r="F7117">
        <f t="shared" si="111"/>
        <v>125.32560000000001</v>
      </c>
      <c r="G7117" t="s">
        <v>16</v>
      </c>
      <c r="H7117" t="s">
        <v>10</v>
      </c>
      <c r="J7117" t="str">
        <f>"03/26/2021 00:39"</f>
        <v>03/26/2021 00:39</v>
      </c>
    </row>
    <row r="7118" spans="1:10" x14ac:dyDescent="0.3">
      <c r="A7118" t="s">
        <v>6</v>
      </c>
      <c r="B7118" t="str">
        <f>"03/26/2021 00:00"</f>
        <v>03/26/2021 00:00</v>
      </c>
      <c r="C7118">
        <v>63.2</v>
      </c>
      <c r="D7118" t="s">
        <v>7</v>
      </c>
      <c r="E7118" s="2" t="s">
        <v>12</v>
      </c>
      <c r="F7118">
        <f t="shared" si="111"/>
        <v>125.32560000000001</v>
      </c>
      <c r="G7118" t="s">
        <v>16</v>
      </c>
      <c r="H7118" t="s">
        <v>10</v>
      </c>
      <c r="J7118" t="str">
        <f>"03/27/2021 00:39"</f>
        <v>03/27/2021 00:39</v>
      </c>
    </row>
    <row r="7119" spans="1:10" x14ac:dyDescent="0.3">
      <c r="A7119" t="s">
        <v>6</v>
      </c>
      <c r="B7119" t="str">
        <f>"03/27/2021 00:00"</f>
        <v>03/27/2021 00:00</v>
      </c>
      <c r="C7119">
        <v>63.3</v>
      </c>
      <c r="D7119" t="s">
        <v>7</v>
      </c>
      <c r="E7119" s="2" t="s">
        <v>12</v>
      </c>
      <c r="F7119">
        <f t="shared" si="111"/>
        <v>125.5239</v>
      </c>
      <c r="G7119" t="s">
        <v>16</v>
      </c>
      <c r="H7119" t="s">
        <v>10</v>
      </c>
      <c r="J7119" t="str">
        <f>"03/28/2021 00:39"</f>
        <v>03/28/2021 00:39</v>
      </c>
    </row>
    <row r="7120" spans="1:10" x14ac:dyDescent="0.3">
      <c r="A7120" t="s">
        <v>6</v>
      </c>
      <c r="B7120" t="str">
        <f>"03/28/2021 00:00"</f>
        <v>03/28/2021 00:00</v>
      </c>
      <c r="C7120">
        <v>63.4</v>
      </c>
      <c r="D7120" t="s">
        <v>7</v>
      </c>
      <c r="E7120" s="2" t="s">
        <v>12</v>
      </c>
      <c r="F7120">
        <f t="shared" si="111"/>
        <v>125.7222</v>
      </c>
      <c r="G7120" t="s">
        <v>16</v>
      </c>
      <c r="H7120" t="s">
        <v>10</v>
      </c>
      <c r="J7120" t="str">
        <f>"03/29/2021 00:39"</f>
        <v>03/29/2021 00:39</v>
      </c>
    </row>
    <row r="7121" spans="1:10" x14ac:dyDescent="0.3">
      <c r="A7121" t="s">
        <v>6</v>
      </c>
      <c r="B7121" t="str">
        <f>"03/29/2021 00:00"</f>
        <v>03/29/2021 00:00</v>
      </c>
      <c r="C7121">
        <v>63.3</v>
      </c>
      <c r="D7121" t="s">
        <v>7</v>
      </c>
      <c r="E7121" s="2" t="s">
        <v>12</v>
      </c>
      <c r="F7121">
        <f t="shared" si="111"/>
        <v>125.5239</v>
      </c>
      <c r="G7121" t="s">
        <v>16</v>
      </c>
      <c r="H7121" t="s">
        <v>10</v>
      </c>
      <c r="J7121" t="str">
        <f>"03/30/2021 00:39"</f>
        <v>03/30/2021 00:39</v>
      </c>
    </row>
    <row r="7122" spans="1:10" x14ac:dyDescent="0.3">
      <c r="A7122" t="s">
        <v>6</v>
      </c>
      <c r="B7122" t="str">
        <f>"03/30/2021 00:00"</f>
        <v>03/30/2021 00:00</v>
      </c>
      <c r="C7122">
        <v>63.5</v>
      </c>
      <c r="D7122" t="s">
        <v>7</v>
      </c>
      <c r="E7122" s="2" t="s">
        <v>12</v>
      </c>
      <c r="F7122">
        <f t="shared" si="111"/>
        <v>125.9205</v>
      </c>
      <c r="G7122" t="s">
        <v>16</v>
      </c>
      <c r="H7122" t="s">
        <v>10</v>
      </c>
      <c r="J7122" t="str">
        <f>"03/31/2021 00:39"</f>
        <v>03/31/2021 00:39</v>
      </c>
    </row>
    <row r="7123" spans="1:10" x14ac:dyDescent="0.3">
      <c r="A7123" t="s">
        <v>6</v>
      </c>
      <c r="B7123" t="str">
        <f>"03/31/2021 00:00"</f>
        <v>03/31/2021 00:00</v>
      </c>
      <c r="C7123">
        <v>63.9</v>
      </c>
      <c r="D7123" t="s">
        <v>7</v>
      </c>
      <c r="E7123" s="2" t="s">
        <v>12</v>
      </c>
      <c r="F7123">
        <f t="shared" si="111"/>
        <v>126.7137</v>
      </c>
      <c r="G7123" t="s">
        <v>16</v>
      </c>
      <c r="H7123" t="s">
        <v>10</v>
      </c>
      <c r="J7123" t="str">
        <f>"04/01/2021 00:39"</f>
        <v>04/01/2021 00:39</v>
      </c>
    </row>
    <row r="7124" spans="1:10" x14ac:dyDescent="0.3">
      <c r="A7124" t="s">
        <v>6</v>
      </c>
      <c r="B7124" t="str">
        <f>"04/01/2021 00:00"</f>
        <v>04/01/2021 00:00</v>
      </c>
      <c r="C7124">
        <v>63.7</v>
      </c>
      <c r="D7124" t="s">
        <v>7</v>
      </c>
      <c r="E7124" s="2" t="s">
        <v>12</v>
      </c>
      <c r="F7124">
        <f t="shared" si="111"/>
        <v>126.31710000000001</v>
      </c>
      <c r="G7124" t="s">
        <v>16</v>
      </c>
      <c r="H7124" t="s">
        <v>10</v>
      </c>
      <c r="J7124" t="str">
        <f>"04/02/2021 00:39"</f>
        <v>04/02/2021 00:39</v>
      </c>
    </row>
    <row r="7125" spans="1:10" x14ac:dyDescent="0.3">
      <c r="A7125" t="s">
        <v>6</v>
      </c>
      <c r="B7125" t="str">
        <f>"04/02/2021 00:00"</f>
        <v>04/02/2021 00:00</v>
      </c>
      <c r="C7125">
        <v>63.2</v>
      </c>
      <c r="D7125" t="s">
        <v>7</v>
      </c>
      <c r="E7125" s="2" t="s">
        <v>12</v>
      </c>
      <c r="F7125">
        <f t="shared" si="111"/>
        <v>125.32560000000001</v>
      </c>
      <c r="G7125" t="s">
        <v>16</v>
      </c>
      <c r="H7125" t="s">
        <v>10</v>
      </c>
      <c r="J7125" t="str">
        <f>"04/03/2021 00:39"</f>
        <v>04/03/2021 00:39</v>
      </c>
    </row>
    <row r="7126" spans="1:10" x14ac:dyDescent="0.3">
      <c r="A7126" t="s">
        <v>6</v>
      </c>
      <c r="B7126" t="str">
        <f>"04/03/2021 00:00"</f>
        <v>04/03/2021 00:00</v>
      </c>
      <c r="C7126">
        <v>63.2</v>
      </c>
      <c r="D7126" t="s">
        <v>7</v>
      </c>
      <c r="E7126" s="2" t="s">
        <v>12</v>
      </c>
      <c r="F7126">
        <f t="shared" si="111"/>
        <v>125.32560000000001</v>
      </c>
      <c r="G7126" t="s">
        <v>16</v>
      </c>
      <c r="H7126" t="s">
        <v>10</v>
      </c>
      <c r="J7126" t="str">
        <f>"04/04/2021 00:39"</f>
        <v>04/04/2021 00:39</v>
      </c>
    </row>
    <row r="7127" spans="1:10" x14ac:dyDescent="0.3">
      <c r="A7127" t="s">
        <v>6</v>
      </c>
      <c r="B7127" t="str">
        <f>"04/04/2021 00:00"</f>
        <v>04/04/2021 00:00</v>
      </c>
      <c r="C7127">
        <v>63.2</v>
      </c>
      <c r="D7127" t="s">
        <v>7</v>
      </c>
      <c r="E7127" s="2" t="s">
        <v>12</v>
      </c>
      <c r="F7127">
        <f t="shared" si="111"/>
        <v>125.32560000000001</v>
      </c>
      <c r="G7127" t="s">
        <v>16</v>
      </c>
      <c r="H7127" t="s">
        <v>10</v>
      </c>
      <c r="J7127" t="str">
        <f>"04/05/2021 00:39"</f>
        <v>04/05/2021 00:39</v>
      </c>
    </row>
    <row r="7128" spans="1:10" x14ac:dyDescent="0.3">
      <c r="A7128" t="s">
        <v>6</v>
      </c>
      <c r="B7128" t="str">
        <f>"04/05/2021 00:00"</f>
        <v>04/05/2021 00:00</v>
      </c>
      <c r="C7128">
        <v>63.3</v>
      </c>
      <c r="D7128" t="s">
        <v>7</v>
      </c>
      <c r="E7128" s="2" t="s">
        <v>12</v>
      </c>
      <c r="F7128">
        <f t="shared" si="111"/>
        <v>125.5239</v>
      </c>
      <c r="G7128" t="s">
        <v>16</v>
      </c>
      <c r="H7128" t="s">
        <v>10</v>
      </c>
      <c r="J7128" t="str">
        <f>"04/06/2021 00:39"</f>
        <v>04/06/2021 00:39</v>
      </c>
    </row>
    <row r="7129" spans="1:10" x14ac:dyDescent="0.3">
      <c r="A7129" t="s">
        <v>6</v>
      </c>
      <c r="B7129" t="str">
        <f>"04/06/2021 00:00"</f>
        <v>04/06/2021 00:00</v>
      </c>
      <c r="C7129">
        <v>63.2</v>
      </c>
      <c r="D7129" t="s">
        <v>7</v>
      </c>
      <c r="E7129" s="2" t="s">
        <v>12</v>
      </c>
      <c r="F7129">
        <f t="shared" si="111"/>
        <v>125.32560000000001</v>
      </c>
      <c r="G7129" t="s">
        <v>16</v>
      </c>
      <c r="H7129" t="s">
        <v>10</v>
      </c>
      <c r="J7129" t="str">
        <f>"04/07/2021 00:39"</f>
        <v>04/07/2021 00:39</v>
      </c>
    </row>
    <row r="7130" spans="1:10" x14ac:dyDescent="0.3">
      <c r="A7130" t="s">
        <v>6</v>
      </c>
      <c r="B7130" t="str">
        <f>"04/07/2021 00:00"</f>
        <v>04/07/2021 00:00</v>
      </c>
      <c r="C7130">
        <v>32.4</v>
      </c>
      <c r="D7130" t="s">
        <v>7</v>
      </c>
      <c r="E7130" s="2" t="s">
        <v>12</v>
      </c>
      <c r="F7130">
        <f t="shared" si="111"/>
        <v>64.249200000000002</v>
      </c>
      <c r="G7130" t="s">
        <v>16</v>
      </c>
      <c r="H7130" t="s">
        <v>10</v>
      </c>
      <c r="J7130" t="str">
        <f>"04/08/2021 00:39"</f>
        <v>04/08/2021 00:39</v>
      </c>
    </row>
    <row r="7131" spans="1:10" x14ac:dyDescent="0.3">
      <c r="A7131" t="s">
        <v>6</v>
      </c>
      <c r="B7131" t="str">
        <f>"04/08/2021 00:00"</f>
        <v>04/08/2021 00:00</v>
      </c>
      <c r="C7131">
        <v>0.24</v>
      </c>
      <c r="D7131" t="s">
        <v>7</v>
      </c>
      <c r="E7131" s="2" t="s">
        <v>12</v>
      </c>
      <c r="F7131">
        <f t="shared" si="111"/>
        <v>0.47592000000000001</v>
      </c>
      <c r="G7131" t="s">
        <v>16</v>
      </c>
      <c r="H7131" t="s">
        <v>10</v>
      </c>
      <c r="J7131" t="str">
        <f>"04/09/2021 00:39"</f>
        <v>04/09/2021 00:39</v>
      </c>
    </row>
    <row r="7132" spans="1:10" x14ac:dyDescent="0.3">
      <c r="A7132" t="s">
        <v>6</v>
      </c>
      <c r="B7132" t="str">
        <f>"04/09/2021 00:00"</f>
        <v>04/09/2021 00:00</v>
      </c>
      <c r="C7132">
        <v>0.19700000000000001</v>
      </c>
      <c r="D7132" t="s">
        <v>7</v>
      </c>
      <c r="E7132" s="2" t="s">
        <v>12</v>
      </c>
      <c r="F7132">
        <f t="shared" si="111"/>
        <v>0.39065100000000003</v>
      </c>
      <c r="G7132" t="s">
        <v>16</v>
      </c>
      <c r="H7132" t="s">
        <v>10</v>
      </c>
      <c r="J7132" t="str">
        <f>"04/10/2021 00:39"</f>
        <v>04/10/2021 00:39</v>
      </c>
    </row>
    <row r="7133" spans="1:10" x14ac:dyDescent="0.3">
      <c r="A7133" t="s">
        <v>6</v>
      </c>
      <c r="B7133" t="str">
        <f>"04/10/2021 00:00"</f>
        <v>04/10/2021 00:00</v>
      </c>
      <c r="C7133">
        <v>0.16</v>
      </c>
      <c r="D7133" t="s">
        <v>7</v>
      </c>
      <c r="E7133" s="2" t="s">
        <v>12</v>
      </c>
      <c r="F7133">
        <f t="shared" si="111"/>
        <v>0.31728000000000001</v>
      </c>
      <c r="G7133" t="s">
        <v>16</v>
      </c>
      <c r="H7133" t="s">
        <v>10</v>
      </c>
      <c r="J7133" t="str">
        <f>"04/11/2021 00:39"</f>
        <v>04/11/2021 00:39</v>
      </c>
    </row>
    <row r="7134" spans="1:10" x14ac:dyDescent="0.3">
      <c r="A7134" t="s">
        <v>6</v>
      </c>
      <c r="B7134" t="str">
        <f>"04/11/2021 00:00"</f>
        <v>04/11/2021 00:00</v>
      </c>
      <c r="C7134">
        <v>0.1</v>
      </c>
      <c r="D7134" t="s">
        <v>7</v>
      </c>
      <c r="E7134" s="2" t="s">
        <v>12</v>
      </c>
      <c r="F7134">
        <f t="shared" si="111"/>
        <v>0.19830000000000003</v>
      </c>
      <c r="G7134" t="s">
        <v>16</v>
      </c>
      <c r="H7134" t="s">
        <v>10</v>
      </c>
      <c r="J7134" t="str">
        <f>"04/12/2021 00:39"</f>
        <v>04/12/2021 00:39</v>
      </c>
    </row>
    <row r="7135" spans="1:10" x14ac:dyDescent="0.3">
      <c r="A7135" t="s">
        <v>6</v>
      </c>
      <c r="B7135" t="str">
        <f>"04/12/2021 00:00"</f>
        <v>04/12/2021 00:00</v>
      </c>
      <c r="C7135">
        <v>0.1</v>
      </c>
      <c r="D7135" t="s">
        <v>7</v>
      </c>
      <c r="E7135" s="2" t="s">
        <v>12</v>
      </c>
      <c r="F7135">
        <f t="shared" si="111"/>
        <v>0.19830000000000003</v>
      </c>
      <c r="G7135" t="s">
        <v>16</v>
      </c>
      <c r="H7135" t="s">
        <v>10</v>
      </c>
      <c r="J7135" t="str">
        <f>"04/13/2021 00:39"</f>
        <v>04/13/2021 00:39</v>
      </c>
    </row>
    <row r="7136" spans="1:10" x14ac:dyDescent="0.3">
      <c r="A7136" t="s">
        <v>6</v>
      </c>
      <c r="B7136" t="str">
        <f>"04/13/2021 00:00"</f>
        <v>04/13/2021 00:00</v>
      </c>
      <c r="C7136">
        <v>0.1</v>
      </c>
      <c r="D7136" t="s">
        <v>7</v>
      </c>
      <c r="E7136" s="2" t="s">
        <v>12</v>
      </c>
      <c r="F7136">
        <f t="shared" si="111"/>
        <v>0.19830000000000003</v>
      </c>
      <c r="G7136" t="s">
        <v>16</v>
      </c>
      <c r="H7136" t="s">
        <v>10</v>
      </c>
      <c r="J7136" t="str">
        <f>"04/14/2021 00:39"</f>
        <v>04/14/2021 00:39</v>
      </c>
    </row>
    <row r="7137" spans="1:10" x14ac:dyDescent="0.3">
      <c r="A7137" t="s">
        <v>6</v>
      </c>
      <c r="B7137" t="str">
        <f>"04/14/2021 00:00"</f>
        <v>04/14/2021 00:00</v>
      </c>
      <c r="C7137">
        <v>0.1</v>
      </c>
      <c r="D7137" t="s">
        <v>7</v>
      </c>
      <c r="E7137" s="2" t="s">
        <v>12</v>
      </c>
      <c r="F7137">
        <f t="shared" si="111"/>
        <v>0.19830000000000003</v>
      </c>
      <c r="G7137" t="s">
        <v>16</v>
      </c>
      <c r="H7137" t="s">
        <v>10</v>
      </c>
      <c r="J7137" t="str">
        <f>"04/15/2021 00:39"</f>
        <v>04/15/2021 00:39</v>
      </c>
    </row>
    <row r="7138" spans="1:10" x14ac:dyDescent="0.3">
      <c r="A7138" t="s">
        <v>6</v>
      </c>
      <c r="B7138" t="str">
        <f>"04/15/2021 00:00"</f>
        <v>04/15/2021 00:00</v>
      </c>
      <c r="C7138">
        <v>0.1</v>
      </c>
      <c r="D7138" t="s">
        <v>7</v>
      </c>
      <c r="E7138" s="2" t="s">
        <v>12</v>
      </c>
      <c r="F7138">
        <f t="shared" si="111"/>
        <v>0.19830000000000003</v>
      </c>
      <c r="G7138" t="s">
        <v>16</v>
      </c>
      <c r="H7138" t="s">
        <v>10</v>
      </c>
      <c r="J7138" t="str">
        <f>"04/16/2021 00:39"</f>
        <v>04/16/2021 00:39</v>
      </c>
    </row>
    <row r="7139" spans="1:10" x14ac:dyDescent="0.3">
      <c r="A7139" t="s">
        <v>6</v>
      </c>
      <c r="B7139" t="str">
        <f>"04/16/2021 00:00"</f>
        <v>04/16/2021 00:00</v>
      </c>
      <c r="C7139">
        <v>0.16700000000000001</v>
      </c>
      <c r="D7139" t="s">
        <v>7</v>
      </c>
      <c r="E7139" s="2" t="s">
        <v>12</v>
      </c>
      <c r="F7139">
        <f t="shared" si="111"/>
        <v>0.33116100000000004</v>
      </c>
      <c r="G7139" t="s">
        <v>16</v>
      </c>
      <c r="H7139" t="s">
        <v>10</v>
      </c>
      <c r="J7139" t="str">
        <f>"04/17/2021 00:39"</f>
        <v>04/17/2021 00:39</v>
      </c>
    </row>
    <row r="7140" spans="1:10" x14ac:dyDescent="0.3">
      <c r="A7140" t="s">
        <v>6</v>
      </c>
      <c r="B7140" t="str">
        <f>"04/17/2021 00:00"</f>
        <v>04/17/2021 00:00</v>
      </c>
      <c r="C7140">
        <v>0.19700000000000001</v>
      </c>
      <c r="D7140" t="s">
        <v>7</v>
      </c>
      <c r="E7140" s="2" t="s">
        <v>12</v>
      </c>
      <c r="F7140">
        <f t="shared" si="111"/>
        <v>0.39065100000000003</v>
      </c>
      <c r="G7140" t="s">
        <v>16</v>
      </c>
      <c r="H7140" t="s">
        <v>10</v>
      </c>
      <c r="J7140" t="str">
        <f>"04/18/2021 00:39"</f>
        <v>04/18/2021 00:39</v>
      </c>
    </row>
    <row r="7141" spans="1:10" x14ac:dyDescent="0.3">
      <c r="A7141" t="s">
        <v>6</v>
      </c>
      <c r="B7141" t="str">
        <f>"04/18/2021 00:00"</f>
        <v>04/18/2021 00:00</v>
      </c>
      <c r="C7141">
        <v>0.13300000000000001</v>
      </c>
      <c r="D7141" t="s">
        <v>7</v>
      </c>
      <c r="E7141" s="2" t="s">
        <v>12</v>
      </c>
      <c r="F7141">
        <f t="shared" si="111"/>
        <v>0.263739</v>
      </c>
      <c r="G7141" t="s">
        <v>16</v>
      </c>
      <c r="H7141" t="s">
        <v>10</v>
      </c>
      <c r="J7141" t="str">
        <f>"04/19/2021 00:39"</f>
        <v>04/19/2021 00:39</v>
      </c>
    </row>
    <row r="7142" spans="1:10" x14ac:dyDescent="0.3">
      <c r="A7142" t="s">
        <v>6</v>
      </c>
      <c r="B7142" t="str">
        <f>"04/19/2021 00:00"</f>
        <v>04/19/2021 00:00</v>
      </c>
      <c r="C7142">
        <v>0.1</v>
      </c>
      <c r="D7142" t="s">
        <v>7</v>
      </c>
      <c r="E7142" s="2" t="s">
        <v>12</v>
      </c>
      <c r="F7142">
        <f t="shared" si="111"/>
        <v>0.19830000000000003</v>
      </c>
      <c r="G7142" t="s">
        <v>16</v>
      </c>
      <c r="H7142" t="s">
        <v>10</v>
      </c>
      <c r="J7142" t="str">
        <f>"04/20/2021 00:39"</f>
        <v>04/20/2021 00:39</v>
      </c>
    </row>
    <row r="7143" spans="1:10" x14ac:dyDescent="0.3">
      <c r="A7143" t="s">
        <v>6</v>
      </c>
      <c r="B7143" t="str">
        <f>"04/20/2021 00:00"</f>
        <v>04/20/2021 00:00</v>
      </c>
      <c r="C7143">
        <v>0.183</v>
      </c>
      <c r="D7143" t="s">
        <v>7</v>
      </c>
      <c r="E7143" s="2" t="s">
        <v>12</v>
      </c>
      <c r="F7143">
        <f t="shared" si="111"/>
        <v>0.36288900000000002</v>
      </c>
      <c r="G7143" t="s">
        <v>16</v>
      </c>
      <c r="H7143" t="s">
        <v>10</v>
      </c>
      <c r="J7143" t="str">
        <f>"04/21/2021 00:39"</f>
        <v>04/21/2021 00:39</v>
      </c>
    </row>
    <row r="7144" spans="1:10" x14ac:dyDescent="0.3">
      <c r="A7144" t="s">
        <v>6</v>
      </c>
      <c r="B7144" t="str">
        <f>"04/21/2021 00:00"</f>
        <v>04/21/2021 00:00</v>
      </c>
      <c r="C7144">
        <v>0.19700000000000001</v>
      </c>
      <c r="D7144" t="s">
        <v>7</v>
      </c>
      <c r="E7144" s="2" t="s">
        <v>12</v>
      </c>
      <c r="F7144">
        <f t="shared" si="111"/>
        <v>0.39065100000000003</v>
      </c>
      <c r="G7144" t="s">
        <v>16</v>
      </c>
      <c r="H7144" t="s">
        <v>10</v>
      </c>
      <c r="J7144" t="str">
        <f>"04/22/2021 00:39"</f>
        <v>04/22/2021 00:39</v>
      </c>
    </row>
    <row r="7145" spans="1:10" x14ac:dyDescent="0.3">
      <c r="A7145" t="s">
        <v>6</v>
      </c>
      <c r="B7145" t="str">
        <f>"04/22/2021 00:00"</f>
        <v>04/22/2021 00:00</v>
      </c>
      <c r="C7145">
        <v>0.127</v>
      </c>
      <c r="D7145" t="s">
        <v>7</v>
      </c>
      <c r="E7145" s="2" t="s">
        <v>12</v>
      </c>
      <c r="F7145">
        <f t="shared" si="111"/>
        <v>0.25184100000000004</v>
      </c>
      <c r="G7145" t="s">
        <v>16</v>
      </c>
      <c r="H7145" t="s">
        <v>10</v>
      </c>
      <c r="J7145" t="str">
        <f>"04/23/2021 00:39"</f>
        <v>04/23/2021 00:39</v>
      </c>
    </row>
    <row r="7146" spans="1:10" x14ac:dyDescent="0.3">
      <c r="A7146" t="s">
        <v>6</v>
      </c>
      <c r="B7146" t="str">
        <f>"04/23/2021 00:00"</f>
        <v>04/23/2021 00:00</v>
      </c>
      <c r="C7146">
        <v>0.1</v>
      </c>
      <c r="D7146" t="s">
        <v>7</v>
      </c>
      <c r="E7146" s="2" t="s">
        <v>12</v>
      </c>
      <c r="F7146">
        <f t="shared" si="111"/>
        <v>0.19830000000000003</v>
      </c>
      <c r="G7146" t="s">
        <v>16</v>
      </c>
      <c r="H7146" t="s">
        <v>10</v>
      </c>
      <c r="J7146" t="str">
        <f>"04/24/2021 00:39"</f>
        <v>04/24/2021 00:39</v>
      </c>
    </row>
    <row r="7147" spans="1:10" x14ac:dyDescent="0.3">
      <c r="A7147" t="s">
        <v>6</v>
      </c>
      <c r="B7147" t="str">
        <f>"04/24/2021 00:00"</f>
        <v>04/24/2021 00:00</v>
      </c>
      <c r="C7147">
        <v>0.1</v>
      </c>
      <c r="D7147" t="s">
        <v>7</v>
      </c>
      <c r="E7147" s="2" t="s">
        <v>12</v>
      </c>
      <c r="F7147">
        <f t="shared" si="111"/>
        <v>0.19830000000000003</v>
      </c>
      <c r="G7147" t="s">
        <v>16</v>
      </c>
      <c r="H7147" t="s">
        <v>10</v>
      </c>
      <c r="J7147" t="str">
        <f>"04/25/2021 00:39"</f>
        <v>04/25/2021 00:39</v>
      </c>
    </row>
    <row r="7148" spans="1:10" x14ac:dyDescent="0.3">
      <c r="A7148" t="s">
        <v>6</v>
      </c>
      <c r="B7148" t="str">
        <f>"04/25/2021 00:00"</f>
        <v>04/25/2021 00:00</v>
      </c>
      <c r="C7148">
        <v>0.1</v>
      </c>
      <c r="D7148" t="s">
        <v>7</v>
      </c>
      <c r="E7148" s="2" t="s">
        <v>12</v>
      </c>
      <c r="F7148">
        <f t="shared" si="111"/>
        <v>0.19830000000000003</v>
      </c>
      <c r="G7148" t="s">
        <v>16</v>
      </c>
      <c r="H7148" t="s">
        <v>10</v>
      </c>
      <c r="J7148" t="str">
        <f>"04/26/2021 00:39"</f>
        <v>04/26/2021 00:39</v>
      </c>
    </row>
    <row r="7149" spans="1:10" x14ac:dyDescent="0.3">
      <c r="A7149" t="s">
        <v>6</v>
      </c>
      <c r="B7149" t="str">
        <f>"04/26/2021 00:00"</f>
        <v>04/26/2021 00:00</v>
      </c>
      <c r="C7149">
        <v>0.1</v>
      </c>
      <c r="D7149" t="s">
        <v>7</v>
      </c>
      <c r="E7149" s="2" t="s">
        <v>12</v>
      </c>
      <c r="F7149">
        <f t="shared" si="111"/>
        <v>0.19830000000000003</v>
      </c>
      <c r="G7149" t="s">
        <v>16</v>
      </c>
      <c r="H7149" t="s">
        <v>10</v>
      </c>
      <c r="J7149" t="str">
        <f>"04/27/2021 00:39"</f>
        <v>04/27/2021 00:39</v>
      </c>
    </row>
    <row r="7150" spans="1:10" x14ac:dyDescent="0.3">
      <c r="A7150" t="s">
        <v>6</v>
      </c>
      <c r="B7150" t="str">
        <f>"04/27/2021 00:00"</f>
        <v>04/27/2021 00:00</v>
      </c>
      <c r="C7150">
        <v>8.1299999999999997E-2</v>
      </c>
      <c r="D7150" t="s">
        <v>7</v>
      </c>
      <c r="E7150" s="2" t="s">
        <v>12</v>
      </c>
      <c r="F7150">
        <f t="shared" si="111"/>
        <v>0.1612179</v>
      </c>
      <c r="G7150" t="s">
        <v>16</v>
      </c>
      <c r="H7150" t="s">
        <v>10</v>
      </c>
      <c r="J7150" t="str">
        <f>"04/28/2021 00:39"</f>
        <v>04/28/2021 00:39</v>
      </c>
    </row>
    <row r="7151" spans="1:10" x14ac:dyDescent="0.3">
      <c r="A7151" t="s">
        <v>6</v>
      </c>
      <c r="B7151" t="str">
        <f>"04/28/2021 00:00"</f>
        <v>04/28/2021 00:00</v>
      </c>
      <c r="C7151">
        <v>5.3600000000000002E-2</v>
      </c>
      <c r="D7151" t="s">
        <v>7</v>
      </c>
      <c r="E7151" s="2" t="s">
        <v>12</v>
      </c>
      <c r="F7151">
        <f t="shared" si="111"/>
        <v>0.1062888</v>
      </c>
      <c r="G7151" t="s">
        <v>16</v>
      </c>
      <c r="H7151" t="s">
        <v>10</v>
      </c>
      <c r="J7151" t="str">
        <f>"04/29/2021 00:39"</f>
        <v>04/29/2021 00:39</v>
      </c>
    </row>
    <row r="7152" spans="1:10" x14ac:dyDescent="0.3">
      <c r="A7152" t="s">
        <v>6</v>
      </c>
      <c r="B7152" t="str">
        <f>"04/29/2021 00:00"</f>
        <v>04/29/2021 00:00</v>
      </c>
      <c r="C7152">
        <v>0.05</v>
      </c>
      <c r="D7152" t="s">
        <v>7</v>
      </c>
      <c r="E7152" s="2" t="s">
        <v>12</v>
      </c>
      <c r="F7152">
        <f t="shared" si="111"/>
        <v>9.9150000000000016E-2</v>
      </c>
      <c r="G7152" t="s">
        <v>16</v>
      </c>
      <c r="H7152" t="s">
        <v>10</v>
      </c>
      <c r="J7152" t="str">
        <f>"04/30/2021 00:39"</f>
        <v>04/30/2021 00:39</v>
      </c>
    </row>
    <row r="7153" spans="1:10" x14ac:dyDescent="0.3">
      <c r="A7153" t="s">
        <v>6</v>
      </c>
      <c r="B7153" t="str">
        <f>"04/30/2021 00:00"</f>
        <v>04/30/2021 00:00</v>
      </c>
      <c r="C7153">
        <v>0.05</v>
      </c>
      <c r="D7153" t="s">
        <v>7</v>
      </c>
      <c r="E7153" s="2" t="s">
        <v>12</v>
      </c>
      <c r="F7153">
        <f t="shared" si="111"/>
        <v>9.9150000000000016E-2</v>
      </c>
      <c r="G7153" t="s">
        <v>16</v>
      </c>
      <c r="H7153" t="s">
        <v>10</v>
      </c>
      <c r="J7153" t="str">
        <f>"05/01/2021 00:40"</f>
        <v>05/01/2021 00:40</v>
      </c>
    </row>
    <row r="7154" spans="1:10" x14ac:dyDescent="0.3">
      <c r="A7154" t="s">
        <v>6</v>
      </c>
      <c r="B7154" t="str">
        <f>"05/01/2021 00:00"</f>
        <v>05/01/2021 00:00</v>
      </c>
      <c r="C7154">
        <v>0.05</v>
      </c>
      <c r="D7154" t="s">
        <v>7</v>
      </c>
      <c r="E7154" s="2" t="s">
        <v>12</v>
      </c>
      <c r="F7154">
        <f t="shared" si="111"/>
        <v>9.9150000000000016E-2</v>
      </c>
      <c r="G7154" t="s">
        <v>16</v>
      </c>
      <c r="H7154" t="s">
        <v>10</v>
      </c>
      <c r="J7154" t="str">
        <f>"05/02/2021 00:39"</f>
        <v>05/02/2021 00:39</v>
      </c>
    </row>
    <row r="7155" spans="1:10" x14ac:dyDescent="0.3">
      <c r="A7155" t="s">
        <v>6</v>
      </c>
      <c r="B7155" t="str">
        <f>"05/02/2021 00:00"</f>
        <v>05/02/2021 00:00</v>
      </c>
      <c r="C7155">
        <v>0.05</v>
      </c>
      <c r="D7155" t="s">
        <v>7</v>
      </c>
      <c r="E7155" s="2" t="s">
        <v>12</v>
      </c>
      <c r="F7155">
        <f t="shared" si="111"/>
        <v>9.9150000000000016E-2</v>
      </c>
      <c r="G7155" t="s">
        <v>16</v>
      </c>
      <c r="H7155" t="s">
        <v>10</v>
      </c>
      <c r="J7155" t="str">
        <f>"05/03/2021 00:39"</f>
        <v>05/03/2021 00:39</v>
      </c>
    </row>
    <row r="7156" spans="1:10" x14ac:dyDescent="0.3">
      <c r="A7156" t="s">
        <v>6</v>
      </c>
      <c r="B7156" t="str">
        <f>"05/03/2021 00:00"</f>
        <v>05/03/2021 00:00</v>
      </c>
      <c r="C7156">
        <v>0.05</v>
      </c>
      <c r="D7156" t="s">
        <v>7</v>
      </c>
      <c r="E7156" s="2" t="s">
        <v>12</v>
      </c>
      <c r="F7156">
        <f t="shared" si="111"/>
        <v>9.9150000000000016E-2</v>
      </c>
      <c r="G7156" t="s">
        <v>16</v>
      </c>
      <c r="H7156" t="s">
        <v>10</v>
      </c>
      <c r="J7156" t="str">
        <f>"05/04/2021 00:39"</f>
        <v>05/04/2021 00:39</v>
      </c>
    </row>
    <row r="7157" spans="1:10" x14ac:dyDescent="0.3">
      <c r="A7157" t="s">
        <v>6</v>
      </c>
      <c r="B7157" t="str">
        <f>"05/04/2021 00:00"</f>
        <v>05/04/2021 00:00</v>
      </c>
      <c r="C7157">
        <v>0.05</v>
      </c>
      <c r="D7157" t="s">
        <v>7</v>
      </c>
      <c r="E7157" s="2" t="s">
        <v>12</v>
      </c>
      <c r="F7157">
        <f t="shared" si="111"/>
        <v>9.9150000000000016E-2</v>
      </c>
      <c r="G7157" t="s">
        <v>16</v>
      </c>
      <c r="H7157" t="s">
        <v>10</v>
      </c>
      <c r="J7157" t="str">
        <f>"05/05/2021 00:39"</f>
        <v>05/05/2021 00:39</v>
      </c>
    </row>
    <row r="7158" spans="1:10" x14ac:dyDescent="0.3">
      <c r="A7158" t="s">
        <v>6</v>
      </c>
      <c r="B7158" t="str">
        <f>"05/05/2021 00:00"</f>
        <v>05/05/2021 00:00</v>
      </c>
      <c r="C7158">
        <v>0.05</v>
      </c>
      <c r="D7158" t="s">
        <v>7</v>
      </c>
      <c r="E7158" s="2" t="s">
        <v>12</v>
      </c>
      <c r="F7158">
        <f t="shared" si="111"/>
        <v>9.9150000000000016E-2</v>
      </c>
      <c r="G7158" t="s">
        <v>16</v>
      </c>
      <c r="H7158" t="s">
        <v>10</v>
      </c>
      <c r="J7158" t="str">
        <f>"05/06/2021 00:39"</f>
        <v>05/06/2021 00:39</v>
      </c>
    </row>
    <row r="7159" spans="1:10" x14ac:dyDescent="0.3">
      <c r="A7159" t="s">
        <v>6</v>
      </c>
      <c r="B7159" t="str">
        <f>"05/06/2021 00:00"</f>
        <v>05/06/2021 00:00</v>
      </c>
      <c r="C7159">
        <v>0.05</v>
      </c>
      <c r="D7159" t="s">
        <v>7</v>
      </c>
      <c r="E7159" s="2" t="s">
        <v>12</v>
      </c>
      <c r="F7159">
        <f t="shared" si="111"/>
        <v>9.9150000000000016E-2</v>
      </c>
      <c r="G7159" t="s">
        <v>16</v>
      </c>
      <c r="H7159" t="s">
        <v>10</v>
      </c>
      <c r="J7159" t="str">
        <f>"05/07/2021 00:39"</f>
        <v>05/07/2021 00:39</v>
      </c>
    </row>
    <row r="7160" spans="1:10" x14ac:dyDescent="0.3">
      <c r="A7160" t="s">
        <v>6</v>
      </c>
      <c r="B7160" t="str">
        <f>"05/07/2021 00:00"</f>
        <v>05/07/2021 00:00</v>
      </c>
      <c r="C7160">
        <v>0.05</v>
      </c>
      <c r="D7160" t="s">
        <v>7</v>
      </c>
      <c r="E7160" s="2" t="s">
        <v>12</v>
      </c>
      <c r="F7160">
        <f t="shared" si="111"/>
        <v>9.9150000000000016E-2</v>
      </c>
      <c r="G7160" t="s">
        <v>16</v>
      </c>
      <c r="H7160" t="s">
        <v>10</v>
      </c>
      <c r="J7160" t="str">
        <f>"05/08/2021 00:39"</f>
        <v>05/08/2021 00:39</v>
      </c>
    </row>
    <row r="7161" spans="1:10" x14ac:dyDescent="0.3">
      <c r="A7161" t="s">
        <v>6</v>
      </c>
      <c r="B7161" t="str">
        <f>"05/08/2021 00:00"</f>
        <v>05/08/2021 00:00</v>
      </c>
      <c r="C7161">
        <v>4.3799999999999999E-2</v>
      </c>
      <c r="D7161" t="s">
        <v>7</v>
      </c>
      <c r="E7161" s="2" t="s">
        <v>12</v>
      </c>
      <c r="F7161">
        <f t="shared" si="111"/>
        <v>8.6855399999999999E-2</v>
      </c>
      <c r="G7161" t="s">
        <v>16</v>
      </c>
      <c r="H7161" t="s">
        <v>10</v>
      </c>
      <c r="J7161" t="str">
        <f>"05/09/2021 00:39"</f>
        <v>05/09/2021 00:39</v>
      </c>
    </row>
    <row r="7162" spans="1:10" x14ac:dyDescent="0.3">
      <c r="A7162" t="s">
        <v>6</v>
      </c>
      <c r="B7162" t="str">
        <f>"05/09/2021 00:00"</f>
        <v>05/09/2021 00:00</v>
      </c>
      <c r="C7162">
        <v>1.0399999999999999E-3</v>
      </c>
      <c r="D7162" t="s">
        <v>7</v>
      </c>
      <c r="E7162" s="2" t="s">
        <v>12</v>
      </c>
      <c r="F7162">
        <f t="shared" si="111"/>
        <v>2.0623199999999999E-3</v>
      </c>
      <c r="G7162" t="s">
        <v>16</v>
      </c>
      <c r="H7162" t="s">
        <v>10</v>
      </c>
      <c r="J7162" t="str">
        <f>"05/10/2021 00:39"</f>
        <v>05/10/2021 00:39</v>
      </c>
    </row>
    <row r="7163" spans="1:10" x14ac:dyDescent="0.3">
      <c r="A7163" t="s">
        <v>6</v>
      </c>
      <c r="B7163" t="str">
        <f>"05/10/2021 00:00"</f>
        <v>05/10/2021 00:00</v>
      </c>
      <c r="C7163">
        <v>0</v>
      </c>
      <c r="D7163" t="s">
        <v>7</v>
      </c>
      <c r="E7163" s="2" t="s">
        <v>12</v>
      </c>
      <c r="F7163">
        <f t="shared" si="111"/>
        <v>0</v>
      </c>
      <c r="G7163" t="s">
        <v>16</v>
      </c>
      <c r="H7163" t="s">
        <v>10</v>
      </c>
      <c r="J7163" t="str">
        <f>"05/11/2021 00:39"</f>
        <v>05/11/2021 00:39</v>
      </c>
    </row>
    <row r="7164" spans="1:10" x14ac:dyDescent="0.3">
      <c r="A7164" t="s">
        <v>6</v>
      </c>
      <c r="B7164" t="str">
        <f>"05/11/2021 00:00"</f>
        <v>05/11/2021 00:00</v>
      </c>
      <c r="C7164">
        <v>0</v>
      </c>
      <c r="D7164" t="s">
        <v>7</v>
      </c>
      <c r="E7164" s="2" t="s">
        <v>12</v>
      </c>
      <c r="F7164">
        <f t="shared" si="111"/>
        <v>0</v>
      </c>
      <c r="G7164" t="s">
        <v>16</v>
      </c>
      <c r="H7164" t="s">
        <v>10</v>
      </c>
      <c r="J7164" t="str">
        <f>"05/12/2021 00:39"</f>
        <v>05/12/2021 00:39</v>
      </c>
    </row>
    <row r="7165" spans="1:10" x14ac:dyDescent="0.3">
      <c r="A7165" t="s">
        <v>6</v>
      </c>
      <c r="B7165" t="str">
        <f>"05/12/2021 00:00"</f>
        <v>05/12/2021 00:00</v>
      </c>
      <c r="C7165">
        <v>0</v>
      </c>
      <c r="D7165" t="s">
        <v>7</v>
      </c>
      <c r="E7165" s="2" t="s">
        <v>12</v>
      </c>
      <c r="F7165">
        <f t="shared" si="111"/>
        <v>0</v>
      </c>
      <c r="G7165" t="s">
        <v>16</v>
      </c>
      <c r="H7165" t="s">
        <v>10</v>
      </c>
      <c r="J7165" t="str">
        <f>"05/13/2021 00:39"</f>
        <v>05/13/2021 00:39</v>
      </c>
    </row>
    <row r="7166" spans="1:10" x14ac:dyDescent="0.3">
      <c r="A7166" t="s">
        <v>6</v>
      </c>
      <c r="B7166" t="str">
        <f>"05/13/2021 00:00"</f>
        <v>05/13/2021 00:00</v>
      </c>
      <c r="C7166">
        <v>0</v>
      </c>
      <c r="D7166" t="s">
        <v>7</v>
      </c>
      <c r="E7166" s="2" t="s">
        <v>12</v>
      </c>
      <c r="F7166">
        <f t="shared" si="111"/>
        <v>0</v>
      </c>
      <c r="G7166" t="s">
        <v>16</v>
      </c>
      <c r="H7166" t="s">
        <v>10</v>
      </c>
      <c r="J7166" t="str">
        <f>"05/14/2021 00:39"</f>
        <v>05/14/2021 00:39</v>
      </c>
    </row>
    <row r="7167" spans="1:10" x14ac:dyDescent="0.3">
      <c r="A7167" t="s">
        <v>6</v>
      </c>
      <c r="B7167" t="str">
        <f>"05/14/2021 00:00"</f>
        <v>05/14/2021 00:00</v>
      </c>
      <c r="C7167">
        <v>0</v>
      </c>
      <c r="D7167" t="s">
        <v>7</v>
      </c>
      <c r="E7167" s="2" t="s">
        <v>12</v>
      </c>
      <c r="F7167">
        <f t="shared" si="111"/>
        <v>0</v>
      </c>
      <c r="G7167" t="s">
        <v>16</v>
      </c>
      <c r="H7167" t="s">
        <v>10</v>
      </c>
      <c r="J7167" t="str">
        <f>"05/15/2021 00:39"</f>
        <v>05/15/2021 00:39</v>
      </c>
    </row>
    <row r="7168" spans="1:10" x14ac:dyDescent="0.3">
      <c r="A7168" t="s">
        <v>6</v>
      </c>
      <c r="B7168" t="str">
        <f>"05/15/2021 00:00"</f>
        <v>05/15/2021 00:00</v>
      </c>
      <c r="C7168">
        <v>0</v>
      </c>
      <c r="D7168" t="s">
        <v>7</v>
      </c>
      <c r="E7168" s="2" t="s">
        <v>12</v>
      </c>
      <c r="F7168">
        <f t="shared" si="111"/>
        <v>0</v>
      </c>
      <c r="G7168" t="s">
        <v>16</v>
      </c>
      <c r="H7168" t="s">
        <v>10</v>
      </c>
      <c r="J7168" t="str">
        <f>"05/16/2021 00:39"</f>
        <v>05/16/2021 00:39</v>
      </c>
    </row>
    <row r="7169" spans="1:10" x14ac:dyDescent="0.3">
      <c r="A7169" t="s">
        <v>6</v>
      </c>
      <c r="B7169" t="str">
        <f>"05/16/2021 00:00"</f>
        <v>05/16/2021 00:00</v>
      </c>
      <c r="C7169">
        <v>0</v>
      </c>
      <c r="D7169" t="s">
        <v>7</v>
      </c>
      <c r="E7169" s="2" t="s">
        <v>12</v>
      </c>
      <c r="F7169">
        <f t="shared" si="111"/>
        <v>0</v>
      </c>
      <c r="G7169" t="s">
        <v>16</v>
      </c>
      <c r="H7169" t="s">
        <v>10</v>
      </c>
      <c r="J7169" t="str">
        <f>"05/17/2021 00:39"</f>
        <v>05/17/2021 00:39</v>
      </c>
    </row>
    <row r="7170" spans="1:10" x14ac:dyDescent="0.3">
      <c r="A7170" t="s">
        <v>6</v>
      </c>
      <c r="B7170" t="str">
        <f>"05/17/2021 00:00"</f>
        <v>05/17/2021 00:00</v>
      </c>
      <c r="C7170">
        <v>0</v>
      </c>
      <c r="D7170" t="s">
        <v>7</v>
      </c>
      <c r="E7170" s="2" t="s">
        <v>12</v>
      </c>
      <c r="F7170">
        <f t="shared" si="111"/>
        <v>0</v>
      </c>
      <c r="G7170" t="s">
        <v>16</v>
      </c>
      <c r="H7170" t="s">
        <v>10</v>
      </c>
      <c r="J7170" t="str">
        <f>"05/18/2021 00:39"</f>
        <v>05/18/2021 00:39</v>
      </c>
    </row>
    <row r="7171" spans="1:10" x14ac:dyDescent="0.3">
      <c r="A7171" t="s">
        <v>6</v>
      </c>
      <c r="B7171" t="str">
        <f>"05/18/2021 00:00"</f>
        <v>05/18/2021 00:00</v>
      </c>
      <c r="C7171">
        <v>0</v>
      </c>
      <c r="D7171" t="s">
        <v>7</v>
      </c>
      <c r="E7171" s="2" t="s">
        <v>12</v>
      </c>
      <c r="F7171">
        <f t="shared" si="111"/>
        <v>0</v>
      </c>
      <c r="G7171" t="s">
        <v>16</v>
      </c>
      <c r="H7171" t="s">
        <v>10</v>
      </c>
      <c r="J7171" t="str">
        <f>"05/19/2021 00:39"</f>
        <v>05/19/2021 00:39</v>
      </c>
    </row>
    <row r="7172" spans="1:10" x14ac:dyDescent="0.3">
      <c r="A7172" t="s">
        <v>6</v>
      </c>
      <c r="B7172" t="str">
        <f>"05/19/2021 00:00"</f>
        <v>05/19/2021 00:00</v>
      </c>
      <c r="C7172">
        <v>0</v>
      </c>
      <c r="D7172" t="s">
        <v>7</v>
      </c>
      <c r="E7172" s="2" t="s">
        <v>12</v>
      </c>
      <c r="F7172">
        <f t="shared" ref="F7172:F7235" si="112">C7172*1.983</f>
        <v>0</v>
      </c>
      <c r="G7172" t="s">
        <v>16</v>
      </c>
      <c r="H7172" t="s">
        <v>10</v>
      </c>
      <c r="J7172" t="str">
        <f>"05/20/2021 00:39"</f>
        <v>05/20/2021 00:39</v>
      </c>
    </row>
    <row r="7173" spans="1:10" x14ac:dyDescent="0.3">
      <c r="A7173" t="s">
        <v>6</v>
      </c>
      <c r="B7173" t="str">
        <f>"05/20/2021 00:00"</f>
        <v>05/20/2021 00:00</v>
      </c>
      <c r="C7173">
        <v>0</v>
      </c>
      <c r="D7173" t="s">
        <v>7</v>
      </c>
      <c r="E7173" s="2" t="s">
        <v>12</v>
      </c>
      <c r="F7173">
        <f t="shared" si="112"/>
        <v>0</v>
      </c>
      <c r="G7173" t="s">
        <v>16</v>
      </c>
      <c r="H7173" t="s">
        <v>10</v>
      </c>
      <c r="J7173" t="str">
        <f>"05/21/2021 00:39"</f>
        <v>05/21/2021 00:39</v>
      </c>
    </row>
    <row r="7174" spans="1:10" x14ac:dyDescent="0.3">
      <c r="A7174" t="s">
        <v>6</v>
      </c>
      <c r="B7174" t="str">
        <f>"05/21/2021 00:00"</f>
        <v>05/21/2021 00:00</v>
      </c>
      <c r="C7174">
        <v>0</v>
      </c>
      <c r="D7174" t="s">
        <v>7</v>
      </c>
      <c r="E7174" s="2" t="s">
        <v>12</v>
      </c>
      <c r="F7174">
        <f t="shared" si="112"/>
        <v>0</v>
      </c>
      <c r="G7174" t="s">
        <v>16</v>
      </c>
      <c r="H7174" t="s">
        <v>10</v>
      </c>
      <c r="J7174" t="str">
        <f>"05/22/2021 00:39"</f>
        <v>05/22/2021 00:39</v>
      </c>
    </row>
    <row r="7175" spans="1:10" x14ac:dyDescent="0.3">
      <c r="A7175" t="s">
        <v>6</v>
      </c>
      <c r="B7175" t="str">
        <f>"05/22/2021 00:00"</f>
        <v>05/22/2021 00:00</v>
      </c>
      <c r="C7175">
        <v>0</v>
      </c>
      <c r="D7175" t="s">
        <v>7</v>
      </c>
      <c r="E7175" s="2" t="s">
        <v>12</v>
      </c>
      <c r="F7175">
        <f t="shared" si="112"/>
        <v>0</v>
      </c>
      <c r="G7175" t="s">
        <v>16</v>
      </c>
      <c r="H7175" t="s">
        <v>10</v>
      </c>
      <c r="J7175" t="str">
        <f>"05/23/2021 00:39"</f>
        <v>05/23/2021 00:39</v>
      </c>
    </row>
    <row r="7176" spans="1:10" x14ac:dyDescent="0.3">
      <c r="A7176" t="s">
        <v>6</v>
      </c>
      <c r="B7176" t="str">
        <f>"05/23/2021 00:00"</f>
        <v>05/23/2021 00:00</v>
      </c>
      <c r="C7176">
        <v>2.29E-2</v>
      </c>
      <c r="D7176" t="s">
        <v>7</v>
      </c>
      <c r="E7176" s="2" t="s">
        <v>12</v>
      </c>
      <c r="F7176">
        <f t="shared" si="112"/>
        <v>4.5410700000000005E-2</v>
      </c>
      <c r="G7176" t="s">
        <v>16</v>
      </c>
      <c r="H7176" t="s">
        <v>10</v>
      </c>
      <c r="J7176" t="str">
        <f>"05/24/2021 00:39"</f>
        <v>05/24/2021 00:39</v>
      </c>
    </row>
    <row r="7177" spans="1:10" x14ac:dyDescent="0.3">
      <c r="A7177" t="s">
        <v>6</v>
      </c>
      <c r="B7177" t="str">
        <f>"05/24/2021 00:00"</f>
        <v>05/24/2021 00:00</v>
      </c>
      <c r="C7177">
        <v>1.56E-3</v>
      </c>
      <c r="D7177" t="s">
        <v>7</v>
      </c>
      <c r="E7177" s="2" t="s">
        <v>12</v>
      </c>
      <c r="F7177">
        <f t="shared" si="112"/>
        <v>3.09348E-3</v>
      </c>
      <c r="G7177" t="s">
        <v>16</v>
      </c>
      <c r="H7177" t="s">
        <v>10</v>
      </c>
      <c r="J7177" t="str">
        <f>"05/25/2021 00:39"</f>
        <v>05/25/2021 00:39</v>
      </c>
    </row>
    <row r="7178" spans="1:10" x14ac:dyDescent="0.3">
      <c r="A7178" t="s">
        <v>6</v>
      </c>
      <c r="B7178" t="str">
        <f>"05/25/2021 00:00"</f>
        <v>05/25/2021 00:00</v>
      </c>
      <c r="C7178">
        <v>0</v>
      </c>
      <c r="D7178" t="s">
        <v>7</v>
      </c>
      <c r="E7178" s="2" t="s">
        <v>12</v>
      </c>
      <c r="F7178">
        <f t="shared" si="112"/>
        <v>0</v>
      </c>
      <c r="G7178" t="s">
        <v>16</v>
      </c>
      <c r="H7178" t="s">
        <v>10</v>
      </c>
      <c r="J7178" t="str">
        <f>"05/26/2021 00:39"</f>
        <v>05/26/2021 00:39</v>
      </c>
    </row>
    <row r="7179" spans="1:10" x14ac:dyDescent="0.3">
      <c r="A7179" t="s">
        <v>6</v>
      </c>
      <c r="B7179" t="str">
        <f>"05/26/2021 00:00"</f>
        <v>05/26/2021 00:00</v>
      </c>
      <c r="C7179">
        <v>0</v>
      </c>
      <c r="D7179" t="s">
        <v>7</v>
      </c>
      <c r="E7179" s="2" t="s">
        <v>12</v>
      </c>
      <c r="F7179">
        <f t="shared" si="112"/>
        <v>0</v>
      </c>
      <c r="G7179" t="s">
        <v>16</v>
      </c>
      <c r="H7179" t="s">
        <v>10</v>
      </c>
      <c r="J7179" t="str">
        <f>"05/27/2021 00:39"</f>
        <v>05/27/2021 00:39</v>
      </c>
    </row>
    <row r="7180" spans="1:10" x14ac:dyDescent="0.3">
      <c r="A7180" t="s">
        <v>6</v>
      </c>
      <c r="B7180" t="str">
        <f>"05/27/2021 00:00"</f>
        <v>05/27/2021 00:00</v>
      </c>
      <c r="C7180">
        <v>0</v>
      </c>
      <c r="D7180" t="s">
        <v>7</v>
      </c>
      <c r="E7180" s="2" t="s">
        <v>12</v>
      </c>
      <c r="F7180">
        <f t="shared" si="112"/>
        <v>0</v>
      </c>
      <c r="G7180" t="s">
        <v>16</v>
      </c>
      <c r="H7180" t="s">
        <v>10</v>
      </c>
      <c r="J7180" t="str">
        <f>"05/28/2021 00:39"</f>
        <v>05/28/2021 00:39</v>
      </c>
    </row>
    <row r="7181" spans="1:10" x14ac:dyDescent="0.3">
      <c r="A7181" t="s">
        <v>6</v>
      </c>
      <c r="B7181" t="str">
        <f>"05/28/2021 00:00"</f>
        <v>05/28/2021 00:00</v>
      </c>
      <c r="C7181">
        <v>0</v>
      </c>
      <c r="D7181" t="s">
        <v>7</v>
      </c>
      <c r="E7181" s="2" t="s">
        <v>12</v>
      </c>
      <c r="F7181">
        <f t="shared" si="112"/>
        <v>0</v>
      </c>
      <c r="G7181" t="s">
        <v>16</v>
      </c>
      <c r="H7181" t="s">
        <v>10</v>
      </c>
      <c r="J7181" t="str">
        <f>"05/29/2021 00:39"</f>
        <v>05/29/2021 00:39</v>
      </c>
    </row>
    <row r="7182" spans="1:10" x14ac:dyDescent="0.3">
      <c r="A7182" t="s">
        <v>6</v>
      </c>
      <c r="B7182" t="str">
        <f>"05/29/2021 00:00"</f>
        <v>05/29/2021 00:00</v>
      </c>
      <c r="C7182">
        <v>0</v>
      </c>
      <c r="D7182" t="s">
        <v>7</v>
      </c>
      <c r="E7182" s="2" t="s">
        <v>12</v>
      </c>
      <c r="F7182">
        <f t="shared" si="112"/>
        <v>0</v>
      </c>
      <c r="G7182" t="s">
        <v>16</v>
      </c>
      <c r="H7182" t="s">
        <v>10</v>
      </c>
      <c r="J7182" t="str">
        <f>"05/30/2021 00:39"</f>
        <v>05/30/2021 00:39</v>
      </c>
    </row>
    <row r="7183" spans="1:10" x14ac:dyDescent="0.3">
      <c r="A7183" t="s">
        <v>6</v>
      </c>
      <c r="B7183" t="str">
        <f>"05/30/2021 00:00"</f>
        <v>05/30/2021 00:00</v>
      </c>
      <c r="C7183">
        <v>0</v>
      </c>
      <c r="D7183" t="s">
        <v>7</v>
      </c>
      <c r="E7183" s="2" t="s">
        <v>12</v>
      </c>
      <c r="F7183">
        <f t="shared" si="112"/>
        <v>0</v>
      </c>
      <c r="G7183" t="s">
        <v>16</v>
      </c>
      <c r="H7183" t="s">
        <v>10</v>
      </c>
      <c r="J7183" t="str">
        <f>"05/31/2021 00:39"</f>
        <v>05/31/2021 00:39</v>
      </c>
    </row>
    <row r="7184" spans="1:10" x14ac:dyDescent="0.3">
      <c r="A7184" t="s">
        <v>6</v>
      </c>
      <c r="B7184" t="str">
        <f>"05/31/2021 00:00"</f>
        <v>05/31/2021 00:00</v>
      </c>
      <c r="C7184">
        <v>0</v>
      </c>
      <c r="D7184" t="s">
        <v>7</v>
      </c>
      <c r="E7184" s="2" t="s">
        <v>12</v>
      </c>
      <c r="F7184">
        <f t="shared" si="112"/>
        <v>0</v>
      </c>
      <c r="G7184" t="s">
        <v>16</v>
      </c>
      <c r="H7184" t="s">
        <v>10</v>
      </c>
      <c r="J7184" t="str">
        <f>"06/01/2021 00:39"</f>
        <v>06/01/2021 00:39</v>
      </c>
    </row>
    <row r="7185" spans="1:10" x14ac:dyDescent="0.3">
      <c r="A7185" t="s">
        <v>6</v>
      </c>
      <c r="B7185" t="str">
        <f>"06/01/2021 00:00"</f>
        <v>06/01/2021 00:00</v>
      </c>
      <c r="C7185">
        <v>0</v>
      </c>
      <c r="D7185" t="s">
        <v>7</v>
      </c>
      <c r="E7185" s="2" t="s">
        <v>12</v>
      </c>
      <c r="F7185">
        <f t="shared" si="112"/>
        <v>0</v>
      </c>
      <c r="G7185" t="s">
        <v>16</v>
      </c>
      <c r="H7185" t="s">
        <v>10</v>
      </c>
      <c r="J7185" t="str">
        <f>"06/02/2021 00:39"</f>
        <v>06/02/2021 00:39</v>
      </c>
    </row>
    <row r="7186" spans="1:10" x14ac:dyDescent="0.3">
      <c r="A7186" t="s">
        <v>6</v>
      </c>
      <c r="B7186" t="str">
        <f>"06/02/2021 00:00"</f>
        <v>06/02/2021 00:00</v>
      </c>
      <c r="C7186">
        <v>0</v>
      </c>
      <c r="D7186" t="s">
        <v>7</v>
      </c>
      <c r="E7186" s="2" t="s">
        <v>12</v>
      </c>
      <c r="F7186">
        <f t="shared" si="112"/>
        <v>0</v>
      </c>
      <c r="G7186" t="s">
        <v>16</v>
      </c>
      <c r="H7186" t="s">
        <v>10</v>
      </c>
      <c r="J7186" t="str">
        <f>"06/03/2021 00:39"</f>
        <v>06/03/2021 00:39</v>
      </c>
    </row>
    <row r="7187" spans="1:10" x14ac:dyDescent="0.3">
      <c r="A7187" t="s">
        <v>6</v>
      </c>
      <c r="B7187" t="str">
        <f>"06/03/2021 00:00"</f>
        <v>06/03/2021 00:00</v>
      </c>
      <c r="C7187">
        <v>0</v>
      </c>
      <c r="D7187" t="s">
        <v>7</v>
      </c>
      <c r="E7187" s="2" t="s">
        <v>12</v>
      </c>
      <c r="F7187">
        <f t="shared" si="112"/>
        <v>0</v>
      </c>
      <c r="G7187" t="s">
        <v>16</v>
      </c>
      <c r="H7187" t="s">
        <v>10</v>
      </c>
      <c r="J7187" t="str">
        <f>"06/04/2021 00:39"</f>
        <v>06/04/2021 00:39</v>
      </c>
    </row>
    <row r="7188" spans="1:10" x14ac:dyDescent="0.3">
      <c r="A7188" t="s">
        <v>6</v>
      </c>
      <c r="B7188" t="str">
        <f>"06/04/2021 00:00"</f>
        <v>06/04/2021 00:00</v>
      </c>
      <c r="C7188">
        <v>0</v>
      </c>
      <c r="D7188" t="s">
        <v>7</v>
      </c>
      <c r="E7188" s="2" t="s">
        <v>12</v>
      </c>
      <c r="F7188">
        <f t="shared" si="112"/>
        <v>0</v>
      </c>
      <c r="G7188" t="s">
        <v>16</v>
      </c>
      <c r="H7188" t="s">
        <v>10</v>
      </c>
      <c r="J7188" t="str">
        <f>"06/05/2021 00:39"</f>
        <v>06/05/2021 00:39</v>
      </c>
    </row>
    <row r="7189" spans="1:10" x14ac:dyDescent="0.3">
      <c r="A7189" t="s">
        <v>6</v>
      </c>
      <c r="B7189" t="str">
        <f>"06/05/2021 00:00"</f>
        <v>06/05/2021 00:00</v>
      </c>
      <c r="C7189">
        <v>0</v>
      </c>
      <c r="D7189" t="s">
        <v>7</v>
      </c>
      <c r="E7189" s="2" t="s">
        <v>12</v>
      </c>
      <c r="F7189">
        <f t="shared" si="112"/>
        <v>0</v>
      </c>
      <c r="G7189" t="s">
        <v>16</v>
      </c>
      <c r="H7189" t="s">
        <v>10</v>
      </c>
      <c r="J7189" t="str">
        <f>"06/06/2021 00:39"</f>
        <v>06/06/2021 00:39</v>
      </c>
    </row>
    <row r="7190" spans="1:10" x14ac:dyDescent="0.3">
      <c r="A7190" t="s">
        <v>6</v>
      </c>
      <c r="B7190" t="str">
        <f>"06/06/2021 00:00"</f>
        <v>06/06/2021 00:00</v>
      </c>
      <c r="C7190">
        <v>0</v>
      </c>
      <c r="D7190" t="s">
        <v>7</v>
      </c>
      <c r="E7190" s="2" t="s">
        <v>12</v>
      </c>
      <c r="F7190">
        <f t="shared" si="112"/>
        <v>0</v>
      </c>
      <c r="G7190" t="s">
        <v>16</v>
      </c>
      <c r="H7190" t="s">
        <v>10</v>
      </c>
      <c r="J7190" t="str">
        <f>"06/07/2021 00:39"</f>
        <v>06/07/2021 00:39</v>
      </c>
    </row>
    <row r="7191" spans="1:10" x14ac:dyDescent="0.3">
      <c r="A7191" t="s">
        <v>6</v>
      </c>
      <c r="B7191" t="str">
        <f>"06/07/2021 00:00"</f>
        <v>06/07/2021 00:00</v>
      </c>
      <c r="C7191">
        <v>0</v>
      </c>
      <c r="D7191" t="s">
        <v>7</v>
      </c>
      <c r="E7191" s="2" t="s">
        <v>12</v>
      </c>
      <c r="F7191">
        <f t="shared" si="112"/>
        <v>0</v>
      </c>
      <c r="G7191" t="s">
        <v>16</v>
      </c>
      <c r="H7191" t="s">
        <v>10</v>
      </c>
      <c r="J7191" t="str">
        <f>"06/08/2021 00:39"</f>
        <v>06/08/2021 00:39</v>
      </c>
    </row>
    <row r="7192" spans="1:10" x14ac:dyDescent="0.3">
      <c r="A7192" t="s">
        <v>6</v>
      </c>
      <c r="B7192" t="str">
        <f>"06/08/2021 00:00"</f>
        <v>06/08/2021 00:00</v>
      </c>
      <c r="C7192">
        <v>0</v>
      </c>
      <c r="D7192" t="s">
        <v>7</v>
      </c>
      <c r="E7192" s="2" t="s">
        <v>12</v>
      </c>
      <c r="F7192">
        <f t="shared" si="112"/>
        <v>0</v>
      </c>
      <c r="G7192" t="s">
        <v>16</v>
      </c>
      <c r="H7192" t="s">
        <v>10</v>
      </c>
      <c r="J7192" t="str">
        <f>"06/09/2021 00:40"</f>
        <v>06/09/2021 00:40</v>
      </c>
    </row>
    <row r="7193" spans="1:10" x14ac:dyDescent="0.3">
      <c r="A7193" t="s">
        <v>6</v>
      </c>
      <c r="B7193" t="str">
        <f>"06/09/2021 00:00"</f>
        <v>06/09/2021 00:00</v>
      </c>
      <c r="C7193">
        <v>0</v>
      </c>
      <c r="D7193" t="s">
        <v>7</v>
      </c>
      <c r="E7193" s="2" t="s">
        <v>12</v>
      </c>
      <c r="F7193">
        <f t="shared" si="112"/>
        <v>0</v>
      </c>
      <c r="G7193" t="s">
        <v>16</v>
      </c>
      <c r="H7193" t="s">
        <v>10</v>
      </c>
      <c r="J7193" t="str">
        <f>"06/10/2021 00:39"</f>
        <v>06/10/2021 00:39</v>
      </c>
    </row>
    <row r="7194" spans="1:10" x14ac:dyDescent="0.3">
      <c r="A7194" t="s">
        <v>6</v>
      </c>
      <c r="B7194" t="str">
        <f>"06/10/2021 00:00"</f>
        <v>06/10/2021 00:00</v>
      </c>
      <c r="C7194">
        <v>0</v>
      </c>
      <c r="D7194" t="s">
        <v>7</v>
      </c>
      <c r="E7194" s="2" t="s">
        <v>12</v>
      </c>
      <c r="F7194">
        <f t="shared" si="112"/>
        <v>0</v>
      </c>
      <c r="G7194" t="s">
        <v>16</v>
      </c>
      <c r="H7194" t="s">
        <v>10</v>
      </c>
      <c r="J7194" t="str">
        <f>"06/11/2021 00:39"</f>
        <v>06/11/2021 00:39</v>
      </c>
    </row>
    <row r="7195" spans="1:10" x14ac:dyDescent="0.3">
      <c r="A7195" t="s">
        <v>6</v>
      </c>
      <c r="B7195" t="str">
        <f>"06/11/2021 00:00"</f>
        <v>06/11/2021 00:00</v>
      </c>
      <c r="C7195">
        <v>0</v>
      </c>
      <c r="D7195" t="s">
        <v>7</v>
      </c>
      <c r="E7195" s="2" t="s">
        <v>12</v>
      </c>
      <c r="F7195">
        <f t="shared" si="112"/>
        <v>0</v>
      </c>
      <c r="G7195" t="s">
        <v>16</v>
      </c>
      <c r="H7195" t="s">
        <v>10</v>
      </c>
      <c r="J7195" t="str">
        <f>"06/12/2021 00:39"</f>
        <v>06/12/2021 00:39</v>
      </c>
    </row>
    <row r="7196" spans="1:10" x14ac:dyDescent="0.3">
      <c r="A7196" t="s">
        <v>6</v>
      </c>
      <c r="B7196" t="str">
        <f>"06/12/2021 00:00"</f>
        <v>06/12/2021 00:00</v>
      </c>
      <c r="C7196">
        <v>0</v>
      </c>
      <c r="D7196" t="s">
        <v>7</v>
      </c>
      <c r="E7196" s="2" t="s">
        <v>12</v>
      </c>
      <c r="F7196">
        <f t="shared" si="112"/>
        <v>0</v>
      </c>
      <c r="G7196" t="s">
        <v>16</v>
      </c>
      <c r="H7196" t="s">
        <v>10</v>
      </c>
      <c r="J7196" t="str">
        <f>"06/13/2021 00:39"</f>
        <v>06/13/2021 00:39</v>
      </c>
    </row>
    <row r="7197" spans="1:10" x14ac:dyDescent="0.3">
      <c r="A7197" t="s">
        <v>6</v>
      </c>
      <c r="B7197" t="str">
        <f>"06/13/2021 00:00"</f>
        <v>06/13/2021 00:00</v>
      </c>
      <c r="C7197">
        <v>0</v>
      </c>
      <c r="D7197" t="s">
        <v>7</v>
      </c>
      <c r="E7197" s="2" t="s">
        <v>12</v>
      </c>
      <c r="F7197">
        <f t="shared" si="112"/>
        <v>0</v>
      </c>
      <c r="G7197" t="s">
        <v>16</v>
      </c>
      <c r="H7197" t="s">
        <v>10</v>
      </c>
      <c r="J7197" t="str">
        <f>"06/14/2021 00:39"</f>
        <v>06/14/2021 00:39</v>
      </c>
    </row>
    <row r="7198" spans="1:10" x14ac:dyDescent="0.3">
      <c r="A7198" t="s">
        <v>6</v>
      </c>
      <c r="B7198" t="str">
        <f>"06/14/2021 00:00"</f>
        <v>06/14/2021 00:00</v>
      </c>
      <c r="C7198">
        <v>0</v>
      </c>
      <c r="D7198" t="s">
        <v>7</v>
      </c>
      <c r="E7198" s="2" t="s">
        <v>12</v>
      </c>
      <c r="F7198">
        <f t="shared" si="112"/>
        <v>0</v>
      </c>
      <c r="G7198" t="s">
        <v>16</v>
      </c>
      <c r="H7198" t="s">
        <v>10</v>
      </c>
      <c r="J7198" t="str">
        <f>"06/15/2021 00:39"</f>
        <v>06/15/2021 00:39</v>
      </c>
    </row>
    <row r="7199" spans="1:10" x14ac:dyDescent="0.3">
      <c r="A7199" t="s">
        <v>6</v>
      </c>
      <c r="B7199" t="str">
        <f>"06/15/2021 00:00"</f>
        <v>06/15/2021 00:00</v>
      </c>
      <c r="C7199">
        <v>0</v>
      </c>
      <c r="D7199" t="s">
        <v>7</v>
      </c>
      <c r="E7199" s="2" t="s">
        <v>12</v>
      </c>
      <c r="F7199">
        <f t="shared" si="112"/>
        <v>0</v>
      </c>
      <c r="G7199" t="s">
        <v>16</v>
      </c>
      <c r="H7199" t="s">
        <v>10</v>
      </c>
      <c r="J7199" t="str">
        <f>"06/16/2021 00:39"</f>
        <v>06/16/2021 00:39</v>
      </c>
    </row>
    <row r="7200" spans="1:10" x14ac:dyDescent="0.3">
      <c r="A7200" t="s">
        <v>6</v>
      </c>
      <c r="B7200" t="str">
        <f>"06/16/2021 00:00"</f>
        <v>06/16/2021 00:00</v>
      </c>
      <c r="C7200">
        <v>0</v>
      </c>
      <c r="D7200" t="s">
        <v>7</v>
      </c>
      <c r="E7200" s="2" t="s">
        <v>12</v>
      </c>
      <c r="F7200">
        <f t="shared" si="112"/>
        <v>0</v>
      </c>
      <c r="G7200" t="s">
        <v>16</v>
      </c>
      <c r="H7200" t="s">
        <v>10</v>
      </c>
      <c r="J7200" t="str">
        <f>"06/17/2021 00:39"</f>
        <v>06/17/2021 00:39</v>
      </c>
    </row>
    <row r="7201" spans="1:10" x14ac:dyDescent="0.3">
      <c r="A7201" t="s">
        <v>6</v>
      </c>
      <c r="B7201" t="str">
        <f>"06/17/2021 00:00"</f>
        <v>06/17/2021 00:00</v>
      </c>
      <c r="C7201">
        <v>0</v>
      </c>
      <c r="D7201" t="s">
        <v>7</v>
      </c>
      <c r="E7201" s="2" t="s">
        <v>12</v>
      </c>
      <c r="F7201">
        <f t="shared" si="112"/>
        <v>0</v>
      </c>
      <c r="G7201" t="s">
        <v>16</v>
      </c>
      <c r="H7201" t="s">
        <v>10</v>
      </c>
      <c r="J7201" t="str">
        <f>"06/18/2021 00:39"</f>
        <v>06/18/2021 00:39</v>
      </c>
    </row>
    <row r="7202" spans="1:10" x14ac:dyDescent="0.3">
      <c r="A7202" t="s">
        <v>6</v>
      </c>
      <c r="B7202" t="str">
        <f>"06/18/2021 00:00"</f>
        <v>06/18/2021 00:00</v>
      </c>
      <c r="C7202">
        <v>0</v>
      </c>
      <c r="D7202" t="s">
        <v>7</v>
      </c>
      <c r="E7202" s="2" t="s">
        <v>12</v>
      </c>
      <c r="F7202">
        <f t="shared" si="112"/>
        <v>0</v>
      </c>
      <c r="G7202" t="s">
        <v>16</v>
      </c>
      <c r="H7202" t="s">
        <v>10</v>
      </c>
      <c r="J7202" t="str">
        <f>"06/19/2021 00:39"</f>
        <v>06/19/2021 00:39</v>
      </c>
    </row>
    <row r="7203" spans="1:10" x14ac:dyDescent="0.3">
      <c r="A7203" t="s">
        <v>6</v>
      </c>
      <c r="B7203" t="str">
        <f>"06/19/2021 00:00"</f>
        <v>06/19/2021 00:00</v>
      </c>
      <c r="C7203">
        <v>0</v>
      </c>
      <c r="D7203" t="s">
        <v>7</v>
      </c>
      <c r="E7203" s="2" t="s">
        <v>12</v>
      </c>
      <c r="F7203">
        <f t="shared" si="112"/>
        <v>0</v>
      </c>
      <c r="G7203" t="s">
        <v>16</v>
      </c>
      <c r="H7203" t="s">
        <v>10</v>
      </c>
      <c r="J7203" t="str">
        <f>"06/20/2021 00:39"</f>
        <v>06/20/2021 00:39</v>
      </c>
    </row>
    <row r="7204" spans="1:10" x14ac:dyDescent="0.3">
      <c r="A7204" t="s">
        <v>6</v>
      </c>
      <c r="B7204" t="str">
        <f>"06/20/2021 00:00"</f>
        <v>06/20/2021 00:00</v>
      </c>
      <c r="C7204">
        <v>90.1</v>
      </c>
      <c r="D7204" t="s">
        <v>7</v>
      </c>
      <c r="E7204" s="2" t="s">
        <v>12</v>
      </c>
      <c r="F7204">
        <f t="shared" si="112"/>
        <v>178.66829999999999</v>
      </c>
      <c r="G7204" t="s">
        <v>16</v>
      </c>
      <c r="H7204" t="s">
        <v>10</v>
      </c>
      <c r="J7204" t="str">
        <f>"06/21/2021 00:39"</f>
        <v>06/21/2021 00:39</v>
      </c>
    </row>
    <row r="7205" spans="1:10" x14ac:dyDescent="0.3">
      <c r="A7205" t="s">
        <v>6</v>
      </c>
      <c r="B7205" t="str">
        <f>"06/21/2021 00:00"</f>
        <v>06/21/2021 00:00</v>
      </c>
      <c r="C7205">
        <v>151</v>
      </c>
      <c r="D7205" t="s">
        <v>7</v>
      </c>
      <c r="E7205" s="2" t="s">
        <v>12</v>
      </c>
      <c r="F7205">
        <f t="shared" si="112"/>
        <v>299.43299999999999</v>
      </c>
      <c r="G7205" t="s">
        <v>16</v>
      </c>
      <c r="H7205" t="s">
        <v>10</v>
      </c>
      <c r="J7205" t="str">
        <f>"06/22/2021 00:39"</f>
        <v>06/22/2021 00:39</v>
      </c>
    </row>
    <row r="7206" spans="1:10" x14ac:dyDescent="0.3">
      <c r="A7206" t="s">
        <v>6</v>
      </c>
      <c r="B7206" t="str">
        <f>"06/22/2021 00:00"</f>
        <v>06/22/2021 00:00</v>
      </c>
      <c r="C7206">
        <v>140</v>
      </c>
      <c r="D7206" t="s">
        <v>7</v>
      </c>
      <c r="E7206" s="2" t="s">
        <v>12</v>
      </c>
      <c r="F7206">
        <f t="shared" si="112"/>
        <v>277.62</v>
      </c>
      <c r="G7206" t="s">
        <v>16</v>
      </c>
      <c r="H7206" t="s">
        <v>10</v>
      </c>
      <c r="J7206" t="str">
        <f>"06/23/2021 00:39"</f>
        <v>06/23/2021 00:39</v>
      </c>
    </row>
    <row r="7207" spans="1:10" x14ac:dyDescent="0.3">
      <c r="A7207" t="s">
        <v>6</v>
      </c>
      <c r="B7207" t="str">
        <f>"06/23/2021 00:00"</f>
        <v>06/23/2021 00:00</v>
      </c>
      <c r="C7207">
        <v>130</v>
      </c>
      <c r="D7207" t="s">
        <v>7</v>
      </c>
      <c r="E7207" s="2" t="s">
        <v>12</v>
      </c>
      <c r="F7207">
        <f t="shared" si="112"/>
        <v>257.79000000000002</v>
      </c>
      <c r="G7207" t="s">
        <v>16</v>
      </c>
      <c r="H7207" t="s">
        <v>10</v>
      </c>
      <c r="J7207" t="str">
        <f>"06/24/2021 00:39"</f>
        <v>06/24/2021 00:39</v>
      </c>
    </row>
    <row r="7208" spans="1:10" x14ac:dyDescent="0.3">
      <c r="A7208" t="s">
        <v>6</v>
      </c>
      <c r="B7208" t="str">
        <f>"06/24/2021 00:00"</f>
        <v>06/24/2021 00:00</v>
      </c>
      <c r="C7208">
        <v>130</v>
      </c>
      <c r="D7208" t="s">
        <v>7</v>
      </c>
      <c r="E7208" s="2" t="s">
        <v>12</v>
      </c>
      <c r="F7208">
        <f t="shared" si="112"/>
        <v>257.79000000000002</v>
      </c>
      <c r="G7208" t="s">
        <v>16</v>
      </c>
      <c r="H7208" t="s">
        <v>10</v>
      </c>
      <c r="J7208" t="str">
        <f>"06/25/2021 00:40"</f>
        <v>06/25/2021 00:40</v>
      </c>
    </row>
    <row r="7209" spans="1:10" x14ac:dyDescent="0.3">
      <c r="A7209" t="s">
        <v>6</v>
      </c>
      <c r="B7209" t="str">
        <f>"06/25/2021 00:00"</f>
        <v>06/25/2021 00:00</v>
      </c>
      <c r="C7209">
        <v>131</v>
      </c>
      <c r="D7209" t="s">
        <v>7</v>
      </c>
      <c r="E7209" s="2" t="s">
        <v>12</v>
      </c>
      <c r="F7209">
        <f t="shared" si="112"/>
        <v>259.77300000000002</v>
      </c>
      <c r="G7209" t="s">
        <v>16</v>
      </c>
      <c r="H7209" t="s">
        <v>10</v>
      </c>
      <c r="J7209" t="str">
        <f>"06/26/2021 00:39"</f>
        <v>06/26/2021 00:39</v>
      </c>
    </row>
    <row r="7210" spans="1:10" x14ac:dyDescent="0.3">
      <c r="A7210" t="s">
        <v>6</v>
      </c>
      <c r="B7210" t="str">
        <f>"06/26/2021 00:00"</f>
        <v>06/26/2021 00:00</v>
      </c>
      <c r="C7210">
        <v>82.5</v>
      </c>
      <c r="D7210" t="s">
        <v>7</v>
      </c>
      <c r="E7210" s="2" t="s">
        <v>12</v>
      </c>
      <c r="F7210">
        <f t="shared" si="112"/>
        <v>163.5975</v>
      </c>
      <c r="G7210" t="s">
        <v>16</v>
      </c>
      <c r="H7210" t="s">
        <v>10</v>
      </c>
      <c r="J7210" t="str">
        <f>"06/27/2021 00:39"</f>
        <v>06/27/2021 00:39</v>
      </c>
    </row>
    <row r="7211" spans="1:10" x14ac:dyDescent="0.3">
      <c r="A7211" t="s">
        <v>6</v>
      </c>
      <c r="B7211" t="str">
        <f>"06/27/2021 00:00"</f>
        <v>06/27/2021 00:00</v>
      </c>
      <c r="C7211">
        <v>17.100000000000001</v>
      </c>
      <c r="D7211" t="s">
        <v>7</v>
      </c>
      <c r="E7211" s="2" t="s">
        <v>12</v>
      </c>
      <c r="F7211">
        <f t="shared" si="112"/>
        <v>33.909300000000002</v>
      </c>
      <c r="G7211" t="s">
        <v>16</v>
      </c>
      <c r="H7211" t="s">
        <v>10</v>
      </c>
      <c r="J7211" t="str">
        <f>"06/28/2021 00:39"</f>
        <v>06/28/2021 00:39</v>
      </c>
    </row>
    <row r="7212" spans="1:10" x14ac:dyDescent="0.3">
      <c r="A7212" t="s">
        <v>6</v>
      </c>
      <c r="B7212" t="str">
        <f>"06/28/2021 00:00"</f>
        <v>06/28/2021 00:00</v>
      </c>
      <c r="C7212">
        <v>0.1</v>
      </c>
      <c r="D7212" t="s">
        <v>7</v>
      </c>
      <c r="E7212" s="2" t="s">
        <v>12</v>
      </c>
      <c r="F7212">
        <f t="shared" si="112"/>
        <v>0.19830000000000003</v>
      </c>
      <c r="G7212" t="s">
        <v>16</v>
      </c>
      <c r="H7212" t="s">
        <v>10</v>
      </c>
      <c r="J7212" t="str">
        <f>"06/29/2021 00:39"</f>
        <v>06/29/2021 00:39</v>
      </c>
    </row>
    <row r="7213" spans="1:10" x14ac:dyDescent="0.3">
      <c r="A7213" t="s">
        <v>6</v>
      </c>
      <c r="B7213" t="str">
        <f>"06/29/2021 00:00"</f>
        <v>06/29/2021 00:00</v>
      </c>
      <c r="C7213">
        <v>0.1</v>
      </c>
      <c r="D7213" t="s">
        <v>7</v>
      </c>
      <c r="E7213" s="2" t="s">
        <v>12</v>
      </c>
      <c r="F7213">
        <f t="shared" si="112"/>
        <v>0.19830000000000003</v>
      </c>
      <c r="G7213" t="s">
        <v>16</v>
      </c>
      <c r="H7213" t="s">
        <v>10</v>
      </c>
      <c r="J7213" t="str">
        <f>"06/30/2021 00:40"</f>
        <v>06/30/2021 00:40</v>
      </c>
    </row>
    <row r="7214" spans="1:10" x14ac:dyDescent="0.3">
      <c r="A7214" t="s">
        <v>6</v>
      </c>
      <c r="B7214" t="str">
        <f>"06/30/2021 00:00"</f>
        <v>06/30/2021 00:00</v>
      </c>
      <c r="C7214">
        <v>30.6</v>
      </c>
      <c r="D7214" t="s">
        <v>7</v>
      </c>
      <c r="E7214" s="2" t="s">
        <v>12</v>
      </c>
      <c r="F7214">
        <f t="shared" si="112"/>
        <v>60.679800000000007</v>
      </c>
      <c r="G7214" t="s">
        <v>16</v>
      </c>
      <c r="H7214" t="s">
        <v>10</v>
      </c>
      <c r="J7214" t="str">
        <f>"07/01/2021 00:39"</f>
        <v>07/01/2021 00:39</v>
      </c>
    </row>
    <row r="7215" spans="1:10" x14ac:dyDescent="0.3">
      <c r="A7215" t="s">
        <v>6</v>
      </c>
      <c r="B7215" t="str">
        <f>"07/01/2021 00:00"</f>
        <v>07/01/2021 00:00</v>
      </c>
      <c r="C7215">
        <v>111</v>
      </c>
      <c r="D7215" t="s">
        <v>7</v>
      </c>
      <c r="E7215" s="2" t="s">
        <v>12</v>
      </c>
      <c r="F7215">
        <f t="shared" si="112"/>
        <v>220.113</v>
      </c>
      <c r="G7215" t="s">
        <v>16</v>
      </c>
      <c r="H7215" t="s">
        <v>10</v>
      </c>
      <c r="J7215" t="str">
        <f>"07/02/2021 00:39"</f>
        <v>07/02/2021 00:39</v>
      </c>
    </row>
    <row r="7216" spans="1:10" x14ac:dyDescent="0.3">
      <c r="A7216" t="s">
        <v>6</v>
      </c>
      <c r="B7216" t="str">
        <f>"07/02/2021 00:00"</f>
        <v>07/02/2021 00:00</v>
      </c>
      <c r="C7216">
        <v>150</v>
      </c>
      <c r="D7216" t="s">
        <v>7</v>
      </c>
      <c r="E7216" s="2" t="s">
        <v>12</v>
      </c>
      <c r="F7216">
        <f t="shared" si="112"/>
        <v>297.45</v>
      </c>
      <c r="G7216" t="s">
        <v>16</v>
      </c>
      <c r="H7216" t="s">
        <v>10</v>
      </c>
      <c r="J7216" t="str">
        <f>"07/03/2021 00:39"</f>
        <v>07/03/2021 00:39</v>
      </c>
    </row>
    <row r="7217" spans="1:10" x14ac:dyDescent="0.3">
      <c r="A7217" t="s">
        <v>6</v>
      </c>
      <c r="B7217" t="str">
        <f>"07/03/2021 00:00"</f>
        <v>07/03/2021 00:00</v>
      </c>
      <c r="C7217">
        <v>118</v>
      </c>
      <c r="D7217" t="s">
        <v>7</v>
      </c>
      <c r="E7217" s="2" t="s">
        <v>12</v>
      </c>
      <c r="F7217">
        <f t="shared" si="112"/>
        <v>233.994</v>
      </c>
      <c r="G7217" t="s">
        <v>16</v>
      </c>
      <c r="H7217" t="s">
        <v>10</v>
      </c>
      <c r="J7217" t="str">
        <f>"07/04/2021 00:39"</f>
        <v>07/04/2021 00:39</v>
      </c>
    </row>
    <row r="7218" spans="1:10" x14ac:dyDescent="0.3">
      <c r="A7218" t="s">
        <v>6</v>
      </c>
      <c r="B7218" t="str">
        <f>"07/04/2021 00:00"</f>
        <v>07/04/2021 00:00</v>
      </c>
      <c r="C7218">
        <v>100</v>
      </c>
      <c r="D7218" t="s">
        <v>7</v>
      </c>
      <c r="E7218" s="2" t="s">
        <v>12</v>
      </c>
      <c r="F7218">
        <f t="shared" si="112"/>
        <v>198.3</v>
      </c>
      <c r="G7218" t="s">
        <v>16</v>
      </c>
      <c r="H7218" t="s">
        <v>10</v>
      </c>
      <c r="J7218" t="str">
        <f>"07/05/2021 00:39"</f>
        <v>07/05/2021 00:39</v>
      </c>
    </row>
    <row r="7219" spans="1:10" x14ac:dyDescent="0.3">
      <c r="A7219" t="s">
        <v>6</v>
      </c>
      <c r="B7219" t="str">
        <f>"07/05/2021 00:00"</f>
        <v>07/05/2021 00:00</v>
      </c>
      <c r="C7219">
        <v>100</v>
      </c>
      <c r="D7219" t="s">
        <v>7</v>
      </c>
      <c r="E7219" s="2" t="s">
        <v>12</v>
      </c>
      <c r="F7219">
        <f t="shared" si="112"/>
        <v>198.3</v>
      </c>
      <c r="G7219" t="s">
        <v>16</v>
      </c>
      <c r="H7219" t="s">
        <v>10</v>
      </c>
      <c r="J7219" t="str">
        <f>"07/06/2021 00:39"</f>
        <v>07/06/2021 00:39</v>
      </c>
    </row>
    <row r="7220" spans="1:10" x14ac:dyDescent="0.3">
      <c r="A7220" t="s">
        <v>6</v>
      </c>
      <c r="B7220" t="str">
        <f>"07/06/2021 00:00"</f>
        <v>07/06/2021 00:00</v>
      </c>
      <c r="C7220">
        <v>100</v>
      </c>
      <c r="D7220" t="s">
        <v>7</v>
      </c>
      <c r="E7220" s="2" t="s">
        <v>12</v>
      </c>
      <c r="F7220">
        <f t="shared" si="112"/>
        <v>198.3</v>
      </c>
      <c r="G7220" t="s">
        <v>16</v>
      </c>
      <c r="H7220" t="s">
        <v>10</v>
      </c>
      <c r="J7220" t="str">
        <f>"07/07/2021 00:39"</f>
        <v>07/07/2021 00:39</v>
      </c>
    </row>
    <row r="7221" spans="1:10" x14ac:dyDescent="0.3">
      <c r="A7221" t="s">
        <v>6</v>
      </c>
      <c r="B7221" t="str">
        <f>"07/07/2021 00:00"</f>
        <v>07/07/2021 00:00</v>
      </c>
      <c r="C7221">
        <v>100</v>
      </c>
      <c r="D7221" t="s">
        <v>7</v>
      </c>
      <c r="E7221" s="2" t="s">
        <v>12</v>
      </c>
      <c r="F7221">
        <f t="shared" si="112"/>
        <v>198.3</v>
      </c>
      <c r="G7221" t="s">
        <v>16</v>
      </c>
      <c r="H7221" t="s">
        <v>10</v>
      </c>
      <c r="J7221" t="str">
        <f>"07/08/2021 00:39"</f>
        <v>07/08/2021 00:39</v>
      </c>
    </row>
    <row r="7222" spans="1:10" x14ac:dyDescent="0.3">
      <c r="A7222" t="s">
        <v>6</v>
      </c>
      <c r="B7222" t="str">
        <f>"07/08/2021 00:00"</f>
        <v>07/08/2021 00:00</v>
      </c>
      <c r="C7222">
        <v>100</v>
      </c>
      <c r="D7222" t="s">
        <v>7</v>
      </c>
      <c r="E7222" s="2" t="s">
        <v>12</v>
      </c>
      <c r="F7222">
        <f t="shared" si="112"/>
        <v>198.3</v>
      </c>
      <c r="G7222" t="s">
        <v>16</v>
      </c>
      <c r="H7222" t="s">
        <v>10</v>
      </c>
      <c r="J7222" t="str">
        <f>"07/09/2021 00:40"</f>
        <v>07/09/2021 00:40</v>
      </c>
    </row>
    <row r="7223" spans="1:10" x14ac:dyDescent="0.3">
      <c r="A7223" t="s">
        <v>6</v>
      </c>
      <c r="B7223" t="str">
        <f>"07/09/2021 00:00"</f>
        <v>07/09/2021 00:00</v>
      </c>
      <c r="C7223">
        <v>100</v>
      </c>
      <c r="D7223" t="s">
        <v>7</v>
      </c>
      <c r="E7223" s="2" t="s">
        <v>12</v>
      </c>
      <c r="F7223">
        <f t="shared" si="112"/>
        <v>198.3</v>
      </c>
      <c r="G7223" t="s">
        <v>16</v>
      </c>
      <c r="H7223" t="s">
        <v>10</v>
      </c>
      <c r="J7223" t="str">
        <f>"07/10/2021 00:39"</f>
        <v>07/10/2021 00:39</v>
      </c>
    </row>
    <row r="7224" spans="1:10" x14ac:dyDescent="0.3">
      <c r="A7224" t="s">
        <v>6</v>
      </c>
      <c r="B7224" t="str">
        <f>"07/10/2021 00:00"</f>
        <v>07/10/2021 00:00</v>
      </c>
      <c r="C7224">
        <v>100</v>
      </c>
      <c r="D7224" t="s">
        <v>7</v>
      </c>
      <c r="E7224" s="2" t="s">
        <v>12</v>
      </c>
      <c r="F7224">
        <f t="shared" si="112"/>
        <v>198.3</v>
      </c>
      <c r="G7224" t="s">
        <v>16</v>
      </c>
      <c r="H7224" t="s">
        <v>10</v>
      </c>
      <c r="J7224" t="str">
        <f>"07/11/2021 00:39"</f>
        <v>07/11/2021 00:39</v>
      </c>
    </row>
    <row r="7225" spans="1:10" x14ac:dyDescent="0.3">
      <c r="A7225" t="s">
        <v>6</v>
      </c>
      <c r="B7225" t="str">
        <f>"07/11/2021 00:00"</f>
        <v>07/11/2021 00:00</v>
      </c>
      <c r="C7225">
        <v>111</v>
      </c>
      <c r="D7225" t="s">
        <v>7</v>
      </c>
      <c r="E7225" s="2" t="s">
        <v>12</v>
      </c>
      <c r="F7225">
        <f t="shared" si="112"/>
        <v>220.113</v>
      </c>
      <c r="G7225" t="s">
        <v>16</v>
      </c>
      <c r="H7225" t="s">
        <v>10</v>
      </c>
      <c r="J7225" t="str">
        <f>"07/12/2021 00:39"</f>
        <v>07/12/2021 00:39</v>
      </c>
    </row>
    <row r="7226" spans="1:10" x14ac:dyDescent="0.3">
      <c r="A7226" t="s">
        <v>6</v>
      </c>
      <c r="B7226" t="str">
        <f>"07/12/2021 00:00"</f>
        <v>07/12/2021 00:00</v>
      </c>
      <c r="C7226">
        <v>152</v>
      </c>
      <c r="D7226" t="s">
        <v>7</v>
      </c>
      <c r="E7226" s="2" t="s">
        <v>12</v>
      </c>
      <c r="F7226">
        <f t="shared" si="112"/>
        <v>301.416</v>
      </c>
      <c r="G7226" t="s">
        <v>16</v>
      </c>
      <c r="H7226" t="s">
        <v>10</v>
      </c>
      <c r="J7226" t="str">
        <f>"07/13/2021 00:39"</f>
        <v>07/13/2021 00:39</v>
      </c>
    </row>
    <row r="7227" spans="1:10" x14ac:dyDescent="0.3">
      <c r="A7227" t="s">
        <v>6</v>
      </c>
      <c r="B7227" t="str">
        <f>"07/13/2021 00:00"</f>
        <v>07/13/2021 00:00</v>
      </c>
      <c r="C7227">
        <v>201</v>
      </c>
      <c r="D7227" t="s">
        <v>7</v>
      </c>
      <c r="E7227" s="2" t="s">
        <v>12</v>
      </c>
      <c r="F7227">
        <f t="shared" si="112"/>
        <v>398.58300000000003</v>
      </c>
      <c r="G7227" t="s">
        <v>16</v>
      </c>
      <c r="H7227" t="s">
        <v>10</v>
      </c>
      <c r="J7227" t="str">
        <f>"07/14/2021 00:39"</f>
        <v>07/14/2021 00:39</v>
      </c>
    </row>
    <row r="7228" spans="1:10" x14ac:dyDescent="0.3">
      <c r="A7228" t="s">
        <v>6</v>
      </c>
      <c r="B7228" t="str">
        <f>"07/14/2021 00:00"</f>
        <v>07/14/2021 00:00</v>
      </c>
      <c r="C7228">
        <v>224</v>
      </c>
      <c r="D7228" t="s">
        <v>7</v>
      </c>
      <c r="E7228" s="2" t="s">
        <v>12</v>
      </c>
      <c r="F7228">
        <f t="shared" si="112"/>
        <v>444.19200000000001</v>
      </c>
      <c r="G7228" t="s">
        <v>16</v>
      </c>
      <c r="H7228" t="s">
        <v>10</v>
      </c>
      <c r="J7228" t="str">
        <f>"07/15/2021 00:39"</f>
        <v>07/15/2021 00:39</v>
      </c>
    </row>
    <row r="7229" spans="1:10" x14ac:dyDescent="0.3">
      <c r="A7229" t="s">
        <v>6</v>
      </c>
      <c r="B7229" t="str">
        <f>"07/15/2021 00:00"</f>
        <v>07/15/2021 00:00</v>
      </c>
      <c r="C7229">
        <v>196</v>
      </c>
      <c r="D7229" t="s">
        <v>7</v>
      </c>
      <c r="E7229" s="2" t="s">
        <v>12</v>
      </c>
      <c r="F7229">
        <f t="shared" si="112"/>
        <v>388.66800000000001</v>
      </c>
      <c r="G7229" t="s">
        <v>16</v>
      </c>
      <c r="H7229" t="s">
        <v>10</v>
      </c>
      <c r="J7229" t="str">
        <f>"07/16/2021 00:39"</f>
        <v>07/16/2021 00:39</v>
      </c>
    </row>
    <row r="7230" spans="1:10" x14ac:dyDescent="0.3">
      <c r="A7230" t="s">
        <v>6</v>
      </c>
      <c r="B7230" t="str">
        <f>"07/16/2021 00:00"</f>
        <v>07/16/2021 00:00</v>
      </c>
      <c r="C7230">
        <v>150</v>
      </c>
      <c r="D7230" t="s">
        <v>7</v>
      </c>
      <c r="E7230" s="2" t="s">
        <v>12</v>
      </c>
      <c r="F7230">
        <f t="shared" si="112"/>
        <v>297.45</v>
      </c>
      <c r="G7230" t="s">
        <v>16</v>
      </c>
      <c r="H7230" t="s">
        <v>10</v>
      </c>
      <c r="J7230" t="str">
        <f>"07/17/2021 00:39"</f>
        <v>07/17/2021 00:39</v>
      </c>
    </row>
    <row r="7231" spans="1:10" x14ac:dyDescent="0.3">
      <c r="A7231" t="s">
        <v>6</v>
      </c>
      <c r="B7231" t="str">
        <f>"07/17/2021 00:00"</f>
        <v>07/17/2021 00:00</v>
      </c>
      <c r="C7231">
        <v>150</v>
      </c>
      <c r="D7231" t="s">
        <v>7</v>
      </c>
      <c r="E7231" s="2" t="s">
        <v>12</v>
      </c>
      <c r="F7231">
        <f t="shared" si="112"/>
        <v>297.45</v>
      </c>
      <c r="G7231" t="s">
        <v>16</v>
      </c>
      <c r="H7231" t="s">
        <v>10</v>
      </c>
      <c r="J7231" t="str">
        <f>"07/18/2021 00:39"</f>
        <v>07/18/2021 00:39</v>
      </c>
    </row>
    <row r="7232" spans="1:10" x14ac:dyDescent="0.3">
      <c r="A7232" t="s">
        <v>6</v>
      </c>
      <c r="B7232" t="str">
        <f>"07/18/2021 00:00"</f>
        <v>07/18/2021 00:00</v>
      </c>
      <c r="C7232">
        <v>150</v>
      </c>
      <c r="D7232" t="s">
        <v>7</v>
      </c>
      <c r="E7232" s="2" t="s">
        <v>12</v>
      </c>
      <c r="F7232">
        <f t="shared" si="112"/>
        <v>297.45</v>
      </c>
      <c r="G7232" t="s">
        <v>16</v>
      </c>
      <c r="H7232" t="s">
        <v>10</v>
      </c>
      <c r="J7232" t="str">
        <f>"07/19/2021 00:39"</f>
        <v>07/19/2021 00:39</v>
      </c>
    </row>
    <row r="7233" spans="1:10" x14ac:dyDescent="0.3">
      <c r="A7233" t="s">
        <v>6</v>
      </c>
      <c r="B7233" t="str">
        <f>"07/19/2021 00:00"</f>
        <v>07/19/2021 00:00</v>
      </c>
      <c r="C7233">
        <v>150</v>
      </c>
      <c r="D7233" t="s">
        <v>7</v>
      </c>
      <c r="E7233" s="2" t="s">
        <v>12</v>
      </c>
      <c r="F7233">
        <f t="shared" si="112"/>
        <v>297.45</v>
      </c>
      <c r="G7233" t="s">
        <v>16</v>
      </c>
      <c r="H7233" t="s">
        <v>10</v>
      </c>
      <c r="J7233" t="str">
        <f>"07/20/2021 00:39"</f>
        <v>07/20/2021 00:39</v>
      </c>
    </row>
    <row r="7234" spans="1:10" x14ac:dyDescent="0.3">
      <c r="A7234" t="s">
        <v>6</v>
      </c>
      <c r="B7234" t="str">
        <f>"07/20/2021 00:00"</f>
        <v>07/20/2021 00:00</v>
      </c>
      <c r="C7234">
        <v>177</v>
      </c>
      <c r="D7234" t="s">
        <v>7</v>
      </c>
      <c r="E7234" s="2" t="s">
        <v>12</v>
      </c>
      <c r="F7234">
        <f t="shared" si="112"/>
        <v>350.99100000000004</v>
      </c>
      <c r="G7234" t="s">
        <v>16</v>
      </c>
      <c r="H7234" t="s">
        <v>10</v>
      </c>
      <c r="J7234" t="str">
        <f>"07/21/2021 00:39"</f>
        <v>07/21/2021 00:39</v>
      </c>
    </row>
    <row r="7235" spans="1:10" x14ac:dyDescent="0.3">
      <c r="A7235" t="s">
        <v>6</v>
      </c>
      <c r="B7235" t="str">
        <f>"07/21/2021 00:00"</f>
        <v>07/21/2021 00:00</v>
      </c>
      <c r="C7235">
        <v>233</v>
      </c>
      <c r="D7235" t="s">
        <v>7</v>
      </c>
      <c r="E7235" s="2" t="s">
        <v>12</v>
      </c>
      <c r="F7235">
        <f t="shared" si="112"/>
        <v>462.03900000000004</v>
      </c>
      <c r="G7235" t="s">
        <v>16</v>
      </c>
      <c r="H7235" t="s">
        <v>10</v>
      </c>
      <c r="J7235" t="str">
        <f>"07/21/2021 23:39"</f>
        <v>07/21/2021 23:39</v>
      </c>
    </row>
    <row r="7236" spans="1:10" x14ac:dyDescent="0.3">
      <c r="A7236" t="s">
        <v>6</v>
      </c>
      <c r="B7236" t="str">
        <f>"07/22/2021 00:00"</f>
        <v>07/22/2021 00:00</v>
      </c>
      <c r="C7236">
        <v>249</v>
      </c>
      <c r="D7236" t="s">
        <v>7</v>
      </c>
      <c r="E7236" s="2" t="s">
        <v>12</v>
      </c>
      <c r="F7236">
        <f t="shared" ref="F7236:F7299" si="113">C7236*1.983</f>
        <v>493.767</v>
      </c>
      <c r="G7236" t="s">
        <v>16</v>
      </c>
      <c r="H7236" t="s">
        <v>10</v>
      </c>
      <c r="J7236" t="str">
        <f>"07/23/2021 08:15"</f>
        <v>07/23/2021 08:15</v>
      </c>
    </row>
    <row r="7237" spans="1:10" x14ac:dyDescent="0.3">
      <c r="A7237" t="s">
        <v>6</v>
      </c>
      <c r="B7237" t="str">
        <f>"07/23/2021 00:00"</f>
        <v>07/23/2021 00:00</v>
      </c>
      <c r="C7237">
        <v>220</v>
      </c>
      <c r="D7237" t="s">
        <v>7</v>
      </c>
      <c r="E7237" s="2" t="s">
        <v>12</v>
      </c>
      <c r="F7237">
        <f t="shared" si="113"/>
        <v>436.26000000000005</v>
      </c>
      <c r="G7237" t="s">
        <v>16</v>
      </c>
      <c r="H7237" t="s">
        <v>10</v>
      </c>
      <c r="J7237" t="str">
        <f>"07/24/2021 00:40"</f>
        <v>07/24/2021 00:40</v>
      </c>
    </row>
    <row r="7238" spans="1:10" x14ac:dyDescent="0.3">
      <c r="A7238" t="s">
        <v>6</v>
      </c>
      <c r="B7238" t="str">
        <f>"07/24/2021 00:00"</f>
        <v>07/24/2021 00:00</v>
      </c>
      <c r="C7238">
        <v>91.2</v>
      </c>
      <c r="D7238" t="s">
        <v>7</v>
      </c>
      <c r="E7238" s="2" t="s">
        <v>12</v>
      </c>
      <c r="F7238">
        <f t="shared" si="113"/>
        <v>180.84960000000001</v>
      </c>
      <c r="G7238" t="s">
        <v>16</v>
      </c>
      <c r="H7238" t="s">
        <v>10</v>
      </c>
      <c r="J7238" t="str">
        <f>"07/25/2021 00:39"</f>
        <v>07/25/2021 00:39</v>
      </c>
    </row>
    <row r="7239" spans="1:10" x14ac:dyDescent="0.3">
      <c r="A7239" t="s">
        <v>6</v>
      </c>
      <c r="B7239" t="str">
        <f>"07/25/2021 00:00"</f>
        <v>07/25/2021 00:00</v>
      </c>
      <c r="C7239">
        <v>0.05</v>
      </c>
      <c r="D7239" t="s">
        <v>7</v>
      </c>
      <c r="E7239" s="2" t="s">
        <v>12</v>
      </c>
      <c r="F7239">
        <f t="shared" si="113"/>
        <v>9.9150000000000016E-2</v>
      </c>
      <c r="G7239" t="s">
        <v>16</v>
      </c>
      <c r="H7239" t="s">
        <v>10</v>
      </c>
      <c r="J7239" t="str">
        <f>"07/26/2021 00:39"</f>
        <v>07/26/2021 00:39</v>
      </c>
    </row>
    <row r="7240" spans="1:10" x14ac:dyDescent="0.3">
      <c r="A7240" t="s">
        <v>6</v>
      </c>
      <c r="B7240" t="str">
        <f>"07/26/2021 00:00"</f>
        <v>07/26/2021 00:00</v>
      </c>
      <c r="C7240">
        <v>59.3</v>
      </c>
      <c r="D7240" t="s">
        <v>7</v>
      </c>
      <c r="E7240" s="2" t="s">
        <v>12</v>
      </c>
      <c r="F7240">
        <f t="shared" si="113"/>
        <v>117.5919</v>
      </c>
      <c r="G7240" t="s">
        <v>16</v>
      </c>
      <c r="H7240" t="s">
        <v>10</v>
      </c>
      <c r="J7240" t="str">
        <f>"07/27/2021 00:39"</f>
        <v>07/27/2021 00:39</v>
      </c>
    </row>
    <row r="7241" spans="1:10" x14ac:dyDescent="0.3">
      <c r="A7241" t="s">
        <v>6</v>
      </c>
      <c r="B7241" t="str">
        <f>"07/27/2021 00:00"</f>
        <v>07/27/2021 00:00</v>
      </c>
      <c r="C7241">
        <v>99.3</v>
      </c>
      <c r="D7241" t="s">
        <v>7</v>
      </c>
      <c r="E7241" s="2" t="s">
        <v>12</v>
      </c>
      <c r="F7241">
        <f t="shared" si="113"/>
        <v>196.9119</v>
      </c>
      <c r="G7241" t="s">
        <v>16</v>
      </c>
      <c r="H7241" t="s">
        <v>10</v>
      </c>
      <c r="J7241" t="str">
        <f>"07/28/2021 00:39"</f>
        <v>07/28/2021 00:39</v>
      </c>
    </row>
    <row r="7242" spans="1:10" x14ac:dyDescent="0.3">
      <c r="A7242" t="s">
        <v>6</v>
      </c>
      <c r="B7242" t="str">
        <f>"07/28/2021 00:00"</f>
        <v>07/28/2021 00:00</v>
      </c>
      <c r="C7242">
        <v>99.4</v>
      </c>
      <c r="D7242" t="s">
        <v>7</v>
      </c>
      <c r="E7242" s="2" t="s">
        <v>12</v>
      </c>
      <c r="F7242">
        <f t="shared" si="113"/>
        <v>197.11020000000002</v>
      </c>
      <c r="G7242" t="s">
        <v>16</v>
      </c>
      <c r="H7242" t="s">
        <v>10</v>
      </c>
      <c r="J7242" t="str">
        <f>"07/29/2021 00:39"</f>
        <v>07/29/2021 00:39</v>
      </c>
    </row>
    <row r="7243" spans="1:10" x14ac:dyDescent="0.3">
      <c r="A7243" t="s">
        <v>6</v>
      </c>
      <c r="B7243" t="str">
        <f>"07/29/2021 00:00"</f>
        <v>07/29/2021 00:00</v>
      </c>
      <c r="C7243">
        <v>71.599999999999994</v>
      </c>
      <c r="D7243" t="s">
        <v>7</v>
      </c>
      <c r="E7243" s="2" t="s">
        <v>12</v>
      </c>
      <c r="F7243">
        <f t="shared" si="113"/>
        <v>141.9828</v>
      </c>
      <c r="G7243" t="s">
        <v>16</v>
      </c>
      <c r="H7243" t="s">
        <v>10</v>
      </c>
      <c r="J7243" t="str">
        <f>"07/30/2021 00:39"</f>
        <v>07/30/2021 00:39</v>
      </c>
    </row>
    <row r="7244" spans="1:10" x14ac:dyDescent="0.3">
      <c r="A7244" t="s">
        <v>6</v>
      </c>
      <c r="B7244" t="str">
        <f>"07/30/2021 00:00"</f>
        <v>07/30/2021 00:00</v>
      </c>
      <c r="C7244">
        <v>22.1</v>
      </c>
      <c r="D7244" t="s">
        <v>7</v>
      </c>
      <c r="E7244" s="2" t="s">
        <v>12</v>
      </c>
      <c r="F7244">
        <f t="shared" si="113"/>
        <v>43.824300000000008</v>
      </c>
      <c r="G7244" t="s">
        <v>16</v>
      </c>
      <c r="H7244" t="s">
        <v>10</v>
      </c>
      <c r="J7244" t="str">
        <f>"07/31/2021 00:39"</f>
        <v>07/31/2021 00:39</v>
      </c>
    </row>
    <row r="7245" spans="1:10" x14ac:dyDescent="0.3">
      <c r="A7245" t="s">
        <v>6</v>
      </c>
      <c r="B7245" t="str">
        <f>"07/31/2021 00:00"</f>
        <v>07/31/2021 00:00</v>
      </c>
      <c r="C7245">
        <v>0.05</v>
      </c>
      <c r="D7245" t="s">
        <v>7</v>
      </c>
      <c r="E7245" s="2" t="s">
        <v>12</v>
      </c>
      <c r="F7245">
        <f t="shared" si="113"/>
        <v>9.9150000000000016E-2</v>
      </c>
      <c r="G7245" t="s">
        <v>16</v>
      </c>
      <c r="H7245" t="s">
        <v>10</v>
      </c>
      <c r="J7245" t="str">
        <f>"08/01/2021 00:39"</f>
        <v>08/01/2021 00:39</v>
      </c>
    </row>
    <row r="7246" spans="1:10" x14ac:dyDescent="0.3">
      <c r="A7246" t="s">
        <v>6</v>
      </c>
      <c r="B7246" t="str">
        <f>"08/01/2021 00:00"</f>
        <v>08/01/2021 00:00</v>
      </c>
      <c r="C7246">
        <v>2.6599999999999999E-2</v>
      </c>
      <c r="D7246" t="s">
        <v>7</v>
      </c>
      <c r="E7246" s="2" t="s">
        <v>12</v>
      </c>
      <c r="F7246">
        <f t="shared" si="113"/>
        <v>5.2747799999999997E-2</v>
      </c>
      <c r="G7246" t="s">
        <v>16</v>
      </c>
      <c r="H7246" t="s">
        <v>10</v>
      </c>
      <c r="J7246" t="str">
        <f>"08/02/2021 00:39"</f>
        <v>08/02/2021 00:39</v>
      </c>
    </row>
    <row r="7247" spans="1:10" x14ac:dyDescent="0.3">
      <c r="A7247" t="s">
        <v>6</v>
      </c>
      <c r="B7247" t="str">
        <f>"08/02/2021 00:00"</f>
        <v>08/02/2021 00:00</v>
      </c>
      <c r="C7247">
        <v>1.61E-2</v>
      </c>
      <c r="D7247" t="s">
        <v>7</v>
      </c>
      <c r="E7247" s="2" t="s">
        <v>12</v>
      </c>
      <c r="F7247">
        <f t="shared" si="113"/>
        <v>3.1926299999999998E-2</v>
      </c>
      <c r="G7247" t="s">
        <v>16</v>
      </c>
      <c r="H7247" t="s">
        <v>10</v>
      </c>
      <c r="J7247" t="str">
        <f>"08/03/2021 00:39"</f>
        <v>08/03/2021 00:39</v>
      </c>
    </row>
    <row r="7248" spans="1:10" x14ac:dyDescent="0.3">
      <c r="A7248" t="s">
        <v>6</v>
      </c>
      <c r="B7248" t="str">
        <f>"08/03/2021 00:00"</f>
        <v>08/03/2021 00:00</v>
      </c>
      <c r="C7248">
        <v>3.1800000000000002E-2</v>
      </c>
      <c r="D7248" t="s">
        <v>7</v>
      </c>
      <c r="E7248" s="2" t="s">
        <v>12</v>
      </c>
      <c r="F7248">
        <f t="shared" si="113"/>
        <v>6.3059400000000002E-2</v>
      </c>
      <c r="G7248" t="s">
        <v>16</v>
      </c>
      <c r="H7248" t="s">
        <v>10</v>
      </c>
      <c r="J7248" t="str">
        <f>"08/04/2021 00:39"</f>
        <v>08/04/2021 00:39</v>
      </c>
    </row>
    <row r="7249" spans="1:10" x14ac:dyDescent="0.3">
      <c r="A7249" t="s">
        <v>6</v>
      </c>
      <c r="B7249" t="str">
        <f>"08/04/2021 00:00"</f>
        <v>08/04/2021 00:00</v>
      </c>
      <c r="C7249">
        <v>0</v>
      </c>
      <c r="D7249" t="s">
        <v>7</v>
      </c>
      <c r="E7249" s="2" t="s">
        <v>12</v>
      </c>
      <c r="F7249">
        <f t="shared" si="113"/>
        <v>0</v>
      </c>
      <c r="G7249" t="s">
        <v>16</v>
      </c>
      <c r="H7249" t="s">
        <v>10</v>
      </c>
      <c r="J7249" t="str">
        <f>"08/05/2021 00:39"</f>
        <v>08/05/2021 00:39</v>
      </c>
    </row>
    <row r="7250" spans="1:10" x14ac:dyDescent="0.3">
      <c r="A7250" t="s">
        <v>6</v>
      </c>
      <c r="B7250" t="str">
        <f>"08/05/2021 00:00"</f>
        <v>08/05/2021 00:00</v>
      </c>
      <c r="C7250">
        <v>0</v>
      </c>
      <c r="D7250" t="s">
        <v>7</v>
      </c>
      <c r="E7250" s="2" t="s">
        <v>12</v>
      </c>
      <c r="F7250">
        <f t="shared" si="113"/>
        <v>0</v>
      </c>
      <c r="G7250" t="s">
        <v>16</v>
      </c>
      <c r="H7250" t="s">
        <v>10</v>
      </c>
      <c r="J7250" t="str">
        <f>"08/06/2021 00:39"</f>
        <v>08/06/2021 00:39</v>
      </c>
    </row>
    <row r="7251" spans="1:10" x14ac:dyDescent="0.3">
      <c r="A7251" t="s">
        <v>6</v>
      </c>
      <c r="B7251" t="str">
        <f>"08/06/2021 00:00"</f>
        <v>08/06/2021 00:00</v>
      </c>
      <c r="C7251">
        <v>33.200000000000003</v>
      </c>
      <c r="D7251" t="s">
        <v>7</v>
      </c>
      <c r="E7251" s="2" t="s">
        <v>12</v>
      </c>
      <c r="F7251">
        <f t="shared" si="113"/>
        <v>65.835600000000014</v>
      </c>
      <c r="G7251" t="s">
        <v>16</v>
      </c>
      <c r="H7251" t="s">
        <v>10</v>
      </c>
      <c r="J7251" t="str">
        <f>"08/07/2021 00:39"</f>
        <v>08/07/2021 00:39</v>
      </c>
    </row>
    <row r="7252" spans="1:10" x14ac:dyDescent="0.3">
      <c r="A7252" t="s">
        <v>6</v>
      </c>
      <c r="B7252" t="str">
        <f>"08/07/2021 00:00"</f>
        <v>08/07/2021 00:00</v>
      </c>
      <c r="C7252">
        <v>79.2</v>
      </c>
      <c r="D7252" t="s">
        <v>7</v>
      </c>
      <c r="E7252" s="2" t="s">
        <v>12</v>
      </c>
      <c r="F7252">
        <f t="shared" si="113"/>
        <v>157.05360000000002</v>
      </c>
      <c r="G7252" t="s">
        <v>16</v>
      </c>
      <c r="H7252" t="s">
        <v>10</v>
      </c>
      <c r="J7252" t="str">
        <f>"08/08/2021 00:39"</f>
        <v>08/08/2021 00:39</v>
      </c>
    </row>
    <row r="7253" spans="1:10" x14ac:dyDescent="0.3">
      <c r="A7253" t="s">
        <v>6</v>
      </c>
      <c r="B7253" t="str">
        <f>"08/08/2021 00:00"</f>
        <v>08/08/2021 00:00</v>
      </c>
      <c r="C7253">
        <v>100</v>
      </c>
      <c r="D7253" t="s">
        <v>7</v>
      </c>
      <c r="E7253" s="2" t="s">
        <v>12</v>
      </c>
      <c r="F7253">
        <f t="shared" si="113"/>
        <v>198.3</v>
      </c>
      <c r="G7253" t="s">
        <v>16</v>
      </c>
      <c r="H7253" t="s">
        <v>10</v>
      </c>
      <c r="J7253" t="str">
        <f>"08/09/2021 00:39"</f>
        <v>08/09/2021 00:39</v>
      </c>
    </row>
    <row r="7254" spans="1:10" x14ac:dyDescent="0.3">
      <c r="A7254" t="s">
        <v>6</v>
      </c>
      <c r="B7254" t="str">
        <f>"08/09/2021 00:00"</f>
        <v>08/09/2021 00:00</v>
      </c>
      <c r="C7254">
        <v>140</v>
      </c>
      <c r="D7254" t="s">
        <v>7</v>
      </c>
      <c r="E7254" s="2" t="s">
        <v>12</v>
      </c>
      <c r="F7254">
        <f t="shared" si="113"/>
        <v>277.62</v>
      </c>
      <c r="G7254" t="s">
        <v>16</v>
      </c>
      <c r="H7254" t="s">
        <v>10</v>
      </c>
      <c r="J7254" t="str">
        <f>"08/10/2021 00:39"</f>
        <v>08/10/2021 00:39</v>
      </c>
    </row>
    <row r="7255" spans="1:10" x14ac:dyDescent="0.3">
      <c r="A7255" t="s">
        <v>6</v>
      </c>
      <c r="B7255" t="str">
        <f>"08/10/2021 00:00"</f>
        <v>08/10/2021 00:00</v>
      </c>
      <c r="C7255">
        <v>204</v>
      </c>
      <c r="D7255" t="s">
        <v>7</v>
      </c>
      <c r="E7255" s="2" t="s">
        <v>12</v>
      </c>
      <c r="F7255">
        <f t="shared" si="113"/>
        <v>404.53200000000004</v>
      </c>
      <c r="G7255" t="s">
        <v>16</v>
      </c>
      <c r="H7255" t="s">
        <v>10</v>
      </c>
      <c r="J7255" t="str">
        <f>"08/11/2021 00:39"</f>
        <v>08/11/2021 00:39</v>
      </c>
    </row>
    <row r="7256" spans="1:10" x14ac:dyDescent="0.3">
      <c r="A7256" t="s">
        <v>6</v>
      </c>
      <c r="B7256" t="str">
        <f>"08/11/2021 00:00"</f>
        <v>08/11/2021 00:00</v>
      </c>
      <c r="C7256">
        <v>253</v>
      </c>
      <c r="D7256" t="s">
        <v>7</v>
      </c>
      <c r="E7256" s="2" t="s">
        <v>12</v>
      </c>
      <c r="F7256">
        <f t="shared" si="113"/>
        <v>501.69900000000001</v>
      </c>
      <c r="G7256" t="s">
        <v>16</v>
      </c>
      <c r="H7256" t="s">
        <v>10</v>
      </c>
      <c r="J7256" t="str">
        <f>"08/12/2021 00:39"</f>
        <v>08/12/2021 00:39</v>
      </c>
    </row>
    <row r="7257" spans="1:10" x14ac:dyDescent="0.3">
      <c r="A7257" t="s">
        <v>6</v>
      </c>
      <c r="B7257" t="str">
        <f>"08/12/2021 00:00"</f>
        <v>08/12/2021 00:00</v>
      </c>
      <c r="C7257">
        <v>274</v>
      </c>
      <c r="D7257" t="s">
        <v>7</v>
      </c>
      <c r="E7257" s="2" t="s">
        <v>12</v>
      </c>
      <c r="F7257">
        <f t="shared" si="113"/>
        <v>543.34199999999998</v>
      </c>
      <c r="G7257" t="s">
        <v>16</v>
      </c>
      <c r="H7257" t="s">
        <v>10</v>
      </c>
      <c r="J7257" t="str">
        <f>"08/13/2021 00:39"</f>
        <v>08/13/2021 00:39</v>
      </c>
    </row>
    <row r="7258" spans="1:10" x14ac:dyDescent="0.3">
      <c r="A7258" t="s">
        <v>6</v>
      </c>
      <c r="B7258" t="str">
        <f>"08/13/2021 00:00"</f>
        <v>08/13/2021 00:00</v>
      </c>
      <c r="C7258">
        <v>274</v>
      </c>
      <c r="D7258" t="s">
        <v>7</v>
      </c>
      <c r="E7258" s="2" t="s">
        <v>12</v>
      </c>
      <c r="F7258">
        <f t="shared" si="113"/>
        <v>543.34199999999998</v>
      </c>
      <c r="G7258" t="s">
        <v>16</v>
      </c>
      <c r="H7258" t="s">
        <v>10</v>
      </c>
      <c r="J7258" t="str">
        <f>"08/14/2021 00:39"</f>
        <v>08/14/2021 00:39</v>
      </c>
    </row>
    <row r="7259" spans="1:10" x14ac:dyDescent="0.3">
      <c r="A7259" t="s">
        <v>6</v>
      </c>
      <c r="B7259" t="str">
        <f>"08/14/2021 00:00"</f>
        <v>08/14/2021 00:00</v>
      </c>
      <c r="C7259">
        <v>274</v>
      </c>
      <c r="D7259" t="s">
        <v>7</v>
      </c>
      <c r="E7259" s="2" t="s">
        <v>12</v>
      </c>
      <c r="F7259">
        <f t="shared" si="113"/>
        <v>543.34199999999998</v>
      </c>
      <c r="G7259" t="s">
        <v>16</v>
      </c>
      <c r="H7259" t="s">
        <v>10</v>
      </c>
      <c r="J7259" t="str">
        <f>"08/15/2021 00:39"</f>
        <v>08/15/2021 00:39</v>
      </c>
    </row>
    <row r="7260" spans="1:10" x14ac:dyDescent="0.3">
      <c r="A7260" t="s">
        <v>6</v>
      </c>
      <c r="B7260" t="str">
        <f>"08/15/2021 00:00"</f>
        <v>08/15/2021 00:00</v>
      </c>
      <c r="C7260">
        <v>325</v>
      </c>
      <c r="D7260" t="s">
        <v>7</v>
      </c>
      <c r="E7260" s="2" t="s">
        <v>12</v>
      </c>
      <c r="F7260">
        <f t="shared" si="113"/>
        <v>644.47500000000002</v>
      </c>
      <c r="G7260" t="s">
        <v>16</v>
      </c>
      <c r="H7260" t="s">
        <v>10</v>
      </c>
      <c r="J7260" t="str">
        <f>"08/16/2021 00:39"</f>
        <v>08/16/2021 00:39</v>
      </c>
    </row>
    <row r="7261" spans="1:10" x14ac:dyDescent="0.3">
      <c r="A7261" t="s">
        <v>6</v>
      </c>
      <c r="B7261" t="str">
        <f>"08/16/2021 00:00"</f>
        <v>08/16/2021 00:00</v>
      </c>
      <c r="C7261">
        <v>356</v>
      </c>
      <c r="D7261" t="s">
        <v>7</v>
      </c>
      <c r="E7261" s="2" t="s">
        <v>12</v>
      </c>
      <c r="F7261">
        <f t="shared" si="113"/>
        <v>705.94799999999998</v>
      </c>
      <c r="G7261" t="s">
        <v>16</v>
      </c>
      <c r="H7261" t="s">
        <v>10</v>
      </c>
      <c r="J7261" t="str">
        <f>"08/17/2021 00:39"</f>
        <v>08/17/2021 00:39</v>
      </c>
    </row>
    <row r="7262" spans="1:10" x14ac:dyDescent="0.3">
      <c r="A7262" t="s">
        <v>6</v>
      </c>
      <c r="B7262" t="str">
        <f>"08/17/2021 00:00"</f>
        <v>08/17/2021 00:00</v>
      </c>
      <c r="C7262">
        <v>355</v>
      </c>
      <c r="D7262" t="s">
        <v>7</v>
      </c>
      <c r="E7262" s="2" t="s">
        <v>12</v>
      </c>
      <c r="F7262">
        <f t="shared" si="113"/>
        <v>703.96500000000003</v>
      </c>
      <c r="G7262" t="s">
        <v>16</v>
      </c>
      <c r="H7262" t="s">
        <v>10</v>
      </c>
      <c r="J7262" t="str">
        <f>"08/18/2021 00:39"</f>
        <v>08/18/2021 00:39</v>
      </c>
    </row>
    <row r="7263" spans="1:10" x14ac:dyDescent="0.3">
      <c r="A7263" t="s">
        <v>6</v>
      </c>
      <c r="B7263" t="str">
        <f>"08/18/2021 00:00"</f>
        <v>08/18/2021 00:00</v>
      </c>
      <c r="C7263">
        <v>356</v>
      </c>
      <c r="D7263" t="s">
        <v>7</v>
      </c>
      <c r="E7263" s="2" t="s">
        <v>12</v>
      </c>
      <c r="F7263">
        <f t="shared" si="113"/>
        <v>705.94799999999998</v>
      </c>
      <c r="G7263" t="s">
        <v>16</v>
      </c>
      <c r="H7263" t="s">
        <v>10</v>
      </c>
      <c r="J7263" t="str">
        <f>"08/19/2021 00:39"</f>
        <v>08/19/2021 00:39</v>
      </c>
    </row>
    <row r="7264" spans="1:10" x14ac:dyDescent="0.3">
      <c r="A7264" t="s">
        <v>6</v>
      </c>
      <c r="B7264" t="str">
        <f>"08/19/2021 00:00"</f>
        <v>08/19/2021 00:00</v>
      </c>
      <c r="C7264">
        <v>415</v>
      </c>
      <c r="D7264" t="s">
        <v>7</v>
      </c>
      <c r="E7264" s="2" t="s">
        <v>12</v>
      </c>
      <c r="F7264">
        <f t="shared" si="113"/>
        <v>822.94500000000005</v>
      </c>
      <c r="G7264" t="s">
        <v>16</v>
      </c>
      <c r="H7264" t="s">
        <v>10</v>
      </c>
      <c r="J7264" t="str">
        <f>"08/20/2021 00:39"</f>
        <v>08/20/2021 00:39</v>
      </c>
    </row>
    <row r="7265" spans="1:10" x14ac:dyDescent="0.3">
      <c r="A7265" t="s">
        <v>6</v>
      </c>
      <c r="B7265" t="str">
        <f>"08/20/2021 00:00"</f>
        <v>08/20/2021 00:00</v>
      </c>
      <c r="C7265">
        <v>450</v>
      </c>
      <c r="D7265" t="s">
        <v>7</v>
      </c>
      <c r="E7265" s="2" t="s">
        <v>12</v>
      </c>
      <c r="F7265">
        <f t="shared" si="113"/>
        <v>892.35</v>
      </c>
      <c r="G7265" t="s">
        <v>16</v>
      </c>
      <c r="H7265" t="s">
        <v>10</v>
      </c>
      <c r="J7265" t="str">
        <f>"08/21/2021 00:39"</f>
        <v>08/21/2021 00:39</v>
      </c>
    </row>
    <row r="7266" spans="1:10" x14ac:dyDescent="0.3">
      <c r="A7266" t="s">
        <v>6</v>
      </c>
      <c r="B7266" t="str">
        <f>"08/21/2021 00:00"</f>
        <v>08/21/2021 00:00</v>
      </c>
      <c r="C7266">
        <v>420</v>
      </c>
      <c r="D7266" t="s">
        <v>7</v>
      </c>
      <c r="E7266" s="2" t="s">
        <v>12</v>
      </c>
      <c r="F7266">
        <f t="shared" si="113"/>
        <v>832.86</v>
      </c>
      <c r="G7266" t="s">
        <v>16</v>
      </c>
      <c r="H7266" t="s">
        <v>10</v>
      </c>
      <c r="J7266" t="str">
        <f>"08/22/2021 00:39"</f>
        <v>08/22/2021 00:39</v>
      </c>
    </row>
    <row r="7267" spans="1:10" x14ac:dyDescent="0.3">
      <c r="A7267" t="s">
        <v>6</v>
      </c>
      <c r="B7267" t="str">
        <f>"08/22/2021 00:00"</f>
        <v>08/22/2021 00:00</v>
      </c>
      <c r="C7267">
        <v>399</v>
      </c>
      <c r="D7267" t="s">
        <v>7</v>
      </c>
      <c r="E7267" s="2" t="s">
        <v>12</v>
      </c>
      <c r="F7267">
        <f t="shared" si="113"/>
        <v>791.21699999999998</v>
      </c>
      <c r="G7267" t="s">
        <v>16</v>
      </c>
      <c r="H7267" t="s">
        <v>10</v>
      </c>
      <c r="J7267" t="str">
        <f>"08/23/2021 00:39"</f>
        <v>08/23/2021 00:39</v>
      </c>
    </row>
    <row r="7268" spans="1:10" x14ac:dyDescent="0.3">
      <c r="A7268" t="s">
        <v>6</v>
      </c>
      <c r="B7268" t="str">
        <f>"08/23/2021 00:00"</f>
        <v>08/23/2021 00:00</v>
      </c>
      <c r="C7268">
        <v>398</v>
      </c>
      <c r="D7268" t="s">
        <v>7</v>
      </c>
      <c r="E7268" s="2" t="s">
        <v>12</v>
      </c>
      <c r="F7268">
        <f t="shared" si="113"/>
        <v>789.23400000000004</v>
      </c>
      <c r="G7268" t="s">
        <v>16</v>
      </c>
      <c r="H7268" t="s">
        <v>10</v>
      </c>
      <c r="J7268" t="str">
        <f>"08/24/2021 00:40"</f>
        <v>08/24/2021 00:40</v>
      </c>
    </row>
    <row r="7269" spans="1:10" x14ac:dyDescent="0.3">
      <c r="A7269" t="s">
        <v>6</v>
      </c>
      <c r="B7269" t="str">
        <f>"08/24/2021 00:00"</f>
        <v>08/24/2021 00:00</v>
      </c>
      <c r="C7269">
        <v>430</v>
      </c>
      <c r="D7269" t="s">
        <v>7</v>
      </c>
      <c r="E7269" s="2" t="s">
        <v>12</v>
      </c>
      <c r="F7269">
        <f t="shared" si="113"/>
        <v>852.69</v>
      </c>
      <c r="G7269" t="s">
        <v>16</v>
      </c>
      <c r="H7269" t="s">
        <v>10</v>
      </c>
      <c r="J7269" t="str">
        <f>"08/25/2021 00:39"</f>
        <v>08/25/2021 00:39</v>
      </c>
    </row>
    <row r="7270" spans="1:10" x14ac:dyDescent="0.3">
      <c r="A7270" t="s">
        <v>6</v>
      </c>
      <c r="B7270" t="str">
        <f>"08/25/2021 00:00"</f>
        <v>08/25/2021 00:00</v>
      </c>
      <c r="C7270">
        <v>451</v>
      </c>
      <c r="D7270" t="s">
        <v>7</v>
      </c>
      <c r="E7270" s="2" t="s">
        <v>12</v>
      </c>
      <c r="F7270">
        <f t="shared" si="113"/>
        <v>894.33300000000008</v>
      </c>
      <c r="G7270" t="s">
        <v>16</v>
      </c>
      <c r="H7270" t="s">
        <v>10</v>
      </c>
      <c r="J7270" t="str">
        <f>"08/26/2021 00:39"</f>
        <v>08/26/2021 00:39</v>
      </c>
    </row>
    <row r="7271" spans="1:10" x14ac:dyDescent="0.3">
      <c r="A7271" t="s">
        <v>6</v>
      </c>
      <c r="B7271" t="str">
        <f>"08/26/2021 00:00"</f>
        <v>08/26/2021 00:00</v>
      </c>
      <c r="C7271">
        <v>451</v>
      </c>
      <c r="D7271" t="s">
        <v>7</v>
      </c>
      <c r="E7271" s="2" t="s">
        <v>12</v>
      </c>
      <c r="F7271">
        <f t="shared" si="113"/>
        <v>894.33300000000008</v>
      </c>
      <c r="G7271" t="s">
        <v>16</v>
      </c>
      <c r="H7271" t="s">
        <v>10</v>
      </c>
      <c r="J7271" t="str">
        <f>"08/27/2021 00:39"</f>
        <v>08/27/2021 00:39</v>
      </c>
    </row>
    <row r="7272" spans="1:10" x14ac:dyDescent="0.3">
      <c r="A7272" t="s">
        <v>6</v>
      </c>
      <c r="B7272" t="str">
        <f>"08/27/2021 00:00"</f>
        <v>08/27/2021 00:00</v>
      </c>
      <c r="C7272">
        <v>451</v>
      </c>
      <c r="D7272" t="s">
        <v>7</v>
      </c>
      <c r="E7272" s="2" t="s">
        <v>12</v>
      </c>
      <c r="F7272">
        <f t="shared" si="113"/>
        <v>894.33300000000008</v>
      </c>
      <c r="G7272" t="s">
        <v>16</v>
      </c>
      <c r="H7272" t="s">
        <v>10</v>
      </c>
      <c r="J7272" t="str">
        <f>"08/28/2021 00:39"</f>
        <v>08/28/2021 00:39</v>
      </c>
    </row>
    <row r="7273" spans="1:10" x14ac:dyDescent="0.3">
      <c r="A7273" t="s">
        <v>6</v>
      </c>
      <c r="B7273" t="str">
        <f>"08/28/2021 00:00"</f>
        <v>08/28/2021 00:00</v>
      </c>
      <c r="C7273">
        <v>451</v>
      </c>
      <c r="D7273" t="s">
        <v>7</v>
      </c>
      <c r="E7273" s="2" t="s">
        <v>12</v>
      </c>
      <c r="F7273">
        <f t="shared" si="113"/>
        <v>894.33300000000008</v>
      </c>
      <c r="G7273" t="s">
        <v>16</v>
      </c>
      <c r="H7273" t="s">
        <v>10</v>
      </c>
      <c r="J7273" t="str">
        <f>"08/29/2021 00:39"</f>
        <v>08/29/2021 00:39</v>
      </c>
    </row>
    <row r="7274" spans="1:10" x14ac:dyDescent="0.3">
      <c r="A7274" t="s">
        <v>6</v>
      </c>
      <c r="B7274" t="str">
        <f>"08/29/2021 00:00"</f>
        <v>08/29/2021 00:00</v>
      </c>
      <c r="C7274">
        <v>451</v>
      </c>
      <c r="D7274" t="s">
        <v>7</v>
      </c>
      <c r="E7274" s="2" t="s">
        <v>12</v>
      </c>
      <c r="F7274">
        <f t="shared" si="113"/>
        <v>894.33300000000008</v>
      </c>
      <c r="G7274" t="s">
        <v>16</v>
      </c>
      <c r="H7274" t="s">
        <v>10</v>
      </c>
      <c r="J7274" t="str">
        <f>"08/30/2021 00:39"</f>
        <v>08/30/2021 00:39</v>
      </c>
    </row>
    <row r="7275" spans="1:10" x14ac:dyDescent="0.3">
      <c r="A7275" t="s">
        <v>6</v>
      </c>
      <c r="B7275" t="str">
        <f>"08/30/2021 00:00"</f>
        <v>08/30/2021 00:00</v>
      </c>
      <c r="C7275">
        <v>451</v>
      </c>
      <c r="D7275" t="s">
        <v>7</v>
      </c>
      <c r="E7275" s="2" t="s">
        <v>12</v>
      </c>
      <c r="F7275">
        <f t="shared" si="113"/>
        <v>894.33300000000008</v>
      </c>
      <c r="G7275" t="s">
        <v>16</v>
      </c>
      <c r="H7275" t="s">
        <v>10</v>
      </c>
      <c r="J7275" t="str">
        <f>"08/31/2021 00:39"</f>
        <v>08/31/2021 00:39</v>
      </c>
    </row>
    <row r="7276" spans="1:10" x14ac:dyDescent="0.3">
      <c r="A7276" t="s">
        <v>6</v>
      </c>
      <c r="B7276" t="str">
        <f>"08/31/2021 00:00"</f>
        <v>08/31/2021 00:00</v>
      </c>
      <c r="C7276">
        <v>451</v>
      </c>
      <c r="D7276" t="s">
        <v>7</v>
      </c>
      <c r="E7276" s="2" t="s">
        <v>12</v>
      </c>
      <c r="F7276">
        <f t="shared" si="113"/>
        <v>894.33300000000008</v>
      </c>
      <c r="G7276" t="s">
        <v>16</v>
      </c>
      <c r="H7276" t="s">
        <v>10</v>
      </c>
      <c r="J7276" t="str">
        <f>"09/01/2021 00:39"</f>
        <v>09/01/2021 00:39</v>
      </c>
    </row>
    <row r="7277" spans="1:10" x14ac:dyDescent="0.3">
      <c r="A7277" t="s">
        <v>6</v>
      </c>
      <c r="B7277" t="str">
        <f>"09/01/2021 00:00"</f>
        <v>09/01/2021 00:00</v>
      </c>
      <c r="C7277">
        <v>450</v>
      </c>
      <c r="D7277" t="s">
        <v>7</v>
      </c>
      <c r="E7277" s="2" t="s">
        <v>12</v>
      </c>
      <c r="F7277">
        <f t="shared" si="113"/>
        <v>892.35</v>
      </c>
      <c r="G7277" t="s">
        <v>16</v>
      </c>
      <c r="H7277" t="s">
        <v>10</v>
      </c>
      <c r="J7277" t="str">
        <f>"09/02/2021 00:39"</f>
        <v>09/02/2021 00:39</v>
      </c>
    </row>
    <row r="7278" spans="1:10" x14ac:dyDescent="0.3">
      <c r="A7278" t="s">
        <v>6</v>
      </c>
      <c r="B7278" t="str">
        <f>"09/02/2021 00:00"</f>
        <v>09/02/2021 00:00</v>
      </c>
      <c r="C7278">
        <v>417</v>
      </c>
      <c r="D7278" t="s">
        <v>7</v>
      </c>
      <c r="E7278" s="2" t="s">
        <v>12</v>
      </c>
      <c r="F7278">
        <f t="shared" si="113"/>
        <v>826.91100000000006</v>
      </c>
      <c r="G7278" t="s">
        <v>16</v>
      </c>
      <c r="H7278" t="s">
        <v>10</v>
      </c>
      <c r="J7278" t="str">
        <f>"09/03/2021 00:39"</f>
        <v>09/03/2021 00:39</v>
      </c>
    </row>
    <row r="7279" spans="1:10" x14ac:dyDescent="0.3">
      <c r="A7279" t="s">
        <v>6</v>
      </c>
      <c r="B7279" t="str">
        <f>"09/03/2021 00:00"</f>
        <v>09/03/2021 00:00</v>
      </c>
      <c r="C7279">
        <v>400</v>
      </c>
      <c r="D7279" t="s">
        <v>7</v>
      </c>
      <c r="E7279" s="2" t="s">
        <v>12</v>
      </c>
      <c r="F7279">
        <f t="shared" si="113"/>
        <v>793.2</v>
      </c>
      <c r="G7279" t="s">
        <v>16</v>
      </c>
      <c r="H7279" t="s">
        <v>10</v>
      </c>
      <c r="J7279" t="str">
        <f>"09/04/2021 00:39"</f>
        <v>09/04/2021 00:39</v>
      </c>
    </row>
    <row r="7280" spans="1:10" x14ac:dyDescent="0.3">
      <c r="A7280" t="s">
        <v>6</v>
      </c>
      <c r="B7280" t="str">
        <f>"09/04/2021 00:00"</f>
        <v>09/04/2021 00:00</v>
      </c>
      <c r="C7280">
        <v>368</v>
      </c>
      <c r="D7280" t="s">
        <v>7</v>
      </c>
      <c r="E7280" s="2" t="s">
        <v>12</v>
      </c>
      <c r="F7280">
        <f t="shared" si="113"/>
        <v>729.74400000000003</v>
      </c>
      <c r="G7280" t="s">
        <v>16</v>
      </c>
      <c r="H7280" t="s">
        <v>10</v>
      </c>
      <c r="J7280" t="str">
        <f>"09/05/2021 00:39"</f>
        <v>09/05/2021 00:39</v>
      </c>
    </row>
    <row r="7281" spans="1:10" x14ac:dyDescent="0.3">
      <c r="A7281" t="s">
        <v>6</v>
      </c>
      <c r="B7281" t="str">
        <f>"09/05/2021 00:00"</f>
        <v>09/05/2021 00:00</v>
      </c>
      <c r="C7281">
        <v>352</v>
      </c>
      <c r="D7281" t="s">
        <v>7</v>
      </c>
      <c r="E7281" s="2" t="s">
        <v>12</v>
      </c>
      <c r="F7281">
        <f t="shared" si="113"/>
        <v>698.01600000000008</v>
      </c>
      <c r="G7281" t="s">
        <v>16</v>
      </c>
      <c r="H7281" t="s">
        <v>10</v>
      </c>
      <c r="J7281" t="str">
        <f>"09/06/2021 00:39"</f>
        <v>09/06/2021 00:39</v>
      </c>
    </row>
    <row r="7282" spans="1:10" x14ac:dyDescent="0.3">
      <c r="A7282" t="s">
        <v>6</v>
      </c>
      <c r="B7282" t="str">
        <f>"09/06/2021 00:00"</f>
        <v>09/06/2021 00:00</v>
      </c>
      <c r="C7282">
        <v>352</v>
      </c>
      <c r="D7282" t="s">
        <v>7</v>
      </c>
      <c r="E7282" s="2" t="s">
        <v>12</v>
      </c>
      <c r="F7282">
        <f t="shared" si="113"/>
        <v>698.01600000000008</v>
      </c>
      <c r="G7282" t="s">
        <v>16</v>
      </c>
      <c r="H7282" t="s">
        <v>10</v>
      </c>
      <c r="J7282" t="str">
        <f>"09/07/2021 00:39"</f>
        <v>09/07/2021 00:39</v>
      </c>
    </row>
    <row r="7283" spans="1:10" x14ac:dyDescent="0.3">
      <c r="A7283" t="s">
        <v>6</v>
      </c>
      <c r="B7283" t="str">
        <f>"09/07/2021 00:00"</f>
        <v>09/07/2021 00:00</v>
      </c>
      <c r="C7283">
        <v>382</v>
      </c>
      <c r="D7283" t="s">
        <v>7</v>
      </c>
      <c r="E7283" s="2" t="s">
        <v>12</v>
      </c>
      <c r="F7283">
        <f t="shared" si="113"/>
        <v>757.50600000000009</v>
      </c>
      <c r="G7283" t="s">
        <v>16</v>
      </c>
      <c r="H7283" t="s">
        <v>10</v>
      </c>
      <c r="J7283" t="str">
        <f>"09/08/2021 00:39"</f>
        <v>09/08/2021 00:39</v>
      </c>
    </row>
    <row r="7284" spans="1:10" x14ac:dyDescent="0.3">
      <c r="A7284" t="s">
        <v>6</v>
      </c>
      <c r="B7284" t="str">
        <f>"09/08/2021 00:00"</f>
        <v>09/08/2021 00:00</v>
      </c>
      <c r="C7284">
        <v>422</v>
      </c>
      <c r="D7284" t="s">
        <v>7</v>
      </c>
      <c r="E7284" s="2" t="s">
        <v>12</v>
      </c>
      <c r="F7284">
        <f t="shared" si="113"/>
        <v>836.82600000000002</v>
      </c>
      <c r="G7284" t="s">
        <v>16</v>
      </c>
      <c r="H7284" t="s">
        <v>10</v>
      </c>
      <c r="J7284" t="str">
        <f>"09/09/2021 00:39"</f>
        <v>09/09/2021 00:39</v>
      </c>
    </row>
    <row r="7285" spans="1:10" x14ac:dyDescent="0.3">
      <c r="A7285" t="s">
        <v>6</v>
      </c>
      <c r="B7285" t="str">
        <f>"09/09/2021 00:00"</f>
        <v>09/09/2021 00:00</v>
      </c>
      <c r="C7285">
        <v>451</v>
      </c>
      <c r="D7285" t="s">
        <v>7</v>
      </c>
      <c r="E7285" s="2" t="s">
        <v>12</v>
      </c>
      <c r="F7285">
        <f t="shared" si="113"/>
        <v>894.33300000000008</v>
      </c>
      <c r="G7285" t="s">
        <v>16</v>
      </c>
      <c r="H7285" t="s">
        <v>10</v>
      </c>
      <c r="J7285" t="str">
        <f>"09/10/2021 00:39"</f>
        <v>09/10/2021 00:39</v>
      </c>
    </row>
    <row r="7286" spans="1:10" x14ac:dyDescent="0.3">
      <c r="A7286" t="s">
        <v>6</v>
      </c>
      <c r="B7286" t="str">
        <f>"09/10/2021 00:00"</f>
        <v>09/10/2021 00:00</v>
      </c>
      <c r="C7286">
        <v>451</v>
      </c>
      <c r="D7286" t="s">
        <v>7</v>
      </c>
      <c r="E7286" s="2" t="s">
        <v>12</v>
      </c>
      <c r="F7286">
        <f t="shared" si="113"/>
        <v>894.33300000000008</v>
      </c>
      <c r="G7286" t="s">
        <v>16</v>
      </c>
      <c r="H7286" t="s">
        <v>10</v>
      </c>
      <c r="J7286" t="str">
        <f>"09/11/2021 00:39"</f>
        <v>09/11/2021 00:39</v>
      </c>
    </row>
    <row r="7287" spans="1:10" x14ac:dyDescent="0.3">
      <c r="A7287" t="s">
        <v>6</v>
      </c>
      <c r="B7287" t="str">
        <f>"09/11/2021 00:00"</f>
        <v>09/11/2021 00:00</v>
      </c>
      <c r="C7287">
        <v>451</v>
      </c>
      <c r="D7287" t="s">
        <v>7</v>
      </c>
      <c r="E7287" s="2" t="s">
        <v>12</v>
      </c>
      <c r="F7287">
        <f t="shared" si="113"/>
        <v>894.33300000000008</v>
      </c>
      <c r="G7287" t="s">
        <v>16</v>
      </c>
      <c r="H7287" t="s">
        <v>10</v>
      </c>
      <c r="J7287" t="str">
        <f>"09/12/2021 00:39"</f>
        <v>09/12/2021 00:39</v>
      </c>
    </row>
    <row r="7288" spans="1:10" x14ac:dyDescent="0.3">
      <c r="A7288" t="s">
        <v>6</v>
      </c>
      <c r="B7288" t="str">
        <f>"09/12/2021 00:00"</f>
        <v>09/12/2021 00:00</v>
      </c>
      <c r="C7288">
        <v>450</v>
      </c>
      <c r="D7288" t="s">
        <v>7</v>
      </c>
      <c r="E7288" s="2" t="s">
        <v>12</v>
      </c>
      <c r="F7288">
        <f t="shared" si="113"/>
        <v>892.35</v>
      </c>
      <c r="G7288" t="s">
        <v>16</v>
      </c>
      <c r="H7288" t="s">
        <v>10</v>
      </c>
      <c r="J7288" t="str">
        <f>"09/13/2021 00:39"</f>
        <v>09/13/2021 00:39</v>
      </c>
    </row>
    <row r="7289" spans="1:10" x14ac:dyDescent="0.3">
      <c r="A7289" t="s">
        <v>6</v>
      </c>
      <c r="B7289" t="str">
        <f>"09/13/2021 00:00"</f>
        <v>09/13/2021 00:00</v>
      </c>
      <c r="C7289">
        <v>450</v>
      </c>
      <c r="D7289" t="s">
        <v>7</v>
      </c>
      <c r="E7289" s="2" t="s">
        <v>12</v>
      </c>
      <c r="F7289">
        <f t="shared" si="113"/>
        <v>892.35</v>
      </c>
      <c r="G7289" t="s">
        <v>16</v>
      </c>
      <c r="H7289" t="s">
        <v>10</v>
      </c>
      <c r="J7289" t="str">
        <f>"09/14/2021 00:39"</f>
        <v>09/14/2021 00:39</v>
      </c>
    </row>
    <row r="7290" spans="1:10" x14ac:dyDescent="0.3">
      <c r="A7290" t="s">
        <v>6</v>
      </c>
      <c r="B7290" t="str">
        <f>"09/14/2021 00:00"</f>
        <v>09/14/2021 00:00</v>
      </c>
      <c r="C7290">
        <v>450</v>
      </c>
      <c r="D7290" t="s">
        <v>7</v>
      </c>
      <c r="E7290" s="2" t="s">
        <v>12</v>
      </c>
      <c r="F7290">
        <f t="shared" si="113"/>
        <v>892.35</v>
      </c>
      <c r="G7290" t="s">
        <v>16</v>
      </c>
      <c r="H7290" t="s">
        <v>10</v>
      </c>
      <c r="J7290" t="str">
        <f>"09/15/2021 00:39"</f>
        <v>09/15/2021 00:39</v>
      </c>
    </row>
    <row r="7291" spans="1:10" x14ac:dyDescent="0.3">
      <c r="A7291" t="s">
        <v>6</v>
      </c>
      <c r="B7291" t="str">
        <f>"09/15/2021 00:00"</f>
        <v>09/15/2021 00:00</v>
      </c>
      <c r="C7291">
        <v>417</v>
      </c>
      <c r="D7291" t="s">
        <v>7</v>
      </c>
      <c r="E7291" s="2" t="s">
        <v>12</v>
      </c>
      <c r="F7291">
        <f t="shared" si="113"/>
        <v>826.91100000000006</v>
      </c>
      <c r="G7291" t="s">
        <v>16</v>
      </c>
      <c r="H7291" t="s">
        <v>10</v>
      </c>
      <c r="J7291" t="str">
        <f>"09/16/2021 00:39"</f>
        <v>09/16/2021 00:39</v>
      </c>
    </row>
    <row r="7292" spans="1:10" x14ac:dyDescent="0.3">
      <c r="A7292" t="s">
        <v>6</v>
      </c>
      <c r="B7292" t="str">
        <f>"09/16/2021 00:00"</f>
        <v>09/16/2021 00:00</v>
      </c>
      <c r="C7292">
        <v>384</v>
      </c>
      <c r="D7292" t="s">
        <v>7</v>
      </c>
      <c r="E7292" s="2" t="s">
        <v>12</v>
      </c>
      <c r="F7292">
        <f t="shared" si="113"/>
        <v>761.47199999999998</v>
      </c>
      <c r="G7292" t="s">
        <v>16</v>
      </c>
      <c r="H7292" t="s">
        <v>10</v>
      </c>
      <c r="J7292" t="str">
        <f>"09/17/2021 00:39"</f>
        <v>09/17/2021 00:39</v>
      </c>
    </row>
    <row r="7293" spans="1:10" x14ac:dyDescent="0.3">
      <c r="A7293" t="s">
        <v>6</v>
      </c>
      <c r="B7293" t="str">
        <f>"09/17/2021 00:00"</f>
        <v>09/17/2021 00:00</v>
      </c>
      <c r="C7293">
        <v>370</v>
      </c>
      <c r="D7293" t="s">
        <v>7</v>
      </c>
      <c r="E7293" s="2" t="s">
        <v>12</v>
      </c>
      <c r="F7293">
        <f t="shared" si="113"/>
        <v>733.71</v>
      </c>
      <c r="G7293" t="s">
        <v>16</v>
      </c>
      <c r="H7293" t="s">
        <v>10</v>
      </c>
      <c r="J7293" t="str">
        <f>"09/18/2021 00:39"</f>
        <v>09/18/2021 00:39</v>
      </c>
    </row>
    <row r="7294" spans="1:10" x14ac:dyDescent="0.3">
      <c r="A7294" t="s">
        <v>6</v>
      </c>
      <c r="B7294" t="str">
        <f>"09/18/2021 00:00"</f>
        <v>09/18/2021 00:00</v>
      </c>
      <c r="C7294">
        <v>370</v>
      </c>
      <c r="D7294" t="s">
        <v>7</v>
      </c>
      <c r="E7294" s="2" t="s">
        <v>12</v>
      </c>
      <c r="F7294">
        <f t="shared" si="113"/>
        <v>733.71</v>
      </c>
      <c r="G7294" t="s">
        <v>16</v>
      </c>
      <c r="H7294" t="s">
        <v>10</v>
      </c>
      <c r="J7294" t="str">
        <f>"09/19/2021 00:39"</f>
        <v>09/19/2021 00:39</v>
      </c>
    </row>
    <row r="7295" spans="1:10" x14ac:dyDescent="0.3">
      <c r="A7295" t="s">
        <v>6</v>
      </c>
      <c r="B7295" t="str">
        <f>"09/19/2021 00:00"</f>
        <v>09/19/2021 00:00</v>
      </c>
      <c r="C7295">
        <v>370</v>
      </c>
      <c r="D7295" t="s">
        <v>7</v>
      </c>
      <c r="E7295" s="2" t="s">
        <v>12</v>
      </c>
      <c r="F7295">
        <f t="shared" si="113"/>
        <v>733.71</v>
      </c>
      <c r="G7295" t="s">
        <v>16</v>
      </c>
      <c r="H7295" t="s">
        <v>10</v>
      </c>
      <c r="J7295" t="str">
        <f>"09/20/2021 00:39"</f>
        <v>09/20/2021 00:39</v>
      </c>
    </row>
    <row r="7296" spans="1:10" x14ac:dyDescent="0.3">
      <c r="A7296" t="s">
        <v>6</v>
      </c>
      <c r="B7296" t="str">
        <f>"09/20/2021 00:00"</f>
        <v>09/20/2021 00:00</v>
      </c>
      <c r="C7296">
        <v>370</v>
      </c>
      <c r="D7296" t="s">
        <v>7</v>
      </c>
      <c r="E7296" s="2" t="s">
        <v>12</v>
      </c>
      <c r="F7296">
        <f t="shared" si="113"/>
        <v>733.71</v>
      </c>
      <c r="G7296" t="s">
        <v>16</v>
      </c>
      <c r="H7296" t="s">
        <v>10</v>
      </c>
      <c r="J7296" t="str">
        <f>"09/21/2021 00:39"</f>
        <v>09/21/2021 00:39</v>
      </c>
    </row>
    <row r="7297" spans="1:10" x14ac:dyDescent="0.3">
      <c r="A7297" t="s">
        <v>6</v>
      </c>
      <c r="B7297" t="str">
        <f>"09/21/2021 00:00"</f>
        <v>09/21/2021 00:00</v>
      </c>
      <c r="C7297">
        <v>370</v>
      </c>
      <c r="D7297" t="s">
        <v>7</v>
      </c>
      <c r="E7297" s="2" t="s">
        <v>12</v>
      </c>
      <c r="F7297">
        <f t="shared" si="113"/>
        <v>733.71</v>
      </c>
      <c r="G7297" t="s">
        <v>16</v>
      </c>
      <c r="H7297" t="s">
        <v>10</v>
      </c>
      <c r="J7297" t="str">
        <f>"09/22/2021 00:39"</f>
        <v>09/22/2021 00:39</v>
      </c>
    </row>
    <row r="7298" spans="1:10" x14ac:dyDescent="0.3">
      <c r="A7298" t="s">
        <v>6</v>
      </c>
      <c r="B7298" t="str">
        <f>"09/22/2021 00:00"</f>
        <v>09/22/2021 00:00</v>
      </c>
      <c r="C7298">
        <v>369</v>
      </c>
      <c r="D7298" t="s">
        <v>7</v>
      </c>
      <c r="E7298" s="2" t="s">
        <v>12</v>
      </c>
      <c r="F7298">
        <f t="shared" si="113"/>
        <v>731.72700000000009</v>
      </c>
      <c r="G7298" t="s">
        <v>16</v>
      </c>
      <c r="H7298" t="s">
        <v>10</v>
      </c>
      <c r="J7298" t="str">
        <f>"09/23/2021 00:40"</f>
        <v>09/23/2021 00:40</v>
      </c>
    </row>
    <row r="7299" spans="1:10" x14ac:dyDescent="0.3">
      <c r="A7299" t="s">
        <v>6</v>
      </c>
      <c r="B7299" t="str">
        <f>"09/23/2021 00:00"</f>
        <v>09/23/2021 00:00</v>
      </c>
      <c r="C7299">
        <v>370</v>
      </c>
      <c r="D7299" t="s">
        <v>7</v>
      </c>
      <c r="E7299" s="2" t="s">
        <v>12</v>
      </c>
      <c r="F7299">
        <f t="shared" si="113"/>
        <v>733.71</v>
      </c>
      <c r="G7299" t="s">
        <v>16</v>
      </c>
      <c r="H7299" t="s">
        <v>10</v>
      </c>
      <c r="J7299" t="str">
        <f>"09/24/2021 00:39"</f>
        <v>09/24/2021 00:39</v>
      </c>
    </row>
    <row r="7300" spans="1:10" x14ac:dyDescent="0.3">
      <c r="A7300" t="s">
        <v>6</v>
      </c>
      <c r="B7300" t="str">
        <f>"09/24/2021 00:00"</f>
        <v>09/24/2021 00:00</v>
      </c>
      <c r="C7300">
        <v>369</v>
      </c>
      <c r="D7300" t="s">
        <v>7</v>
      </c>
      <c r="E7300" s="2" t="s">
        <v>12</v>
      </c>
      <c r="F7300">
        <f t="shared" ref="F7300:F7363" si="114">C7300*1.983</f>
        <v>731.72700000000009</v>
      </c>
      <c r="G7300" t="s">
        <v>16</v>
      </c>
      <c r="H7300" t="s">
        <v>10</v>
      </c>
      <c r="J7300" t="str">
        <f>"09/25/2021 00:39"</f>
        <v>09/25/2021 00:39</v>
      </c>
    </row>
    <row r="7301" spans="1:10" x14ac:dyDescent="0.3">
      <c r="A7301" t="s">
        <v>6</v>
      </c>
      <c r="B7301" t="str">
        <f>"09/25/2021 00:00"</f>
        <v>09/25/2021 00:00</v>
      </c>
      <c r="C7301">
        <v>200</v>
      </c>
      <c r="D7301" t="s">
        <v>7</v>
      </c>
      <c r="E7301" s="2" t="s">
        <v>12</v>
      </c>
      <c r="F7301">
        <f t="shared" si="114"/>
        <v>396.6</v>
      </c>
      <c r="G7301" t="s">
        <v>16</v>
      </c>
      <c r="H7301" t="s">
        <v>10</v>
      </c>
      <c r="J7301" t="str">
        <f>"09/26/2021 00:39"</f>
        <v>09/26/2021 00:39</v>
      </c>
    </row>
    <row r="7302" spans="1:10" x14ac:dyDescent="0.3">
      <c r="A7302" t="s">
        <v>6</v>
      </c>
      <c r="B7302" t="str">
        <f>"09/26/2021 00:00"</f>
        <v>09/26/2021 00:00</v>
      </c>
      <c r="C7302">
        <v>368</v>
      </c>
      <c r="D7302" t="s">
        <v>7</v>
      </c>
      <c r="E7302" s="2" t="s">
        <v>12</v>
      </c>
      <c r="F7302">
        <f t="shared" si="114"/>
        <v>729.74400000000003</v>
      </c>
      <c r="G7302" t="s">
        <v>16</v>
      </c>
      <c r="H7302" t="s">
        <v>10</v>
      </c>
      <c r="J7302" t="str">
        <f>"09/27/2021 00:39"</f>
        <v>09/27/2021 00:39</v>
      </c>
    </row>
    <row r="7303" spans="1:10" x14ac:dyDescent="0.3">
      <c r="A7303" t="s">
        <v>6</v>
      </c>
      <c r="B7303" t="str">
        <f>"09/27/2021 00:00"</f>
        <v>09/27/2021 00:00</v>
      </c>
      <c r="C7303">
        <v>367</v>
      </c>
      <c r="D7303" t="s">
        <v>7</v>
      </c>
      <c r="E7303" s="2" t="s">
        <v>12</v>
      </c>
      <c r="F7303">
        <f t="shared" si="114"/>
        <v>727.76100000000008</v>
      </c>
      <c r="G7303" t="s">
        <v>16</v>
      </c>
      <c r="H7303" t="s">
        <v>10</v>
      </c>
      <c r="J7303" t="str">
        <f>"09/28/2021 00:39"</f>
        <v>09/28/2021 00:39</v>
      </c>
    </row>
    <row r="7304" spans="1:10" x14ac:dyDescent="0.3">
      <c r="A7304" t="s">
        <v>6</v>
      </c>
      <c r="B7304" t="str">
        <f>"09/28/2021 00:00"</f>
        <v>09/28/2021 00:00</v>
      </c>
      <c r="C7304">
        <v>366</v>
      </c>
      <c r="D7304" t="s">
        <v>7</v>
      </c>
      <c r="E7304" s="2" t="s">
        <v>12</v>
      </c>
      <c r="F7304">
        <f t="shared" si="114"/>
        <v>725.77800000000002</v>
      </c>
      <c r="G7304" t="s">
        <v>16</v>
      </c>
      <c r="H7304" t="s">
        <v>10</v>
      </c>
      <c r="J7304" t="str">
        <f>"09/29/2021 00:40"</f>
        <v>09/29/2021 00:40</v>
      </c>
    </row>
    <row r="7305" spans="1:10" x14ac:dyDescent="0.3">
      <c r="A7305" t="s">
        <v>6</v>
      </c>
      <c r="B7305" t="str">
        <f>"09/29/2021 00:00"</f>
        <v>09/29/2021 00:00</v>
      </c>
      <c r="C7305">
        <v>369</v>
      </c>
      <c r="D7305" t="s">
        <v>7</v>
      </c>
      <c r="E7305" s="2" t="s">
        <v>12</v>
      </c>
      <c r="F7305">
        <f t="shared" si="114"/>
        <v>731.72700000000009</v>
      </c>
      <c r="G7305" t="s">
        <v>16</v>
      </c>
      <c r="H7305" t="s">
        <v>10</v>
      </c>
      <c r="J7305" t="str">
        <f>"09/30/2021 00:39"</f>
        <v>09/30/2021 00:39</v>
      </c>
    </row>
    <row r="7306" spans="1:10" x14ac:dyDescent="0.3">
      <c r="A7306" t="s">
        <v>6</v>
      </c>
      <c r="B7306" t="str">
        <f>"09/30/2021 00:00"</f>
        <v>09/30/2021 00:00</v>
      </c>
      <c r="C7306">
        <v>333</v>
      </c>
      <c r="D7306" t="s">
        <v>7</v>
      </c>
      <c r="E7306" s="2" t="s">
        <v>12</v>
      </c>
      <c r="F7306">
        <f t="shared" si="114"/>
        <v>660.33900000000006</v>
      </c>
      <c r="G7306" t="s">
        <v>16</v>
      </c>
      <c r="H7306" t="s">
        <v>10</v>
      </c>
      <c r="J7306" t="str">
        <f>"10/01/2021 00:39"</f>
        <v>10/01/2021 00:39</v>
      </c>
    </row>
    <row r="7307" spans="1:10" x14ac:dyDescent="0.3">
      <c r="A7307" t="s">
        <v>6</v>
      </c>
      <c r="B7307" t="str">
        <f>"10/01/2021 00:00"</f>
        <v>10/01/2021 00:00</v>
      </c>
      <c r="C7307">
        <v>287</v>
      </c>
      <c r="D7307" t="s">
        <v>7</v>
      </c>
      <c r="E7307" s="2" t="s">
        <v>12</v>
      </c>
      <c r="F7307">
        <f t="shared" si="114"/>
        <v>569.12099999999998</v>
      </c>
      <c r="G7307" t="s">
        <v>16</v>
      </c>
      <c r="H7307" t="s">
        <v>10</v>
      </c>
      <c r="J7307" t="str">
        <f>"10/02/2021 00:39"</f>
        <v>10/02/2021 00:39</v>
      </c>
    </row>
    <row r="7308" spans="1:10" x14ac:dyDescent="0.3">
      <c r="A7308" t="s">
        <v>6</v>
      </c>
      <c r="B7308" t="str">
        <f>"10/02/2021 00:00"</f>
        <v>10/02/2021 00:00</v>
      </c>
      <c r="C7308">
        <v>269</v>
      </c>
      <c r="D7308" t="s">
        <v>7</v>
      </c>
      <c r="E7308" s="2" t="s">
        <v>12</v>
      </c>
      <c r="F7308">
        <f t="shared" si="114"/>
        <v>533.42700000000002</v>
      </c>
      <c r="G7308" t="s">
        <v>16</v>
      </c>
      <c r="H7308" t="s">
        <v>10</v>
      </c>
      <c r="J7308" t="str">
        <f>"10/03/2021 00:39"</f>
        <v>10/03/2021 00:39</v>
      </c>
    </row>
    <row r="7309" spans="1:10" x14ac:dyDescent="0.3">
      <c r="A7309" t="s">
        <v>6</v>
      </c>
      <c r="B7309" t="str">
        <f>"10/03/2021 00:00"</f>
        <v>10/03/2021 00:00</v>
      </c>
      <c r="C7309">
        <v>269</v>
      </c>
      <c r="D7309" t="s">
        <v>7</v>
      </c>
      <c r="E7309" s="2" t="s">
        <v>12</v>
      </c>
      <c r="F7309">
        <f t="shared" si="114"/>
        <v>533.42700000000002</v>
      </c>
      <c r="G7309" t="s">
        <v>16</v>
      </c>
      <c r="H7309" t="s">
        <v>10</v>
      </c>
      <c r="J7309" t="str">
        <f>"10/04/2021 00:39"</f>
        <v>10/04/2021 00:39</v>
      </c>
    </row>
    <row r="7310" spans="1:10" x14ac:dyDescent="0.3">
      <c r="A7310" t="s">
        <v>6</v>
      </c>
      <c r="B7310" t="str">
        <f>"10/04/2021 00:00"</f>
        <v>10/04/2021 00:00</v>
      </c>
      <c r="C7310">
        <v>269</v>
      </c>
      <c r="D7310" t="s">
        <v>7</v>
      </c>
      <c r="E7310" s="2" t="s">
        <v>12</v>
      </c>
      <c r="F7310">
        <f t="shared" si="114"/>
        <v>533.42700000000002</v>
      </c>
      <c r="G7310" t="s">
        <v>16</v>
      </c>
      <c r="H7310" t="s">
        <v>10</v>
      </c>
      <c r="J7310" t="str">
        <f>"01/03/2022 15:25"</f>
        <v>01/03/2022 15:25</v>
      </c>
    </row>
    <row r="7311" spans="1:10" x14ac:dyDescent="0.3">
      <c r="A7311" t="s">
        <v>6</v>
      </c>
      <c r="B7311" t="str">
        <f>"10/05/2021 00:00"</f>
        <v>10/05/2021 00:00</v>
      </c>
      <c r="C7311">
        <v>294</v>
      </c>
      <c r="D7311" t="s">
        <v>7</v>
      </c>
      <c r="E7311" s="2" t="s">
        <v>12</v>
      </c>
      <c r="F7311">
        <f t="shared" si="114"/>
        <v>583.00200000000007</v>
      </c>
      <c r="G7311" t="s">
        <v>16</v>
      </c>
      <c r="H7311" t="s">
        <v>10</v>
      </c>
      <c r="J7311" t="str">
        <f>"10/06/2021 00:39"</f>
        <v>10/06/2021 00:39</v>
      </c>
    </row>
    <row r="7312" spans="1:10" x14ac:dyDescent="0.3">
      <c r="A7312" t="s">
        <v>6</v>
      </c>
      <c r="B7312" t="str">
        <f>"10/06/2021 00:00"</f>
        <v>10/06/2021 00:00</v>
      </c>
      <c r="C7312">
        <v>320</v>
      </c>
      <c r="D7312" t="s">
        <v>7</v>
      </c>
      <c r="E7312" s="2" t="s">
        <v>12</v>
      </c>
      <c r="F7312">
        <f t="shared" si="114"/>
        <v>634.56000000000006</v>
      </c>
      <c r="G7312" t="s">
        <v>16</v>
      </c>
      <c r="H7312" t="s">
        <v>10</v>
      </c>
      <c r="J7312" t="str">
        <f>"10/07/2021 00:39"</f>
        <v>10/07/2021 00:39</v>
      </c>
    </row>
    <row r="7313" spans="1:10" x14ac:dyDescent="0.3">
      <c r="A7313" t="s">
        <v>6</v>
      </c>
      <c r="B7313" t="str">
        <f>"10/07/2021 00:00"</f>
        <v>10/07/2021 00:00</v>
      </c>
      <c r="C7313">
        <v>320</v>
      </c>
      <c r="D7313" t="s">
        <v>7</v>
      </c>
      <c r="E7313" s="2" t="s">
        <v>12</v>
      </c>
      <c r="F7313">
        <f t="shared" si="114"/>
        <v>634.56000000000006</v>
      </c>
      <c r="G7313" t="s">
        <v>16</v>
      </c>
      <c r="H7313" t="s">
        <v>10</v>
      </c>
      <c r="J7313" t="str">
        <f>"10/08/2021 00:39"</f>
        <v>10/08/2021 00:39</v>
      </c>
    </row>
    <row r="7314" spans="1:10" x14ac:dyDescent="0.3">
      <c r="A7314" t="s">
        <v>6</v>
      </c>
      <c r="B7314" t="str">
        <f>"10/08/2021 00:00"</f>
        <v>10/08/2021 00:00</v>
      </c>
      <c r="C7314">
        <v>320</v>
      </c>
      <c r="D7314" t="s">
        <v>7</v>
      </c>
      <c r="E7314" s="2" t="s">
        <v>12</v>
      </c>
      <c r="F7314">
        <f t="shared" si="114"/>
        <v>634.56000000000006</v>
      </c>
      <c r="G7314" t="s">
        <v>16</v>
      </c>
      <c r="H7314" t="s">
        <v>10</v>
      </c>
      <c r="J7314" t="str">
        <f>"01/03/2022 15:25"</f>
        <v>01/03/2022 15:25</v>
      </c>
    </row>
    <row r="7315" spans="1:10" x14ac:dyDescent="0.3">
      <c r="A7315" t="s">
        <v>6</v>
      </c>
      <c r="B7315" t="str">
        <f>"10/09/2021 00:00"</f>
        <v>10/09/2021 00:00</v>
      </c>
      <c r="C7315">
        <v>319</v>
      </c>
      <c r="D7315" t="s">
        <v>7</v>
      </c>
      <c r="E7315" s="2" t="s">
        <v>12</v>
      </c>
      <c r="F7315">
        <f t="shared" si="114"/>
        <v>632.577</v>
      </c>
      <c r="G7315" t="s">
        <v>16</v>
      </c>
      <c r="H7315" t="s">
        <v>10</v>
      </c>
      <c r="J7315" t="str">
        <f>"10/10/2021 00:39"</f>
        <v>10/10/2021 00:39</v>
      </c>
    </row>
    <row r="7316" spans="1:10" x14ac:dyDescent="0.3">
      <c r="A7316" t="s">
        <v>6</v>
      </c>
      <c r="B7316" t="str">
        <f>"10/10/2021 00:00"</f>
        <v>10/10/2021 00:00</v>
      </c>
      <c r="C7316">
        <v>275</v>
      </c>
      <c r="D7316" t="s">
        <v>7</v>
      </c>
      <c r="E7316" s="2" t="s">
        <v>12</v>
      </c>
      <c r="F7316">
        <f t="shared" si="114"/>
        <v>545.32500000000005</v>
      </c>
      <c r="G7316" t="s">
        <v>16</v>
      </c>
      <c r="H7316" t="s">
        <v>10</v>
      </c>
      <c r="J7316" t="str">
        <f>"10/11/2021 00:39"</f>
        <v>10/11/2021 00:39</v>
      </c>
    </row>
    <row r="7317" spans="1:10" x14ac:dyDescent="0.3">
      <c r="A7317" t="s">
        <v>6</v>
      </c>
      <c r="B7317" t="str">
        <f>"10/11/2021 00:00"</f>
        <v>10/11/2021 00:00</v>
      </c>
      <c r="C7317">
        <v>148</v>
      </c>
      <c r="D7317" t="s">
        <v>7</v>
      </c>
      <c r="E7317" s="2" t="s">
        <v>12</v>
      </c>
      <c r="F7317">
        <f t="shared" si="114"/>
        <v>293.48400000000004</v>
      </c>
      <c r="G7317" t="s">
        <v>16</v>
      </c>
      <c r="H7317" t="s">
        <v>10</v>
      </c>
      <c r="J7317" t="str">
        <f>"10/12/2021 00:39"</f>
        <v>10/12/2021 00:39</v>
      </c>
    </row>
    <row r="7318" spans="1:10" x14ac:dyDescent="0.3">
      <c r="A7318" t="s">
        <v>6</v>
      </c>
      <c r="B7318" t="str">
        <f>"10/12/2021 00:00"</f>
        <v>10/12/2021 00:00</v>
      </c>
      <c r="C7318">
        <v>150</v>
      </c>
      <c r="D7318" t="s">
        <v>7</v>
      </c>
      <c r="E7318" s="2" t="s">
        <v>12</v>
      </c>
      <c r="F7318">
        <f t="shared" si="114"/>
        <v>297.45</v>
      </c>
      <c r="G7318" t="s">
        <v>16</v>
      </c>
      <c r="H7318" t="s">
        <v>10</v>
      </c>
      <c r="J7318" t="str">
        <f>"10/13/2021 00:39"</f>
        <v>10/13/2021 00:39</v>
      </c>
    </row>
    <row r="7319" spans="1:10" x14ac:dyDescent="0.3">
      <c r="A7319" t="s">
        <v>6</v>
      </c>
      <c r="B7319" t="str">
        <f>"10/13/2021 00:00"</f>
        <v>10/13/2021 00:00</v>
      </c>
      <c r="C7319">
        <v>151</v>
      </c>
      <c r="D7319" t="s">
        <v>7</v>
      </c>
      <c r="E7319" s="2" t="s">
        <v>12</v>
      </c>
      <c r="F7319">
        <f t="shared" si="114"/>
        <v>299.43299999999999</v>
      </c>
      <c r="G7319" t="s">
        <v>16</v>
      </c>
      <c r="H7319" t="s">
        <v>10</v>
      </c>
      <c r="J7319" t="str">
        <f>"01/03/2022 15:25"</f>
        <v>01/03/2022 15:25</v>
      </c>
    </row>
    <row r="7320" spans="1:10" x14ac:dyDescent="0.3">
      <c r="A7320" t="s">
        <v>6</v>
      </c>
      <c r="B7320" t="str">
        <f>"10/14/2021 00:00"</f>
        <v>10/14/2021 00:00</v>
      </c>
      <c r="C7320">
        <v>150</v>
      </c>
      <c r="D7320" t="s">
        <v>7</v>
      </c>
      <c r="E7320" s="2" t="s">
        <v>12</v>
      </c>
      <c r="F7320">
        <f t="shared" si="114"/>
        <v>297.45</v>
      </c>
      <c r="G7320" t="s">
        <v>16</v>
      </c>
      <c r="H7320" t="s">
        <v>10</v>
      </c>
      <c r="J7320" t="str">
        <f>"10/15/2021 00:39"</f>
        <v>10/15/2021 00:39</v>
      </c>
    </row>
    <row r="7321" spans="1:10" x14ac:dyDescent="0.3">
      <c r="A7321" t="s">
        <v>6</v>
      </c>
      <c r="B7321" t="str">
        <f>"10/15/2021 00:00"</f>
        <v>10/15/2021 00:00</v>
      </c>
      <c r="C7321">
        <v>139</v>
      </c>
      <c r="D7321" t="s">
        <v>7</v>
      </c>
      <c r="E7321" s="2" t="s">
        <v>12</v>
      </c>
      <c r="F7321">
        <f t="shared" si="114"/>
        <v>275.637</v>
      </c>
      <c r="G7321" t="s">
        <v>16</v>
      </c>
      <c r="H7321" t="s">
        <v>10</v>
      </c>
      <c r="J7321" t="str">
        <f>"10/16/2021 00:39"</f>
        <v>10/16/2021 00:39</v>
      </c>
    </row>
    <row r="7322" spans="1:10" x14ac:dyDescent="0.3">
      <c r="A7322" t="s">
        <v>6</v>
      </c>
      <c r="B7322" t="str">
        <f>"10/16/2021 00:00"</f>
        <v>10/16/2021 00:00</v>
      </c>
      <c r="C7322">
        <v>125</v>
      </c>
      <c r="D7322" t="s">
        <v>7</v>
      </c>
      <c r="E7322" s="2" t="s">
        <v>12</v>
      </c>
      <c r="F7322">
        <f t="shared" si="114"/>
        <v>247.875</v>
      </c>
      <c r="G7322" t="s">
        <v>16</v>
      </c>
      <c r="H7322" t="s">
        <v>10</v>
      </c>
      <c r="J7322" t="str">
        <f>"10/17/2021 00:39"</f>
        <v>10/17/2021 00:39</v>
      </c>
    </row>
    <row r="7323" spans="1:10" x14ac:dyDescent="0.3">
      <c r="A7323" t="s">
        <v>6</v>
      </c>
      <c r="B7323" t="str">
        <f>"10/17/2021 00:00"</f>
        <v>10/17/2021 00:00</v>
      </c>
      <c r="C7323">
        <v>125</v>
      </c>
      <c r="D7323" t="s">
        <v>7</v>
      </c>
      <c r="E7323" s="2" t="s">
        <v>12</v>
      </c>
      <c r="F7323">
        <f t="shared" si="114"/>
        <v>247.875</v>
      </c>
      <c r="G7323" t="s">
        <v>16</v>
      </c>
      <c r="H7323" t="s">
        <v>10</v>
      </c>
      <c r="J7323" t="str">
        <f>"10/18/2021 00:43"</f>
        <v>10/18/2021 00:43</v>
      </c>
    </row>
    <row r="7324" spans="1:10" x14ac:dyDescent="0.3">
      <c r="A7324" t="s">
        <v>6</v>
      </c>
      <c r="B7324" t="str">
        <f>"10/18/2021 00:00"</f>
        <v>10/18/2021 00:00</v>
      </c>
      <c r="C7324">
        <v>174</v>
      </c>
      <c r="D7324" t="s">
        <v>7</v>
      </c>
      <c r="E7324" s="2" t="s">
        <v>12</v>
      </c>
      <c r="F7324">
        <f t="shared" si="114"/>
        <v>345.04200000000003</v>
      </c>
      <c r="G7324" t="s">
        <v>16</v>
      </c>
      <c r="H7324" t="s">
        <v>10</v>
      </c>
      <c r="J7324" t="str">
        <f>"10/19/2021 00:39"</f>
        <v>10/19/2021 00:39</v>
      </c>
    </row>
    <row r="7325" spans="1:10" x14ac:dyDescent="0.3">
      <c r="A7325" t="s">
        <v>6</v>
      </c>
      <c r="B7325" t="str">
        <f>"10/19/2021 00:00"</f>
        <v>10/19/2021 00:00</v>
      </c>
      <c r="C7325">
        <v>202</v>
      </c>
      <c r="D7325" t="s">
        <v>7</v>
      </c>
      <c r="E7325" s="2" t="s">
        <v>12</v>
      </c>
      <c r="F7325">
        <f t="shared" si="114"/>
        <v>400.56600000000003</v>
      </c>
      <c r="G7325" t="s">
        <v>16</v>
      </c>
      <c r="H7325" t="s">
        <v>10</v>
      </c>
      <c r="J7325" t="str">
        <f>"10/20/2021 00:39"</f>
        <v>10/20/2021 00:39</v>
      </c>
    </row>
    <row r="7326" spans="1:10" x14ac:dyDescent="0.3">
      <c r="A7326" t="s">
        <v>6</v>
      </c>
      <c r="B7326" t="str">
        <f>"10/20/2021 00:00"</f>
        <v>10/20/2021 00:00</v>
      </c>
      <c r="C7326">
        <v>123</v>
      </c>
      <c r="D7326" t="s">
        <v>7</v>
      </c>
      <c r="E7326" s="2" t="s">
        <v>12</v>
      </c>
      <c r="F7326">
        <f t="shared" si="114"/>
        <v>243.90900000000002</v>
      </c>
      <c r="G7326" t="s">
        <v>16</v>
      </c>
      <c r="H7326" t="s">
        <v>10</v>
      </c>
      <c r="J7326" t="str">
        <f>"10/21/2021 00:38"</f>
        <v>10/21/2021 00:38</v>
      </c>
    </row>
    <row r="7327" spans="1:10" x14ac:dyDescent="0.3">
      <c r="A7327" t="s">
        <v>6</v>
      </c>
      <c r="B7327" t="str">
        <f>"10/21/2021 00:00"</f>
        <v>10/21/2021 00:00</v>
      </c>
      <c r="C7327">
        <v>8.4400000000000003E-2</v>
      </c>
      <c r="D7327" t="s">
        <v>7</v>
      </c>
      <c r="E7327" s="2" t="s">
        <v>12</v>
      </c>
      <c r="F7327">
        <f t="shared" si="114"/>
        <v>0.16736520000000002</v>
      </c>
      <c r="G7327" t="s">
        <v>16</v>
      </c>
      <c r="H7327" t="s">
        <v>10</v>
      </c>
      <c r="J7327" t="str">
        <f>"10/22/2021 00:39"</f>
        <v>10/22/2021 00:39</v>
      </c>
    </row>
    <row r="7328" spans="1:10" x14ac:dyDescent="0.3">
      <c r="A7328" t="s">
        <v>6</v>
      </c>
      <c r="B7328" t="str">
        <f>"10/22/2021 00:00"</f>
        <v>10/22/2021 00:00</v>
      </c>
      <c r="C7328">
        <v>0.05</v>
      </c>
      <c r="D7328" t="s">
        <v>7</v>
      </c>
      <c r="E7328" s="2" t="s">
        <v>12</v>
      </c>
      <c r="F7328">
        <f t="shared" si="114"/>
        <v>9.9150000000000016E-2</v>
      </c>
      <c r="G7328" t="s">
        <v>16</v>
      </c>
      <c r="H7328" t="s">
        <v>10</v>
      </c>
      <c r="J7328" t="str">
        <f>"10/23/2021 00:39"</f>
        <v>10/23/2021 00:39</v>
      </c>
    </row>
    <row r="7329" spans="1:10" x14ac:dyDescent="0.3">
      <c r="A7329" t="s">
        <v>6</v>
      </c>
      <c r="B7329" t="str">
        <f>"10/23/2021 00:00"</f>
        <v>10/23/2021 00:00</v>
      </c>
      <c r="C7329">
        <v>0.05</v>
      </c>
      <c r="D7329" t="s">
        <v>7</v>
      </c>
      <c r="E7329" s="2" t="s">
        <v>12</v>
      </c>
      <c r="F7329">
        <f t="shared" si="114"/>
        <v>9.9150000000000016E-2</v>
      </c>
      <c r="G7329" t="s">
        <v>16</v>
      </c>
      <c r="H7329" t="s">
        <v>10</v>
      </c>
      <c r="J7329" t="str">
        <f>"10/24/2021 00:39"</f>
        <v>10/24/2021 00:39</v>
      </c>
    </row>
    <row r="7330" spans="1:10" x14ac:dyDescent="0.3">
      <c r="A7330" t="s">
        <v>6</v>
      </c>
      <c r="B7330" t="str">
        <f>"10/24/2021 00:00"</f>
        <v>10/24/2021 00:00</v>
      </c>
      <c r="C7330">
        <v>0.05</v>
      </c>
      <c r="D7330" t="s">
        <v>7</v>
      </c>
      <c r="E7330" s="2" t="s">
        <v>12</v>
      </c>
      <c r="F7330">
        <f t="shared" si="114"/>
        <v>9.9150000000000016E-2</v>
      </c>
      <c r="G7330" t="s">
        <v>16</v>
      </c>
      <c r="H7330" t="s">
        <v>10</v>
      </c>
      <c r="J7330" t="str">
        <f>"10/25/2021 00:39"</f>
        <v>10/25/2021 00:39</v>
      </c>
    </row>
    <row r="7331" spans="1:10" x14ac:dyDescent="0.3">
      <c r="A7331" t="s">
        <v>6</v>
      </c>
      <c r="B7331" t="str">
        <f>"10/25/2021 00:00"</f>
        <v>10/25/2021 00:00</v>
      </c>
      <c r="C7331">
        <v>66.900000000000006</v>
      </c>
      <c r="D7331" t="s">
        <v>7</v>
      </c>
      <c r="E7331" s="2" t="s">
        <v>12</v>
      </c>
      <c r="F7331">
        <f t="shared" si="114"/>
        <v>132.66270000000003</v>
      </c>
      <c r="G7331" t="s">
        <v>16</v>
      </c>
      <c r="H7331" t="s">
        <v>10</v>
      </c>
      <c r="J7331" t="str">
        <f>"10/26/2021 00:39"</f>
        <v>10/26/2021 00:39</v>
      </c>
    </row>
    <row r="7332" spans="1:10" x14ac:dyDescent="0.3">
      <c r="A7332" t="s">
        <v>6</v>
      </c>
      <c r="B7332" t="str">
        <f>"10/26/2021 00:00"</f>
        <v>10/26/2021 00:00</v>
      </c>
      <c r="C7332">
        <v>198</v>
      </c>
      <c r="D7332" t="s">
        <v>7</v>
      </c>
      <c r="E7332" s="2" t="s">
        <v>12</v>
      </c>
      <c r="F7332">
        <f t="shared" si="114"/>
        <v>392.63400000000001</v>
      </c>
      <c r="G7332" t="s">
        <v>16</v>
      </c>
      <c r="H7332" t="s">
        <v>10</v>
      </c>
      <c r="J7332" t="str">
        <f>"10/27/2021 00:39"</f>
        <v>10/27/2021 00:39</v>
      </c>
    </row>
    <row r="7333" spans="1:10" x14ac:dyDescent="0.3">
      <c r="A7333" t="s">
        <v>6</v>
      </c>
      <c r="B7333" t="str">
        <f>"10/27/2021 00:00"</f>
        <v>10/27/2021 00:00</v>
      </c>
      <c r="C7333">
        <v>198</v>
      </c>
      <c r="D7333" t="s">
        <v>7</v>
      </c>
      <c r="E7333" s="2" t="s">
        <v>12</v>
      </c>
      <c r="F7333">
        <f t="shared" si="114"/>
        <v>392.63400000000001</v>
      </c>
      <c r="G7333" t="s">
        <v>16</v>
      </c>
      <c r="H7333" t="s">
        <v>10</v>
      </c>
      <c r="J7333" t="str">
        <f>"10/28/2021 00:39"</f>
        <v>10/28/2021 00:39</v>
      </c>
    </row>
    <row r="7334" spans="1:10" x14ac:dyDescent="0.3">
      <c r="A7334" t="s">
        <v>6</v>
      </c>
      <c r="B7334" t="str">
        <f>"10/28/2021 00:00"</f>
        <v>10/28/2021 00:00</v>
      </c>
      <c r="C7334">
        <v>198</v>
      </c>
      <c r="D7334" t="s">
        <v>7</v>
      </c>
      <c r="E7334" s="2" t="s">
        <v>12</v>
      </c>
      <c r="F7334">
        <f t="shared" si="114"/>
        <v>392.63400000000001</v>
      </c>
      <c r="G7334" t="s">
        <v>16</v>
      </c>
      <c r="H7334" t="s">
        <v>10</v>
      </c>
      <c r="J7334" t="str">
        <f>"10/29/2021 00:39"</f>
        <v>10/29/2021 00:39</v>
      </c>
    </row>
    <row r="7335" spans="1:10" x14ac:dyDescent="0.3">
      <c r="A7335" t="s">
        <v>6</v>
      </c>
      <c r="B7335" t="str">
        <f>"10/29/2021 00:00"</f>
        <v>10/29/2021 00:00</v>
      </c>
      <c r="C7335">
        <v>198</v>
      </c>
      <c r="D7335" t="s">
        <v>7</v>
      </c>
      <c r="E7335" s="2" t="s">
        <v>12</v>
      </c>
      <c r="F7335">
        <f t="shared" si="114"/>
        <v>392.63400000000001</v>
      </c>
      <c r="G7335" t="s">
        <v>16</v>
      </c>
      <c r="H7335" t="s">
        <v>10</v>
      </c>
      <c r="J7335" t="str">
        <f>"10/30/2021 00:39"</f>
        <v>10/30/2021 00:39</v>
      </c>
    </row>
    <row r="7336" spans="1:10" x14ac:dyDescent="0.3">
      <c r="A7336" t="s">
        <v>6</v>
      </c>
      <c r="B7336" t="str">
        <f>"10/30/2021 00:00"</f>
        <v>10/30/2021 00:00</v>
      </c>
      <c r="C7336">
        <v>198</v>
      </c>
      <c r="D7336" t="s">
        <v>7</v>
      </c>
      <c r="E7336" s="2" t="s">
        <v>12</v>
      </c>
      <c r="F7336">
        <f t="shared" si="114"/>
        <v>392.63400000000001</v>
      </c>
      <c r="G7336" t="s">
        <v>16</v>
      </c>
      <c r="H7336" t="s">
        <v>10</v>
      </c>
      <c r="J7336" t="str">
        <f>"10/31/2021 00:40"</f>
        <v>10/31/2021 00:40</v>
      </c>
    </row>
    <row r="7337" spans="1:10" x14ac:dyDescent="0.3">
      <c r="A7337" t="s">
        <v>6</v>
      </c>
      <c r="B7337" t="str">
        <f>"10/31/2021 00:00"</f>
        <v>10/31/2021 00:00</v>
      </c>
      <c r="C7337">
        <v>198</v>
      </c>
      <c r="D7337" t="s">
        <v>7</v>
      </c>
      <c r="E7337" s="2" t="s">
        <v>12</v>
      </c>
      <c r="F7337">
        <f t="shared" si="114"/>
        <v>392.63400000000001</v>
      </c>
      <c r="G7337" t="s">
        <v>16</v>
      </c>
      <c r="H7337" t="s">
        <v>10</v>
      </c>
      <c r="J7337" t="str">
        <f>"11/01/2021 00:39"</f>
        <v>11/01/2021 00:39</v>
      </c>
    </row>
    <row r="7338" spans="1:10" x14ac:dyDescent="0.3">
      <c r="A7338" t="s">
        <v>6</v>
      </c>
      <c r="B7338" t="str">
        <f>"11/01/2021 00:00"</f>
        <v>11/01/2021 00:00</v>
      </c>
      <c r="C7338">
        <v>198</v>
      </c>
      <c r="D7338" t="s">
        <v>7</v>
      </c>
      <c r="E7338" s="2" t="s">
        <v>12</v>
      </c>
      <c r="F7338">
        <f t="shared" si="114"/>
        <v>392.63400000000001</v>
      </c>
      <c r="G7338" t="s">
        <v>16</v>
      </c>
      <c r="H7338" t="s">
        <v>10</v>
      </c>
      <c r="J7338" t="str">
        <f>"11/02/2021 00:39"</f>
        <v>11/02/2021 00:39</v>
      </c>
    </row>
    <row r="7339" spans="1:10" x14ac:dyDescent="0.3">
      <c r="A7339" t="s">
        <v>6</v>
      </c>
      <c r="B7339" t="str">
        <f>"11/02/2021 00:00"</f>
        <v>11/02/2021 00:00</v>
      </c>
      <c r="C7339">
        <v>179</v>
      </c>
      <c r="D7339" t="s">
        <v>7</v>
      </c>
      <c r="E7339" s="2" t="s">
        <v>12</v>
      </c>
      <c r="F7339">
        <f t="shared" si="114"/>
        <v>354.95699999999999</v>
      </c>
      <c r="G7339" t="s">
        <v>16</v>
      </c>
      <c r="H7339" t="s">
        <v>10</v>
      </c>
      <c r="J7339" t="str">
        <f>"11/03/2021 00:39"</f>
        <v>11/03/2021 00:39</v>
      </c>
    </row>
    <row r="7340" spans="1:10" x14ac:dyDescent="0.3">
      <c r="A7340" t="s">
        <v>6</v>
      </c>
      <c r="B7340" t="str">
        <f>"11/03/2021 00:00"</f>
        <v>11/03/2021 00:00</v>
      </c>
      <c r="C7340">
        <v>144</v>
      </c>
      <c r="D7340" t="s">
        <v>7</v>
      </c>
      <c r="E7340" s="2" t="s">
        <v>12</v>
      </c>
      <c r="F7340">
        <f t="shared" si="114"/>
        <v>285.55200000000002</v>
      </c>
      <c r="G7340" t="s">
        <v>16</v>
      </c>
      <c r="H7340" t="s">
        <v>10</v>
      </c>
      <c r="J7340" t="str">
        <f>"11/04/2021 00:39"</f>
        <v>11/04/2021 00:39</v>
      </c>
    </row>
    <row r="7341" spans="1:10" x14ac:dyDescent="0.3">
      <c r="A7341" t="s">
        <v>6</v>
      </c>
      <c r="B7341" t="str">
        <f>"11/04/2021 00:00"</f>
        <v>11/04/2021 00:00</v>
      </c>
      <c r="C7341">
        <v>130</v>
      </c>
      <c r="D7341" t="s">
        <v>7</v>
      </c>
      <c r="E7341" s="2" t="s">
        <v>12</v>
      </c>
      <c r="F7341">
        <f t="shared" si="114"/>
        <v>257.79000000000002</v>
      </c>
      <c r="G7341" t="s">
        <v>16</v>
      </c>
      <c r="H7341" t="s">
        <v>10</v>
      </c>
      <c r="J7341" t="str">
        <f>"11/05/2021 00:39"</f>
        <v>11/05/2021 00:39</v>
      </c>
    </row>
    <row r="7342" spans="1:10" x14ac:dyDescent="0.3">
      <c r="A7342" t="s">
        <v>6</v>
      </c>
      <c r="B7342" t="str">
        <f>"11/05/2021 00:00"</f>
        <v>11/05/2021 00:00</v>
      </c>
      <c r="C7342">
        <v>143</v>
      </c>
      <c r="D7342" t="s">
        <v>7</v>
      </c>
      <c r="E7342" s="2" t="s">
        <v>12</v>
      </c>
      <c r="F7342">
        <f t="shared" si="114"/>
        <v>283.56900000000002</v>
      </c>
      <c r="G7342" t="s">
        <v>16</v>
      </c>
      <c r="H7342" t="s">
        <v>10</v>
      </c>
      <c r="J7342" t="str">
        <f>"11/06/2021 00:39"</f>
        <v>11/06/2021 00:39</v>
      </c>
    </row>
    <row r="7343" spans="1:10" x14ac:dyDescent="0.3">
      <c r="A7343" t="s">
        <v>6</v>
      </c>
      <c r="B7343" t="str">
        <f>"11/06/2021 00:00"</f>
        <v>11/06/2021 00:00</v>
      </c>
      <c r="C7343">
        <v>160</v>
      </c>
      <c r="D7343" t="s">
        <v>7</v>
      </c>
      <c r="E7343" s="2" t="s">
        <v>12</v>
      </c>
      <c r="F7343">
        <f t="shared" si="114"/>
        <v>317.28000000000003</v>
      </c>
      <c r="G7343" t="s">
        <v>16</v>
      </c>
      <c r="H7343" t="s">
        <v>10</v>
      </c>
      <c r="J7343" t="str">
        <f>"11/07/2021 00:39"</f>
        <v>11/07/2021 00:39</v>
      </c>
    </row>
    <row r="7344" spans="1:10" x14ac:dyDescent="0.3">
      <c r="A7344" t="s">
        <v>6</v>
      </c>
      <c r="B7344" t="str">
        <f>"11/07/2021 00:00"</f>
        <v>11/07/2021 00:00</v>
      </c>
      <c r="C7344">
        <v>160</v>
      </c>
      <c r="D7344" t="s">
        <v>7</v>
      </c>
      <c r="E7344" s="2" t="s">
        <v>12</v>
      </c>
      <c r="F7344">
        <f t="shared" si="114"/>
        <v>317.28000000000003</v>
      </c>
      <c r="G7344" t="s">
        <v>16</v>
      </c>
      <c r="H7344" t="s">
        <v>10</v>
      </c>
      <c r="J7344" t="str">
        <f>"11/08/2021 00:39"</f>
        <v>11/08/2021 00:39</v>
      </c>
    </row>
    <row r="7345" spans="1:10" x14ac:dyDescent="0.3">
      <c r="A7345" t="s">
        <v>6</v>
      </c>
      <c r="B7345" t="str">
        <f>"11/08/2021 00:00"</f>
        <v>11/08/2021 00:00</v>
      </c>
      <c r="C7345">
        <v>192</v>
      </c>
      <c r="D7345" t="s">
        <v>7</v>
      </c>
      <c r="E7345" s="2" t="s">
        <v>12</v>
      </c>
      <c r="F7345">
        <f t="shared" si="114"/>
        <v>380.73599999999999</v>
      </c>
      <c r="G7345" t="s">
        <v>16</v>
      </c>
      <c r="H7345" t="s">
        <v>10</v>
      </c>
      <c r="J7345" t="str">
        <f>"11/09/2021 01:09"</f>
        <v>11/09/2021 01:09</v>
      </c>
    </row>
    <row r="7346" spans="1:10" x14ac:dyDescent="0.3">
      <c r="A7346" t="s">
        <v>6</v>
      </c>
      <c r="B7346" t="str">
        <f>"11/09/2021 00:00"</f>
        <v>11/09/2021 00:00</v>
      </c>
      <c r="C7346">
        <v>209</v>
      </c>
      <c r="D7346" t="s">
        <v>7</v>
      </c>
      <c r="E7346" s="2" t="s">
        <v>12</v>
      </c>
      <c r="F7346">
        <f t="shared" si="114"/>
        <v>414.447</v>
      </c>
      <c r="G7346" t="s">
        <v>16</v>
      </c>
      <c r="H7346" t="s">
        <v>10</v>
      </c>
      <c r="J7346" t="str">
        <f>"11/10/2021 00:39"</f>
        <v>11/10/2021 00:39</v>
      </c>
    </row>
    <row r="7347" spans="1:10" x14ac:dyDescent="0.3">
      <c r="A7347" t="s">
        <v>6</v>
      </c>
      <c r="B7347" t="str">
        <f>"11/10/2021 00:00"</f>
        <v>11/10/2021 00:00</v>
      </c>
      <c r="C7347">
        <v>208</v>
      </c>
      <c r="D7347" t="s">
        <v>7</v>
      </c>
      <c r="E7347" s="2" t="s">
        <v>12</v>
      </c>
      <c r="F7347">
        <f t="shared" si="114"/>
        <v>412.464</v>
      </c>
      <c r="G7347" t="s">
        <v>16</v>
      </c>
      <c r="H7347" t="s">
        <v>10</v>
      </c>
      <c r="J7347" t="str">
        <f>"11/11/2021 00:54"</f>
        <v>11/11/2021 00:54</v>
      </c>
    </row>
    <row r="7348" spans="1:10" x14ac:dyDescent="0.3">
      <c r="A7348" t="s">
        <v>6</v>
      </c>
      <c r="B7348" t="str">
        <f>"11/11/2021 00:00"</f>
        <v>11/11/2021 00:00</v>
      </c>
      <c r="C7348">
        <v>208</v>
      </c>
      <c r="D7348" t="s">
        <v>7</v>
      </c>
      <c r="E7348" s="2" t="s">
        <v>12</v>
      </c>
      <c r="F7348">
        <f t="shared" si="114"/>
        <v>412.464</v>
      </c>
      <c r="G7348" t="s">
        <v>16</v>
      </c>
      <c r="H7348" t="s">
        <v>10</v>
      </c>
      <c r="J7348" t="str">
        <f>"11/12/2021 00:40"</f>
        <v>11/12/2021 00:40</v>
      </c>
    </row>
    <row r="7349" spans="1:10" x14ac:dyDescent="0.3">
      <c r="A7349" t="s">
        <v>6</v>
      </c>
      <c r="B7349" t="str">
        <f>"11/12/2021 00:00"</f>
        <v>11/12/2021 00:00</v>
      </c>
      <c r="C7349">
        <v>196</v>
      </c>
      <c r="D7349" t="s">
        <v>7</v>
      </c>
      <c r="E7349" s="2" t="s">
        <v>12</v>
      </c>
      <c r="F7349">
        <f t="shared" si="114"/>
        <v>388.66800000000001</v>
      </c>
      <c r="G7349" t="s">
        <v>16</v>
      </c>
      <c r="H7349" t="s">
        <v>10</v>
      </c>
      <c r="J7349" t="str">
        <f>"11/13/2021 00:39"</f>
        <v>11/13/2021 00:39</v>
      </c>
    </row>
    <row r="7350" spans="1:10" x14ac:dyDescent="0.3">
      <c r="A7350" t="s">
        <v>6</v>
      </c>
      <c r="B7350" t="str">
        <f>"11/13/2021 00:00"</f>
        <v>11/13/2021 00:00</v>
      </c>
      <c r="C7350">
        <v>189</v>
      </c>
      <c r="D7350" t="s">
        <v>7</v>
      </c>
      <c r="E7350" s="2" t="s">
        <v>12</v>
      </c>
      <c r="F7350">
        <f t="shared" si="114"/>
        <v>374.78700000000003</v>
      </c>
      <c r="G7350" t="s">
        <v>16</v>
      </c>
      <c r="H7350" t="s">
        <v>10</v>
      </c>
      <c r="J7350" t="str">
        <f>"11/14/2021 00:39"</f>
        <v>11/14/2021 00:39</v>
      </c>
    </row>
    <row r="7351" spans="1:10" x14ac:dyDescent="0.3">
      <c r="A7351" t="s">
        <v>6</v>
      </c>
      <c r="B7351" t="str">
        <f>"11/14/2021 00:00"</f>
        <v>11/14/2021 00:00</v>
      </c>
      <c r="C7351">
        <v>189</v>
      </c>
      <c r="D7351" t="s">
        <v>7</v>
      </c>
      <c r="E7351" s="2" t="s">
        <v>12</v>
      </c>
      <c r="F7351">
        <f t="shared" si="114"/>
        <v>374.78700000000003</v>
      </c>
      <c r="G7351" t="s">
        <v>16</v>
      </c>
      <c r="H7351" t="s">
        <v>10</v>
      </c>
      <c r="J7351" t="str">
        <f>"11/15/2021 00:39"</f>
        <v>11/15/2021 00:39</v>
      </c>
    </row>
    <row r="7352" spans="1:10" x14ac:dyDescent="0.3">
      <c r="A7352" t="s">
        <v>6</v>
      </c>
      <c r="B7352" t="str">
        <f>"11/15/2021 00:00"</f>
        <v>11/15/2021 00:00</v>
      </c>
      <c r="C7352">
        <v>168</v>
      </c>
      <c r="D7352" t="s">
        <v>7</v>
      </c>
      <c r="E7352" s="2" t="s">
        <v>12</v>
      </c>
      <c r="F7352">
        <f t="shared" si="114"/>
        <v>333.14400000000001</v>
      </c>
      <c r="G7352" t="s">
        <v>16</v>
      </c>
      <c r="H7352" t="s">
        <v>10</v>
      </c>
      <c r="J7352" t="str">
        <f>"11/16/2021 00:39"</f>
        <v>11/16/2021 00:39</v>
      </c>
    </row>
    <row r="7353" spans="1:10" x14ac:dyDescent="0.3">
      <c r="A7353" t="s">
        <v>6</v>
      </c>
      <c r="B7353" t="str">
        <f>"11/16/2021 00:00"</f>
        <v>11/16/2021 00:00</v>
      </c>
      <c r="C7353">
        <v>149</v>
      </c>
      <c r="D7353" t="s">
        <v>7</v>
      </c>
      <c r="E7353" s="2" t="s">
        <v>12</v>
      </c>
      <c r="F7353">
        <f t="shared" si="114"/>
        <v>295.46700000000004</v>
      </c>
      <c r="G7353" t="s">
        <v>16</v>
      </c>
      <c r="H7353" t="s">
        <v>10</v>
      </c>
      <c r="J7353" t="str">
        <f>"11/17/2021 00:39"</f>
        <v>11/17/2021 00:39</v>
      </c>
    </row>
    <row r="7354" spans="1:10" x14ac:dyDescent="0.3">
      <c r="A7354" t="s">
        <v>6</v>
      </c>
      <c r="B7354" t="str">
        <f>"11/17/2021 00:00"</f>
        <v>11/17/2021 00:00</v>
      </c>
      <c r="C7354">
        <v>149</v>
      </c>
      <c r="D7354" t="s">
        <v>7</v>
      </c>
      <c r="E7354" s="2" t="s">
        <v>12</v>
      </c>
      <c r="F7354">
        <f t="shared" si="114"/>
        <v>295.46700000000004</v>
      </c>
      <c r="G7354" t="s">
        <v>16</v>
      </c>
      <c r="H7354" t="s">
        <v>10</v>
      </c>
      <c r="J7354" t="str">
        <f>"11/18/2021 00:39"</f>
        <v>11/18/2021 00:39</v>
      </c>
    </row>
    <row r="7355" spans="1:10" x14ac:dyDescent="0.3">
      <c r="A7355" t="s">
        <v>6</v>
      </c>
      <c r="B7355" t="str">
        <f>"11/18/2021 00:00"</f>
        <v>11/18/2021 00:00</v>
      </c>
      <c r="C7355">
        <v>149</v>
      </c>
      <c r="D7355" t="s">
        <v>7</v>
      </c>
      <c r="E7355" s="2" t="s">
        <v>12</v>
      </c>
      <c r="F7355">
        <f t="shared" si="114"/>
        <v>295.46700000000004</v>
      </c>
      <c r="G7355" t="s">
        <v>16</v>
      </c>
      <c r="H7355" t="s">
        <v>10</v>
      </c>
      <c r="J7355" t="str">
        <f>"01/03/2022 15:26"</f>
        <v>01/03/2022 15:26</v>
      </c>
    </row>
    <row r="7356" spans="1:10" x14ac:dyDescent="0.3">
      <c r="A7356" t="s">
        <v>6</v>
      </c>
      <c r="B7356" t="str">
        <f>"11/19/2021 00:00"</f>
        <v>11/19/2021 00:00</v>
      </c>
      <c r="C7356">
        <v>149</v>
      </c>
      <c r="D7356" t="s">
        <v>7</v>
      </c>
      <c r="E7356" s="2" t="s">
        <v>12</v>
      </c>
      <c r="F7356">
        <f t="shared" si="114"/>
        <v>295.46700000000004</v>
      </c>
      <c r="G7356" t="s">
        <v>16</v>
      </c>
      <c r="H7356" t="s">
        <v>10</v>
      </c>
      <c r="J7356" t="str">
        <f>"11/20/2021 00:39"</f>
        <v>11/20/2021 00:39</v>
      </c>
    </row>
    <row r="7357" spans="1:10" x14ac:dyDescent="0.3">
      <c r="A7357" t="s">
        <v>6</v>
      </c>
      <c r="B7357" t="str">
        <f>"11/20/2021 00:00"</f>
        <v>11/20/2021 00:00</v>
      </c>
      <c r="C7357">
        <v>149</v>
      </c>
      <c r="D7357" t="s">
        <v>7</v>
      </c>
      <c r="E7357" s="2" t="s">
        <v>12</v>
      </c>
      <c r="F7357">
        <f t="shared" si="114"/>
        <v>295.46700000000004</v>
      </c>
      <c r="G7357" t="s">
        <v>16</v>
      </c>
      <c r="H7357" t="s">
        <v>10</v>
      </c>
      <c r="J7357" t="str">
        <f>"11/21/2021 00:39"</f>
        <v>11/21/2021 00:39</v>
      </c>
    </row>
    <row r="7358" spans="1:10" x14ac:dyDescent="0.3">
      <c r="A7358" t="s">
        <v>6</v>
      </c>
      <c r="B7358" t="str">
        <f>"11/21/2021 00:00"</f>
        <v>11/21/2021 00:00</v>
      </c>
      <c r="C7358">
        <v>149</v>
      </c>
      <c r="D7358" t="s">
        <v>7</v>
      </c>
      <c r="E7358" s="2" t="s">
        <v>12</v>
      </c>
      <c r="F7358">
        <f t="shared" si="114"/>
        <v>295.46700000000004</v>
      </c>
      <c r="G7358" t="s">
        <v>16</v>
      </c>
      <c r="H7358" t="s">
        <v>10</v>
      </c>
      <c r="J7358" t="str">
        <f>"11/22/2021 00:39"</f>
        <v>11/22/2021 00:39</v>
      </c>
    </row>
    <row r="7359" spans="1:10" x14ac:dyDescent="0.3">
      <c r="A7359" t="s">
        <v>6</v>
      </c>
      <c r="B7359" t="str">
        <f>"11/22/2021 00:00"</f>
        <v>11/22/2021 00:00</v>
      </c>
      <c r="C7359">
        <v>141</v>
      </c>
      <c r="D7359" t="s">
        <v>7</v>
      </c>
      <c r="E7359" s="2" t="s">
        <v>12</v>
      </c>
      <c r="F7359">
        <f t="shared" si="114"/>
        <v>279.60300000000001</v>
      </c>
      <c r="G7359" t="s">
        <v>16</v>
      </c>
      <c r="H7359" t="s">
        <v>10</v>
      </c>
      <c r="J7359" t="str">
        <f>"11/23/2021 00:39"</f>
        <v>11/23/2021 00:39</v>
      </c>
    </row>
    <row r="7360" spans="1:10" x14ac:dyDescent="0.3">
      <c r="A7360" t="s">
        <v>6</v>
      </c>
      <c r="B7360" t="str">
        <f>"11/23/2021 00:00"</f>
        <v>11/23/2021 00:00</v>
      </c>
      <c r="C7360">
        <v>127</v>
      </c>
      <c r="D7360" t="s">
        <v>7</v>
      </c>
      <c r="E7360" s="2" t="s">
        <v>12</v>
      </c>
      <c r="F7360">
        <f t="shared" si="114"/>
        <v>251.84100000000001</v>
      </c>
      <c r="G7360" t="s">
        <v>16</v>
      </c>
      <c r="H7360" t="s">
        <v>10</v>
      </c>
      <c r="J7360" t="str">
        <f>"01/03/2022 15:26"</f>
        <v>01/03/2022 15:26</v>
      </c>
    </row>
    <row r="7361" spans="1:10" x14ac:dyDescent="0.3">
      <c r="A7361" t="s">
        <v>6</v>
      </c>
      <c r="B7361" t="str">
        <f>"11/24/2021 00:00"</f>
        <v>11/24/2021 00:00</v>
      </c>
      <c r="C7361">
        <v>127</v>
      </c>
      <c r="D7361" t="s">
        <v>7</v>
      </c>
      <c r="E7361" s="2" t="s">
        <v>12</v>
      </c>
      <c r="F7361">
        <f t="shared" si="114"/>
        <v>251.84100000000001</v>
      </c>
      <c r="G7361" t="s">
        <v>16</v>
      </c>
      <c r="H7361" t="s">
        <v>10</v>
      </c>
      <c r="J7361" t="str">
        <f>"11/25/2021 00:39"</f>
        <v>11/25/2021 00:39</v>
      </c>
    </row>
    <row r="7362" spans="1:10" x14ac:dyDescent="0.3">
      <c r="A7362" t="s">
        <v>6</v>
      </c>
      <c r="B7362" t="str">
        <f>"11/25/2021 00:00"</f>
        <v>11/25/2021 00:00</v>
      </c>
      <c r="C7362">
        <v>109</v>
      </c>
      <c r="D7362" t="s">
        <v>7</v>
      </c>
      <c r="E7362" s="2" t="s">
        <v>12</v>
      </c>
      <c r="F7362">
        <f t="shared" si="114"/>
        <v>216.14700000000002</v>
      </c>
      <c r="G7362" t="s">
        <v>16</v>
      </c>
      <c r="H7362" t="s">
        <v>10</v>
      </c>
      <c r="J7362" t="str">
        <f>"11/26/2021 00:39"</f>
        <v>11/26/2021 00:39</v>
      </c>
    </row>
    <row r="7363" spans="1:10" x14ac:dyDescent="0.3">
      <c r="A7363" t="s">
        <v>6</v>
      </c>
      <c r="B7363" t="str">
        <f>"11/26/2021 00:00"</f>
        <v>11/26/2021 00:00</v>
      </c>
      <c r="C7363">
        <v>100</v>
      </c>
      <c r="D7363" t="s">
        <v>7</v>
      </c>
      <c r="E7363" s="2" t="s">
        <v>12</v>
      </c>
      <c r="F7363">
        <f t="shared" si="114"/>
        <v>198.3</v>
      </c>
      <c r="G7363" t="s">
        <v>16</v>
      </c>
      <c r="H7363" t="s">
        <v>10</v>
      </c>
      <c r="J7363" t="str">
        <f>"11/27/2021 00:39"</f>
        <v>11/27/2021 00:39</v>
      </c>
    </row>
    <row r="7364" spans="1:10" x14ac:dyDescent="0.3">
      <c r="A7364" t="s">
        <v>6</v>
      </c>
      <c r="B7364" t="str">
        <f>"11/27/2021 00:00"</f>
        <v>11/27/2021 00:00</v>
      </c>
      <c r="C7364">
        <v>84.5</v>
      </c>
      <c r="D7364" t="s">
        <v>7</v>
      </c>
      <c r="E7364" s="2" t="s">
        <v>12</v>
      </c>
      <c r="F7364">
        <f t="shared" ref="F7364:F7427" si="115">C7364*1.983</f>
        <v>167.5635</v>
      </c>
      <c r="G7364" t="s">
        <v>16</v>
      </c>
      <c r="H7364" t="s">
        <v>10</v>
      </c>
      <c r="J7364" t="str">
        <f>"11/28/2021 00:39"</f>
        <v>11/28/2021 00:39</v>
      </c>
    </row>
    <row r="7365" spans="1:10" x14ac:dyDescent="0.3">
      <c r="A7365" t="s">
        <v>6</v>
      </c>
      <c r="B7365" t="str">
        <f>"11/28/2021 00:00"</f>
        <v>11/28/2021 00:00</v>
      </c>
      <c r="C7365">
        <v>77.2</v>
      </c>
      <c r="D7365" t="s">
        <v>7</v>
      </c>
      <c r="E7365" s="2" t="s">
        <v>12</v>
      </c>
      <c r="F7365">
        <f t="shared" si="115"/>
        <v>153.08760000000001</v>
      </c>
      <c r="G7365" t="s">
        <v>16</v>
      </c>
      <c r="H7365" t="s">
        <v>10</v>
      </c>
      <c r="J7365" t="str">
        <f>"11/29/2021 00:39"</f>
        <v>11/29/2021 00:39</v>
      </c>
    </row>
    <row r="7366" spans="1:10" x14ac:dyDescent="0.3">
      <c r="A7366" t="s">
        <v>6</v>
      </c>
      <c r="B7366" t="str">
        <f>"11/29/2021 00:00"</f>
        <v>11/29/2021 00:00</v>
      </c>
      <c r="C7366">
        <v>58.8</v>
      </c>
      <c r="D7366" t="s">
        <v>7</v>
      </c>
      <c r="E7366" s="2" t="s">
        <v>12</v>
      </c>
      <c r="F7366">
        <f t="shared" si="115"/>
        <v>116.60039999999999</v>
      </c>
      <c r="G7366" t="s">
        <v>16</v>
      </c>
      <c r="H7366" t="s">
        <v>10</v>
      </c>
      <c r="J7366" t="str">
        <f>"11/30/2021 00:39"</f>
        <v>11/30/2021 00:39</v>
      </c>
    </row>
    <row r="7367" spans="1:10" x14ac:dyDescent="0.3">
      <c r="A7367" t="s">
        <v>6</v>
      </c>
      <c r="B7367" t="str">
        <f>"11/30/2021 00:00"</f>
        <v>11/30/2021 00:00</v>
      </c>
      <c r="C7367">
        <v>51.1</v>
      </c>
      <c r="D7367" t="s">
        <v>7</v>
      </c>
      <c r="E7367" s="2" t="s">
        <v>12</v>
      </c>
      <c r="F7367">
        <f t="shared" si="115"/>
        <v>101.33130000000001</v>
      </c>
      <c r="G7367" t="s">
        <v>16</v>
      </c>
      <c r="H7367" t="s">
        <v>10</v>
      </c>
      <c r="J7367" t="str">
        <f>"12/01/2021 00:39"</f>
        <v>12/01/2021 00:39</v>
      </c>
    </row>
    <row r="7368" spans="1:10" x14ac:dyDescent="0.3">
      <c r="A7368" t="s">
        <v>6</v>
      </c>
      <c r="B7368" t="str">
        <f>"12/01/2021 00:00"</f>
        <v>12/01/2021 00:00</v>
      </c>
      <c r="C7368">
        <v>32.200000000000003</v>
      </c>
      <c r="D7368" t="s">
        <v>7</v>
      </c>
      <c r="E7368" s="2" t="s">
        <v>12</v>
      </c>
      <c r="F7368">
        <f t="shared" si="115"/>
        <v>63.85260000000001</v>
      </c>
      <c r="G7368" t="s">
        <v>16</v>
      </c>
      <c r="H7368" t="s">
        <v>10</v>
      </c>
      <c r="J7368" t="str">
        <f>"12/02/2021 00:39"</f>
        <v>12/02/2021 00:39</v>
      </c>
    </row>
    <row r="7369" spans="1:10" x14ac:dyDescent="0.3">
      <c r="A7369" t="s">
        <v>6</v>
      </c>
      <c r="B7369" t="str">
        <f>"12/02/2021 00:00"</f>
        <v>12/02/2021 00:00</v>
      </c>
      <c r="C7369">
        <v>24.6</v>
      </c>
      <c r="D7369" t="s">
        <v>7</v>
      </c>
      <c r="E7369" s="2" t="s">
        <v>12</v>
      </c>
      <c r="F7369">
        <f t="shared" si="115"/>
        <v>48.781800000000004</v>
      </c>
      <c r="G7369" t="s">
        <v>16</v>
      </c>
      <c r="H7369" t="s">
        <v>10</v>
      </c>
      <c r="J7369" t="str">
        <f>"12/03/2021 00:39"</f>
        <v>12/03/2021 00:39</v>
      </c>
    </row>
    <row r="7370" spans="1:10" x14ac:dyDescent="0.3">
      <c r="A7370" t="s">
        <v>6</v>
      </c>
      <c r="B7370" t="str">
        <f>"12/03/2021 00:00"</f>
        <v>12/03/2021 00:00</v>
      </c>
      <c r="C7370">
        <v>7.54</v>
      </c>
      <c r="D7370" t="s">
        <v>7</v>
      </c>
      <c r="E7370" s="2" t="s">
        <v>12</v>
      </c>
      <c r="F7370">
        <f t="shared" si="115"/>
        <v>14.951820000000001</v>
      </c>
      <c r="G7370" t="s">
        <v>16</v>
      </c>
      <c r="H7370" t="s">
        <v>10</v>
      </c>
      <c r="J7370" t="str">
        <f>"12/04/2021 00:39"</f>
        <v>12/04/2021 00:39</v>
      </c>
    </row>
    <row r="7371" spans="1:10" x14ac:dyDescent="0.3">
      <c r="A7371" t="s">
        <v>6</v>
      </c>
      <c r="B7371" t="str">
        <f>"12/04/2021 00:00"</f>
        <v>12/04/2021 00:00</v>
      </c>
      <c r="C7371">
        <v>0.1</v>
      </c>
      <c r="D7371" t="s">
        <v>7</v>
      </c>
      <c r="E7371" s="2" t="s">
        <v>12</v>
      </c>
      <c r="F7371">
        <f t="shared" si="115"/>
        <v>0.19830000000000003</v>
      </c>
      <c r="G7371" t="s">
        <v>16</v>
      </c>
      <c r="H7371" t="s">
        <v>10</v>
      </c>
      <c r="J7371" t="str">
        <f>"12/05/2021 00:39"</f>
        <v>12/05/2021 00:39</v>
      </c>
    </row>
    <row r="7372" spans="1:10" x14ac:dyDescent="0.3">
      <c r="A7372" t="s">
        <v>6</v>
      </c>
      <c r="B7372" t="str">
        <f>"12/05/2021 00:00"</f>
        <v>12/05/2021 00:00</v>
      </c>
      <c r="C7372">
        <v>8.0199999999999994E-2</v>
      </c>
      <c r="D7372" t="s">
        <v>7</v>
      </c>
      <c r="E7372" s="2" t="s">
        <v>12</v>
      </c>
      <c r="F7372">
        <f t="shared" si="115"/>
        <v>0.1590366</v>
      </c>
      <c r="G7372" t="s">
        <v>16</v>
      </c>
      <c r="H7372" t="s">
        <v>10</v>
      </c>
      <c r="J7372" t="str">
        <f>"12/06/2021 00:39"</f>
        <v>12/06/2021 00:39</v>
      </c>
    </row>
    <row r="7373" spans="1:10" x14ac:dyDescent="0.3">
      <c r="A7373" t="s">
        <v>6</v>
      </c>
      <c r="B7373" t="str">
        <f>"12/06/2021 00:00"</f>
        <v>12/06/2021 00:00</v>
      </c>
      <c r="C7373">
        <v>0.05</v>
      </c>
      <c r="D7373" t="s">
        <v>7</v>
      </c>
      <c r="E7373" s="2" t="s">
        <v>12</v>
      </c>
      <c r="F7373">
        <f t="shared" si="115"/>
        <v>9.9150000000000016E-2</v>
      </c>
      <c r="G7373" t="s">
        <v>16</v>
      </c>
      <c r="H7373" t="s">
        <v>10</v>
      </c>
      <c r="J7373" t="str">
        <f>"12/07/2021 00:39"</f>
        <v>12/07/2021 00:39</v>
      </c>
    </row>
    <row r="7374" spans="1:10" x14ac:dyDescent="0.3">
      <c r="A7374" t="s">
        <v>6</v>
      </c>
      <c r="B7374" t="str">
        <f>"12/07/2021 00:00"</f>
        <v>12/07/2021 00:00</v>
      </c>
      <c r="C7374">
        <v>0.05</v>
      </c>
      <c r="D7374" t="s">
        <v>7</v>
      </c>
      <c r="E7374" s="2" t="s">
        <v>12</v>
      </c>
      <c r="F7374">
        <f t="shared" si="115"/>
        <v>9.9150000000000016E-2</v>
      </c>
      <c r="G7374" t="s">
        <v>16</v>
      </c>
      <c r="H7374" t="s">
        <v>10</v>
      </c>
      <c r="J7374" t="str">
        <f>"12/08/2021 00:39"</f>
        <v>12/08/2021 00:39</v>
      </c>
    </row>
    <row r="7375" spans="1:10" x14ac:dyDescent="0.3">
      <c r="A7375" t="s">
        <v>6</v>
      </c>
      <c r="B7375" t="str">
        <f>"12/08/2021 00:00"</f>
        <v>12/08/2021 00:00</v>
      </c>
      <c r="C7375">
        <v>0.05</v>
      </c>
      <c r="D7375" t="s">
        <v>7</v>
      </c>
      <c r="E7375" s="2" t="s">
        <v>12</v>
      </c>
      <c r="F7375">
        <f t="shared" si="115"/>
        <v>9.9150000000000016E-2</v>
      </c>
      <c r="G7375" t="s">
        <v>16</v>
      </c>
      <c r="H7375" t="s">
        <v>10</v>
      </c>
      <c r="J7375" t="str">
        <f>"12/09/2021 00:39"</f>
        <v>12/09/2021 00:39</v>
      </c>
    </row>
    <row r="7376" spans="1:10" x14ac:dyDescent="0.3">
      <c r="A7376" t="s">
        <v>6</v>
      </c>
      <c r="B7376" t="str">
        <f>"12/09/2021 00:00"</f>
        <v>12/09/2021 00:00</v>
      </c>
      <c r="C7376">
        <v>3.3300000000000003E-2</v>
      </c>
      <c r="D7376" t="s">
        <v>7</v>
      </c>
      <c r="E7376" s="2" t="s">
        <v>12</v>
      </c>
      <c r="F7376">
        <f t="shared" si="115"/>
        <v>6.6033900000000006E-2</v>
      </c>
      <c r="G7376" t="s">
        <v>16</v>
      </c>
      <c r="H7376" t="s">
        <v>10</v>
      </c>
      <c r="J7376" t="str">
        <f>"12/10/2021 00:39"</f>
        <v>12/10/2021 00:39</v>
      </c>
    </row>
    <row r="7377" spans="1:10" x14ac:dyDescent="0.3">
      <c r="A7377" t="s">
        <v>6</v>
      </c>
      <c r="B7377" t="str">
        <f>"12/10/2021 00:00"</f>
        <v>12/10/2021 00:00</v>
      </c>
      <c r="C7377">
        <v>0</v>
      </c>
      <c r="D7377" t="s">
        <v>7</v>
      </c>
      <c r="E7377" s="2" t="s">
        <v>12</v>
      </c>
      <c r="F7377">
        <f t="shared" si="115"/>
        <v>0</v>
      </c>
      <c r="G7377" t="s">
        <v>16</v>
      </c>
      <c r="H7377" t="s">
        <v>10</v>
      </c>
      <c r="J7377" t="str">
        <f>"01/03/2022 15:27"</f>
        <v>01/03/2022 15:27</v>
      </c>
    </row>
    <row r="7378" spans="1:10" x14ac:dyDescent="0.3">
      <c r="A7378" t="s">
        <v>6</v>
      </c>
      <c r="B7378" t="str">
        <f>"12/11/2021 00:00"</f>
        <v>12/11/2021 00:00</v>
      </c>
      <c r="C7378">
        <v>0</v>
      </c>
      <c r="D7378" t="s">
        <v>7</v>
      </c>
      <c r="E7378" s="2" t="s">
        <v>12</v>
      </c>
      <c r="F7378">
        <f t="shared" si="115"/>
        <v>0</v>
      </c>
      <c r="G7378" t="s">
        <v>16</v>
      </c>
      <c r="H7378" t="s">
        <v>10</v>
      </c>
      <c r="J7378" t="str">
        <f>"01/03/2022 15:27"</f>
        <v>01/03/2022 15:27</v>
      </c>
    </row>
    <row r="7379" spans="1:10" x14ac:dyDescent="0.3">
      <c r="A7379" t="s">
        <v>6</v>
      </c>
      <c r="B7379" t="str">
        <f>"12/12/2021 00:00"</f>
        <v>12/12/2021 00:00</v>
      </c>
      <c r="C7379">
        <v>0</v>
      </c>
      <c r="D7379" t="s">
        <v>7</v>
      </c>
      <c r="E7379" s="2" t="s">
        <v>12</v>
      </c>
      <c r="F7379">
        <f t="shared" si="115"/>
        <v>0</v>
      </c>
      <c r="G7379" t="s">
        <v>16</v>
      </c>
      <c r="H7379" t="s">
        <v>10</v>
      </c>
      <c r="J7379" t="str">
        <f>"01/03/2022 15:27"</f>
        <v>01/03/2022 15:27</v>
      </c>
    </row>
    <row r="7380" spans="1:10" x14ac:dyDescent="0.3">
      <c r="A7380" t="s">
        <v>6</v>
      </c>
      <c r="B7380" t="str">
        <f>"12/13/2021 00:00"</f>
        <v>12/13/2021 00:00</v>
      </c>
      <c r="C7380">
        <v>0</v>
      </c>
      <c r="D7380" t="s">
        <v>7</v>
      </c>
      <c r="E7380" s="2" t="s">
        <v>12</v>
      </c>
      <c r="F7380">
        <f t="shared" si="115"/>
        <v>0</v>
      </c>
      <c r="G7380" t="s">
        <v>16</v>
      </c>
      <c r="H7380" t="s">
        <v>10</v>
      </c>
      <c r="J7380" t="str">
        <f>"01/03/2022 15:27"</f>
        <v>01/03/2022 15:27</v>
      </c>
    </row>
    <row r="7381" spans="1:10" x14ac:dyDescent="0.3">
      <c r="A7381" t="s">
        <v>6</v>
      </c>
      <c r="B7381" t="str">
        <f>"12/14/2021 00:00"</f>
        <v>12/14/2021 00:00</v>
      </c>
      <c r="C7381">
        <v>0</v>
      </c>
      <c r="D7381" t="s">
        <v>7</v>
      </c>
      <c r="E7381" s="2" t="s">
        <v>12</v>
      </c>
      <c r="F7381">
        <f t="shared" si="115"/>
        <v>0</v>
      </c>
      <c r="G7381" t="s">
        <v>16</v>
      </c>
      <c r="H7381" t="s">
        <v>10</v>
      </c>
      <c r="J7381" t="str">
        <f>"01/03/2022 15:27"</f>
        <v>01/03/2022 15:27</v>
      </c>
    </row>
    <row r="7382" spans="1:10" x14ac:dyDescent="0.3">
      <c r="A7382" t="s">
        <v>6</v>
      </c>
      <c r="B7382" t="str">
        <f>"12/15/2021 00:00"</f>
        <v>12/15/2021 00:00</v>
      </c>
      <c r="C7382">
        <v>0</v>
      </c>
      <c r="D7382" t="s">
        <v>7</v>
      </c>
      <c r="E7382" s="2" t="s">
        <v>12</v>
      </c>
      <c r="F7382">
        <f t="shared" si="115"/>
        <v>0</v>
      </c>
      <c r="G7382" t="s">
        <v>16</v>
      </c>
      <c r="H7382" t="s">
        <v>10</v>
      </c>
      <c r="J7382" t="str">
        <f>"01/03/2022 15:27"</f>
        <v>01/03/2022 15:27</v>
      </c>
    </row>
    <row r="7383" spans="1:10" x14ac:dyDescent="0.3">
      <c r="A7383" t="s">
        <v>6</v>
      </c>
      <c r="B7383" t="str">
        <f>"12/16/2021 00:00"</f>
        <v>12/16/2021 00:00</v>
      </c>
      <c r="C7383">
        <v>0</v>
      </c>
      <c r="D7383" t="s">
        <v>7</v>
      </c>
      <c r="E7383" s="2" t="s">
        <v>12</v>
      </c>
      <c r="F7383">
        <f t="shared" si="115"/>
        <v>0</v>
      </c>
      <c r="G7383" t="s">
        <v>16</v>
      </c>
      <c r="H7383" t="s">
        <v>10</v>
      </c>
      <c r="J7383" t="str">
        <f>"01/03/2022 15:27"</f>
        <v>01/03/2022 15:27</v>
      </c>
    </row>
    <row r="7384" spans="1:10" x14ac:dyDescent="0.3">
      <c r="A7384" t="s">
        <v>6</v>
      </c>
      <c r="B7384" t="str">
        <f>"12/17/2021 00:00"</f>
        <v>12/17/2021 00:00</v>
      </c>
      <c r="C7384">
        <v>0</v>
      </c>
      <c r="D7384" t="s">
        <v>7</v>
      </c>
      <c r="E7384" s="2" t="s">
        <v>12</v>
      </c>
      <c r="F7384">
        <f t="shared" si="115"/>
        <v>0</v>
      </c>
      <c r="G7384" t="s">
        <v>16</v>
      </c>
      <c r="H7384" t="s">
        <v>10</v>
      </c>
      <c r="J7384" t="str">
        <f>"01/03/2022 15:27"</f>
        <v>01/03/2022 15:27</v>
      </c>
    </row>
    <row r="7385" spans="1:10" x14ac:dyDescent="0.3">
      <c r="A7385" t="s">
        <v>6</v>
      </c>
      <c r="B7385" t="str">
        <f>"12/18/2021 00:00"</f>
        <v>12/18/2021 00:00</v>
      </c>
      <c r="C7385">
        <v>0</v>
      </c>
      <c r="D7385" t="s">
        <v>7</v>
      </c>
      <c r="E7385" s="2" t="s">
        <v>12</v>
      </c>
      <c r="F7385">
        <f t="shared" si="115"/>
        <v>0</v>
      </c>
      <c r="G7385" t="s">
        <v>16</v>
      </c>
      <c r="H7385" t="s">
        <v>10</v>
      </c>
      <c r="J7385" t="str">
        <f>"01/03/2022 15:27"</f>
        <v>01/03/2022 15:27</v>
      </c>
    </row>
    <row r="7386" spans="1:10" x14ac:dyDescent="0.3">
      <c r="A7386" t="s">
        <v>6</v>
      </c>
      <c r="B7386" t="str">
        <f>"12/19/2021 00:00"</f>
        <v>12/19/2021 00:00</v>
      </c>
      <c r="C7386">
        <v>0</v>
      </c>
      <c r="D7386" t="s">
        <v>7</v>
      </c>
      <c r="E7386" s="2" t="s">
        <v>12</v>
      </c>
      <c r="F7386">
        <f t="shared" si="115"/>
        <v>0</v>
      </c>
      <c r="G7386" t="s">
        <v>16</v>
      </c>
      <c r="H7386" t="s">
        <v>10</v>
      </c>
      <c r="J7386" t="str">
        <f>"01/03/2022 15:27"</f>
        <v>01/03/2022 15:27</v>
      </c>
    </row>
    <row r="7387" spans="1:10" x14ac:dyDescent="0.3">
      <c r="A7387" t="s">
        <v>6</v>
      </c>
      <c r="B7387" t="str">
        <f>"12/20/2021 00:00"</f>
        <v>12/20/2021 00:00</v>
      </c>
      <c r="C7387">
        <v>0</v>
      </c>
      <c r="D7387" t="s">
        <v>7</v>
      </c>
      <c r="E7387" s="2" t="s">
        <v>12</v>
      </c>
      <c r="F7387">
        <f t="shared" si="115"/>
        <v>0</v>
      </c>
      <c r="G7387" t="s">
        <v>16</v>
      </c>
      <c r="H7387" t="s">
        <v>10</v>
      </c>
      <c r="J7387" t="str">
        <f>"01/03/2022 15:27"</f>
        <v>01/03/2022 15:27</v>
      </c>
    </row>
    <row r="7388" spans="1:10" x14ac:dyDescent="0.3">
      <c r="A7388" t="s">
        <v>6</v>
      </c>
      <c r="B7388" t="str">
        <f>"12/21/2021 00:00"</f>
        <v>12/21/2021 00:00</v>
      </c>
      <c r="C7388">
        <v>0</v>
      </c>
      <c r="D7388" t="s">
        <v>7</v>
      </c>
      <c r="E7388" s="2" t="s">
        <v>12</v>
      </c>
      <c r="F7388">
        <f t="shared" si="115"/>
        <v>0</v>
      </c>
      <c r="G7388" t="s">
        <v>16</v>
      </c>
      <c r="H7388" t="s">
        <v>10</v>
      </c>
      <c r="J7388" t="str">
        <f>"01/03/2022 15:27"</f>
        <v>01/03/2022 15:27</v>
      </c>
    </row>
    <row r="7389" spans="1:10" x14ac:dyDescent="0.3">
      <c r="A7389" t="s">
        <v>6</v>
      </c>
      <c r="B7389" t="str">
        <f>"12/22/2021 00:00"</f>
        <v>12/22/2021 00:00</v>
      </c>
      <c r="C7389">
        <v>0</v>
      </c>
      <c r="D7389" t="s">
        <v>7</v>
      </c>
      <c r="E7389" s="2" t="s">
        <v>12</v>
      </c>
      <c r="F7389">
        <f t="shared" si="115"/>
        <v>0</v>
      </c>
      <c r="G7389" t="s">
        <v>16</v>
      </c>
      <c r="H7389" t="s">
        <v>10</v>
      </c>
      <c r="J7389" t="str">
        <f>"01/03/2022 15:27"</f>
        <v>01/03/2022 15:27</v>
      </c>
    </row>
    <row r="7390" spans="1:10" x14ac:dyDescent="0.3">
      <c r="A7390" t="s">
        <v>6</v>
      </c>
      <c r="B7390" t="str">
        <f>"12/23/2021 00:00"</f>
        <v>12/23/2021 00:00</v>
      </c>
      <c r="C7390">
        <v>0</v>
      </c>
      <c r="D7390" t="s">
        <v>7</v>
      </c>
      <c r="E7390" s="2" t="s">
        <v>12</v>
      </c>
      <c r="F7390">
        <f t="shared" si="115"/>
        <v>0</v>
      </c>
      <c r="G7390" t="s">
        <v>16</v>
      </c>
      <c r="H7390" t="s">
        <v>10</v>
      </c>
      <c r="J7390" t="str">
        <f>"01/03/2022 15:27"</f>
        <v>01/03/2022 15:27</v>
      </c>
    </row>
    <row r="7391" spans="1:10" x14ac:dyDescent="0.3">
      <c r="A7391" t="s">
        <v>6</v>
      </c>
      <c r="B7391" t="str">
        <f>"12/24/2021 00:00"</f>
        <v>12/24/2021 00:00</v>
      </c>
      <c r="C7391">
        <v>0</v>
      </c>
      <c r="D7391" t="s">
        <v>7</v>
      </c>
      <c r="E7391" s="2" t="s">
        <v>12</v>
      </c>
      <c r="F7391">
        <f t="shared" si="115"/>
        <v>0</v>
      </c>
      <c r="G7391" t="s">
        <v>16</v>
      </c>
      <c r="H7391" t="s">
        <v>10</v>
      </c>
      <c r="J7391" t="str">
        <f>"01/03/2022 15:27"</f>
        <v>01/03/2022 15:27</v>
      </c>
    </row>
    <row r="7392" spans="1:10" x14ac:dyDescent="0.3">
      <c r="A7392" t="s">
        <v>6</v>
      </c>
      <c r="B7392" t="str">
        <f>"12/25/2021 00:00"</f>
        <v>12/25/2021 00:00</v>
      </c>
      <c r="C7392">
        <v>0</v>
      </c>
      <c r="D7392" t="s">
        <v>7</v>
      </c>
      <c r="E7392" s="2" t="s">
        <v>12</v>
      </c>
      <c r="F7392">
        <f t="shared" si="115"/>
        <v>0</v>
      </c>
      <c r="G7392" t="s">
        <v>16</v>
      </c>
      <c r="H7392" t="s">
        <v>10</v>
      </c>
      <c r="J7392" t="str">
        <f>"01/03/2022 15:27"</f>
        <v>01/03/2022 15:27</v>
      </c>
    </row>
    <row r="7393" spans="1:10" x14ac:dyDescent="0.3">
      <c r="A7393" t="s">
        <v>6</v>
      </c>
      <c r="B7393" t="str">
        <f>"12/26/2021 00:00"</f>
        <v>12/26/2021 00:00</v>
      </c>
      <c r="C7393">
        <v>0</v>
      </c>
      <c r="D7393" t="s">
        <v>7</v>
      </c>
      <c r="E7393" s="2" t="s">
        <v>12</v>
      </c>
      <c r="F7393">
        <f t="shared" si="115"/>
        <v>0</v>
      </c>
      <c r="G7393" t="s">
        <v>16</v>
      </c>
      <c r="H7393" t="s">
        <v>10</v>
      </c>
      <c r="J7393" t="str">
        <f>"01/03/2022 15:27"</f>
        <v>01/03/2022 15:27</v>
      </c>
    </row>
    <row r="7394" spans="1:10" x14ac:dyDescent="0.3">
      <c r="A7394" t="s">
        <v>6</v>
      </c>
      <c r="B7394" t="str">
        <f>"12/27/2021 00:00"</f>
        <v>12/27/2021 00:00</v>
      </c>
      <c r="C7394">
        <v>0</v>
      </c>
      <c r="D7394" t="s">
        <v>7</v>
      </c>
      <c r="E7394" s="2" t="s">
        <v>12</v>
      </c>
      <c r="F7394">
        <f t="shared" si="115"/>
        <v>0</v>
      </c>
      <c r="G7394" t="s">
        <v>16</v>
      </c>
      <c r="H7394" t="s">
        <v>10</v>
      </c>
      <c r="J7394" t="str">
        <f>"01/03/2022 15:27"</f>
        <v>01/03/2022 15:27</v>
      </c>
    </row>
    <row r="7395" spans="1:10" x14ac:dyDescent="0.3">
      <c r="A7395" t="s">
        <v>6</v>
      </c>
      <c r="B7395" t="str">
        <f>"12/28/2021 00:00"</f>
        <v>12/28/2021 00:00</v>
      </c>
      <c r="C7395">
        <v>0</v>
      </c>
      <c r="D7395" t="s">
        <v>7</v>
      </c>
      <c r="E7395" s="2" t="s">
        <v>12</v>
      </c>
      <c r="F7395">
        <f t="shared" si="115"/>
        <v>0</v>
      </c>
      <c r="G7395" t="s">
        <v>16</v>
      </c>
      <c r="H7395" t="s">
        <v>10</v>
      </c>
      <c r="J7395" t="str">
        <f>"01/03/2022 15:27"</f>
        <v>01/03/2022 15:27</v>
      </c>
    </row>
    <row r="7396" spans="1:10" x14ac:dyDescent="0.3">
      <c r="A7396" t="s">
        <v>6</v>
      </c>
      <c r="B7396" t="str">
        <f>"12/29/2021 00:00"</f>
        <v>12/29/2021 00:00</v>
      </c>
      <c r="C7396">
        <v>0</v>
      </c>
      <c r="D7396" t="s">
        <v>7</v>
      </c>
      <c r="E7396" s="2" t="s">
        <v>12</v>
      </c>
      <c r="F7396">
        <f t="shared" si="115"/>
        <v>0</v>
      </c>
      <c r="G7396" t="s">
        <v>16</v>
      </c>
      <c r="H7396" t="s">
        <v>10</v>
      </c>
      <c r="J7396" t="str">
        <f>"01/03/2022 15:27"</f>
        <v>01/03/2022 15:27</v>
      </c>
    </row>
    <row r="7397" spans="1:10" x14ac:dyDescent="0.3">
      <c r="A7397" t="s">
        <v>6</v>
      </c>
      <c r="B7397" t="str">
        <f>"12/30/2021 00:00"</f>
        <v>12/30/2021 00:00</v>
      </c>
      <c r="C7397">
        <v>0</v>
      </c>
      <c r="D7397" t="s">
        <v>7</v>
      </c>
      <c r="E7397" s="2" t="s">
        <v>12</v>
      </c>
      <c r="F7397">
        <f t="shared" si="115"/>
        <v>0</v>
      </c>
      <c r="G7397" t="s">
        <v>16</v>
      </c>
      <c r="H7397" t="s">
        <v>10</v>
      </c>
      <c r="J7397" t="str">
        <f>"01/03/2022 15:27"</f>
        <v>01/03/2022 15:27</v>
      </c>
    </row>
    <row r="7398" spans="1:10" x14ac:dyDescent="0.3">
      <c r="A7398" t="s">
        <v>6</v>
      </c>
      <c r="B7398" t="str">
        <f>"12/31/2021 00:00"</f>
        <v>12/31/2021 00:00</v>
      </c>
      <c r="C7398">
        <v>0</v>
      </c>
      <c r="D7398" t="s">
        <v>7</v>
      </c>
      <c r="E7398" s="2" t="s">
        <v>12</v>
      </c>
      <c r="F7398">
        <f t="shared" si="115"/>
        <v>0</v>
      </c>
      <c r="G7398" t="s">
        <v>16</v>
      </c>
      <c r="H7398" t="s">
        <v>10</v>
      </c>
      <c r="J7398" t="str">
        <f>"01/03/2022 15:27"</f>
        <v>01/03/2022 15:27</v>
      </c>
    </row>
    <row r="7399" spans="1:10" x14ac:dyDescent="0.3">
      <c r="A7399" t="s">
        <v>6</v>
      </c>
      <c r="B7399" t="str">
        <f>"01/01/2022 00:00"</f>
        <v>01/01/2022 00:00</v>
      </c>
      <c r="C7399">
        <v>0</v>
      </c>
      <c r="D7399" t="s">
        <v>7</v>
      </c>
      <c r="E7399" s="2" t="s">
        <v>12</v>
      </c>
      <c r="F7399">
        <f t="shared" si="115"/>
        <v>0</v>
      </c>
      <c r="G7399" t="s">
        <v>16</v>
      </c>
      <c r="H7399" t="s">
        <v>10</v>
      </c>
      <c r="J7399" t="str">
        <f>"01/03/2022 15:27"</f>
        <v>01/03/2022 15:27</v>
      </c>
    </row>
    <row r="7400" spans="1:10" x14ac:dyDescent="0.3">
      <c r="A7400" t="s">
        <v>6</v>
      </c>
      <c r="B7400" t="str">
        <f>"01/02/2022 00:00"</f>
        <v>01/02/2022 00:00</v>
      </c>
      <c r="C7400">
        <v>0</v>
      </c>
      <c r="D7400" t="s">
        <v>7</v>
      </c>
      <c r="E7400" s="2" t="s">
        <v>12</v>
      </c>
      <c r="F7400">
        <f t="shared" si="115"/>
        <v>0</v>
      </c>
      <c r="G7400" t="s">
        <v>16</v>
      </c>
      <c r="H7400" t="s">
        <v>10</v>
      </c>
      <c r="J7400" t="str">
        <f>"01/07/2022 16:05"</f>
        <v>01/07/2022 16:05</v>
      </c>
    </row>
    <row r="7401" spans="1:10" x14ac:dyDescent="0.3">
      <c r="A7401" t="s">
        <v>6</v>
      </c>
      <c r="B7401" t="str">
        <f>"01/03/2022 00:00"</f>
        <v>01/03/2022 00:00</v>
      </c>
      <c r="C7401">
        <v>0</v>
      </c>
      <c r="D7401" t="s">
        <v>7</v>
      </c>
      <c r="E7401" s="2" t="s">
        <v>12</v>
      </c>
      <c r="F7401">
        <f t="shared" si="115"/>
        <v>0</v>
      </c>
      <c r="G7401" t="s">
        <v>16</v>
      </c>
      <c r="H7401" t="s">
        <v>10</v>
      </c>
      <c r="J7401" t="str">
        <f>"01/07/2022 18:59"</f>
        <v>01/07/2022 18:59</v>
      </c>
    </row>
    <row r="7402" spans="1:10" x14ac:dyDescent="0.3">
      <c r="A7402" t="s">
        <v>6</v>
      </c>
      <c r="B7402" t="str">
        <f>"01/04/2022 00:00"</f>
        <v>01/04/2022 00:00</v>
      </c>
      <c r="C7402">
        <v>0</v>
      </c>
      <c r="D7402" t="s">
        <v>7</v>
      </c>
      <c r="E7402" s="2" t="s">
        <v>12</v>
      </c>
      <c r="F7402">
        <f t="shared" si="115"/>
        <v>0</v>
      </c>
      <c r="G7402" t="s">
        <v>16</v>
      </c>
      <c r="H7402" t="s">
        <v>10</v>
      </c>
      <c r="J7402" t="str">
        <f>"01/07/2022 18:45"</f>
        <v>01/07/2022 18:45</v>
      </c>
    </row>
    <row r="7403" spans="1:10" x14ac:dyDescent="0.3">
      <c r="A7403" t="s">
        <v>6</v>
      </c>
      <c r="B7403" t="str">
        <f>"01/05/2022 00:00"</f>
        <v>01/05/2022 00:00</v>
      </c>
      <c r="C7403">
        <v>0</v>
      </c>
      <c r="D7403" t="s">
        <v>7</v>
      </c>
      <c r="E7403" s="2" t="s">
        <v>12</v>
      </c>
      <c r="F7403">
        <f t="shared" si="115"/>
        <v>0</v>
      </c>
      <c r="G7403" t="s">
        <v>16</v>
      </c>
      <c r="H7403" t="s">
        <v>10</v>
      </c>
      <c r="J7403" t="str">
        <f>"01/06/2022 00:39"</f>
        <v>01/06/2022 00:39</v>
      </c>
    </row>
    <row r="7404" spans="1:10" x14ac:dyDescent="0.3">
      <c r="A7404" t="s">
        <v>6</v>
      </c>
      <c r="B7404" t="str">
        <f>"01/06/2022 00:00"</f>
        <v>01/06/2022 00:00</v>
      </c>
      <c r="C7404">
        <v>0</v>
      </c>
      <c r="D7404" t="s">
        <v>7</v>
      </c>
      <c r="E7404" s="2" t="s">
        <v>12</v>
      </c>
      <c r="F7404">
        <f t="shared" si="115"/>
        <v>0</v>
      </c>
      <c r="G7404" t="s">
        <v>16</v>
      </c>
      <c r="H7404" t="s">
        <v>10</v>
      </c>
      <c r="J7404" t="str">
        <f>"01/07/2022 00:39"</f>
        <v>01/07/2022 00:39</v>
      </c>
    </row>
    <row r="7405" spans="1:10" x14ac:dyDescent="0.3">
      <c r="A7405" t="s">
        <v>6</v>
      </c>
      <c r="B7405" t="str">
        <f>"01/07/2022 00:00"</f>
        <v>01/07/2022 00:00</v>
      </c>
      <c r="C7405">
        <v>0</v>
      </c>
      <c r="D7405" t="s">
        <v>7</v>
      </c>
      <c r="E7405" s="2" t="s">
        <v>12</v>
      </c>
      <c r="F7405">
        <f t="shared" si="115"/>
        <v>0</v>
      </c>
      <c r="G7405" t="s">
        <v>16</v>
      </c>
      <c r="H7405" t="s">
        <v>10</v>
      </c>
      <c r="J7405" t="str">
        <f>"01/08/2022 00:38"</f>
        <v>01/08/2022 00:38</v>
      </c>
    </row>
    <row r="7406" spans="1:10" x14ac:dyDescent="0.3">
      <c r="A7406" t="s">
        <v>6</v>
      </c>
      <c r="B7406" t="str">
        <f>"01/08/2022 00:00"</f>
        <v>01/08/2022 00:00</v>
      </c>
      <c r="C7406">
        <v>0</v>
      </c>
      <c r="D7406" t="s">
        <v>7</v>
      </c>
      <c r="E7406" s="2" t="s">
        <v>12</v>
      </c>
      <c r="F7406">
        <f t="shared" si="115"/>
        <v>0</v>
      </c>
      <c r="G7406" t="s">
        <v>16</v>
      </c>
      <c r="H7406" t="s">
        <v>10</v>
      </c>
      <c r="J7406" t="str">
        <f>"01/09/2022 00:39"</f>
        <v>01/09/2022 00:39</v>
      </c>
    </row>
    <row r="7407" spans="1:10" x14ac:dyDescent="0.3">
      <c r="A7407" t="s">
        <v>6</v>
      </c>
      <c r="B7407" t="str">
        <f>"01/09/2022 00:00"</f>
        <v>01/09/2022 00:00</v>
      </c>
      <c r="C7407">
        <v>0</v>
      </c>
      <c r="D7407" t="s">
        <v>7</v>
      </c>
      <c r="E7407" s="2" t="s">
        <v>12</v>
      </c>
      <c r="F7407">
        <f t="shared" si="115"/>
        <v>0</v>
      </c>
      <c r="G7407" t="s">
        <v>16</v>
      </c>
      <c r="H7407" t="s">
        <v>10</v>
      </c>
      <c r="J7407" t="str">
        <f>"01/10/2022 00:38"</f>
        <v>01/10/2022 00:38</v>
      </c>
    </row>
    <row r="7408" spans="1:10" x14ac:dyDescent="0.3">
      <c r="A7408" t="s">
        <v>6</v>
      </c>
      <c r="B7408" t="str">
        <f>"01/10/2022 00:00"</f>
        <v>01/10/2022 00:00</v>
      </c>
      <c r="C7408">
        <v>0</v>
      </c>
      <c r="D7408" t="s">
        <v>7</v>
      </c>
      <c r="E7408" s="2" t="s">
        <v>12</v>
      </c>
      <c r="F7408">
        <f t="shared" si="115"/>
        <v>0</v>
      </c>
      <c r="G7408" t="s">
        <v>16</v>
      </c>
      <c r="H7408" t="s">
        <v>10</v>
      </c>
      <c r="J7408" t="str">
        <f>"01/11/2022 00:38"</f>
        <v>01/11/2022 00:38</v>
      </c>
    </row>
    <row r="7409" spans="1:10" x14ac:dyDescent="0.3">
      <c r="A7409" t="s">
        <v>6</v>
      </c>
      <c r="B7409" t="str">
        <f>"01/11/2022 00:00"</f>
        <v>01/11/2022 00:00</v>
      </c>
      <c r="C7409">
        <v>0</v>
      </c>
      <c r="D7409" t="s">
        <v>7</v>
      </c>
      <c r="E7409" s="2" t="s">
        <v>12</v>
      </c>
      <c r="F7409">
        <f t="shared" si="115"/>
        <v>0</v>
      </c>
      <c r="G7409" t="s">
        <v>16</v>
      </c>
      <c r="H7409" t="s">
        <v>10</v>
      </c>
      <c r="J7409" t="str">
        <f>"01/12/2022 00:38"</f>
        <v>01/12/2022 00:38</v>
      </c>
    </row>
    <row r="7410" spans="1:10" x14ac:dyDescent="0.3">
      <c r="A7410" t="s">
        <v>6</v>
      </c>
      <c r="B7410" t="str">
        <f>"01/12/2022 00:00"</f>
        <v>01/12/2022 00:00</v>
      </c>
      <c r="C7410">
        <v>0</v>
      </c>
      <c r="D7410" t="s">
        <v>7</v>
      </c>
      <c r="E7410" s="2" t="s">
        <v>12</v>
      </c>
      <c r="F7410">
        <f t="shared" si="115"/>
        <v>0</v>
      </c>
      <c r="G7410" t="s">
        <v>16</v>
      </c>
      <c r="H7410" t="s">
        <v>10</v>
      </c>
      <c r="J7410" t="str">
        <f>"01/13/2022 00:38"</f>
        <v>01/13/2022 00:38</v>
      </c>
    </row>
    <row r="7411" spans="1:10" x14ac:dyDescent="0.3">
      <c r="A7411" t="s">
        <v>6</v>
      </c>
      <c r="B7411" t="str">
        <f>"01/13/2022 00:00"</f>
        <v>01/13/2022 00:00</v>
      </c>
      <c r="C7411">
        <v>0</v>
      </c>
      <c r="D7411" t="s">
        <v>7</v>
      </c>
      <c r="E7411" s="2" t="s">
        <v>12</v>
      </c>
      <c r="F7411">
        <f t="shared" si="115"/>
        <v>0</v>
      </c>
      <c r="G7411" t="s">
        <v>16</v>
      </c>
      <c r="H7411" t="s">
        <v>10</v>
      </c>
      <c r="J7411" t="str">
        <f>"01/14/2022 00:38"</f>
        <v>01/14/2022 00:38</v>
      </c>
    </row>
    <row r="7412" spans="1:10" x14ac:dyDescent="0.3">
      <c r="A7412" t="s">
        <v>6</v>
      </c>
      <c r="B7412" t="str">
        <f>"01/14/2022 00:00"</f>
        <v>01/14/2022 00:00</v>
      </c>
      <c r="C7412">
        <v>0</v>
      </c>
      <c r="D7412" t="s">
        <v>7</v>
      </c>
      <c r="E7412" s="2" t="s">
        <v>12</v>
      </c>
      <c r="F7412">
        <f t="shared" si="115"/>
        <v>0</v>
      </c>
      <c r="G7412" t="s">
        <v>16</v>
      </c>
      <c r="H7412" t="s">
        <v>10</v>
      </c>
      <c r="J7412" t="str">
        <f>"01/15/2022 00:38"</f>
        <v>01/15/2022 00:38</v>
      </c>
    </row>
    <row r="7413" spans="1:10" x14ac:dyDescent="0.3">
      <c r="A7413" t="s">
        <v>6</v>
      </c>
      <c r="B7413" t="str">
        <f>"01/15/2022 00:00"</f>
        <v>01/15/2022 00:00</v>
      </c>
      <c r="C7413">
        <v>0</v>
      </c>
      <c r="D7413" t="s">
        <v>7</v>
      </c>
      <c r="E7413" s="2" t="s">
        <v>12</v>
      </c>
      <c r="F7413">
        <f t="shared" si="115"/>
        <v>0</v>
      </c>
      <c r="G7413" t="s">
        <v>16</v>
      </c>
      <c r="H7413" t="s">
        <v>10</v>
      </c>
      <c r="J7413" t="str">
        <f>"01/16/2022 00:38"</f>
        <v>01/16/2022 00:38</v>
      </c>
    </row>
    <row r="7414" spans="1:10" x14ac:dyDescent="0.3">
      <c r="A7414" t="s">
        <v>6</v>
      </c>
      <c r="B7414" t="str">
        <f>"01/16/2022 00:00"</f>
        <v>01/16/2022 00:00</v>
      </c>
      <c r="C7414">
        <v>0</v>
      </c>
      <c r="D7414" t="s">
        <v>7</v>
      </c>
      <c r="E7414" s="2" t="s">
        <v>12</v>
      </c>
      <c r="F7414">
        <f t="shared" si="115"/>
        <v>0</v>
      </c>
      <c r="G7414" t="s">
        <v>16</v>
      </c>
      <c r="H7414" t="s">
        <v>10</v>
      </c>
      <c r="J7414" t="str">
        <f>"01/17/2022 00:38"</f>
        <v>01/17/2022 00:38</v>
      </c>
    </row>
    <row r="7415" spans="1:10" x14ac:dyDescent="0.3">
      <c r="A7415" t="s">
        <v>6</v>
      </c>
      <c r="B7415" t="str">
        <f>"01/17/2022 00:00"</f>
        <v>01/17/2022 00:00</v>
      </c>
      <c r="C7415">
        <v>0</v>
      </c>
      <c r="D7415" t="s">
        <v>7</v>
      </c>
      <c r="E7415" s="2" t="s">
        <v>12</v>
      </c>
      <c r="F7415">
        <f t="shared" si="115"/>
        <v>0</v>
      </c>
      <c r="G7415" t="s">
        <v>16</v>
      </c>
      <c r="H7415" t="s">
        <v>10</v>
      </c>
      <c r="J7415" t="str">
        <f>"01/18/2022 00:38"</f>
        <v>01/18/2022 00:38</v>
      </c>
    </row>
    <row r="7416" spans="1:10" x14ac:dyDescent="0.3">
      <c r="A7416" t="s">
        <v>6</v>
      </c>
      <c r="B7416" t="str">
        <f>"01/18/2022 00:00"</f>
        <v>01/18/2022 00:00</v>
      </c>
      <c r="C7416">
        <v>0</v>
      </c>
      <c r="D7416" t="s">
        <v>7</v>
      </c>
      <c r="E7416" s="2" t="s">
        <v>12</v>
      </c>
      <c r="F7416">
        <f t="shared" si="115"/>
        <v>0</v>
      </c>
      <c r="G7416" t="s">
        <v>16</v>
      </c>
      <c r="H7416" t="s">
        <v>10</v>
      </c>
      <c r="J7416" t="str">
        <f>"01/19/2022 00:38"</f>
        <v>01/19/2022 00:38</v>
      </c>
    </row>
    <row r="7417" spans="1:10" x14ac:dyDescent="0.3">
      <c r="A7417" t="s">
        <v>6</v>
      </c>
      <c r="B7417" t="str">
        <f>"01/19/2022 00:00"</f>
        <v>01/19/2022 00:00</v>
      </c>
      <c r="C7417">
        <v>0</v>
      </c>
      <c r="D7417" t="s">
        <v>7</v>
      </c>
      <c r="E7417" s="2" t="s">
        <v>12</v>
      </c>
      <c r="F7417">
        <f t="shared" si="115"/>
        <v>0</v>
      </c>
      <c r="G7417" t="s">
        <v>16</v>
      </c>
      <c r="H7417" t="s">
        <v>10</v>
      </c>
      <c r="J7417" t="str">
        <f>"01/20/2022 00:38"</f>
        <v>01/20/2022 00:38</v>
      </c>
    </row>
    <row r="7418" spans="1:10" x14ac:dyDescent="0.3">
      <c r="A7418" t="s">
        <v>6</v>
      </c>
      <c r="B7418" t="str">
        <f>"01/20/2022 00:00"</f>
        <v>01/20/2022 00:00</v>
      </c>
      <c r="C7418">
        <v>0</v>
      </c>
      <c r="D7418" t="s">
        <v>7</v>
      </c>
      <c r="E7418" s="2" t="s">
        <v>12</v>
      </c>
      <c r="F7418">
        <f t="shared" si="115"/>
        <v>0</v>
      </c>
      <c r="G7418" t="s">
        <v>16</v>
      </c>
      <c r="H7418" t="s">
        <v>10</v>
      </c>
      <c r="J7418" t="str">
        <f>"01/21/2022 00:38"</f>
        <v>01/21/2022 00:38</v>
      </c>
    </row>
    <row r="7419" spans="1:10" x14ac:dyDescent="0.3">
      <c r="A7419" t="s">
        <v>6</v>
      </c>
      <c r="B7419" t="str">
        <f>"01/21/2022 00:00"</f>
        <v>01/21/2022 00:00</v>
      </c>
      <c r="C7419">
        <v>0</v>
      </c>
      <c r="D7419" t="s">
        <v>7</v>
      </c>
      <c r="E7419" s="2" t="s">
        <v>12</v>
      </c>
      <c r="F7419">
        <f t="shared" si="115"/>
        <v>0</v>
      </c>
      <c r="G7419" t="s">
        <v>16</v>
      </c>
      <c r="H7419" t="s">
        <v>10</v>
      </c>
      <c r="J7419" t="str">
        <f>"01/22/2022 00:38"</f>
        <v>01/22/2022 00:38</v>
      </c>
    </row>
    <row r="7420" spans="1:10" x14ac:dyDescent="0.3">
      <c r="A7420" t="s">
        <v>6</v>
      </c>
      <c r="B7420" t="str">
        <f>"01/22/2022 00:00"</f>
        <v>01/22/2022 00:00</v>
      </c>
      <c r="C7420">
        <v>0</v>
      </c>
      <c r="D7420" t="s">
        <v>7</v>
      </c>
      <c r="E7420" s="2" t="s">
        <v>12</v>
      </c>
      <c r="F7420">
        <f t="shared" si="115"/>
        <v>0</v>
      </c>
      <c r="G7420" t="s">
        <v>16</v>
      </c>
      <c r="H7420" t="s">
        <v>10</v>
      </c>
      <c r="J7420" t="str">
        <f>"01/23/2022 00:38"</f>
        <v>01/23/2022 00:38</v>
      </c>
    </row>
    <row r="7421" spans="1:10" x14ac:dyDescent="0.3">
      <c r="A7421" t="s">
        <v>6</v>
      </c>
      <c r="B7421" t="str">
        <f>"01/23/2022 00:00"</f>
        <v>01/23/2022 00:00</v>
      </c>
      <c r="C7421">
        <v>0</v>
      </c>
      <c r="D7421" t="s">
        <v>7</v>
      </c>
      <c r="E7421" s="2" t="s">
        <v>12</v>
      </c>
      <c r="F7421">
        <f t="shared" si="115"/>
        <v>0</v>
      </c>
      <c r="G7421" t="s">
        <v>16</v>
      </c>
      <c r="H7421" t="s">
        <v>10</v>
      </c>
      <c r="J7421" t="str">
        <f>"01/24/2022 00:38"</f>
        <v>01/24/2022 00:38</v>
      </c>
    </row>
    <row r="7422" spans="1:10" x14ac:dyDescent="0.3">
      <c r="A7422" t="s">
        <v>6</v>
      </c>
      <c r="B7422" t="str">
        <f>"01/24/2022 00:00"</f>
        <v>01/24/2022 00:00</v>
      </c>
      <c r="C7422">
        <v>0</v>
      </c>
      <c r="D7422" t="s">
        <v>7</v>
      </c>
      <c r="E7422" s="2" t="s">
        <v>12</v>
      </c>
      <c r="F7422">
        <f t="shared" si="115"/>
        <v>0</v>
      </c>
      <c r="G7422" t="s">
        <v>16</v>
      </c>
      <c r="H7422" t="s">
        <v>10</v>
      </c>
      <c r="J7422" t="str">
        <f>"01/25/2022 00:39"</f>
        <v>01/25/2022 00:39</v>
      </c>
    </row>
    <row r="7423" spans="1:10" x14ac:dyDescent="0.3">
      <c r="A7423" t="s">
        <v>6</v>
      </c>
      <c r="B7423" t="str">
        <f>"01/25/2022 00:00"</f>
        <v>01/25/2022 00:00</v>
      </c>
      <c r="C7423">
        <v>0</v>
      </c>
      <c r="D7423" t="s">
        <v>7</v>
      </c>
      <c r="E7423" s="2" t="s">
        <v>12</v>
      </c>
      <c r="F7423">
        <f t="shared" si="115"/>
        <v>0</v>
      </c>
      <c r="G7423" t="s">
        <v>16</v>
      </c>
      <c r="H7423" t="s">
        <v>10</v>
      </c>
      <c r="J7423" t="str">
        <f>"01/26/2022 00:38"</f>
        <v>01/26/2022 00:38</v>
      </c>
    </row>
    <row r="7424" spans="1:10" x14ac:dyDescent="0.3">
      <c r="A7424" t="s">
        <v>6</v>
      </c>
      <c r="B7424" t="str">
        <f>"01/26/2022 00:00"</f>
        <v>01/26/2022 00:00</v>
      </c>
      <c r="C7424">
        <v>0</v>
      </c>
      <c r="D7424" t="s">
        <v>7</v>
      </c>
      <c r="E7424" s="2" t="s">
        <v>12</v>
      </c>
      <c r="F7424">
        <f t="shared" si="115"/>
        <v>0</v>
      </c>
      <c r="G7424" t="s">
        <v>16</v>
      </c>
      <c r="H7424" t="s">
        <v>10</v>
      </c>
      <c r="J7424" t="str">
        <f>"01/27/2022 00:38"</f>
        <v>01/27/2022 00:38</v>
      </c>
    </row>
    <row r="7425" spans="1:10" x14ac:dyDescent="0.3">
      <c r="A7425" t="s">
        <v>6</v>
      </c>
      <c r="B7425" t="str">
        <f>"01/27/2022 00:00"</f>
        <v>01/27/2022 00:00</v>
      </c>
      <c r="C7425">
        <v>0</v>
      </c>
      <c r="D7425" t="s">
        <v>7</v>
      </c>
      <c r="E7425" s="2" t="s">
        <v>12</v>
      </c>
      <c r="F7425">
        <f t="shared" si="115"/>
        <v>0</v>
      </c>
      <c r="G7425" t="s">
        <v>16</v>
      </c>
      <c r="H7425" t="s">
        <v>10</v>
      </c>
      <c r="J7425" t="str">
        <f>"01/28/2022 00:38"</f>
        <v>01/28/2022 00:38</v>
      </c>
    </row>
    <row r="7426" spans="1:10" x14ac:dyDescent="0.3">
      <c r="A7426" t="s">
        <v>6</v>
      </c>
      <c r="B7426" t="str">
        <f>"01/28/2022 00:00"</f>
        <v>01/28/2022 00:00</v>
      </c>
      <c r="C7426">
        <v>0</v>
      </c>
      <c r="D7426" t="s">
        <v>7</v>
      </c>
      <c r="E7426" s="2" t="s">
        <v>12</v>
      </c>
      <c r="F7426">
        <f t="shared" si="115"/>
        <v>0</v>
      </c>
      <c r="G7426" t="s">
        <v>16</v>
      </c>
      <c r="H7426" t="s">
        <v>10</v>
      </c>
      <c r="J7426" t="str">
        <f>"01/29/2022 00:39"</f>
        <v>01/29/2022 00:39</v>
      </c>
    </row>
    <row r="7427" spans="1:10" x14ac:dyDescent="0.3">
      <c r="A7427" t="s">
        <v>6</v>
      </c>
      <c r="B7427" t="str">
        <f>"01/29/2022 00:00"</f>
        <v>01/29/2022 00:00</v>
      </c>
      <c r="C7427">
        <v>0</v>
      </c>
      <c r="D7427" t="s">
        <v>7</v>
      </c>
      <c r="E7427" s="2" t="s">
        <v>12</v>
      </c>
      <c r="F7427">
        <f t="shared" si="115"/>
        <v>0</v>
      </c>
      <c r="G7427" t="s">
        <v>16</v>
      </c>
      <c r="H7427" t="s">
        <v>10</v>
      </c>
      <c r="J7427" t="str">
        <f>"01/30/2022 00:39"</f>
        <v>01/30/2022 00:39</v>
      </c>
    </row>
    <row r="7428" spans="1:10" x14ac:dyDescent="0.3">
      <c r="A7428" t="s">
        <v>6</v>
      </c>
      <c r="B7428" t="str">
        <f>"01/30/2022 00:00"</f>
        <v>01/30/2022 00:00</v>
      </c>
      <c r="C7428">
        <v>0</v>
      </c>
      <c r="D7428" t="s">
        <v>7</v>
      </c>
      <c r="E7428" s="2" t="s">
        <v>12</v>
      </c>
      <c r="F7428">
        <f t="shared" ref="F7428:F7491" si="116">C7428*1.983</f>
        <v>0</v>
      </c>
      <c r="G7428" t="s">
        <v>16</v>
      </c>
      <c r="H7428" t="s">
        <v>10</v>
      </c>
      <c r="J7428" t="str">
        <f>"01/31/2022 00:38"</f>
        <v>01/31/2022 00:38</v>
      </c>
    </row>
    <row r="7429" spans="1:10" x14ac:dyDescent="0.3">
      <c r="A7429" t="s">
        <v>6</v>
      </c>
      <c r="B7429" t="str">
        <f>"01/31/2022 00:00"</f>
        <v>01/31/2022 00:00</v>
      </c>
      <c r="C7429">
        <v>0</v>
      </c>
      <c r="D7429" t="s">
        <v>7</v>
      </c>
      <c r="E7429" s="2" t="s">
        <v>12</v>
      </c>
      <c r="F7429">
        <f t="shared" si="116"/>
        <v>0</v>
      </c>
      <c r="G7429" t="s">
        <v>16</v>
      </c>
      <c r="H7429" t="s">
        <v>10</v>
      </c>
      <c r="J7429" t="str">
        <f>"02/01/2022 00:38"</f>
        <v>02/01/2022 00:38</v>
      </c>
    </row>
    <row r="7430" spans="1:10" x14ac:dyDescent="0.3">
      <c r="A7430" t="s">
        <v>6</v>
      </c>
      <c r="B7430" t="str">
        <f>"02/01/2022 00:00"</f>
        <v>02/01/2022 00:00</v>
      </c>
      <c r="C7430">
        <v>0</v>
      </c>
      <c r="D7430" t="s">
        <v>7</v>
      </c>
      <c r="E7430" s="2" t="s">
        <v>12</v>
      </c>
      <c r="F7430">
        <f t="shared" si="116"/>
        <v>0</v>
      </c>
      <c r="G7430" t="s">
        <v>16</v>
      </c>
      <c r="H7430" t="s">
        <v>10</v>
      </c>
      <c r="J7430" t="str">
        <f>"02/02/2022 00:38"</f>
        <v>02/02/2022 00:38</v>
      </c>
    </row>
    <row r="7431" spans="1:10" x14ac:dyDescent="0.3">
      <c r="A7431" t="s">
        <v>6</v>
      </c>
      <c r="B7431" t="str">
        <f>"02/02/2022 00:00"</f>
        <v>02/02/2022 00:00</v>
      </c>
      <c r="C7431">
        <v>0</v>
      </c>
      <c r="D7431" t="s">
        <v>7</v>
      </c>
      <c r="E7431" s="2" t="s">
        <v>12</v>
      </c>
      <c r="F7431">
        <f t="shared" si="116"/>
        <v>0</v>
      </c>
      <c r="G7431" t="s">
        <v>16</v>
      </c>
      <c r="H7431" t="s">
        <v>10</v>
      </c>
      <c r="J7431" t="str">
        <f>"02/03/2022 00:39"</f>
        <v>02/03/2022 00:39</v>
      </c>
    </row>
    <row r="7432" spans="1:10" x14ac:dyDescent="0.3">
      <c r="A7432" t="s">
        <v>6</v>
      </c>
      <c r="B7432" t="str">
        <f>"02/03/2022 00:00"</f>
        <v>02/03/2022 00:00</v>
      </c>
      <c r="C7432">
        <v>0</v>
      </c>
      <c r="D7432" t="s">
        <v>7</v>
      </c>
      <c r="E7432" s="2" t="s">
        <v>12</v>
      </c>
      <c r="F7432">
        <f t="shared" si="116"/>
        <v>0</v>
      </c>
      <c r="G7432" t="s">
        <v>16</v>
      </c>
      <c r="H7432" t="s">
        <v>10</v>
      </c>
      <c r="J7432" t="str">
        <f>"02/04/2022 00:39"</f>
        <v>02/04/2022 00:39</v>
      </c>
    </row>
    <row r="7433" spans="1:10" x14ac:dyDescent="0.3">
      <c r="A7433" t="s">
        <v>6</v>
      </c>
      <c r="B7433" t="str">
        <f>"02/04/2022 00:00"</f>
        <v>02/04/2022 00:00</v>
      </c>
      <c r="C7433">
        <v>0</v>
      </c>
      <c r="D7433" t="s">
        <v>7</v>
      </c>
      <c r="E7433" s="2" t="s">
        <v>12</v>
      </c>
      <c r="F7433">
        <f t="shared" si="116"/>
        <v>0</v>
      </c>
      <c r="G7433" t="s">
        <v>16</v>
      </c>
      <c r="H7433" t="s">
        <v>10</v>
      </c>
      <c r="J7433" t="str">
        <f>"02/05/2022 00:38"</f>
        <v>02/05/2022 00:38</v>
      </c>
    </row>
    <row r="7434" spans="1:10" x14ac:dyDescent="0.3">
      <c r="A7434" t="s">
        <v>6</v>
      </c>
      <c r="B7434" t="str">
        <f>"02/05/2022 00:00"</f>
        <v>02/05/2022 00:00</v>
      </c>
      <c r="C7434">
        <v>0</v>
      </c>
      <c r="D7434" t="s">
        <v>7</v>
      </c>
      <c r="E7434" s="2" t="s">
        <v>12</v>
      </c>
      <c r="F7434">
        <f t="shared" si="116"/>
        <v>0</v>
      </c>
      <c r="G7434" t="s">
        <v>16</v>
      </c>
      <c r="H7434" t="s">
        <v>10</v>
      </c>
      <c r="J7434" t="str">
        <f>"02/06/2022 00:38"</f>
        <v>02/06/2022 00:38</v>
      </c>
    </row>
    <row r="7435" spans="1:10" x14ac:dyDescent="0.3">
      <c r="A7435" t="s">
        <v>6</v>
      </c>
      <c r="B7435" t="str">
        <f>"02/06/2022 00:00"</f>
        <v>02/06/2022 00:00</v>
      </c>
      <c r="C7435">
        <v>0</v>
      </c>
      <c r="D7435" t="s">
        <v>7</v>
      </c>
      <c r="E7435" s="2" t="s">
        <v>12</v>
      </c>
      <c r="F7435">
        <f t="shared" si="116"/>
        <v>0</v>
      </c>
      <c r="G7435" t="s">
        <v>16</v>
      </c>
      <c r="H7435" t="s">
        <v>10</v>
      </c>
      <c r="J7435" t="str">
        <f>"02/07/2022 00:39"</f>
        <v>02/07/2022 00:39</v>
      </c>
    </row>
    <row r="7436" spans="1:10" x14ac:dyDescent="0.3">
      <c r="A7436" t="s">
        <v>6</v>
      </c>
      <c r="B7436" t="str">
        <f>"02/07/2022 00:00"</f>
        <v>02/07/2022 00:00</v>
      </c>
      <c r="C7436">
        <v>0</v>
      </c>
      <c r="D7436" t="s">
        <v>7</v>
      </c>
      <c r="E7436" s="2" t="s">
        <v>12</v>
      </c>
      <c r="F7436">
        <f t="shared" si="116"/>
        <v>0</v>
      </c>
      <c r="G7436" t="s">
        <v>16</v>
      </c>
      <c r="H7436" t="s">
        <v>10</v>
      </c>
      <c r="J7436" t="str">
        <f>"02/08/2022 00:38"</f>
        <v>02/08/2022 00:38</v>
      </c>
    </row>
    <row r="7437" spans="1:10" x14ac:dyDescent="0.3">
      <c r="A7437" t="s">
        <v>6</v>
      </c>
      <c r="B7437" t="str">
        <f>"02/08/2022 00:00"</f>
        <v>02/08/2022 00:00</v>
      </c>
      <c r="C7437">
        <v>0</v>
      </c>
      <c r="D7437" t="s">
        <v>7</v>
      </c>
      <c r="E7437" s="2" t="s">
        <v>12</v>
      </c>
      <c r="F7437">
        <f t="shared" si="116"/>
        <v>0</v>
      </c>
      <c r="G7437" t="s">
        <v>16</v>
      </c>
      <c r="H7437" t="s">
        <v>10</v>
      </c>
      <c r="J7437" t="str">
        <f>"02/09/2022 00:38"</f>
        <v>02/09/2022 00:38</v>
      </c>
    </row>
    <row r="7438" spans="1:10" x14ac:dyDescent="0.3">
      <c r="A7438" t="s">
        <v>6</v>
      </c>
      <c r="B7438" t="str">
        <f>"02/09/2022 00:00"</f>
        <v>02/09/2022 00:00</v>
      </c>
      <c r="C7438">
        <v>0</v>
      </c>
      <c r="D7438" t="s">
        <v>7</v>
      </c>
      <c r="E7438" s="2" t="s">
        <v>12</v>
      </c>
      <c r="F7438">
        <f t="shared" si="116"/>
        <v>0</v>
      </c>
      <c r="G7438" t="s">
        <v>16</v>
      </c>
      <c r="H7438" t="s">
        <v>10</v>
      </c>
      <c r="J7438" t="str">
        <f>"02/10/2022 00:39"</f>
        <v>02/10/2022 00:39</v>
      </c>
    </row>
    <row r="7439" spans="1:10" x14ac:dyDescent="0.3">
      <c r="A7439" t="s">
        <v>6</v>
      </c>
      <c r="B7439" t="str">
        <f>"02/10/2022 00:00"</f>
        <v>02/10/2022 00:00</v>
      </c>
      <c r="C7439">
        <v>0</v>
      </c>
      <c r="D7439" t="s">
        <v>7</v>
      </c>
      <c r="E7439" s="2" t="s">
        <v>12</v>
      </c>
      <c r="F7439">
        <f t="shared" si="116"/>
        <v>0</v>
      </c>
      <c r="G7439" t="s">
        <v>16</v>
      </c>
      <c r="H7439" t="s">
        <v>10</v>
      </c>
      <c r="J7439" t="str">
        <f>"02/11/2022 00:38"</f>
        <v>02/11/2022 00:38</v>
      </c>
    </row>
    <row r="7440" spans="1:10" x14ac:dyDescent="0.3">
      <c r="A7440" t="s">
        <v>6</v>
      </c>
      <c r="B7440" t="str">
        <f>"02/11/2022 00:00"</f>
        <v>02/11/2022 00:00</v>
      </c>
      <c r="C7440">
        <v>0</v>
      </c>
      <c r="D7440" t="s">
        <v>7</v>
      </c>
      <c r="E7440" s="2" t="s">
        <v>12</v>
      </c>
      <c r="F7440">
        <f t="shared" si="116"/>
        <v>0</v>
      </c>
      <c r="G7440" t="s">
        <v>16</v>
      </c>
      <c r="H7440" t="s">
        <v>10</v>
      </c>
      <c r="J7440" t="str">
        <f>"02/12/2022 00:38"</f>
        <v>02/12/2022 00:38</v>
      </c>
    </row>
    <row r="7441" spans="1:10" x14ac:dyDescent="0.3">
      <c r="A7441" t="s">
        <v>6</v>
      </c>
      <c r="B7441" t="str">
        <f>"02/12/2022 00:00"</f>
        <v>02/12/2022 00:00</v>
      </c>
      <c r="C7441">
        <v>0</v>
      </c>
      <c r="D7441" t="s">
        <v>7</v>
      </c>
      <c r="E7441" s="2" t="s">
        <v>12</v>
      </c>
      <c r="F7441">
        <f t="shared" si="116"/>
        <v>0</v>
      </c>
      <c r="G7441" t="s">
        <v>16</v>
      </c>
      <c r="H7441" t="s">
        <v>10</v>
      </c>
      <c r="J7441" t="str">
        <f>"02/13/2022 00:39"</f>
        <v>02/13/2022 00:39</v>
      </c>
    </row>
    <row r="7442" spans="1:10" x14ac:dyDescent="0.3">
      <c r="A7442" t="s">
        <v>6</v>
      </c>
      <c r="B7442" t="str">
        <f>"02/13/2022 00:00"</f>
        <v>02/13/2022 00:00</v>
      </c>
      <c r="C7442">
        <v>0</v>
      </c>
      <c r="D7442" t="s">
        <v>7</v>
      </c>
      <c r="E7442" s="2" t="s">
        <v>12</v>
      </c>
      <c r="F7442">
        <f t="shared" si="116"/>
        <v>0</v>
      </c>
      <c r="G7442" t="s">
        <v>16</v>
      </c>
      <c r="H7442" t="s">
        <v>10</v>
      </c>
      <c r="J7442" t="str">
        <f>"02/14/2022 00:38"</f>
        <v>02/14/2022 00:38</v>
      </c>
    </row>
    <row r="7443" spans="1:10" x14ac:dyDescent="0.3">
      <c r="A7443" t="s">
        <v>6</v>
      </c>
      <c r="B7443" t="str">
        <f>"02/14/2022 00:00"</f>
        <v>02/14/2022 00:00</v>
      </c>
      <c r="C7443">
        <v>0</v>
      </c>
      <c r="D7443" t="s">
        <v>7</v>
      </c>
      <c r="E7443" s="2" t="s">
        <v>12</v>
      </c>
      <c r="F7443">
        <f t="shared" si="116"/>
        <v>0</v>
      </c>
      <c r="G7443" t="s">
        <v>16</v>
      </c>
      <c r="H7443" t="s">
        <v>10</v>
      </c>
      <c r="J7443" t="str">
        <f>"02/15/2022 00:39"</f>
        <v>02/15/2022 00:39</v>
      </c>
    </row>
    <row r="7444" spans="1:10" x14ac:dyDescent="0.3">
      <c r="A7444" t="s">
        <v>6</v>
      </c>
      <c r="B7444" t="str">
        <f>"02/15/2022 00:00"</f>
        <v>02/15/2022 00:00</v>
      </c>
      <c r="C7444">
        <v>0</v>
      </c>
      <c r="D7444" t="s">
        <v>7</v>
      </c>
      <c r="E7444" s="2" t="s">
        <v>12</v>
      </c>
      <c r="F7444">
        <f t="shared" si="116"/>
        <v>0</v>
      </c>
      <c r="G7444" t="s">
        <v>16</v>
      </c>
      <c r="H7444" t="s">
        <v>10</v>
      </c>
      <c r="J7444" t="str">
        <f>"02/16/2022 00:39"</f>
        <v>02/16/2022 00:39</v>
      </c>
    </row>
    <row r="7445" spans="1:10" x14ac:dyDescent="0.3">
      <c r="A7445" t="s">
        <v>6</v>
      </c>
      <c r="B7445" t="str">
        <f>"02/16/2022 00:00"</f>
        <v>02/16/2022 00:00</v>
      </c>
      <c r="C7445">
        <v>0</v>
      </c>
      <c r="D7445" t="s">
        <v>7</v>
      </c>
      <c r="E7445" s="2" t="s">
        <v>12</v>
      </c>
      <c r="F7445">
        <f t="shared" si="116"/>
        <v>0</v>
      </c>
      <c r="G7445" t="s">
        <v>16</v>
      </c>
      <c r="H7445" t="s">
        <v>10</v>
      </c>
      <c r="J7445" t="str">
        <f>"02/17/2022 00:38"</f>
        <v>02/17/2022 00:38</v>
      </c>
    </row>
    <row r="7446" spans="1:10" x14ac:dyDescent="0.3">
      <c r="A7446" t="s">
        <v>6</v>
      </c>
      <c r="B7446" t="str">
        <f>"02/17/2022 00:00"</f>
        <v>02/17/2022 00:00</v>
      </c>
      <c r="C7446">
        <v>0</v>
      </c>
      <c r="D7446" t="s">
        <v>7</v>
      </c>
      <c r="E7446" s="2" t="s">
        <v>12</v>
      </c>
      <c r="F7446">
        <f t="shared" si="116"/>
        <v>0</v>
      </c>
      <c r="G7446" t="s">
        <v>16</v>
      </c>
      <c r="H7446" t="s">
        <v>10</v>
      </c>
      <c r="J7446" t="str">
        <f>"02/18/2022 00:39"</f>
        <v>02/18/2022 00:39</v>
      </c>
    </row>
    <row r="7447" spans="1:10" x14ac:dyDescent="0.3">
      <c r="A7447" t="s">
        <v>6</v>
      </c>
      <c r="B7447" t="str">
        <f>"02/18/2022 00:00"</f>
        <v>02/18/2022 00:00</v>
      </c>
      <c r="C7447">
        <v>0</v>
      </c>
      <c r="D7447" t="s">
        <v>7</v>
      </c>
      <c r="E7447" s="2" t="s">
        <v>12</v>
      </c>
      <c r="F7447">
        <f t="shared" si="116"/>
        <v>0</v>
      </c>
      <c r="G7447" t="s">
        <v>16</v>
      </c>
      <c r="H7447" t="s">
        <v>10</v>
      </c>
      <c r="J7447" t="str">
        <f>"02/19/2022 00:38"</f>
        <v>02/19/2022 00:38</v>
      </c>
    </row>
    <row r="7448" spans="1:10" x14ac:dyDescent="0.3">
      <c r="A7448" t="s">
        <v>6</v>
      </c>
      <c r="B7448" t="str">
        <f>"02/19/2022 00:00"</f>
        <v>02/19/2022 00:00</v>
      </c>
      <c r="C7448">
        <v>0</v>
      </c>
      <c r="D7448" t="s">
        <v>7</v>
      </c>
      <c r="E7448" s="2" t="s">
        <v>12</v>
      </c>
      <c r="F7448">
        <f t="shared" si="116"/>
        <v>0</v>
      </c>
      <c r="G7448" t="s">
        <v>16</v>
      </c>
      <c r="H7448" t="s">
        <v>10</v>
      </c>
      <c r="J7448" t="str">
        <f>"02/20/2022 00:38"</f>
        <v>02/20/2022 00:38</v>
      </c>
    </row>
    <row r="7449" spans="1:10" x14ac:dyDescent="0.3">
      <c r="A7449" t="s">
        <v>6</v>
      </c>
      <c r="B7449" t="str">
        <f>"02/20/2022 00:00"</f>
        <v>02/20/2022 00:00</v>
      </c>
      <c r="C7449">
        <v>0</v>
      </c>
      <c r="D7449" t="s">
        <v>7</v>
      </c>
      <c r="E7449" s="2" t="s">
        <v>12</v>
      </c>
      <c r="F7449">
        <f t="shared" si="116"/>
        <v>0</v>
      </c>
      <c r="G7449" t="s">
        <v>16</v>
      </c>
      <c r="H7449" t="s">
        <v>10</v>
      </c>
      <c r="J7449" t="str">
        <f>"02/21/2022 00:39"</f>
        <v>02/21/2022 00:39</v>
      </c>
    </row>
    <row r="7450" spans="1:10" x14ac:dyDescent="0.3">
      <c r="A7450" t="s">
        <v>6</v>
      </c>
      <c r="B7450" t="str">
        <f>"02/21/2022 00:00"</f>
        <v>02/21/2022 00:00</v>
      </c>
      <c r="C7450">
        <v>0</v>
      </c>
      <c r="D7450" t="s">
        <v>7</v>
      </c>
      <c r="E7450" s="2" t="s">
        <v>12</v>
      </c>
      <c r="F7450">
        <f t="shared" si="116"/>
        <v>0</v>
      </c>
      <c r="G7450" t="s">
        <v>16</v>
      </c>
      <c r="H7450" t="s">
        <v>10</v>
      </c>
      <c r="J7450" t="str">
        <f>"02/22/2022 00:38"</f>
        <v>02/22/2022 00:38</v>
      </c>
    </row>
    <row r="7451" spans="1:10" x14ac:dyDescent="0.3">
      <c r="A7451" t="s">
        <v>6</v>
      </c>
      <c r="B7451" t="str">
        <f>"02/22/2022 00:00"</f>
        <v>02/22/2022 00:00</v>
      </c>
      <c r="C7451">
        <v>0</v>
      </c>
      <c r="D7451" t="s">
        <v>7</v>
      </c>
      <c r="E7451" s="2" t="s">
        <v>12</v>
      </c>
      <c r="F7451">
        <f t="shared" si="116"/>
        <v>0</v>
      </c>
      <c r="G7451" t="s">
        <v>16</v>
      </c>
      <c r="H7451" t="s">
        <v>10</v>
      </c>
      <c r="J7451" t="str">
        <f>"02/23/2022 00:38"</f>
        <v>02/23/2022 00:38</v>
      </c>
    </row>
    <row r="7452" spans="1:10" x14ac:dyDescent="0.3">
      <c r="A7452" t="s">
        <v>6</v>
      </c>
      <c r="B7452" t="str">
        <f>"02/23/2022 00:00"</f>
        <v>02/23/2022 00:00</v>
      </c>
      <c r="C7452">
        <v>0</v>
      </c>
      <c r="D7452" t="s">
        <v>7</v>
      </c>
      <c r="E7452" s="2" t="s">
        <v>12</v>
      </c>
      <c r="F7452">
        <f t="shared" si="116"/>
        <v>0</v>
      </c>
      <c r="G7452" t="s">
        <v>16</v>
      </c>
      <c r="H7452" t="s">
        <v>10</v>
      </c>
      <c r="J7452" t="str">
        <f>"02/24/2022 00:38"</f>
        <v>02/24/2022 00:38</v>
      </c>
    </row>
    <row r="7453" spans="1:10" x14ac:dyDescent="0.3">
      <c r="A7453" t="s">
        <v>6</v>
      </c>
      <c r="B7453" t="str">
        <f>"02/24/2022 00:00"</f>
        <v>02/24/2022 00:00</v>
      </c>
      <c r="C7453">
        <v>0</v>
      </c>
      <c r="D7453" t="s">
        <v>7</v>
      </c>
      <c r="E7453" s="2" t="s">
        <v>12</v>
      </c>
      <c r="F7453">
        <f t="shared" si="116"/>
        <v>0</v>
      </c>
      <c r="G7453" t="s">
        <v>16</v>
      </c>
      <c r="H7453" t="s">
        <v>10</v>
      </c>
      <c r="J7453" t="str">
        <f>"02/25/2022 00:38"</f>
        <v>02/25/2022 00:38</v>
      </c>
    </row>
    <row r="7454" spans="1:10" x14ac:dyDescent="0.3">
      <c r="A7454" t="s">
        <v>6</v>
      </c>
      <c r="B7454" t="str">
        <f>"02/25/2022 00:00"</f>
        <v>02/25/2022 00:00</v>
      </c>
      <c r="C7454">
        <v>0</v>
      </c>
      <c r="D7454" t="s">
        <v>7</v>
      </c>
      <c r="E7454" s="2" t="s">
        <v>12</v>
      </c>
      <c r="F7454">
        <f t="shared" si="116"/>
        <v>0</v>
      </c>
      <c r="G7454" t="s">
        <v>16</v>
      </c>
      <c r="H7454" t="s">
        <v>10</v>
      </c>
      <c r="J7454" t="str">
        <f>"02/26/2022 00:38"</f>
        <v>02/26/2022 00:38</v>
      </c>
    </row>
    <row r="7455" spans="1:10" x14ac:dyDescent="0.3">
      <c r="A7455" t="s">
        <v>6</v>
      </c>
      <c r="B7455" t="str">
        <f>"02/26/2022 00:00"</f>
        <v>02/26/2022 00:00</v>
      </c>
      <c r="C7455">
        <v>0</v>
      </c>
      <c r="D7455" t="s">
        <v>7</v>
      </c>
      <c r="E7455" s="2" t="s">
        <v>12</v>
      </c>
      <c r="F7455">
        <f t="shared" si="116"/>
        <v>0</v>
      </c>
      <c r="G7455" t="s">
        <v>16</v>
      </c>
      <c r="H7455" t="s">
        <v>10</v>
      </c>
      <c r="J7455" t="str">
        <f>"02/27/2022 00:38"</f>
        <v>02/27/2022 00:38</v>
      </c>
    </row>
    <row r="7456" spans="1:10" x14ac:dyDescent="0.3">
      <c r="A7456" t="s">
        <v>6</v>
      </c>
      <c r="B7456" t="str">
        <f>"02/27/2022 00:00"</f>
        <v>02/27/2022 00:00</v>
      </c>
      <c r="C7456">
        <v>0</v>
      </c>
      <c r="D7456" t="s">
        <v>7</v>
      </c>
      <c r="E7456" s="2" t="s">
        <v>12</v>
      </c>
      <c r="F7456">
        <f t="shared" si="116"/>
        <v>0</v>
      </c>
      <c r="G7456" t="s">
        <v>16</v>
      </c>
      <c r="H7456" t="s">
        <v>10</v>
      </c>
      <c r="J7456" t="str">
        <f>"02/28/2022 00:38"</f>
        <v>02/28/2022 00:38</v>
      </c>
    </row>
    <row r="7457" spans="1:10" x14ac:dyDescent="0.3">
      <c r="A7457" t="s">
        <v>6</v>
      </c>
      <c r="B7457" t="str">
        <f>"02/28/2022 00:00"</f>
        <v>02/28/2022 00:00</v>
      </c>
      <c r="C7457">
        <v>0</v>
      </c>
      <c r="D7457" t="s">
        <v>7</v>
      </c>
      <c r="E7457" s="2" t="s">
        <v>12</v>
      </c>
      <c r="F7457">
        <f t="shared" si="116"/>
        <v>0</v>
      </c>
      <c r="G7457" t="s">
        <v>16</v>
      </c>
      <c r="H7457" t="s">
        <v>10</v>
      </c>
      <c r="J7457" t="str">
        <f>"03/01/2022 00:38"</f>
        <v>03/01/2022 00:38</v>
      </c>
    </row>
    <row r="7458" spans="1:10" x14ac:dyDescent="0.3">
      <c r="A7458" t="s">
        <v>6</v>
      </c>
      <c r="B7458" t="str">
        <f>"03/01/2022 00:00"</f>
        <v>03/01/2022 00:00</v>
      </c>
      <c r="C7458">
        <v>0</v>
      </c>
      <c r="D7458" t="s">
        <v>7</v>
      </c>
      <c r="E7458" s="2" t="s">
        <v>12</v>
      </c>
      <c r="F7458">
        <f t="shared" si="116"/>
        <v>0</v>
      </c>
      <c r="G7458" t="s">
        <v>16</v>
      </c>
      <c r="H7458" t="s">
        <v>10</v>
      </c>
      <c r="J7458" t="str">
        <f>"03/02/2022 00:38"</f>
        <v>03/02/2022 00:38</v>
      </c>
    </row>
    <row r="7459" spans="1:10" x14ac:dyDescent="0.3">
      <c r="A7459" t="s">
        <v>6</v>
      </c>
      <c r="B7459" t="str">
        <f>"03/02/2022 00:00"</f>
        <v>03/02/2022 00:00</v>
      </c>
      <c r="C7459">
        <v>0</v>
      </c>
      <c r="D7459" t="s">
        <v>7</v>
      </c>
      <c r="E7459" s="2" t="s">
        <v>12</v>
      </c>
      <c r="F7459">
        <f t="shared" si="116"/>
        <v>0</v>
      </c>
      <c r="G7459" t="s">
        <v>16</v>
      </c>
      <c r="H7459" t="s">
        <v>10</v>
      </c>
      <c r="J7459" t="str">
        <f>"03/03/2022 00:38"</f>
        <v>03/03/2022 00:38</v>
      </c>
    </row>
    <row r="7460" spans="1:10" x14ac:dyDescent="0.3">
      <c r="A7460" t="s">
        <v>6</v>
      </c>
      <c r="B7460" t="str">
        <f>"03/03/2022 00:00"</f>
        <v>03/03/2022 00:00</v>
      </c>
      <c r="C7460">
        <v>0</v>
      </c>
      <c r="D7460" t="s">
        <v>7</v>
      </c>
      <c r="E7460" s="2" t="s">
        <v>12</v>
      </c>
      <c r="F7460">
        <f t="shared" si="116"/>
        <v>0</v>
      </c>
      <c r="G7460" t="s">
        <v>16</v>
      </c>
      <c r="H7460" t="s">
        <v>10</v>
      </c>
      <c r="J7460" t="str">
        <f>"03/04/2022 00:38"</f>
        <v>03/04/2022 00:38</v>
      </c>
    </row>
    <row r="7461" spans="1:10" x14ac:dyDescent="0.3">
      <c r="A7461" t="s">
        <v>6</v>
      </c>
      <c r="B7461" t="str">
        <f>"03/04/2022 00:00"</f>
        <v>03/04/2022 00:00</v>
      </c>
      <c r="C7461">
        <v>0</v>
      </c>
      <c r="D7461" t="s">
        <v>7</v>
      </c>
      <c r="E7461" s="2" t="s">
        <v>12</v>
      </c>
      <c r="F7461">
        <f t="shared" si="116"/>
        <v>0</v>
      </c>
      <c r="G7461" t="s">
        <v>16</v>
      </c>
      <c r="H7461" t="s">
        <v>10</v>
      </c>
      <c r="J7461" t="str">
        <f>"03/05/2022 00:38"</f>
        <v>03/05/2022 00:38</v>
      </c>
    </row>
    <row r="7462" spans="1:10" x14ac:dyDescent="0.3">
      <c r="A7462" t="s">
        <v>6</v>
      </c>
      <c r="B7462" t="str">
        <f>"03/05/2022 00:00"</f>
        <v>03/05/2022 00:00</v>
      </c>
      <c r="C7462">
        <v>0</v>
      </c>
      <c r="D7462" t="s">
        <v>7</v>
      </c>
      <c r="E7462" s="2" t="s">
        <v>12</v>
      </c>
      <c r="F7462">
        <f t="shared" si="116"/>
        <v>0</v>
      </c>
      <c r="G7462" t="s">
        <v>16</v>
      </c>
      <c r="H7462" t="s">
        <v>10</v>
      </c>
      <c r="J7462" t="str">
        <f>"03/06/2022 00:38"</f>
        <v>03/06/2022 00:38</v>
      </c>
    </row>
    <row r="7463" spans="1:10" x14ac:dyDescent="0.3">
      <c r="A7463" t="s">
        <v>6</v>
      </c>
      <c r="B7463" t="str">
        <f>"03/06/2022 00:00"</f>
        <v>03/06/2022 00:00</v>
      </c>
      <c r="C7463">
        <v>0</v>
      </c>
      <c r="D7463" t="s">
        <v>7</v>
      </c>
      <c r="E7463" s="2" t="s">
        <v>12</v>
      </c>
      <c r="F7463">
        <f t="shared" si="116"/>
        <v>0</v>
      </c>
      <c r="G7463" t="s">
        <v>16</v>
      </c>
      <c r="H7463" t="s">
        <v>10</v>
      </c>
      <c r="J7463" t="str">
        <f>"03/07/2022 00:38"</f>
        <v>03/07/2022 00:38</v>
      </c>
    </row>
    <row r="7464" spans="1:10" x14ac:dyDescent="0.3">
      <c r="A7464" t="s">
        <v>6</v>
      </c>
      <c r="B7464" t="str">
        <f>"03/07/2022 00:00"</f>
        <v>03/07/2022 00:00</v>
      </c>
      <c r="C7464">
        <v>0</v>
      </c>
      <c r="D7464" t="s">
        <v>7</v>
      </c>
      <c r="E7464" s="2" t="s">
        <v>12</v>
      </c>
      <c r="F7464">
        <f t="shared" si="116"/>
        <v>0</v>
      </c>
      <c r="G7464" t="s">
        <v>16</v>
      </c>
      <c r="H7464" t="s">
        <v>10</v>
      </c>
      <c r="J7464" t="str">
        <f>"03/08/2022 00:38"</f>
        <v>03/08/2022 00:38</v>
      </c>
    </row>
    <row r="7465" spans="1:10" x14ac:dyDescent="0.3">
      <c r="A7465" t="s">
        <v>6</v>
      </c>
      <c r="B7465" t="str">
        <f>"03/08/2022 00:00"</f>
        <v>03/08/2022 00:00</v>
      </c>
      <c r="C7465">
        <v>0</v>
      </c>
      <c r="D7465" t="s">
        <v>7</v>
      </c>
      <c r="E7465" s="2" t="s">
        <v>12</v>
      </c>
      <c r="F7465">
        <f t="shared" si="116"/>
        <v>0</v>
      </c>
      <c r="G7465" t="s">
        <v>16</v>
      </c>
      <c r="H7465" t="s">
        <v>10</v>
      </c>
      <c r="J7465" t="str">
        <f>"03/09/2022 00:39"</f>
        <v>03/09/2022 00:39</v>
      </c>
    </row>
    <row r="7466" spans="1:10" x14ac:dyDescent="0.3">
      <c r="A7466" t="s">
        <v>6</v>
      </c>
      <c r="B7466" t="str">
        <f>"03/09/2022 00:00"</f>
        <v>03/09/2022 00:00</v>
      </c>
      <c r="C7466">
        <v>0</v>
      </c>
      <c r="D7466" t="s">
        <v>7</v>
      </c>
      <c r="E7466" s="2" t="s">
        <v>12</v>
      </c>
      <c r="F7466">
        <f t="shared" si="116"/>
        <v>0</v>
      </c>
      <c r="G7466" t="s">
        <v>16</v>
      </c>
      <c r="H7466" t="s">
        <v>10</v>
      </c>
      <c r="J7466" t="str">
        <f>"03/10/2022 00:39"</f>
        <v>03/10/2022 00:39</v>
      </c>
    </row>
    <row r="7467" spans="1:10" x14ac:dyDescent="0.3">
      <c r="A7467" t="s">
        <v>6</v>
      </c>
      <c r="B7467" t="str">
        <f>"03/10/2022 00:00"</f>
        <v>03/10/2022 00:00</v>
      </c>
      <c r="C7467">
        <v>0</v>
      </c>
      <c r="D7467" t="s">
        <v>7</v>
      </c>
      <c r="E7467" s="2" t="s">
        <v>12</v>
      </c>
      <c r="F7467">
        <f t="shared" si="116"/>
        <v>0</v>
      </c>
      <c r="G7467" t="s">
        <v>16</v>
      </c>
      <c r="H7467" t="s">
        <v>10</v>
      </c>
      <c r="J7467" t="str">
        <f>"03/11/2022 00:38"</f>
        <v>03/11/2022 00:38</v>
      </c>
    </row>
    <row r="7468" spans="1:10" x14ac:dyDescent="0.3">
      <c r="A7468" t="s">
        <v>6</v>
      </c>
      <c r="B7468" t="str">
        <f>"03/11/2022 00:00"</f>
        <v>03/11/2022 00:00</v>
      </c>
      <c r="C7468">
        <v>0</v>
      </c>
      <c r="D7468" t="s">
        <v>7</v>
      </c>
      <c r="E7468" s="2" t="s">
        <v>12</v>
      </c>
      <c r="F7468">
        <f t="shared" si="116"/>
        <v>0</v>
      </c>
      <c r="G7468" t="s">
        <v>16</v>
      </c>
      <c r="H7468" t="s">
        <v>10</v>
      </c>
      <c r="J7468" t="str">
        <f>"03/12/2022 00:38"</f>
        <v>03/12/2022 00:38</v>
      </c>
    </row>
    <row r="7469" spans="1:10" x14ac:dyDescent="0.3">
      <c r="A7469" t="s">
        <v>6</v>
      </c>
      <c r="B7469" t="str">
        <f>"03/12/2022 00:00"</f>
        <v>03/12/2022 00:00</v>
      </c>
      <c r="C7469">
        <v>0</v>
      </c>
      <c r="D7469" t="s">
        <v>7</v>
      </c>
      <c r="E7469" s="2" t="s">
        <v>12</v>
      </c>
      <c r="F7469">
        <f t="shared" si="116"/>
        <v>0</v>
      </c>
      <c r="G7469" t="s">
        <v>16</v>
      </c>
      <c r="H7469" t="s">
        <v>10</v>
      </c>
      <c r="J7469" t="str">
        <f>"03/13/2022 00:38"</f>
        <v>03/13/2022 00:38</v>
      </c>
    </row>
    <row r="7470" spans="1:10" x14ac:dyDescent="0.3">
      <c r="A7470" t="s">
        <v>6</v>
      </c>
      <c r="B7470" t="str">
        <f>"03/13/2022 00:00"</f>
        <v>03/13/2022 00:00</v>
      </c>
      <c r="C7470">
        <v>0</v>
      </c>
      <c r="D7470" t="s">
        <v>7</v>
      </c>
      <c r="E7470" s="2" t="s">
        <v>12</v>
      </c>
      <c r="F7470">
        <f t="shared" si="116"/>
        <v>0</v>
      </c>
      <c r="G7470" t="s">
        <v>16</v>
      </c>
      <c r="H7470" t="s">
        <v>10</v>
      </c>
      <c r="J7470" t="str">
        <f>"03/14/2022 00:39"</f>
        <v>03/14/2022 00:39</v>
      </c>
    </row>
    <row r="7471" spans="1:10" x14ac:dyDescent="0.3">
      <c r="A7471" t="s">
        <v>6</v>
      </c>
      <c r="B7471" t="str">
        <f>"03/14/2022 00:00"</f>
        <v>03/14/2022 00:00</v>
      </c>
      <c r="C7471">
        <v>0</v>
      </c>
      <c r="D7471" t="s">
        <v>7</v>
      </c>
      <c r="E7471" s="2" t="s">
        <v>12</v>
      </c>
      <c r="F7471">
        <f t="shared" si="116"/>
        <v>0</v>
      </c>
      <c r="G7471" t="s">
        <v>16</v>
      </c>
      <c r="H7471" t="s">
        <v>10</v>
      </c>
      <c r="J7471" t="str">
        <f>"03/15/2022 00:38"</f>
        <v>03/15/2022 00:38</v>
      </c>
    </row>
    <row r="7472" spans="1:10" x14ac:dyDescent="0.3">
      <c r="A7472" t="s">
        <v>6</v>
      </c>
      <c r="B7472" t="str">
        <f>"03/15/2022 00:00"</f>
        <v>03/15/2022 00:00</v>
      </c>
      <c r="C7472">
        <v>0</v>
      </c>
      <c r="D7472" t="s">
        <v>7</v>
      </c>
      <c r="E7472" s="2" t="s">
        <v>12</v>
      </c>
      <c r="F7472">
        <f t="shared" si="116"/>
        <v>0</v>
      </c>
      <c r="G7472" t="s">
        <v>16</v>
      </c>
      <c r="H7472" t="s">
        <v>10</v>
      </c>
      <c r="J7472" t="str">
        <f>"03/16/2022 00:38"</f>
        <v>03/16/2022 00:38</v>
      </c>
    </row>
    <row r="7473" spans="1:10" x14ac:dyDescent="0.3">
      <c r="A7473" t="s">
        <v>6</v>
      </c>
      <c r="B7473" t="str">
        <f>"03/16/2022 00:00"</f>
        <v>03/16/2022 00:00</v>
      </c>
      <c r="C7473">
        <v>0</v>
      </c>
      <c r="D7473" t="s">
        <v>7</v>
      </c>
      <c r="E7473" s="2" t="s">
        <v>12</v>
      </c>
      <c r="F7473">
        <f t="shared" si="116"/>
        <v>0</v>
      </c>
      <c r="G7473" t="s">
        <v>16</v>
      </c>
      <c r="H7473" t="s">
        <v>10</v>
      </c>
      <c r="J7473" t="str">
        <f>"03/17/2022 00:39"</f>
        <v>03/17/2022 00:39</v>
      </c>
    </row>
    <row r="7474" spans="1:10" x14ac:dyDescent="0.3">
      <c r="A7474" t="s">
        <v>6</v>
      </c>
      <c r="B7474" t="str">
        <f>"03/17/2022 00:00"</f>
        <v>03/17/2022 00:00</v>
      </c>
      <c r="C7474">
        <v>0</v>
      </c>
      <c r="D7474" t="s">
        <v>7</v>
      </c>
      <c r="E7474" s="2" t="s">
        <v>12</v>
      </c>
      <c r="F7474">
        <f t="shared" si="116"/>
        <v>0</v>
      </c>
      <c r="G7474" t="s">
        <v>16</v>
      </c>
      <c r="H7474" t="s">
        <v>10</v>
      </c>
      <c r="J7474" t="str">
        <f>"03/18/2022 00:39"</f>
        <v>03/18/2022 00:39</v>
      </c>
    </row>
    <row r="7475" spans="1:10" x14ac:dyDescent="0.3">
      <c r="A7475" t="s">
        <v>6</v>
      </c>
      <c r="B7475" t="str">
        <f>"03/18/2022 00:00"</f>
        <v>03/18/2022 00:00</v>
      </c>
      <c r="C7475">
        <v>0</v>
      </c>
      <c r="D7475" t="s">
        <v>7</v>
      </c>
      <c r="E7475" s="2" t="s">
        <v>12</v>
      </c>
      <c r="F7475">
        <f t="shared" si="116"/>
        <v>0</v>
      </c>
      <c r="G7475" t="s">
        <v>16</v>
      </c>
      <c r="H7475" t="s">
        <v>10</v>
      </c>
      <c r="J7475" t="str">
        <f>"03/19/2022 00:39"</f>
        <v>03/19/2022 00:39</v>
      </c>
    </row>
    <row r="7476" spans="1:10" x14ac:dyDescent="0.3">
      <c r="A7476" t="s">
        <v>6</v>
      </c>
      <c r="B7476" t="str">
        <f>"03/19/2022 00:00"</f>
        <v>03/19/2022 00:00</v>
      </c>
      <c r="C7476">
        <v>0</v>
      </c>
      <c r="D7476" t="s">
        <v>7</v>
      </c>
      <c r="E7476" s="2" t="s">
        <v>12</v>
      </c>
      <c r="F7476">
        <f t="shared" si="116"/>
        <v>0</v>
      </c>
      <c r="G7476" t="s">
        <v>16</v>
      </c>
      <c r="H7476" t="s">
        <v>10</v>
      </c>
      <c r="J7476" t="str">
        <f>"03/20/2022 00:38"</f>
        <v>03/20/2022 00:38</v>
      </c>
    </row>
    <row r="7477" spans="1:10" x14ac:dyDescent="0.3">
      <c r="A7477" t="s">
        <v>6</v>
      </c>
      <c r="B7477" t="str">
        <f>"03/20/2022 00:00"</f>
        <v>03/20/2022 00:00</v>
      </c>
      <c r="C7477">
        <v>0</v>
      </c>
      <c r="D7477" t="s">
        <v>7</v>
      </c>
      <c r="E7477" s="2" t="s">
        <v>12</v>
      </c>
      <c r="F7477">
        <f t="shared" si="116"/>
        <v>0</v>
      </c>
      <c r="G7477" t="s">
        <v>16</v>
      </c>
      <c r="H7477" t="s">
        <v>10</v>
      </c>
      <c r="J7477" t="str">
        <f>"03/21/2022 00:39"</f>
        <v>03/21/2022 00:39</v>
      </c>
    </row>
    <row r="7478" spans="1:10" x14ac:dyDescent="0.3">
      <c r="A7478" t="s">
        <v>6</v>
      </c>
      <c r="B7478" t="str">
        <f>"03/21/2022 00:00"</f>
        <v>03/21/2022 00:00</v>
      </c>
      <c r="C7478">
        <v>0</v>
      </c>
      <c r="D7478" t="s">
        <v>7</v>
      </c>
      <c r="E7478" s="2" t="s">
        <v>12</v>
      </c>
      <c r="F7478">
        <f t="shared" si="116"/>
        <v>0</v>
      </c>
      <c r="G7478" t="s">
        <v>16</v>
      </c>
      <c r="H7478" t="s">
        <v>10</v>
      </c>
      <c r="J7478" t="str">
        <f>"03/22/2022 00:38"</f>
        <v>03/22/2022 00:38</v>
      </c>
    </row>
    <row r="7479" spans="1:10" x14ac:dyDescent="0.3">
      <c r="A7479" t="s">
        <v>6</v>
      </c>
      <c r="B7479" t="str">
        <f>"03/22/2022 00:00"</f>
        <v>03/22/2022 00:00</v>
      </c>
      <c r="C7479">
        <v>0</v>
      </c>
      <c r="D7479" t="s">
        <v>7</v>
      </c>
      <c r="E7479" s="2" t="s">
        <v>12</v>
      </c>
      <c r="F7479">
        <f t="shared" si="116"/>
        <v>0</v>
      </c>
      <c r="G7479" t="s">
        <v>16</v>
      </c>
      <c r="H7479" t="s">
        <v>10</v>
      </c>
      <c r="J7479" t="str">
        <f>"03/23/2022 00:39"</f>
        <v>03/23/2022 00:39</v>
      </c>
    </row>
    <row r="7480" spans="1:10" x14ac:dyDescent="0.3">
      <c r="A7480" t="s">
        <v>6</v>
      </c>
      <c r="B7480" t="str">
        <f>"03/23/2022 00:00"</f>
        <v>03/23/2022 00:00</v>
      </c>
      <c r="C7480">
        <v>0</v>
      </c>
      <c r="D7480" t="s">
        <v>7</v>
      </c>
      <c r="E7480" s="2" t="s">
        <v>12</v>
      </c>
      <c r="F7480">
        <f t="shared" si="116"/>
        <v>0</v>
      </c>
      <c r="G7480" t="s">
        <v>16</v>
      </c>
      <c r="H7480" t="s">
        <v>10</v>
      </c>
      <c r="J7480" t="str">
        <f>"03/24/2022 00:39"</f>
        <v>03/24/2022 00:39</v>
      </c>
    </row>
    <row r="7481" spans="1:10" x14ac:dyDescent="0.3">
      <c r="A7481" t="s">
        <v>6</v>
      </c>
      <c r="B7481" t="str">
        <f>"03/24/2022 00:00"</f>
        <v>03/24/2022 00:00</v>
      </c>
      <c r="C7481">
        <v>0</v>
      </c>
      <c r="D7481" t="s">
        <v>7</v>
      </c>
      <c r="E7481" s="2" t="s">
        <v>12</v>
      </c>
      <c r="F7481">
        <f t="shared" si="116"/>
        <v>0</v>
      </c>
      <c r="G7481" t="s">
        <v>16</v>
      </c>
      <c r="H7481" t="s">
        <v>10</v>
      </c>
      <c r="J7481" t="str">
        <f>"03/25/2022 00:38"</f>
        <v>03/25/2022 00:38</v>
      </c>
    </row>
    <row r="7482" spans="1:10" x14ac:dyDescent="0.3">
      <c r="A7482" t="s">
        <v>6</v>
      </c>
      <c r="B7482" t="str">
        <f>"03/25/2022 00:00"</f>
        <v>03/25/2022 00:00</v>
      </c>
      <c r="C7482">
        <v>0</v>
      </c>
      <c r="D7482" t="s">
        <v>7</v>
      </c>
      <c r="E7482" s="2" t="s">
        <v>12</v>
      </c>
      <c r="F7482">
        <f t="shared" si="116"/>
        <v>0</v>
      </c>
      <c r="G7482" t="s">
        <v>16</v>
      </c>
      <c r="H7482" t="s">
        <v>10</v>
      </c>
      <c r="J7482" t="str">
        <f>"03/26/2022 00:38"</f>
        <v>03/26/2022 00:38</v>
      </c>
    </row>
    <row r="7483" spans="1:10" x14ac:dyDescent="0.3">
      <c r="A7483" t="s">
        <v>6</v>
      </c>
      <c r="B7483" t="str">
        <f>"03/26/2022 00:00"</f>
        <v>03/26/2022 00:00</v>
      </c>
      <c r="C7483">
        <v>0</v>
      </c>
      <c r="D7483" t="s">
        <v>7</v>
      </c>
      <c r="E7483" s="2" t="s">
        <v>12</v>
      </c>
      <c r="F7483">
        <f t="shared" si="116"/>
        <v>0</v>
      </c>
      <c r="G7483" t="s">
        <v>16</v>
      </c>
      <c r="H7483" t="s">
        <v>10</v>
      </c>
      <c r="J7483" t="str">
        <f>"03/27/2022 00:38"</f>
        <v>03/27/2022 00:38</v>
      </c>
    </row>
    <row r="7484" spans="1:10" x14ac:dyDescent="0.3">
      <c r="A7484" t="s">
        <v>6</v>
      </c>
      <c r="B7484" t="str">
        <f>"03/27/2022 00:00"</f>
        <v>03/27/2022 00:00</v>
      </c>
      <c r="C7484">
        <v>0</v>
      </c>
      <c r="D7484" t="s">
        <v>7</v>
      </c>
      <c r="E7484" s="2" t="s">
        <v>12</v>
      </c>
      <c r="F7484">
        <f t="shared" si="116"/>
        <v>0</v>
      </c>
      <c r="G7484" t="s">
        <v>16</v>
      </c>
      <c r="H7484" t="s">
        <v>10</v>
      </c>
      <c r="J7484" t="str">
        <f>"03/28/2022 00:39"</f>
        <v>03/28/2022 00:39</v>
      </c>
    </row>
    <row r="7485" spans="1:10" x14ac:dyDescent="0.3">
      <c r="A7485" t="s">
        <v>6</v>
      </c>
      <c r="B7485" t="str">
        <f>"03/28/2022 00:00"</f>
        <v>03/28/2022 00:00</v>
      </c>
      <c r="C7485">
        <v>0</v>
      </c>
      <c r="D7485" t="s">
        <v>7</v>
      </c>
      <c r="E7485" s="2" t="s">
        <v>12</v>
      </c>
      <c r="F7485">
        <f t="shared" si="116"/>
        <v>0</v>
      </c>
      <c r="G7485" t="s">
        <v>16</v>
      </c>
      <c r="H7485" t="s">
        <v>10</v>
      </c>
      <c r="J7485" t="str">
        <f>"03/29/2022 00:38"</f>
        <v>03/29/2022 00:38</v>
      </c>
    </row>
    <row r="7486" spans="1:10" x14ac:dyDescent="0.3">
      <c r="A7486" t="s">
        <v>6</v>
      </c>
      <c r="B7486" t="str">
        <f>"03/29/2022 00:00"</f>
        <v>03/29/2022 00:00</v>
      </c>
      <c r="C7486">
        <v>0</v>
      </c>
      <c r="D7486" t="s">
        <v>7</v>
      </c>
      <c r="E7486" s="2" t="s">
        <v>12</v>
      </c>
      <c r="F7486">
        <f t="shared" si="116"/>
        <v>0</v>
      </c>
      <c r="G7486" t="s">
        <v>16</v>
      </c>
      <c r="H7486" t="s">
        <v>10</v>
      </c>
      <c r="J7486" t="str">
        <f>"03/30/2022 00:38"</f>
        <v>03/30/2022 00:38</v>
      </c>
    </row>
    <row r="7487" spans="1:10" x14ac:dyDescent="0.3">
      <c r="A7487" t="s">
        <v>6</v>
      </c>
      <c r="B7487" t="str">
        <f>"03/30/2022 00:00"</f>
        <v>03/30/2022 00:00</v>
      </c>
      <c r="C7487">
        <v>0</v>
      </c>
      <c r="D7487" t="s">
        <v>7</v>
      </c>
      <c r="E7487" s="2" t="s">
        <v>12</v>
      </c>
      <c r="F7487">
        <f t="shared" si="116"/>
        <v>0</v>
      </c>
      <c r="G7487" t="s">
        <v>16</v>
      </c>
      <c r="H7487" t="s">
        <v>10</v>
      </c>
      <c r="J7487" t="str">
        <f>"03/31/2022 00:39"</f>
        <v>03/31/2022 00:39</v>
      </c>
    </row>
    <row r="7488" spans="1:10" x14ac:dyDescent="0.3">
      <c r="A7488" t="s">
        <v>6</v>
      </c>
      <c r="B7488" t="str">
        <f>"03/31/2022 00:00"</f>
        <v>03/31/2022 00:00</v>
      </c>
      <c r="C7488">
        <v>0</v>
      </c>
      <c r="D7488" t="s">
        <v>7</v>
      </c>
      <c r="E7488" s="2" t="s">
        <v>12</v>
      </c>
      <c r="F7488">
        <f t="shared" si="116"/>
        <v>0</v>
      </c>
      <c r="G7488" t="s">
        <v>16</v>
      </c>
      <c r="H7488" t="s">
        <v>10</v>
      </c>
      <c r="J7488" t="str">
        <f>"04/01/2022 00:38"</f>
        <v>04/01/2022 00:38</v>
      </c>
    </row>
    <row r="7489" spans="1:10" x14ac:dyDescent="0.3">
      <c r="A7489" t="s">
        <v>6</v>
      </c>
      <c r="B7489" t="str">
        <f>"04/01/2022 00:00"</f>
        <v>04/01/2022 00:00</v>
      </c>
      <c r="C7489">
        <v>0</v>
      </c>
      <c r="D7489" t="s">
        <v>7</v>
      </c>
      <c r="E7489" s="2" t="s">
        <v>12</v>
      </c>
      <c r="F7489">
        <f t="shared" si="116"/>
        <v>0</v>
      </c>
      <c r="G7489" t="s">
        <v>16</v>
      </c>
      <c r="H7489" t="s">
        <v>10</v>
      </c>
      <c r="J7489" t="str">
        <f>"04/02/2022 00:39"</f>
        <v>04/02/2022 00:39</v>
      </c>
    </row>
    <row r="7490" spans="1:10" x14ac:dyDescent="0.3">
      <c r="A7490" t="s">
        <v>6</v>
      </c>
      <c r="B7490" t="str">
        <f>"04/02/2022 00:00"</f>
        <v>04/02/2022 00:00</v>
      </c>
      <c r="C7490">
        <v>0</v>
      </c>
      <c r="D7490" t="s">
        <v>7</v>
      </c>
      <c r="E7490" s="2" t="s">
        <v>12</v>
      </c>
      <c r="F7490">
        <f t="shared" si="116"/>
        <v>0</v>
      </c>
      <c r="G7490" t="s">
        <v>16</v>
      </c>
      <c r="H7490" t="s">
        <v>10</v>
      </c>
      <c r="J7490" t="str">
        <f>"04/03/2022 00:38"</f>
        <v>04/03/2022 00:38</v>
      </c>
    </row>
    <row r="7491" spans="1:10" x14ac:dyDescent="0.3">
      <c r="A7491" t="s">
        <v>6</v>
      </c>
      <c r="B7491" t="str">
        <f>"04/03/2022 00:00"</f>
        <v>04/03/2022 00:00</v>
      </c>
      <c r="C7491">
        <v>0</v>
      </c>
      <c r="D7491" t="s">
        <v>7</v>
      </c>
      <c r="E7491" s="2" t="s">
        <v>12</v>
      </c>
      <c r="F7491">
        <f t="shared" si="116"/>
        <v>0</v>
      </c>
      <c r="G7491" t="s">
        <v>16</v>
      </c>
      <c r="H7491" t="s">
        <v>10</v>
      </c>
      <c r="J7491" t="str">
        <f>"04/04/2022 00:38"</f>
        <v>04/04/2022 00:38</v>
      </c>
    </row>
    <row r="7492" spans="1:10" x14ac:dyDescent="0.3">
      <c r="A7492" t="s">
        <v>6</v>
      </c>
      <c r="B7492" t="str">
        <f>"04/04/2022 00:00"</f>
        <v>04/04/2022 00:00</v>
      </c>
      <c r="C7492">
        <v>0</v>
      </c>
      <c r="D7492" t="s">
        <v>7</v>
      </c>
      <c r="E7492" s="2" t="s">
        <v>12</v>
      </c>
      <c r="F7492">
        <f t="shared" ref="F7492:F7555" si="117">C7492*1.983</f>
        <v>0</v>
      </c>
      <c r="G7492" t="s">
        <v>16</v>
      </c>
      <c r="H7492" t="s">
        <v>10</v>
      </c>
      <c r="J7492" t="str">
        <f>"04/05/2022 00:39"</f>
        <v>04/05/2022 00:39</v>
      </c>
    </row>
    <row r="7493" spans="1:10" x14ac:dyDescent="0.3">
      <c r="A7493" t="s">
        <v>6</v>
      </c>
      <c r="B7493" t="str">
        <f>"04/05/2022 00:00"</f>
        <v>04/05/2022 00:00</v>
      </c>
      <c r="C7493">
        <v>0</v>
      </c>
      <c r="D7493" t="s">
        <v>7</v>
      </c>
      <c r="E7493" s="2" t="s">
        <v>12</v>
      </c>
      <c r="F7493">
        <f t="shared" si="117"/>
        <v>0</v>
      </c>
      <c r="G7493" t="s">
        <v>16</v>
      </c>
      <c r="H7493" t="s">
        <v>10</v>
      </c>
      <c r="J7493" t="str">
        <f>"04/06/2022 00:38"</f>
        <v>04/06/2022 00:38</v>
      </c>
    </row>
    <row r="7494" spans="1:10" x14ac:dyDescent="0.3">
      <c r="A7494" t="s">
        <v>6</v>
      </c>
      <c r="B7494" t="str">
        <f>"04/06/2022 00:00"</f>
        <v>04/06/2022 00:00</v>
      </c>
      <c r="C7494">
        <v>0</v>
      </c>
      <c r="D7494" t="s">
        <v>7</v>
      </c>
      <c r="E7494" s="2" t="s">
        <v>12</v>
      </c>
      <c r="F7494">
        <f t="shared" si="117"/>
        <v>0</v>
      </c>
      <c r="G7494" t="s">
        <v>16</v>
      </c>
      <c r="H7494" t="s">
        <v>10</v>
      </c>
      <c r="J7494" t="str">
        <f>"04/07/2022 00:40"</f>
        <v>04/07/2022 00:40</v>
      </c>
    </row>
    <row r="7495" spans="1:10" x14ac:dyDescent="0.3">
      <c r="A7495" t="s">
        <v>6</v>
      </c>
      <c r="B7495" t="str">
        <f>"04/07/2022 00:00"</f>
        <v>04/07/2022 00:00</v>
      </c>
      <c r="C7495">
        <v>0</v>
      </c>
      <c r="D7495" t="s">
        <v>7</v>
      </c>
      <c r="E7495" s="2" t="s">
        <v>12</v>
      </c>
      <c r="F7495">
        <f t="shared" si="117"/>
        <v>0</v>
      </c>
      <c r="G7495" t="s">
        <v>16</v>
      </c>
      <c r="H7495" t="s">
        <v>10</v>
      </c>
      <c r="J7495" t="str">
        <f>"04/08/2022 00:39"</f>
        <v>04/08/2022 00:39</v>
      </c>
    </row>
    <row r="7496" spans="1:10" x14ac:dyDescent="0.3">
      <c r="A7496" t="s">
        <v>6</v>
      </c>
      <c r="B7496" t="str">
        <f>"04/08/2022 00:00"</f>
        <v>04/08/2022 00:00</v>
      </c>
      <c r="C7496">
        <v>0</v>
      </c>
      <c r="D7496" t="s">
        <v>7</v>
      </c>
      <c r="E7496" s="2" t="s">
        <v>12</v>
      </c>
      <c r="F7496">
        <f t="shared" si="117"/>
        <v>0</v>
      </c>
      <c r="G7496" t="s">
        <v>16</v>
      </c>
      <c r="H7496" t="s">
        <v>10</v>
      </c>
      <c r="J7496" t="str">
        <f>"04/09/2022 00:39"</f>
        <v>04/09/2022 00:39</v>
      </c>
    </row>
    <row r="7497" spans="1:10" x14ac:dyDescent="0.3">
      <c r="A7497" t="s">
        <v>6</v>
      </c>
      <c r="B7497" t="str">
        <f>"04/09/2022 00:00"</f>
        <v>04/09/2022 00:00</v>
      </c>
      <c r="C7497">
        <v>0</v>
      </c>
      <c r="D7497" t="s">
        <v>7</v>
      </c>
      <c r="E7497" s="2" t="s">
        <v>12</v>
      </c>
      <c r="F7497">
        <f t="shared" si="117"/>
        <v>0</v>
      </c>
      <c r="G7497" t="s">
        <v>16</v>
      </c>
      <c r="H7497" t="s">
        <v>10</v>
      </c>
      <c r="J7497" t="str">
        <f>"04/10/2022 00:38"</f>
        <v>04/10/2022 00:38</v>
      </c>
    </row>
    <row r="7498" spans="1:10" x14ac:dyDescent="0.3">
      <c r="A7498" t="s">
        <v>6</v>
      </c>
      <c r="B7498" t="str">
        <f>"04/10/2022 00:00"</f>
        <v>04/10/2022 00:00</v>
      </c>
      <c r="C7498">
        <v>0</v>
      </c>
      <c r="D7498" t="s">
        <v>7</v>
      </c>
      <c r="E7498" s="2" t="s">
        <v>12</v>
      </c>
      <c r="F7498">
        <f t="shared" si="117"/>
        <v>0</v>
      </c>
      <c r="G7498" t="s">
        <v>16</v>
      </c>
      <c r="H7498" t="s">
        <v>10</v>
      </c>
      <c r="J7498" t="str">
        <f>"04/11/2022 00:38"</f>
        <v>04/11/2022 00:38</v>
      </c>
    </row>
    <row r="7499" spans="1:10" x14ac:dyDescent="0.3">
      <c r="A7499" t="s">
        <v>6</v>
      </c>
      <c r="B7499" t="str">
        <f>"04/11/2022 00:00"</f>
        <v>04/11/2022 00:00</v>
      </c>
      <c r="C7499">
        <v>0</v>
      </c>
      <c r="D7499" t="s">
        <v>7</v>
      </c>
      <c r="E7499" s="2" t="s">
        <v>12</v>
      </c>
      <c r="F7499">
        <f t="shared" si="117"/>
        <v>0</v>
      </c>
      <c r="G7499" t="s">
        <v>16</v>
      </c>
      <c r="H7499" t="s">
        <v>10</v>
      </c>
      <c r="J7499" t="str">
        <f>"04/12/2022 00:39"</f>
        <v>04/12/2022 00:39</v>
      </c>
    </row>
    <row r="7500" spans="1:10" x14ac:dyDescent="0.3">
      <c r="A7500" t="s">
        <v>6</v>
      </c>
      <c r="B7500" t="str">
        <f>"04/12/2022 00:00"</f>
        <v>04/12/2022 00:00</v>
      </c>
      <c r="C7500">
        <v>4.1399999999999996E-3</v>
      </c>
      <c r="D7500" t="s">
        <v>7</v>
      </c>
      <c r="E7500" s="2" t="s">
        <v>12</v>
      </c>
      <c r="F7500">
        <f t="shared" si="117"/>
        <v>8.2096199999999991E-3</v>
      </c>
      <c r="G7500" t="s">
        <v>16</v>
      </c>
      <c r="H7500" t="s">
        <v>10</v>
      </c>
      <c r="J7500" t="str">
        <f>"04/13/2022 00:39"</f>
        <v>04/13/2022 00:39</v>
      </c>
    </row>
    <row r="7501" spans="1:10" x14ac:dyDescent="0.3">
      <c r="A7501" t="s">
        <v>6</v>
      </c>
      <c r="B7501" t="str">
        <f>"04/13/2022 00:00"</f>
        <v>04/13/2022 00:00</v>
      </c>
      <c r="C7501">
        <v>0</v>
      </c>
      <c r="D7501" t="s">
        <v>7</v>
      </c>
      <c r="E7501" s="2" t="s">
        <v>12</v>
      </c>
      <c r="F7501">
        <f t="shared" si="117"/>
        <v>0</v>
      </c>
      <c r="G7501" t="s">
        <v>16</v>
      </c>
      <c r="H7501" t="s">
        <v>10</v>
      </c>
      <c r="J7501" t="str">
        <f>"04/14/2022 00:39"</f>
        <v>04/14/2022 00:39</v>
      </c>
    </row>
    <row r="7502" spans="1:10" x14ac:dyDescent="0.3">
      <c r="A7502" t="s">
        <v>6</v>
      </c>
      <c r="B7502" t="str">
        <f>"04/14/2022 00:00"</f>
        <v>04/14/2022 00:00</v>
      </c>
      <c r="C7502">
        <v>0</v>
      </c>
      <c r="D7502" t="s">
        <v>7</v>
      </c>
      <c r="E7502" s="2" t="s">
        <v>12</v>
      </c>
      <c r="F7502">
        <f t="shared" si="117"/>
        <v>0</v>
      </c>
      <c r="G7502" t="s">
        <v>16</v>
      </c>
      <c r="H7502" t="s">
        <v>10</v>
      </c>
      <c r="J7502" t="str">
        <f>"04/15/2022 00:39"</f>
        <v>04/15/2022 00:39</v>
      </c>
    </row>
    <row r="7503" spans="1:10" x14ac:dyDescent="0.3">
      <c r="A7503" t="s">
        <v>6</v>
      </c>
      <c r="B7503" t="str">
        <f>"04/15/2022 00:00"</f>
        <v>04/15/2022 00:00</v>
      </c>
      <c r="C7503">
        <v>0</v>
      </c>
      <c r="D7503" t="s">
        <v>7</v>
      </c>
      <c r="E7503" s="2" t="s">
        <v>12</v>
      </c>
      <c r="F7503">
        <f t="shared" si="117"/>
        <v>0</v>
      </c>
      <c r="G7503" t="s">
        <v>16</v>
      </c>
      <c r="H7503" t="s">
        <v>10</v>
      </c>
      <c r="J7503" t="str">
        <f>"04/16/2022 00:39"</f>
        <v>04/16/2022 00:39</v>
      </c>
    </row>
    <row r="7504" spans="1:10" x14ac:dyDescent="0.3">
      <c r="A7504" t="s">
        <v>6</v>
      </c>
      <c r="B7504" t="str">
        <f>"04/16/2022 00:00"</f>
        <v>04/16/2022 00:00</v>
      </c>
      <c r="C7504">
        <v>0</v>
      </c>
      <c r="D7504" t="s">
        <v>7</v>
      </c>
      <c r="E7504" s="2" t="s">
        <v>12</v>
      </c>
      <c r="F7504">
        <f t="shared" si="117"/>
        <v>0</v>
      </c>
      <c r="G7504" t="s">
        <v>16</v>
      </c>
      <c r="H7504" t="s">
        <v>10</v>
      </c>
      <c r="J7504" t="str">
        <f>"04/17/2022 00:39"</f>
        <v>04/17/2022 00:39</v>
      </c>
    </row>
    <row r="7505" spans="1:10" x14ac:dyDescent="0.3">
      <c r="A7505" t="s">
        <v>6</v>
      </c>
      <c r="B7505" t="str">
        <f>"04/17/2022 00:00"</f>
        <v>04/17/2022 00:00</v>
      </c>
      <c r="C7505">
        <v>0</v>
      </c>
      <c r="D7505" t="s">
        <v>7</v>
      </c>
      <c r="E7505" s="2" t="s">
        <v>12</v>
      </c>
      <c r="F7505">
        <f t="shared" si="117"/>
        <v>0</v>
      </c>
      <c r="G7505" t="s">
        <v>16</v>
      </c>
      <c r="H7505" t="s">
        <v>10</v>
      </c>
      <c r="J7505" t="str">
        <f>"04/18/2022 00:39"</f>
        <v>04/18/2022 00:39</v>
      </c>
    </row>
    <row r="7506" spans="1:10" x14ac:dyDescent="0.3">
      <c r="A7506" t="s">
        <v>6</v>
      </c>
      <c r="B7506" t="str">
        <f>"04/18/2022 00:00"</f>
        <v>04/18/2022 00:00</v>
      </c>
      <c r="C7506">
        <v>0</v>
      </c>
      <c r="D7506" t="s">
        <v>7</v>
      </c>
      <c r="E7506" s="2" t="s">
        <v>12</v>
      </c>
      <c r="F7506">
        <f t="shared" si="117"/>
        <v>0</v>
      </c>
      <c r="G7506" t="s">
        <v>16</v>
      </c>
      <c r="H7506" t="s">
        <v>10</v>
      </c>
      <c r="J7506" t="str">
        <f>"04/19/2022 00:39"</f>
        <v>04/19/2022 00:39</v>
      </c>
    </row>
    <row r="7507" spans="1:10" x14ac:dyDescent="0.3">
      <c r="A7507" t="s">
        <v>6</v>
      </c>
      <c r="B7507" t="str">
        <f>"04/19/2022 00:00"</f>
        <v>04/19/2022 00:00</v>
      </c>
      <c r="C7507">
        <v>0</v>
      </c>
      <c r="D7507" t="s">
        <v>7</v>
      </c>
      <c r="E7507" s="2" t="s">
        <v>12</v>
      </c>
      <c r="F7507">
        <f t="shared" si="117"/>
        <v>0</v>
      </c>
      <c r="G7507" t="s">
        <v>16</v>
      </c>
      <c r="H7507" t="s">
        <v>10</v>
      </c>
      <c r="J7507" t="str">
        <f>"04/20/2022 00:41"</f>
        <v>04/20/2022 00:41</v>
      </c>
    </row>
    <row r="7508" spans="1:10" x14ac:dyDescent="0.3">
      <c r="A7508" t="s">
        <v>6</v>
      </c>
      <c r="B7508" t="str">
        <f>"04/20/2022 00:00"</f>
        <v>04/20/2022 00:00</v>
      </c>
      <c r="C7508">
        <v>0</v>
      </c>
      <c r="D7508" t="s">
        <v>7</v>
      </c>
      <c r="E7508" s="2" t="s">
        <v>12</v>
      </c>
      <c r="F7508">
        <f t="shared" si="117"/>
        <v>0</v>
      </c>
      <c r="G7508" t="s">
        <v>16</v>
      </c>
      <c r="H7508" t="s">
        <v>10</v>
      </c>
      <c r="J7508" t="str">
        <f>"04/21/2022 00:38"</f>
        <v>04/21/2022 00:38</v>
      </c>
    </row>
    <row r="7509" spans="1:10" x14ac:dyDescent="0.3">
      <c r="A7509" t="s">
        <v>6</v>
      </c>
      <c r="B7509" t="str">
        <f>"04/21/2022 00:00"</f>
        <v>04/21/2022 00:00</v>
      </c>
      <c r="C7509">
        <v>0</v>
      </c>
      <c r="D7509" t="s">
        <v>7</v>
      </c>
      <c r="E7509" s="2" t="s">
        <v>12</v>
      </c>
      <c r="F7509">
        <f t="shared" si="117"/>
        <v>0</v>
      </c>
      <c r="G7509" t="s">
        <v>16</v>
      </c>
      <c r="H7509" t="s">
        <v>10</v>
      </c>
      <c r="J7509" t="str">
        <f>"04/22/2022 00:38"</f>
        <v>04/22/2022 00:38</v>
      </c>
    </row>
    <row r="7510" spans="1:10" x14ac:dyDescent="0.3">
      <c r="A7510" t="s">
        <v>6</v>
      </c>
      <c r="B7510" t="str">
        <f>"04/22/2022 00:00"</f>
        <v>04/22/2022 00:00</v>
      </c>
      <c r="C7510">
        <v>49.1</v>
      </c>
      <c r="D7510" t="s">
        <v>7</v>
      </c>
      <c r="E7510" s="2" t="s">
        <v>12</v>
      </c>
      <c r="F7510">
        <f t="shared" si="117"/>
        <v>97.365300000000005</v>
      </c>
      <c r="G7510" t="s">
        <v>16</v>
      </c>
      <c r="H7510" t="s">
        <v>10</v>
      </c>
      <c r="J7510" t="str">
        <f>"04/23/2022 00:38"</f>
        <v>04/23/2022 00:38</v>
      </c>
    </row>
    <row r="7511" spans="1:10" x14ac:dyDescent="0.3">
      <c r="A7511" t="s">
        <v>6</v>
      </c>
      <c r="B7511" t="str">
        <f>"04/23/2022 00:00"</f>
        <v>04/23/2022 00:00</v>
      </c>
      <c r="C7511">
        <v>98.7</v>
      </c>
      <c r="D7511" t="s">
        <v>7</v>
      </c>
      <c r="E7511" s="2" t="s">
        <v>12</v>
      </c>
      <c r="F7511">
        <f t="shared" si="117"/>
        <v>195.72210000000001</v>
      </c>
      <c r="G7511" t="s">
        <v>16</v>
      </c>
      <c r="H7511" t="s">
        <v>10</v>
      </c>
      <c r="J7511" t="str">
        <f>"04/24/2022 00:39"</f>
        <v>04/24/2022 00:39</v>
      </c>
    </row>
    <row r="7512" spans="1:10" x14ac:dyDescent="0.3">
      <c r="A7512" t="s">
        <v>6</v>
      </c>
      <c r="B7512" t="str">
        <f>"04/24/2022 00:00"</f>
        <v>04/24/2022 00:00</v>
      </c>
      <c r="C7512">
        <v>99.3</v>
      </c>
      <c r="D7512" t="s">
        <v>7</v>
      </c>
      <c r="E7512" s="2" t="s">
        <v>12</v>
      </c>
      <c r="F7512">
        <f t="shared" si="117"/>
        <v>196.9119</v>
      </c>
      <c r="G7512" t="s">
        <v>16</v>
      </c>
      <c r="H7512" t="s">
        <v>10</v>
      </c>
      <c r="J7512" t="str">
        <f>"04/25/2022 00:39"</f>
        <v>04/25/2022 00:39</v>
      </c>
    </row>
    <row r="7513" spans="1:10" x14ac:dyDescent="0.3">
      <c r="A7513" t="s">
        <v>6</v>
      </c>
      <c r="B7513" t="str">
        <f>"04/25/2022 00:00"</f>
        <v>04/25/2022 00:00</v>
      </c>
      <c r="C7513">
        <v>99.4</v>
      </c>
      <c r="D7513" t="s">
        <v>7</v>
      </c>
      <c r="E7513" s="2" t="s">
        <v>12</v>
      </c>
      <c r="F7513">
        <f t="shared" si="117"/>
        <v>197.11020000000002</v>
      </c>
      <c r="G7513" t="s">
        <v>16</v>
      </c>
      <c r="H7513" t="s">
        <v>10</v>
      </c>
      <c r="J7513" t="str">
        <f>"04/26/2022 00:38"</f>
        <v>04/26/2022 00:38</v>
      </c>
    </row>
    <row r="7514" spans="1:10" x14ac:dyDescent="0.3">
      <c r="A7514" t="s">
        <v>6</v>
      </c>
      <c r="B7514" t="str">
        <f>"04/26/2022 00:00"</f>
        <v>04/26/2022 00:00</v>
      </c>
      <c r="C7514">
        <v>99.4</v>
      </c>
      <c r="D7514" t="s">
        <v>7</v>
      </c>
      <c r="E7514" s="2" t="s">
        <v>12</v>
      </c>
      <c r="F7514">
        <f t="shared" si="117"/>
        <v>197.11020000000002</v>
      </c>
      <c r="G7514" t="s">
        <v>16</v>
      </c>
      <c r="H7514" t="s">
        <v>10</v>
      </c>
      <c r="J7514" t="str">
        <f>"04/27/2022 00:38"</f>
        <v>04/27/2022 00:38</v>
      </c>
    </row>
    <row r="7515" spans="1:10" x14ac:dyDescent="0.3">
      <c r="A7515" t="s">
        <v>6</v>
      </c>
      <c r="B7515" t="str">
        <f>"04/27/2022 00:00"</f>
        <v>04/27/2022 00:00</v>
      </c>
      <c r="C7515">
        <v>134</v>
      </c>
      <c r="D7515" t="s">
        <v>7</v>
      </c>
      <c r="E7515" s="2" t="s">
        <v>12</v>
      </c>
      <c r="F7515">
        <f t="shared" si="117"/>
        <v>265.72200000000004</v>
      </c>
      <c r="G7515" t="s">
        <v>16</v>
      </c>
      <c r="H7515" t="s">
        <v>10</v>
      </c>
      <c r="J7515" t="str">
        <f>"04/28/2022 00:38"</f>
        <v>04/28/2022 00:38</v>
      </c>
    </row>
    <row r="7516" spans="1:10" x14ac:dyDescent="0.3">
      <c r="A7516" t="s">
        <v>6</v>
      </c>
      <c r="B7516" t="str">
        <f>"04/28/2022 00:00"</f>
        <v>04/28/2022 00:00</v>
      </c>
      <c r="C7516">
        <v>164</v>
      </c>
      <c r="D7516" t="s">
        <v>7</v>
      </c>
      <c r="E7516" s="2" t="s">
        <v>12</v>
      </c>
      <c r="F7516">
        <f t="shared" si="117"/>
        <v>325.21199999999999</v>
      </c>
      <c r="G7516" t="s">
        <v>16</v>
      </c>
      <c r="H7516" t="s">
        <v>10</v>
      </c>
      <c r="J7516" t="str">
        <f>"04/29/2022 00:38"</f>
        <v>04/29/2022 00:38</v>
      </c>
    </row>
    <row r="7517" spans="1:10" x14ac:dyDescent="0.3">
      <c r="A7517" t="s">
        <v>6</v>
      </c>
      <c r="B7517" t="str">
        <f>"04/29/2022 00:00"</f>
        <v>04/29/2022 00:00</v>
      </c>
      <c r="C7517">
        <v>193</v>
      </c>
      <c r="D7517" t="s">
        <v>7</v>
      </c>
      <c r="E7517" s="2" t="s">
        <v>12</v>
      </c>
      <c r="F7517">
        <f t="shared" si="117"/>
        <v>382.71899999999999</v>
      </c>
      <c r="G7517" t="s">
        <v>16</v>
      </c>
      <c r="H7517" t="s">
        <v>10</v>
      </c>
      <c r="J7517" t="str">
        <f>"04/30/2022 00:38"</f>
        <v>04/30/2022 00:38</v>
      </c>
    </row>
    <row r="7518" spans="1:10" x14ac:dyDescent="0.3">
      <c r="A7518" t="s">
        <v>6</v>
      </c>
      <c r="B7518" t="str">
        <f>"04/30/2022 00:00"</f>
        <v>04/30/2022 00:00</v>
      </c>
      <c r="C7518">
        <v>214</v>
      </c>
      <c r="D7518" t="s">
        <v>7</v>
      </c>
      <c r="E7518" s="2" t="s">
        <v>12</v>
      </c>
      <c r="F7518">
        <f t="shared" si="117"/>
        <v>424.36200000000002</v>
      </c>
      <c r="G7518" t="s">
        <v>16</v>
      </c>
      <c r="H7518" t="s">
        <v>10</v>
      </c>
      <c r="J7518" t="str">
        <f>"05/01/2022 00:38"</f>
        <v>05/01/2022 00:38</v>
      </c>
    </row>
    <row r="7519" spans="1:10" x14ac:dyDescent="0.3">
      <c r="A7519" t="s">
        <v>6</v>
      </c>
      <c r="B7519" t="str">
        <f>"05/01/2022 00:00"</f>
        <v>05/01/2022 00:00</v>
      </c>
      <c r="C7519">
        <v>214</v>
      </c>
      <c r="D7519" t="s">
        <v>7</v>
      </c>
      <c r="E7519" s="2" t="s">
        <v>12</v>
      </c>
      <c r="F7519">
        <f t="shared" si="117"/>
        <v>424.36200000000002</v>
      </c>
      <c r="G7519" t="s">
        <v>16</v>
      </c>
      <c r="H7519" t="s">
        <v>10</v>
      </c>
      <c r="J7519" t="str">
        <f>"05/02/2022 00:38"</f>
        <v>05/02/2022 00:38</v>
      </c>
    </row>
    <row r="7520" spans="1:10" x14ac:dyDescent="0.3">
      <c r="A7520" t="s">
        <v>6</v>
      </c>
      <c r="B7520" t="str">
        <f>"05/02/2022 00:00"</f>
        <v>05/02/2022 00:00</v>
      </c>
      <c r="C7520">
        <v>215</v>
      </c>
      <c r="D7520" t="s">
        <v>7</v>
      </c>
      <c r="E7520" s="2" t="s">
        <v>12</v>
      </c>
      <c r="F7520">
        <f t="shared" si="117"/>
        <v>426.34500000000003</v>
      </c>
      <c r="G7520" t="s">
        <v>16</v>
      </c>
      <c r="H7520" t="s">
        <v>10</v>
      </c>
      <c r="J7520" t="str">
        <f>"05/03/2022 00:38"</f>
        <v>05/03/2022 00:38</v>
      </c>
    </row>
    <row r="7521" spans="1:10" x14ac:dyDescent="0.3">
      <c r="A7521" t="s">
        <v>6</v>
      </c>
      <c r="B7521" t="str">
        <f>"05/03/2022 00:00"</f>
        <v>05/03/2022 00:00</v>
      </c>
      <c r="C7521">
        <v>214</v>
      </c>
      <c r="D7521" t="s">
        <v>7</v>
      </c>
      <c r="E7521" s="2" t="s">
        <v>12</v>
      </c>
      <c r="F7521">
        <f t="shared" si="117"/>
        <v>424.36200000000002</v>
      </c>
      <c r="G7521" t="s">
        <v>16</v>
      </c>
      <c r="H7521" t="s">
        <v>10</v>
      </c>
      <c r="J7521" t="str">
        <f>"05/04/2022 00:38"</f>
        <v>05/04/2022 00:38</v>
      </c>
    </row>
    <row r="7522" spans="1:10" x14ac:dyDescent="0.3">
      <c r="A7522" t="s">
        <v>6</v>
      </c>
      <c r="B7522" t="str">
        <f>"05/04/2022 00:00"</f>
        <v>05/04/2022 00:00</v>
      </c>
      <c r="C7522">
        <v>214</v>
      </c>
      <c r="D7522" t="s">
        <v>7</v>
      </c>
      <c r="E7522" s="2" t="s">
        <v>12</v>
      </c>
      <c r="F7522">
        <f t="shared" si="117"/>
        <v>424.36200000000002</v>
      </c>
      <c r="G7522" t="s">
        <v>16</v>
      </c>
      <c r="H7522" t="s">
        <v>10</v>
      </c>
      <c r="J7522" t="str">
        <f>"05/05/2022 00:39"</f>
        <v>05/05/2022 00:39</v>
      </c>
    </row>
    <row r="7523" spans="1:10" x14ac:dyDescent="0.3">
      <c r="A7523" t="s">
        <v>6</v>
      </c>
      <c r="B7523" t="str">
        <f>"05/05/2022 00:00"</f>
        <v>05/05/2022 00:00</v>
      </c>
      <c r="C7523">
        <v>214</v>
      </c>
      <c r="D7523" t="s">
        <v>7</v>
      </c>
      <c r="E7523" s="2" t="s">
        <v>12</v>
      </c>
      <c r="F7523">
        <f t="shared" si="117"/>
        <v>424.36200000000002</v>
      </c>
      <c r="G7523" t="s">
        <v>16</v>
      </c>
      <c r="H7523" t="s">
        <v>10</v>
      </c>
      <c r="J7523" t="str">
        <f>"05/06/2022 00:38"</f>
        <v>05/06/2022 00:38</v>
      </c>
    </row>
    <row r="7524" spans="1:10" x14ac:dyDescent="0.3">
      <c r="A7524" t="s">
        <v>6</v>
      </c>
      <c r="B7524" t="str">
        <f>"05/06/2022 00:00"</f>
        <v>05/06/2022 00:00</v>
      </c>
      <c r="C7524">
        <v>214</v>
      </c>
      <c r="D7524" t="s">
        <v>7</v>
      </c>
      <c r="E7524" s="2" t="s">
        <v>12</v>
      </c>
      <c r="F7524">
        <f t="shared" si="117"/>
        <v>424.36200000000002</v>
      </c>
      <c r="G7524" t="s">
        <v>16</v>
      </c>
      <c r="H7524" t="s">
        <v>10</v>
      </c>
      <c r="J7524" t="str">
        <f>"05/07/2022 00:41"</f>
        <v>05/07/2022 00:41</v>
      </c>
    </row>
    <row r="7525" spans="1:10" x14ac:dyDescent="0.3">
      <c r="A7525" t="s">
        <v>6</v>
      </c>
      <c r="B7525" t="str">
        <f>"05/07/2022 00:00"</f>
        <v>05/07/2022 00:00</v>
      </c>
      <c r="C7525">
        <v>214</v>
      </c>
      <c r="D7525" t="s">
        <v>7</v>
      </c>
      <c r="E7525" s="2" t="s">
        <v>12</v>
      </c>
      <c r="F7525">
        <f t="shared" si="117"/>
        <v>424.36200000000002</v>
      </c>
      <c r="G7525" t="s">
        <v>16</v>
      </c>
      <c r="H7525" t="s">
        <v>10</v>
      </c>
      <c r="J7525" t="str">
        <f>"05/08/2022 00:38"</f>
        <v>05/08/2022 00:38</v>
      </c>
    </row>
    <row r="7526" spans="1:10" x14ac:dyDescent="0.3">
      <c r="A7526" t="s">
        <v>6</v>
      </c>
      <c r="B7526" t="str">
        <f>"05/08/2022 00:00"</f>
        <v>05/08/2022 00:00</v>
      </c>
      <c r="C7526">
        <v>214</v>
      </c>
      <c r="D7526" t="s">
        <v>7</v>
      </c>
      <c r="E7526" s="2" t="s">
        <v>12</v>
      </c>
      <c r="F7526">
        <f t="shared" si="117"/>
        <v>424.36200000000002</v>
      </c>
      <c r="G7526" t="s">
        <v>16</v>
      </c>
      <c r="H7526" t="s">
        <v>10</v>
      </c>
      <c r="J7526" t="str">
        <f>"05/09/2022 00:38"</f>
        <v>05/09/2022 00:38</v>
      </c>
    </row>
    <row r="7527" spans="1:10" x14ac:dyDescent="0.3">
      <c r="A7527" t="s">
        <v>6</v>
      </c>
      <c r="B7527" t="str">
        <f>"05/09/2022 00:00"</f>
        <v>05/09/2022 00:00</v>
      </c>
      <c r="C7527">
        <v>244</v>
      </c>
      <c r="D7527" t="s">
        <v>7</v>
      </c>
      <c r="E7527" s="2" t="s">
        <v>12</v>
      </c>
      <c r="F7527">
        <f t="shared" si="117"/>
        <v>483.85200000000003</v>
      </c>
      <c r="G7527" t="s">
        <v>16</v>
      </c>
      <c r="H7527" t="s">
        <v>10</v>
      </c>
      <c r="J7527" t="str">
        <f>"05/10/2022 00:41"</f>
        <v>05/10/2022 00:41</v>
      </c>
    </row>
    <row r="7528" spans="1:10" x14ac:dyDescent="0.3">
      <c r="A7528" t="s">
        <v>6</v>
      </c>
      <c r="B7528" t="str">
        <f>"05/10/2022 00:00"</f>
        <v>05/10/2022 00:00</v>
      </c>
      <c r="C7528">
        <v>264</v>
      </c>
      <c r="D7528" t="s">
        <v>7</v>
      </c>
      <c r="E7528" s="2" t="s">
        <v>12</v>
      </c>
      <c r="F7528">
        <f t="shared" si="117"/>
        <v>523.51200000000006</v>
      </c>
      <c r="G7528" t="s">
        <v>16</v>
      </c>
      <c r="H7528" t="s">
        <v>10</v>
      </c>
      <c r="J7528" t="str">
        <f>"05/11/2022 00:38"</f>
        <v>05/11/2022 00:38</v>
      </c>
    </row>
    <row r="7529" spans="1:10" x14ac:dyDescent="0.3">
      <c r="A7529" t="s">
        <v>6</v>
      </c>
      <c r="B7529" t="str">
        <f>"05/11/2022 00:00"</f>
        <v>05/11/2022 00:00</v>
      </c>
      <c r="C7529">
        <v>265</v>
      </c>
      <c r="D7529" t="s">
        <v>7</v>
      </c>
      <c r="E7529" s="2" t="s">
        <v>12</v>
      </c>
      <c r="F7529">
        <f t="shared" si="117"/>
        <v>525.495</v>
      </c>
      <c r="G7529" t="s">
        <v>16</v>
      </c>
      <c r="H7529" t="s">
        <v>10</v>
      </c>
      <c r="J7529" t="str">
        <f>"05/12/2022 00:38"</f>
        <v>05/12/2022 00:38</v>
      </c>
    </row>
    <row r="7530" spans="1:10" x14ac:dyDescent="0.3">
      <c r="A7530" t="s">
        <v>6</v>
      </c>
      <c r="B7530" t="str">
        <f>"05/12/2022 00:00"</f>
        <v>05/12/2022 00:00</v>
      </c>
      <c r="C7530">
        <v>266</v>
      </c>
      <c r="D7530" t="s">
        <v>7</v>
      </c>
      <c r="E7530" s="2" t="s">
        <v>12</v>
      </c>
      <c r="F7530">
        <f t="shared" si="117"/>
        <v>527.47800000000007</v>
      </c>
      <c r="G7530" t="s">
        <v>16</v>
      </c>
      <c r="H7530" t="s">
        <v>10</v>
      </c>
      <c r="J7530" t="str">
        <f>"05/13/2022 00:38"</f>
        <v>05/13/2022 00:38</v>
      </c>
    </row>
    <row r="7531" spans="1:10" x14ac:dyDescent="0.3">
      <c r="A7531" t="s">
        <v>6</v>
      </c>
      <c r="B7531" t="str">
        <f>"05/13/2022 00:00"</f>
        <v>05/13/2022 00:00</v>
      </c>
      <c r="C7531">
        <v>267</v>
      </c>
      <c r="D7531" t="s">
        <v>7</v>
      </c>
      <c r="E7531" s="2" t="s">
        <v>12</v>
      </c>
      <c r="F7531">
        <f t="shared" si="117"/>
        <v>529.46100000000001</v>
      </c>
      <c r="G7531" t="s">
        <v>16</v>
      </c>
      <c r="H7531" t="s">
        <v>10</v>
      </c>
      <c r="J7531" t="str">
        <f>"05/14/2022 00:38"</f>
        <v>05/14/2022 00:38</v>
      </c>
    </row>
    <row r="7532" spans="1:10" x14ac:dyDescent="0.3">
      <c r="A7532" t="s">
        <v>6</v>
      </c>
      <c r="B7532" t="str">
        <f>"05/14/2022 00:00"</f>
        <v>05/14/2022 00:00</v>
      </c>
      <c r="C7532">
        <v>267</v>
      </c>
      <c r="D7532" t="s">
        <v>7</v>
      </c>
      <c r="E7532" s="2" t="s">
        <v>12</v>
      </c>
      <c r="F7532">
        <f t="shared" si="117"/>
        <v>529.46100000000001</v>
      </c>
      <c r="G7532" t="s">
        <v>16</v>
      </c>
      <c r="H7532" t="s">
        <v>10</v>
      </c>
      <c r="J7532" t="str">
        <f>"05/15/2022 00:49"</f>
        <v>05/15/2022 00:49</v>
      </c>
    </row>
    <row r="7533" spans="1:10" x14ac:dyDescent="0.3">
      <c r="A7533" t="s">
        <v>6</v>
      </c>
      <c r="B7533" t="str">
        <f>"05/15/2022 00:00"</f>
        <v>05/15/2022 00:00</v>
      </c>
      <c r="C7533">
        <v>267</v>
      </c>
      <c r="D7533" t="s">
        <v>7</v>
      </c>
      <c r="E7533" s="2" t="s">
        <v>12</v>
      </c>
      <c r="F7533">
        <f t="shared" si="117"/>
        <v>529.46100000000001</v>
      </c>
      <c r="G7533" t="s">
        <v>16</v>
      </c>
      <c r="H7533" t="s">
        <v>10</v>
      </c>
      <c r="J7533" t="str">
        <f>"05/16/2022 00:39"</f>
        <v>05/16/2022 00:39</v>
      </c>
    </row>
    <row r="7534" spans="1:10" x14ac:dyDescent="0.3">
      <c r="A7534" t="s">
        <v>6</v>
      </c>
      <c r="B7534" t="str">
        <f>"05/16/2022 00:00"</f>
        <v>05/16/2022 00:00</v>
      </c>
      <c r="C7534">
        <v>227</v>
      </c>
      <c r="D7534" t="s">
        <v>7</v>
      </c>
      <c r="E7534" s="2" t="s">
        <v>12</v>
      </c>
      <c r="F7534">
        <f t="shared" si="117"/>
        <v>450.14100000000002</v>
      </c>
      <c r="G7534" t="s">
        <v>16</v>
      </c>
      <c r="H7534" t="s">
        <v>10</v>
      </c>
      <c r="J7534" t="str">
        <f>"05/17/2022 00:38"</f>
        <v>05/17/2022 00:38</v>
      </c>
    </row>
    <row r="7535" spans="1:10" x14ac:dyDescent="0.3">
      <c r="A7535" t="s">
        <v>6</v>
      </c>
      <c r="B7535" t="str">
        <f>"05/17/2022 00:00"</f>
        <v>05/17/2022 00:00</v>
      </c>
      <c r="C7535">
        <v>192</v>
      </c>
      <c r="D7535" t="s">
        <v>7</v>
      </c>
      <c r="E7535" s="2" t="s">
        <v>12</v>
      </c>
      <c r="F7535">
        <f t="shared" si="117"/>
        <v>380.73599999999999</v>
      </c>
      <c r="G7535" t="s">
        <v>16</v>
      </c>
      <c r="H7535" t="s">
        <v>10</v>
      </c>
      <c r="J7535" t="str">
        <f>"05/18/2022 00:38"</f>
        <v>05/18/2022 00:38</v>
      </c>
    </row>
    <row r="7536" spans="1:10" x14ac:dyDescent="0.3">
      <c r="A7536" t="s">
        <v>6</v>
      </c>
      <c r="B7536" t="str">
        <f>"05/18/2022 00:00"</f>
        <v>05/18/2022 00:00</v>
      </c>
      <c r="C7536">
        <v>192</v>
      </c>
      <c r="D7536" t="s">
        <v>7</v>
      </c>
      <c r="E7536" s="2" t="s">
        <v>12</v>
      </c>
      <c r="F7536">
        <f t="shared" si="117"/>
        <v>380.73599999999999</v>
      </c>
      <c r="G7536" t="s">
        <v>16</v>
      </c>
      <c r="H7536" t="s">
        <v>10</v>
      </c>
      <c r="J7536" t="str">
        <f>"05/19/2022 00:38"</f>
        <v>05/19/2022 00:38</v>
      </c>
    </row>
    <row r="7537" spans="1:10" x14ac:dyDescent="0.3">
      <c r="A7537" t="s">
        <v>6</v>
      </c>
      <c r="B7537" t="str">
        <f>"05/19/2022 00:00"</f>
        <v>05/19/2022 00:00</v>
      </c>
      <c r="C7537">
        <v>192</v>
      </c>
      <c r="D7537" t="s">
        <v>7</v>
      </c>
      <c r="E7537" s="2" t="s">
        <v>12</v>
      </c>
      <c r="F7537">
        <f t="shared" si="117"/>
        <v>380.73599999999999</v>
      </c>
      <c r="G7537" t="s">
        <v>16</v>
      </c>
      <c r="H7537" t="s">
        <v>10</v>
      </c>
      <c r="J7537" t="str">
        <f>"05/20/2022 00:38"</f>
        <v>05/20/2022 00:38</v>
      </c>
    </row>
    <row r="7538" spans="1:10" x14ac:dyDescent="0.3">
      <c r="A7538" t="s">
        <v>6</v>
      </c>
      <c r="B7538" t="str">
        <f>"05/20/2022 00:00"</f>
        <v>05/20/2022 00:00</v>
      </c>
      <c r="C7538">
        <v>168</v>
      </c>
      <c r="D7538" t="s">
        <v>7</v>
      </c>
      <c r="E7538" s="2" t="s">
        <v>12</v>
      </c>
      <c r="F7538">
        <f t="shared" si="117"/>
        <v>333.14400000000001</v>
      </c>
      <c r="G7538" t="s">
        <v>16</v>
      </c>
      <c r="H7538" t="s">
        <v>10</v>
      </c>
      <c r="J7538" t="str">
        <f>"05/21/2022 00:38"</f>
        <v>05/21/2022 00:38</v>
      </c>
    </row>
    <row r="7539" spans="1:10" x14ac:dyDescent="0.3">
      <c r="A7539" t="s">
        <v>6</v>
      </c>
      <c r="B7539" t="str">
        <f>"05/21/2022 00:00"</f>
        <v>05/21/2022 00:00</v>
      </c>
      <c r="C7539">
        <v>101</v>
      </c>
      <c r="D7539" t="s">
        <v>7</v>
      </c>
      <c r="E7539" s="2" t="s">
        <v>12</v>
      </c>
      <c r="F7539">
        <f t="shared" si="117"/>
        <v>200.28300000000002</v>
      </c>
      <c r="G7539" t="s">
        <v>16</v>
      </c>
      <c r="H7539" t="s">
        <v>10</v>
      </c>
      <c r="J7539" t="str">
        <f>"05/22/2022 00:38"</f>
        <v>05/22/2022 00:38</v>
      </c>
    </row>
    <row r="7540" spans="1:10" x14ac:dyDescent="0.3">
      <c r="A7540" t="s">
        <v>6</v>
      </c>
      <c r="B7540" t="str">
        <f>"05/22/2022 00:00"</f>
        <v>05/22/2022 00:00</v>
      </c>
      <c r="C7540">
        <v>119</v>
      </c>
      <c r="D7540" t="s">
        <v>7</v>
      </c>
      <c r="E7540" s="2" t="s">
        <v>12</v>
      </c>
      <c r="F7540">
        <f t="shared" si="117"/>
        <v>235.977</v>
      </c>
      <c r="G7540" t="s">
        <v>16</v>
      </c>
      <c r="H7540" t="s">
        <v>10</v>
      </c>
      <c r="J7540" t="str">
        <f>"05/23/2022 00:39"</f>
        <v>05/23/2022 00:39</v>
      </c>
    </row>
    <row r="7541" spans="1:10" x14ac:dyDescent="0.3">
      <c r="A7541" t="s">
        <v>6</v>
      </c>
      <c r="B7541" t="str">
        <f>"05/23/2022 00:00"</f>
        <v>05/23/2022 00:00</v>
      </c>
      <c r="C7541">
        <v>181</v>
      </c>
      <c r="D7541" t="s">
        <v>7</v>
      </c>
      <c r="E7541" s="2" t="s">
        <v>12</v>
      </c>
      <c r="F7541">
        <f t="shared" si="117"/>
        <v>358.923</v>
      </c>
      <c r="G7541" t="s">
        <v>16</v>
      </c>
      <c r="H7541" t="s">
        <v>10</v>
      </c>
      <c r="J7541" t="str">
        <f>"05/24/2022 00:38"</f>
        <v>05/24/2022 00:38</v>
      </c>
    </row>
    <row r="7542" spans="1:10" x14ac:dyDescent="0.3">
      <c r="A7542" t="s">
        <v>6</v>
      </c>
      <c r="B7542" t="str">
        <f>"05/24/2022 00:00"</f>
        <v>05/24/2022 00:00</v>
      </c>
      <c r="C7542">
        <v>220</v>
      </c>
      <c r="D7542" t="s">
        <v>7</v>
      </c>
      <c r="E7542" s="2" t="s">
        <v>12</v>
      </c>
      <c r="F7542">
        <f t="shared" si="117"/>
        <v>436.26000000000005</v>
      </c>
      <c r="G7542" t="s">
        <v>16</v>
      </c>
      <c r="H7542" t="s">
        <v>10</v>
      </c>
      <c r="J7542" t="str">
        <f>"05/25/2022 00:38"</f>
        <v>05/25/2022 00:38</v>
      </c>
    </row>
    <row r="7543" spans="1:10" x14ac:dyDescent="0.3">
      <c r="A7543" t="s">
        <v>6</v>
      </c>
      <c r="B7543" t="str">
        <f>"05/25/2022 00:00"</f>
        <v>05/25/2022 00:00</v>
      </c>
      <c r="C7543">
        <v>147</v>
      </c>
      <c r="D7543" t="s">
        <v>7</v>
      </c>
      <c r="E7543" s="2" t="s">
        <v>12</v>
      </c>
      <c r="F7543">
        <f t="shared" si="117"/>
        <v>291.50100000000003</v>
      </c>
      <c r="G7543" t="s">
        <v>16</v>
      </c>
      <c r="H7543" t="s">
        <v>10</v>
      </c>
      <c r="J7543" t="str">
        <f>"05/26/2022 00:38"</f>
        <v>05/26/2022 00:38</v>
      </c>
    </row>
    <row r="7544" spans="1:10" x14ac:dyDescent="0.3">
      <c r="A7544" t="s">
        <v>6</v>
      </c>
      <c r="B7544" t="str">
        <f>"05/26/2022 00:00"</f>
        <v>05/26/2022 00:00</v>
      </c>
      <c r="C7544">
        <v>138</v>
      </c>
      <c r="D7544" t="s">
        <v>7</v>
      </c>
      <c r="E7544" s="2" t="s">
        <v>12</v>
      </c>
      <c r="F7544">
        <f t="shared" si="117"/>
        <v>273.654</v>
      </c>
      <c r="G7544" t="s">
        <v>16</v>
      </c>
      <c r="H7544" t="s">
        <v>10</v>
      </c>
      <c r="J7544" t="str">
        <f>"05/27/2022 00:39"</f>
        <v>05/27/2022 00:39</v>
      </c>
    </row>
    <row r="7545" spans="1:10" x14ac:dyDescent="0.3">
      <c r="A7545" t="s">
        <v>6</v>
      </c>
      <c r="B7545" t="str">
        <f>"05/27/2022 00:00"</f>
        <v>05/27/2022 00:00</v>
      </c>
      <c r="C7545">
        <v>181</v>
      </c>
      <c r="D7545" t="s">
        <v>7</v>
      </c>
      <c r="E7545" s="2" t="s">
        <v>12</v>
      </c>
      <c r="F7545">
        <f t="shared" si="117"/>
        <v>358.923</v>
      </c>
      <c r="G7545" t="s">
        <v>16</v>
      </c>
      <c r="H7545" t="s">
        <v>10</v>
      </c>
      <c r="J7545" t="str">
        <f>"05/28/2022 00:38"</f>
        <v>05/28/2022 00:38</v>
      </c>
    </row>
    <row r="7546" spans="1:10" x14ac:dyDescent="0.3">
      <c r="A7546" t="s">
        <v>6</v>
      </c>
      <c r="B7546" t="str">
        <f>"05/28/2022 00:00"</f>
        <v>05/28/2022 00:00</v>
      </c>
      <c r="C7546">
        <v>181</v>
      </c>
      <c r="D7546" t="s">
        <v>7</v>
      </c>
      <c r="E7546" s="2" t="s">
        <v>12</v>
      </c>
      <c r="F7546">
        <f t="shared" si="117"/>
        <v>358.923</v>
      </c>
      <c r="G7546" t="s">
        <v>16</v>
      </c>
      <c r="H7546" t="s">
        <v>10</v>
      </c>
      <c r="J7546" t="str">
        <f>"05/29/2022 00:38"</f>
        <v>05/29/2022 00:38</v>
      </c>
    </row>
    <row r="7547" spans="1:10" x14ac:dyDescent="0.3">
      <c r="A7547" t="s">
        <v>6</v>
      </c>
      <c r="B7547" t="str">
        <f>"05/29/2022 00:00"</f>
        <v>05/29/2022 00:00</v>
      </c>
      <c r="C7547">
        <v>113</v>
      </c>
      <c r="D7547" t="s">
        <v>7</v>
      </c>
      <c r="E7547" s="2" t="s">
        <v>12</v>
      </c>
      <c r="F7547">
        <f t="shared" si="117"/>
        <v>224.07900000000001</v>
      </c>
      <c r="G7547" t="s">
        <v>16</v>
      </c>
      <c r="H7547" t="s">
        <v>10</v>
      </c>
      <c r="J7547" t="str">
        <f>"05/30/2022 00:38"</f>
        <v>05/30/2022 00:38</v>
      </c>
    </row>
    <row r="7548" spans="1:10" x14ac:dyDescent="0.3">
      <c r="A7548" t="s">
        <v>6</v>
      </c>
      <c r="B7548" t="str">
        <f>"05/30/2022 00:00"</f>
        <v>05/30/2022 00:00</v>
      </c>
      <c r="C7548">
        <v>80.3</v>
      </c>
      <c r="D7548" t="s">
        <v>7</v>
      </c>
      <c r="E7548" s="2" t="s">
        <v>12</v>
      </c>
      <c r="F7548">
        <f t="shared" si="117"/>
        <v>159.23490000000001</v>
      </c>
      <c r="G7548" t="s">
        <v>16</v>
      </c>
      <c r="H7548" t="s">
        <v>10</v>
      </c>
      <c r="J7548" t="str">
        <f>"05/31/2022 00:38"</f>
        <v>05/31/2022 00:38</v>
      </c>
    </row>
    <row r="7549" spans="1:10" x14ac:dyDescent="0.3">
      <c r="A7549" t="s">
        <v>6</v>
      </c>
      <c r="B7549" t="str">
        <f>"05/31/2022 00:00"</f>
        <v>05/31/2022 00:00</v>
      </c>
      <c r="C7549">
        <v>80.400000000000006</v>
      </c>
      <c r="D7549" t="s">
        <v>7</v>
      </c>
      <c r="E7549" s="2" t="s">
        <v>12</v>
      </c>
      <c r="F7549">
        <f t="shared" si="117"/>
        <v>159.43320000000003</v>
      </c>
      <c r="G7549" t="s">
        <v>16</v>
      </c>
      <c r="H7549" t="s">
        <v>10</v>
      </c>
      <c r="J7549" t="str">
        <f>"06/01/2022 00:39"</f>
        <v>06/01/2022 00:39</v>
      </c>
    </row>
    <row r="7550" spans="1:10" x14ac:dyDescent="0.3">
      <c r="A7550" t="s">
        <v>6</v>
      </c>
      <c r="B7550" t="str">
        <f>"06/01/2022 00:00"</f>
        <v>06/01/2022 00:00</v>
      </c>
      <c r="C7550">
        <v>73.5</v>
      </c>
      <c r="D7550" t="s">
        <v>7</v>
      </c>
      <c r="E7550" s="2" t="s">
        <v>12</v>
      </c>
      <c r="F7550">
        <f t="shared" si="117"/>
        <v>145.75050000000002</v>
      </c>
      <c r="G7550" t="s">
        <v>16</v>
      </c>
      <c r="H7550" t="s">
        <v>10</v>
      </c>
      <c r="J7550" t="str">
        <f>"06/02/2022 00:39"</f>
        <v>06/02/2022 00:39</v>
      </c>
    </row>
    <row r="7551" spans="1:10" x14ac:dyDescent="0.3">
      <c r="A7551" t="s">
        <v>6</v>
      </c>
      <c r="B7551" t="str">
        <f>"06/02/2022 00:00"</f>
        <v>06/02/2022 00:00</v>
      </c>
      <c r="C7551">
        <v>80.7</v>
      </c>
      <c r="D7551" t="s">
        <v>7</v>
      </c>
      <c r="E7551" s="2" t="s">
        <v>12</v>
      </c>
      <c r="F7551">
        <f t="shared" si="117"/>
        <v>160.02810000000002</v>
      </c>
      <c r="G7551" t="s">
        <v>16</v>
      </c>
      <c r="H7551" t="s">
        <v>10</v>
      </c>
      <c r="J7551" t="str">
        <f>"06/03/2022 00:39"</f>
        <v>06/03/2022 00:39</v>
      </c>
    </row>
    <row r="7552" spans="1:10" x14ac:dyDescent="0.3">
      <c r="A7552" t="s">
        <v>6</v>
      </c>
      <c r="B7552" t="str">
        <f>"06/03/2022 00:00"</f>
        <v>06/03/2022 00:00</v>
      </c>
      <c r="C7552">
        <v>80.900000000000006</v>
      </c>
      <c r="D7552" t="s">
        <v>7</v>
      </c>
      <c r="E7552" s="2" t="s">
        <v>12</v>
      </c>
      <c r="F7552">
        <f t="shared" si="117"/>
        <v>160.42470000000003</v>
      </c>
      <c r="G7552" t="s">
        <v>16</v>
      </c>
      <c r="H7552" t="s">
        <v>10</v>
      </c>
      <c r="J7552" t="str">
        <f>"06/04/2022 00:39"</f>
        <v>06/04/2022 00:39</v>
      </c>
    </row>
    <row r="7553" spans="1:10" x14ac:dyDescent="0.3">
      <c r="A7553" t="s">
        <v>6</v>
      </c>
      <c r="B7553" t="str">
        <f>"06/04/2022 00:00"</f>
        <v>06/04/2022 00:00</v>
      </c>
      <c r="C7553">
        <v>81.099999999999994</v>
      </c>
      <c r="D7553" t="s">
        <v>7</v>
      </c>
      <c r="E7553" s="2" t="s">
        <v>12</v>
      </c>
      <c r="F7553">
        <f t="shared" si="117"/>
        <v>160.82130000000001</v>
      </c>
      <c r="G7553" t="s">
        <v>16</v>
      </c>
      <c r="H7553" t="s">
        <v>10</v>
      </c>
      <c r="J7553" t="str">
        <f>"06/05/2022 00:38"</f>
        <v>06/05/2022 00:38</v>
      </c>
    </row>
    <row r="7554" spans="1:10" x14ac:dyDescent="0.3">
      <c r="A7554" t="s">
        <v>6</v>
      </c>
      <c r="B7554" t="str">
        <f>"06/05/2022 00:00"</f>
        <v>06/05/2022 00:00</v>
      </c>
      <c r="C7554">
        <v>81.2</v>
      </c>
      <c r="D7554" t="s">
        <v>7</v>
      </c>
      <c r="E7554" s="2" t="s">
        <v>12</v>
      </c>
      <c r="F7554">
        <f t="shared" si="117"/>
        <v>161.01960000000003</v>
      </c>
      <c r="G7554" t="s">
        <v>16</v>
      </c>
      <c r="H7554" t="s">
        <v>10</v>
      </c>
      <c r="J7554" t="str">
        <f>"06/06/2022 00:38"</f>
        <v>06/06/2022 00:38</v>
      </c>
    </row>
    <row r="7555" spans="1:10" x14ac:dyDescent="0.3">
      <c r="A7555" t="s">
        <v>6</v>
      </c>
      <c r="B7555" t="str">
        <f>"06/06/2022 00:00"</f>
        <v>06/06/2022 00:00</v>
      </c>
      <c r="C7555">
        <v>118</v>
      </c>
      <c r="D7555" t="s">
        <v>7</v>
      </c>
      <c r="E7555" s="2" t="s">
        <v>12</v>
      </c>
      <c r="F7555">
        <f t="shared" si="117"/>
        <v>233.994</v>
      </c>
      <c r="G7555" t="s">
        <v>16</v>
      </c>
      <c r="H7555" t="s">
        <v>10</v>
      </c>
      <c r="J7555" t="str">
        <f>"06/07/2022 00:38"</f>
        <v>06/07/2022 00:38</v>
      </c>
    </row>
    <row r="7556" spans="1:10" x14ac:dyDescent="0.3">
      <c r="A7556" t="s">
        <v>6</v>
      </c>
      <c r="B7556" t="str">
        <f>"06/07/2022 00:00"</f>
        <v>06/07/2022 00:00</v>
      </c>
      <c r="C7556">
        <v>146</v>
      </c>
      <c r="D7556" t="s">
        <v>7</v>
      </c>
      <c r="E7556" s="2" t="s">
        <v>12</v>
      </c>
      <c r="F7556">
        <f t="shared" ref="F7556:F7619" si="118">C7556*1.983</f>
        <v>289.51800000000003</v>
      </c>
      <c r="G7556" t="s">
        <v>16</v>
      </c>
      <c r="H7556" t="s">
        <v>10</v>
      </c>
      <c r="J7556" t="str">
        <f>"06/08/2022 00:38"</f>
        <v>06/08/2022 00:38</v>
      </c>
    </row>
    <row r="7557" spans="1:10" x14ac:dyDescent="0.3">
      <c r="A7557" t="s">
        <v>6</v>
      </c>
      <c r="B7557" t="str">
        <f>"06/08/2022 00:00"</f>
        <v>06/08/2022 00:00</v>
      </c>
      <c r="C7557">
        <v>171</v>
      </c>
      <c r="D7557" t="s">
        <v>7</v>
      </c>
      <c r="E7557" s="2" t="s">
        <v>12</v>
      </c>
      <c r="F7557">
        <f t="shared" si="118"/>
        <v>339.09300000000002</v>
      </c>
      <c r="G7557" t="s">
        <v>16</v>
      </c>
      <c r="H7557" t="s">
        <v>10</v>
      </c>
      <c r="J7557" t="str">
        <f>"06/09/2022 00:38"</f>
        <v>06/09/2022 00:38</v>
      </c>
    </row>
    <row r="7558" spans="1:10" x14ac:dyDescent="0.3">
      <c r="A7558" t="s">
        <v>6</v>
      </c>
      <c r="B7558" t="str">
        <f>"06/09/2022 00:00"</f>
        <v>06/09/2022 00:00</v>
      </c>
      <c r="C7558">
        <v>172</v>
      </c>
      <c r="D7558" t="s">
        <v>7</v>
      </c>
      <c r="E7558" s="2" t="s">
        <v>12</v>
      </c>
      <c r="F7558">
        <f t="shared" si="118"/>
        <v>341.07600000000002</v>
      </c>
      <c r="G7558" t="s">
        <v>16</v>
      </c>
      <c r="H7558" t="s">
        <v>10</v>
      </c>
      <c r="J7558" t="str">
        <f>"06/10/2022 00:39"</f>
        <v>06/10/2022 00:39</v>
      </c>
    </row>
    <row r="7559" spans="1:10" x14ac:dyDescent="0.3">
      <c r="A7559" t="s">
        <v>6</v>
      </c>
      <c r="B7559" t="str">
        <f>"06/10/2022 00:00"</f>
        <v>06/10/2022 00:00</v>
      </c>
      <c r="C7559">
        <v>172</v>
      </c>
      <c r="D7559" t="s">
        <v>7</v>
      </c>
      <c r="E7559" s="2" t="s">
        <v>12</v>
      </c>
      <c r="F7559">
        <f t="shared" si="118"/>
        <v>341.07600000000002</v>
      </c>
      <c r="G7559" t="s">
        <v>16</v>
      </c>
      <c r="H7559" t="s">
        <v>10</v>
      </c>
      <c r="J7559" t="str">
        <f>"06/11/2022 00:39"</f>
        <v>06/11/2022 00:39</v>
      </c>
    </row>
    <row r="7560" spans="1:10" x14ac:dyDescent="0.3">
      <c r="A7560" t="s">
        <v>6</v>
      </c>
      <c r="B7560" t="str">
        <f>"06/11/2022 00:00"</f>
        <v>06/11/2022 00:00</v>
      </c>
      <c r="C7560">
        <v>172</v>
      </c>
      <c r="D7560" t="s">
        <v>7</v>
      </c>
      <c r="E7560" s="2" t="s">
        <v>12</v>
      </c>
      <c r="F7560">
        <f t="shared" si="118"/>
        <v>341.07600000000002</v>
      </c>
      <c r="G7560" t="s">
        <v>16</v>
      </c>
      <c r="H7560" t="s">
        <v>10</v>
      </c>
      <c r="J7560" t="str">
        <f>"06/12/2022 00:38"</f>
        <v>06/12/2022 00:38</v>
      </c>
    </row>
    <row r="7561" spans="1:10" x14ac:dyDescent="0.3">
      <c r="A7561" t="s">
        <v>6</v>
      </c>
      <c r="B7561" t="str">
        <f>"06/12/2022 00:00"</f>
        <v>06/12/2022 00:00</v>
      </c>
      <c r="C7561">
        <v>171</v>
      </c>
      <c r="D7561" t="s">
        <v>7</v>
      </c>
      <c r="E7561" s="2" t="s">
        <v>12</v>
      </c>
      <c r="F7561">
        <f t="shared" si="118"/>
        <v>339.09300000000002</v>
      </c>
      <c r="G7561" t="s">
        <v>16</v>
      </c>
      <c r="H7561" t="s">
        <v>10</v>
      </c>
      <c r="J7561" t="str">
        <f>"06/13/2022 00:39"</f>
        <v>06/13/2022 00:39</v>
      </c>
    </row>
    <row r="7562" spans="1:10" x14ac:dyDescent="0.3">
      <c r="A7562" t="s">
        <v>6</v>
      </c>
      <c r="B7562" t="str">
        <f>"06/13/2022 00:00"</f>
        <v>06/13/2022 00:00</v>
      </c>
      <c r="C7562">
        <v>170</v>
      </c>
      <c r="D7562" t="s">
        <v>7</v>
      </c>
      <c r="E7562" s="2" t="s">
        <v>12</v>
      </c>
      <c r="F7562">
        <f t="shared" si="118"/>
        <v>337.11</v>
      </c>
      <c r="G7562" t="s">
        <v>16</v>
      </c>
      <c r="H7562" t="s">
        <v>10</v>
      </c>
      <c r="J7562" t="str">
        <f>"06/14/2022 00:39"</f>
        <v>06/14/2022 00:39</v>
      </c>
    </row>
    <row r="7563" spans="1:10" x14ac:dyDescent="0.3">
      <c r="A7563" t="s">
        <v>6</v>
      </c>
      <c r="B7563" t="str">
        <f>"06/14/2022 00:00"</f>
        <v>06/14/2022 00:00</v>
      </c>
      <c r="C7563">
        <v>171</v>
      </c>
      <c r="D7563" t="s">
        <v>7</v>
      </c>
      <c r="E7563" s="2" t="s">
        <v>12</v>
      </c>
      <c r="F7563">
        <f t="shared" si="118"/>
        <v>339.09300000000002</v>
      </c>
      <c r="G7563" t="s">
        <v>16</v>
      </c>
      <c r="H7563" t="s">
        <v>10</v>
      </c>
      <c r="J7563" t="str">
        <f>"06/15/2022 00:38"</f>
        <v>06/15/2022 00:38</v>
      </c>
    </row>
    <row r="7564" spans="1:10" x14ac:dyDescent="0.3">
      <c r="A7564" t="s">
        <v>6</v>
      </c>
      <c r="B7564" t="str">
        <f>"06/15/2022 00:00"</f>
        <v>06/15/2022 00:00</v>
      </c>
      <c r="C7564">
        <v>232</v>
      </c>
      <c r="D7564" t="s">
        <v>7</v>
      </c>
      <c r="E7564" s="2" t="s">
        <v>12</v>
      </c>
      <c r="F7564">
        <f t="shared" si="118"/>
        <v>460.05600000000004</v>
      </c>
      <c r="G7564" t="s">
        <v>16</v>
      </c>
      <c r="H7564" t="s">
        <v>10</v>
      </c>
      <c r="J7564" t="str">
        <f>"06/16/2022 00:38"</f>
        <v>06/16/2022 00:38</v>
      </c>
    </row>
    <row r="7565" spans="1:10" x14ac:dyDescent="0.3">
      <c r="A7565" t="s">
        <v>6</v>
      </c>
      <c r="B7565" t="str">
        <f>"06/16/2022 00:00"</f>
        <v>06/16/2022 00:00</v>
      </c>
      <c r="C7565">
        <v>297</v>
      </c>
      <c r="D7565" t="s">
        <v>7</v>
      </c>
      <c r="E7565" s="2" t="s">
        <v>12</v>
      </c>
      <c r="F7565">
        <f t="shared" si="118"/>
        <v>588.95100000000002</v>
      </c>
      <c r="G7565" t="s">
        <v>16</v>
      </c>
      <c r="H7565" t="s">
        <v>10</v>
      </c>
      <c r="J7565" t="str">
        <f>"06/17/2022 00:38"</f>
        <v>06/17/2022 00:38</v>
      </c>
    </row>
    <row r="7566" spans="1:10" x14ac:dyDescent="0.3">
      <c r="A7566" t="s">
        <v>6</v>
      </c>
      <c r="B7566" t="str">
        <f>"06/17/2022 00:00"</f>
        <v>06/17/2022 00:00</v>
      </c>
      <c r="C7566">
        <v>358</v>
      </c>
      <c r="D7566" t="s">
        <v>7</v>
      </c>
      <c r="E7566" s="2" t="s">
        <v>12</v>
      </c>
      <c r="F7566">
        <f t="shared" si="118"/>
        <v>709.91399999999999</v>
      </c>
      <c r="G7566" t="s">
        <v>16</v>
      </c>
      <c r="H7566" t="s">
        <v>10</v>
      </c>
      <c r="J7566" t="str">
        <f>"06/18/2022 00:38"</f>
        <v>06/18/2022 00:38</v>
      </c>
    </row>
    <row r="7567" spans="1:10" x14ac:dyDescent="0.3">
      <c r="A7567" t="s">
        <v>6</v>
      </c>
      <c r="B7567" t="str">
        <f>"06/18/2022 00:00"</f>
        <v>06/18/2022 00:00</v>
      </c>
      <c r="C7567">
        <v>380</v>
      </c>
      <c r="D7567" t="s">
        <v>7</v>
      </c>
      <c r="E7567" s="2" t="s">
        <v>12</v>
      </c>
      <c r="F7567">
        <f t="shared" si="118"/>
        <v>753.54000000000008</v>
      </c>
      <c r="G7567" t="s">
        <v>16</v>
      </c>
      <c r="H7567" t="s">
        <v>10</v>
      </c>
      <c r="J7567" t="str">
        <f>"06/19/2022 00:39"</f>
        <v>06/19/2022 00:39</v>
      </c>
    </row>
    <row r="7568" spans="1:10" x14ac:dyDescent="0.3">
      <c r="A7568" t="s">
        <v>6</v>
      </c>
      <c r="B7568" t="str">
        <f>"06/19/2022 00:00"</f>
        <v>06/19/2022 00:00</v>
      </c>
      <c r="C7568">
        <v>380</v>
      </c>
      <c r="D7568" t="s">
        <v>7</v>
      </c>
      <c r="E7568" s="2" t="s">
        <v>12</v>
      </c>
      <c r="F7568">
        <f t="shared" si="118"/>
        <v>753.54000000000008</v>
      </c>
      <c r="G7568" t="s">
        <v>16</v>
      </c>
      <c r="H7568" t="s">
        <v>10</v>
      </c>
      <c r="J7568" t="str">
        <f>"06/20/2022 00:38"</f>
        <v>06/20/2022 00:38</v>
      </c>
    </row>
    <row r="7569" spans="1:10" x14ac:dyDescent="0.3">
      <c r="A7569" t="s">
        <v>6</v>
      </c>
      <c r="B7569" t="str">
        <f>"06/20/2022 00:00"</f>
        <v>06/20/2022 00:00</v>
      </c>
      <c r="C7569">
        <v>349</v>
      </c>
      <c r="D7569" t="s">
        <v>7</v>
      </c>
      <c r="E7569" s="2" t="s">
        <v>12</v>
      </c>
      <c r="F7569">
        <f t="shared" si="118"/>
        <v>692.06700000000001</v>
      </c>
      <c r="G7569" t="s">
        <v>16</v>
      </c>
      <c r="H7569" t="s">
        <v>10</v>
      </c>
      <c r="J7569" t="str">
        <f>"06/21/2022 00:39"</f>
        <v>06/21/2022 00:39</v>
      </c>
    </row>
    <row r="7570" spans="1:10" x14ac:dyDescent="0.3">
      <c r="A7570" t="s">
        <v>6</v>
      </c>
      <c r="B7570" t="str">
        <f>"06/21/2022 00:00"</f>
        <v>06/21/2022 00:00</v>
      </c>
      <c r="C7570">
        <v>332</v>
      </c>
      <c r="D7570" t="s">
        <v>7</v>
      </c>
      <c r="E7570" s="2" t="s">
        <v>12</v>
      </c>
      <c r="F7570">
        <f t="shared" si="118"/>
        <v>658.35599999999999</v>
      </c>
      <c r="G7570" t="s">
        <v>16</v>
      </c>
      <c r="H7570" t="s">
        <v>10</v>
      </c>
      <c r="J7570" t="str">
        <f>"06/22/2022 00:39"</f>
        <v>06/22/2022 00:39</v>
      </c>
    </row>
    <row r="7571" spans="1:10" x14ac:dyDescent="0.3">
      <c r="A7571" t="s">
        <v>6</v>
      </c>
      <c r="B7571" t="str">
        <f>"06/22/2022 00:00"</f>
        <v>06/22/2022 00:00</v>
      </c>
      <c r="C7571">
        <v>331</v>
      </c>
      <c r="D7571" t="s">
        <v>7</v>
      </c>
      <c r="E7571" s="2" t="s">
        <v>12</v>
      </c>
      <c r="F7571">
        <f t="shared" si="118"/>
        <v>656.37300000000005</v>
      </c>
      <c r="G7571" t="s">
        <v>16</v>
      </c>
      <c r="H7571" t="s">
        <v>10</v>
      </c>
      <c r="J7571" t="str">
        <f>"06/23/2022 00:38"</f>
        <v>06/23/2022 00:38</v>
      </c>
    </row>
    <row r="7572" spans="1:10" x14ac:dyDescent="0.3">
      <c r="A7572" t="s">
        <v>6</v>
      </c>
      <c r="B7572" t="str">
        <f>"06/23/2022 00:00"</f>
        <v>06/23/2022 00:00</v>
      </c>
      <c r="C7572">
        <v>326</v>
      </c>
      <c r="D7572" t="s">
        <v>7</v>
      </c>
      <c r="E7572" s="2" t="s">
        <v>12</v>
      </c>
      <c r="F7572">
        <f t="shared" si="118"/>
        <v>646.45800000000008</v>
      </c>
      <c r="G7572" t="s">
        <v>16</v>
      </c>
      <c r="H7572" t="s">
        <v>10</v>
      </c>
      <c r="J7572" t="str">
        <f>"06/24/2022 00:38"</f>
        <v>06/24/2022 00:38</v>
      </c>
    </row>
    <row r="7573" spans="1:10" x14ac:dyDescent="0.3">
      <c r="A7573" t="s">
        <v>6</v>
      </c>
      <c r="B7573" t="str">
        <f>"06/24/2022 00:00"</f>
        <v>06/24/2022 00:00</v>
      </c>
      <c r="C7573">
        <v>327</v>
      </c>
      <c r="D7573" t="s">
        <v>7</v>
      </c>
      <c r="E7573" s="2" t="s">
        <v>12</v>
      </c>
      <c r="F7573">
        <f t="shared" si="118"/>
        <v>648.44100000000003</v>
      </c>
      <c r="G7573" t="s">
        <v>16</v>
      </c>
      <c r="H7573" t="s">
        <v>10</v>
      </c>
      <c r="J7573" t="str">
        <f>"06/25/2022 00:38"</f>
        <v>06/25/2022 00:38</v>
      </c>
    </row>
    <row r="7574" spans="1:10" x14ac:dyDescent="0.3">
      <c r="A7574" t="s">
        <v>6</v>
      </c>
      <c r="B7574" t="str">
        <f>"06/25/2022 00:00"</f>
        <v>06/25/2022 00:00</v>
      </c>
      <c r="C7574">
        <v>327</v>
      </c>
      <c r="D7574" t="s">
        <v>7</v>
      </c>
      <c r="E7574" s="2" t="s">
        <v>12</v>
      </c>
      <c r="F7574">
        <f t="shared" si="118"/>
        <v>648.44100000000003</v>
      </c>
      <c r="G7574" t="s">
        <v>16</v>
      </c>
      <c r="H7574" t="s">
        <v>10</v>
      </c>
      <c r="J7574" t="str">
        <f>"06/26/2022 00:39"</f>
        <v>06/26/2022 00:39</v>
      </c>
    </row>
    <row r="7575" spans="1:10" x14ac:dyDescent="0.3">
      <c r="A7575" t="s">
        <v>6</v>
      </c>
      <c r="B7575" t="str">
        <f>"06/26/2022 00:00"</f>
        <v>06/26/2022 00:00</v>
      </c>
      <c r="C7575">
        <v>328</v>
      </c>
      <c r="D7575" t="s">
        <v>7</v>
      </c>
      <c r="E7575" s="2" t="s">
        <v>12</v>
      </c>
      <c r="F7575">
        <f t="shared" si="118"/>
        <v>650.42399999999998</v>
      </c>
      <c r="G7575" t="s">
        <v>16</v>
      </c>
      <c r="H7575" t="s">
        <v>10</v>
      </c>
      <c r="J7575" t="str">
        <f>"06/27/2022 00:38"</f>
        <v>06/27/2022 00:38</v>
      </c>
    </row>
    <row r="7576" spans="1:10" x14ac:dyDescent="0.3">
      <c r="A7576" t="s">
        <v>6</v>
      </c>
      <c r="B7576" t="str">
        <f>"06/27/2022 00:00"</f>
        <v>06/27/2022 00:00</v>
      </c>
      <c r="C7576">
        <v>327</v>
      </c>
      <c r="D7576" t="s">
        <v>7</v>
      </c>
      <c r="E7576" s="2" t="s">
        <v>12</v>
      </c>
      <c r="F7576">
        <f t="shared" si="118"/>
        <v>648.44100000000003</v>
      </c>
      <c r="G7576" t="s">
        <v>16</v>
      </c>
      <c r="H7576" t="s">
        <v>10</v>
      </c>
      <c r="J7576" t="str">
        <f>"06/28/2022 00:39"</f>
        <v>06/28/2022 00:39</v>
      </c>
    </row>
    <row r="7577" spans="1:10" x14ac:dyDescent="0.3">
      <c r="A7577" t="s">
        <v>6</v>
      </c>
      <c r="B7577" t="str">
        <f>"06/28/2022 00:00"</f>
        <v>06/28/2022 00:00</v>
      </c>
      <c r="C7577">
        <v>362</v>
      </c>
      <c r="D7577" t="s">
        <v>7</v>
      </c>
      <c r="E7577" s="2" t="s">
        <v>12</v>
      </c>
      <c r="F7577">
        <f t="shared" si="118"/>
        <v>717.846</v>
      </c>
      <c r="G7577" t="s">
        <v>16</v>
      </c>
      <c r="H7577" t="s">
        <v>10</v>
      </c>
      <c r="J7577" t="str">
        <f>"06/29/2022 00:38"</f>
        <v>06/29/2022 00:38</v>
      </c>
    </row>
    <row r="7578" spans="1:10" x14ac:dyDescent="0.3">
      <c r="A7578" t="s">
        <v>6</v>
      </c>
      <c r="B7578" t="str">
        <f>"06/29/2022 00:00"</f>
        <v>06/29/2022 00:00</v>
      </c>
      <c r="C7578">
        <v>389</v>
      </c>
      <c r="D7578" t="s">
        <v>7</v>
      </c>
      <c r="E7578" s="2" t="s">
        <v>12</v>
      </c>
      <c r="F7578">
        <f t="shared" si="118"/>
        <v>771.38700000000006</v>
      </c>
      <c r="G7578" t="s">
        <v>16</v>
      </c>
      <c r="H7578" t="s">
        <v>10</v>
      </c>
      <c r="J7578" t="str">
        <f>"06/30/2022 00:39"</f>
        <v>06/30/2022 00:39</v>
      </c>
    </row>
    <row r="7579" spans="1:10" x14ac:dyDescent="0.3">
      <c r="A7579" t="s">
        <v>6</v>
      </c>
      <c r="B7579" t="str">
        <f>"06/30/2022 00:00"</f>
        <v>06/30/2022 00:00</v>
      </c>
      <c r="C7579">
        <v>389</v>
      </c>
      <c r="D7579" t="s">
        <v>7</v>
      </c>
      <c r="E7579" s="2" t="s">
        <v>12</v>
      </c>
      <c r="F7579">
        <f t="shared" si="118"/>
        <v>771.38700000000006</v>
      </c>
      <c r="G7579" t="s">
        <v>16</v>
      </c>
      <c r="H7579" t="s">
        <v>10</v>
      </c>
      <c r="J7579" t="str">
        <f>"07/01/2022 01:16"</f>
        <v>07/01/2022 01:16</v>
      </c>
    </row>
    <row r="7580" spans="1:10" x14ac:dyDescent="0.3">
      <c r="A7580" t="s">
        <v>6</v>
      </c>
      <c r="B7580" t="str">
        <f>"07/01/2022 00:00"</f>
        <v>07/01/2022 00:00</v>
      </c>
      <c r="C7580">
        <v>389</v>
      </c>
      <c r="D7580" t="s">
        <v>7</v>
      </c>
      <c r="E7580" s="2" t="s">
        <v>12</v>
      </c>
      <c r="F7580">
        <f t="shared" si="118"/>
        <v>771.38700000000006</v>
      </c>
      <c r="G7580" t="s">
        <v>16</v>
      </c>
      <c r="H7580" t="s">
        <v>10</v>
      </c>
      <c r="J7580" t="str">
        <f>"07/02/2022 00:38"</f>
        <v>07/02/2022 00:38</v>
      </c>
    </row>
    <row r="7581" spans="1:10" x14ac:dyDescent="0.3">
      <c r="A7581" t="s">
        <v>6</v>
      </c>
      <c r="B7581" t="str">
        <f>"07/02/2022 00:00"</f>
        <v>07/02/2022 00:00</v>
      </c>
      <c r="C7581">
        <v>389</v>
      </c>
      <c r="D7581" t="s">
        <v>7</v>
      </c>
      <c r="E7581" s="2" t="s">
        <v>12</v>
      </c>
      <c r="F7581">
        <f t="shared" si="118"/>
        <v>771.38700000000006</v>
      </c>
      <c r="G7581" t="s">
        <v>16</v>
      </c>
      <c r="H7581" t="s">
        <v>10</v>
      </c>
      <c r="J7581" t="str">
        <f>"07/03/2022 00:39"</f>
        <v>07/03/2022 00:39</v>
      </c>
    </row>
    <row r="7582" spans="1:10" x14ac:dyDescent="0.3">
      <c r="A7582" t="s">
        <v>6</v>
      </c>
      <c r="B7582" t="str">
        <f>"07/03/2022 00:00"</f>
        <v>07/03/2022 00:00</v>
      </c>
      <c r="C7582">
        <v>389</v>
      </c>
      <c r="D7582" t="s">
        <v>7</v>
      </c>
      <c r="E7582" s="2" t="s">
        <v>12</v>
      </c>
      <c r="F7582">
        <f t="shared" si="118"/>
        <v>771.38700000000006</v>
      </c>
      <c r="G7582" t="s">
        <v>16</v>
      </c>
      <c r="H7582" t="s">
        <v>10</v>
      </c>
      <c r="J7582" t="str">
        <f>"07/04/2022 00:39"</f>
        <v>07/04/2022 00:39</v>
      </c>
    </row>
    <row r="7583" spans="1:10" x14ac:dyDescent="0.3">
      <c r="A7583" t="s">
        <v>6</v>
      </c>
      <c r="B7583" t="str">
        <f>"07/04/2022 00:00"</f>
        <v>07/04/2022 00:00</v>
      </c>
      <c r="C7583">
        <v>388</v>
      </c>
      <c r="D7583" t="s">
        <v>7</v>
      </c>
      <c r="E7583" s="2" t="s">
        <v>12</v>
      </c>
      <c r="F7583">
        <f t="shared" si="118"/>
        <v>769.404</v>
      </c>
      <c r="G7583" t="s">
        <v>16</v>
      </c>
      <c r="H7583" t="s">
        <v>10</v>
      </c>
      <c r="J7583" t="str">
        <f>"07/05/2022 00:38"</f>
        <v>07/05/2022 00:38</v>
      </c>
    </row>
    <row r="7584" spans="1:10" x14ac:dyDescent="0.3">
      <c r="A7584" t="s">
        <v>6</v>
      </c>
      <c r="B7584" t="str">
        <f>"07/05/2022 00:00"</f>
        <v>07/05/2022 00:00</v>
      </c>
      <c r="C7584">
        <v>389</v>
      </c>
      <c r="D7584" t="s">
        <v>7</v>
      </c>
      <c r="E7584" s="2" t="s">
        <v>12</v>
      </c>
      <c r="F7584">
        <f t="shared" si="118"/>
        <v>771.38700000000006</v>
      </c>
      <c r="G7584" t="s">
        <v>16</v>
      </c>
      <c r="H7584" t="s">
        <v>10</v>
      </c>
      <c r="J7584" t="str">
        <f>"07/06/2022 00:38"</f>
        <v>07/06/2022 00:38</v>
      </c>
    </row>
    <row r="7585" spans="1:10" x14ac:dyDescent="0.3">
      <c r="A7585" t="s">
        <v>6</v>
      </c>
      <c r="B7585" t="str">
        <f>"07/06/2022 00:00"</f>
        <v>07/06/2022 00:00</v>
      </c>
      <c r="C7585">
        <v>416</v>
      </c>
      <c r="D7585" t="s">
        <v>7</v>
      </c>
      <c r="E7585" s="2" t="s">
        <v>12</v>
      </c>
      <c r="F7585">
        <f t="shared" si="118"/>
        <v>824.928</v>
      </c>
      <c r="G7585" t="s">
        <v>16</v>
      </c>
      <c r="H7585" t="s">
        <v>10</v>
      </c>
      <c r="J7585" t="str">
        <f>"07/07/2022 00:38"</f>
        <v>07/07/2022 00:38</v>
      </c>
    </row>
    <row r="7586" spans="1:10" x14ac:dyDescent="0.3">
      <c r="A7586" t="s">
        <v>6</v>
      </c>
      <c r="B7586" t="str">
        <f>"07/07/2022 00:00"</f>
        <v>07/07/2022 00:00</v>
      </c>
      <c r="C7586">
        <v>439</v>
      </c>
      <c r="D7586" t="s">
        <v>7</v>
      </c>
      <c r="E7586" s="2" t="s">
        <v>12</v>
      </c>
      <c r="F7586">
        <f t="shared" si="118"/>
        <v>870.53700000000003</v>
      </c>
      <c r="G7586" t="s">
        <v>16</v>
      </c>
      <c r="H7586" t="s">
        <v>10</v>
      </c>
      <c r="J7586" t="str">
        <f>"07/08/2022 00:38"</f>
        <v>07/08/2022 00:38</v>
      </c>
    </row>
    <row r="7587" spans="1:10" x14ac:dyDescent="0.3">
      <c r="A7587" t="s">
        <v>6</v>
      </c>
      <c r="B7587" t="str">
        <f>"07/08/2022 00:00"</f>
        <v>07/08/2022 00:00</v>
      </c>
      <c r="C7587">
        <v>439</v>
      </c>
      <c r="D7587" t="s">
        <v>7</v>
      </c>
      <c r="E7587" s="2" t="s">
        <v>12</v>
      </c>
      <c r="F7587">
        <f t="shared" si="118"/>
        <v>870.53700000000003</v>
      </c>
      <c r="G7587" t="s">
        <v>16</v>
      </c>
      <c r="H7587" t="s">
        <v>10</v>
      </c>
      <c r="J7587" t="str">
        <f>"07/09/2022 00:38"</f>
        <v>07/09/2022 00:38</v>
      </c>
    </row>
    <row r="7588" spans="1:10" x14ac:dyDescent="0.3">
      <c r="A7588" t="s">
        <v>6</v>
      </c>
      <c r="B7588" t="str">
        <f>"07/09/2022 00:00"</f>
        <v>07/09/2022 00:00</v>
      </c>
      <c r="C7588">
        <v>439</v>
      </c>
      <c r="D7588" t="s">
        <v>7</v>
      </c>
      <c r="E7588" s="2" t="s">
        <v>12</v>
      </c>
      <c r="F7588">
        <f t="shared" si="118"/>
        <v>870.53700000000003</v>
      </c>
      <c r="G7588" t="s">
        <v>16</v>
      </c>
      <c r="H7588" t="s">
        <v>10</v>
      </c>
      <c r="J7588" t="str">
        <f>"07/10/2022 00:38"</f>
        <v>07/10/2022 00:38</v>
      </c>
    </row>
    <row r="7589" spans="1:10" x14ac:dyDescent="0.3">
      <c r="A7589" t="s">
        <v>6</v>
      </c>
      <c r="B7589" t="str">
        <f>"07/10/2022 00:00"</f>
        <v>07/10/2022 00:00</v>
      </c>
      <c r="C7589">
        <v>439</v>
      </c>
      <c r="D7589" t="s">
        <v>7</v>
      </c>
      <c r="E7589" s="2" t="s">
        <v>12</v>
      </c>
      <c r="F7589">
        <f t="shared" si="118"/>
        <v>870.53700000000003</v>
      </c>
      <c r="G7589" t="s">
        <v>16</v>
      </c>
      <c r="H7589" t="s">
        <v>10</v>
      </c>
      <c r="J7589" t="str">
        <f>"07/11/2022 00:38"</f>
        <v>07/11/2022 00:38</v>
      </c>
    </row>
    <row r="7590" spans="1:10" x14ac:dyDescent="0.3">
      <c r="A7590" t="s">
        <v>6</v>
      </c>
      <c r="B7590" t="str">
        <f>"07/11/2022 00:00"</f>
        <v>07/11/2022 00:00</v>
      </c>
      <c r="C7590">
        <v>439</v>
      </c>
      <c r="D7590" t="s">
        <v>7</v>
      </c>
      <c r="E7590" s="2" t="s">
        <v>12</v>
      </c>
      <c r="F7590">
        <f t="shared" si="118"/>
        <v>870.53700000000003</v>
      </c>
      <c r="G7590" t="s">
        <v>16</v>
      </c>
      <c r="H7590" t="s">
        <v>10</v>
      </c>
      <c r="J7590" t="str">
        <f>"07/12/2022 00:39"</f>
        <v>07/12/2022 00:39</v>
      </c>
    </row>
    <row r="7591" spans="1:10" x14ac:dyDescent="0.3">
      <c r="A7591" t="s">
        <v>6</v>
      </c>
      <c r="B7591" t="str">
        <f>"07/12/2022 00:00"</f>
        <v>07/12/2022 00:00</v>
      </c>
      <c r="C7591">
        <v>439</v>
      </c>
      <c r="D7591" t="s">
        <v>7</v>
      </c>
      <c r="E7591" s="2" t="s">
        <v>12</v>
      </c>
      <c r="F7591">
        <f t="shared" si="118"/>
        <v>870.53700000000003</v>
      </c>
      <c r="G7591" t="s">
        <v>16</v>
      </c>
      <c r="H7591" t="s">
        <v>10</v>
      </c>
      <c r="J7591" t="str">
        <f>"07/13/2022 00:39"</f>
        <v>07/13/2022 00:39</v>
      </c>
    </row>
    <row r="7592" spans="1:10" x14ac:dyDescent="0.3">
      <c r="A7592" t="s">
        <v>6</v>
      </c>
      <c r="B7592" t="str">
        <f>"07/13/2022 00:00"</f>
        <v>07/13/2022 00:00</v>
      </c>
      <c r="C7592">
        <v>439</v>
      </c>
      <c r="D7592" t="s">
        <v>7</v>
      </c>
      <c r="E7592" s="2" t="s">
        <v>12</v>
      </c>
      <c r="F7592">
        <f t="shared" si="118"/>
        <v>870.53700000000003</v>
      </c>
      <c r="G7592" t="s">
        <v>16</v>
      </c>
      <c r="H7592" t="s">
        <v>10</v>
      </c>
      <c r="J7592" t="str">
        <f>"07/14/2022 00:39"</f>
        <v>07/14/2022 00:39</v>
      </c>
    </row>
    <row r="7593" spans="1:10" x14ac:dyDescent="0.3">
      <c r="A7593" t="s">
        <v>6</v>
      </c>
      <c r="B7593" t="str">
        <f>"07/14/2022 00:00"</f>
        <v>07/14/2022 00:00</v>
      </c>
      <c r="C7593">
        <v>439</v>
      </c>
      <c r="D7593" t="s">
        <v>7</v>
      </c>
      <c r="E7593" s="2" t="s">
        <v>12</v>
      </c>
      <c r="F7593">
        <f t="shared" si="118"/>
        <v>870.53700000000003</v>
      </c>
      <c r="G7593" t="s">
        <v>16</v>
      </c>
      <c r="H7593" t="s">
        <v>10</v>
      </c>
      <c r="J7593" t="str">
        <f>"07/15/2022 00:39"</f>
        <v>07/15/2022 00:39</v>
      </c>
    </row>
    <row r="7594" spans="1:10" x14ac:dyDescent="0.3">
      <c r="A7594" t="s">
        <v>6</v>
      </c>
      <c r="B7594" t="str">
        <f>"07/15/2022 00:00"</f>
        <v>07/15/2022 00:00</v>
      </c>
      <c r="C7594">
        <v>293</v>
      </c>
      <c r="D7594" t="s">
        <v>7</v>
      </c>
      <c r="E7594" s="2" t="s">
        <v>12</v>
      </c>
      <c r="F7594">
        <f t="shared" si="118"/>
        <v>581.01900000000001</v>
      </c>
      <c r="G7594" t="s">
        <v>16</v>
      </c>
      <c r="H7594" t="s">
        <v>10</v>
      </c>
      <c r="J7594" t="str">
        <f>"07/16/2022 00:38"</f>
        <v>07/16/2022 00:38</v>
      </c>
    </row>
    <row r="7595" spans="1:10" x14ac:dyDescent="0.3">
      <c r="A7595" t="s">
        <v>6</v>
      </c>
      <c r="B7595" t="str">
        <f>"07/16/2022 00:00"</f>
        <v>07/16/2022 00:00</v>
      </c>
      <c r="C7595">
        <v>439</v>
      </c>
      <c r="D7595" t="s">
        <v>7</v>
      </c>
      <c r="E7595" s="2" t="s">
        <v>12</v>
      </c>
      <c r="F7595">
        <f t="shared" si="118"/>
        <v>870.53700000000003</v>
      </c>
      <c r="G7595" t="s">
        <v>16</v>
      </c>
      <c r="H7595" t="s">
        <v>10</v>
      </c>
      <c r="J7595" t="str">
        <f>"07/17/2022 00:39"</f>
        <v>07/17/2022 00:39</v>
      </c>
    </row>
    <row r="7596" spans="1:10" x14ac:dyDescent="0.3">
      <c r="A7596" t="s">
        <v>6</v>
      </c>
      <c r="B7596" t="str">
        <f>"07/17/2022 00:00"</f>
        <v>07/17/2022 00:00</v>
      </c>
      <c r="C7596">
        <v>440</v>
      </c>
      <c r="D7596" t="s">
        <v>7</v>
      </c>
      <c r="E7596" s="2" t="s">
        <v>12</v>
      </c>
      <c r="F7596">
        <f t="shared" si="118"/>
        <v>872.5200000000001</v>
      </c>
      <c r="G7596" t="s">
        <v>16</v>
      </c>
      <c r="H7596" t="s">
        <v>10</v>
      </c>
      <c r="J7596" t="str">
        <f>"07/18/2022 00:38"</f>
        <v>07/18/2022 00:38</v>
      </c>
    </row>
    <row r="7597" spans="1:10" x14ac:dyDescent="0.3">
      <c r="A7597" t="s">
        <v>6</v>
      </c>
      <c r="B7597" t="str">
        <f>"07/18/2022 00:00"</f>
        <v>07/18/2022 00:00</v>
      </c>
      <c r="C7597">
        <v>440</v>
      </c>
      <c r="D7597" t="s">
        <v>7</v>
      </c>
      <c r="E7597" s="2" t="s">
        <v>12</v>
      </c>
      <c r="F7597">
        <f t="shared" si="118"/>
        <v>872.5200000000001</v>
      </c>
      <c r="G7597" t="s">
        <v>16</v>
      </c>
      <c r="H7597" t="s">
        <v>10</v>
      </c>
      <c r="J7597" t="str">
        <f>"07/19/2022 00:39"</f>
        <v>07/19/2022 00:39</v>
      </c>
    </row>
    <row r="7598" spans="1:10" x14ac:dyDescent="0.3">
      <c r="A7598" t="s">
        <v>6</v>
      </c>
      <c r="B7598" t="str">
        <f>"07/19/2022 00:00"</f>
        <v>07/19/2022 00:00</v>
      </c>
      <c r="C7598">
        <v>440</v>
      </c>
      <c r="D7598" t="s">
        <v>7</v>
      </c>
      <c r="E7598" s="2" t="s">
        <v>12</v>
      </c>
      <c r="F7598">
        <f t="shared" si="118"/>
        <v>872.5200000000001</v>
      </c>
      <c r="G7598" t="s">
        <v>16</v>
      </c>
      <c r="H7598" t="s">
        <v>10</v>
      </c>
      <c r="J7598" t="str">
        <f>"07/20/2022 00:38"</f>
        <v>07/20/2022 00:38</v>
      </c>
    </row>
    <row r="7599" spans="1:10" x14ac:dyDescent="0.3">
      <c r="A7599" t="s">
        <v>6</v>
      </c>
      <c r="B7599" t="str">
        <f>"07/20/2022 00:00"</f>
        <v>07/20/2022 00:00</v>
      </c>
      <c r="C7599">
        <v>440</v>
      </c>
      <c r="D7599" t="s">
        <v>7</v>
      </c>
      <c r="E7599" s="2" t="s">
        <v>12</v>
      </c>
      <c r="F7599">
        <f t="shared" si="118"/>
        <v>872.5200000000001</v>
      </c>
      <c r="G7599" t="s">
        <v>16</v>
      </c>
      <c r="H7599" t="s">
        <v>10</v>
      </c>
      <c r="J7599" t="str">
        <f>"07/21/2022 00:38"</f>
        <v>07/21/2022 00:38</v>
      </c>
    </row>
    <row r="7600" spans="1:10" x14ac:dyDescent="0.3">
      <c r="A7600" t="s">
        <v>6</v>
      </c>
      <c r="B7600" t="str">
        <f>"07/21/2022 00:00"</f>
        <v>07/21/2022 00:00</v>
      </c>
      <c r="C7600">
        <v>440</v>
      </c>
      <c r="D7600" t="s">
        <v>7</v>
      </c>
      <c r="E7600" s="2" t="s">
        <v>12</v>
      </c>
      <c r="F7600">
        <f t="shared" si="118"/>
        <v>872.5200000000001</v>
      </c>
      <c r="G7600" t="s">
        <v>16</v>
      </c>
      <c r="H7600" t="s">
        <v>10</v>
      </c>
      <c r="J7600" t="str">
        <f>"07/22/2022 00:38"</f>
        <v>07/22/2022 00:38</v>
      </c>
    </row>
    <row r="7601" spans="1:10" x14ac:dyDescent="0.3">
      <c r="A7601" t="s">
        <v>6</v>
      </c>
      <c r="B7601" t="str">
        <f>"07/22/2022 00:00"</f>
        <v>07/22/2022 00:00</v>
      </c>
      <c r="C7601">
        <v>439</v>
      </c>
      <c r="D7601" t="s">
        <v>7</v>
      </c>
      <c r="E7601" s="2" t="s">
        <v>12</v>
      </c>
      <c r="F7601">
        <f t="shared" si="118"/>
        <v>870.53700000000003</v>
      </c>
      <c r="G7601" t="s">
        <v>16</v>
      </c>
      <c r="H7601" t="s">
        <v>10</v>
      </c>
      <c r="J7601" t="str">
        <f>"07/23/2022 00:38"</f>
        <v>07/23/2022 00:38</v>
      </c>
    </row>
    <row r="7602" spans="1:10" x14ac:dyDescent="0.3">
      <c r="A7602" t="s">
        <v>6</v>
      </c>
      <c r="B7602" t="str">
        <f>"07/23/2022 00:00"</f>
        <v>07/23/2022 00:00</v>
      </c>
      <c r="C7602">
        <v>439</v>
      </c>
      <c r="D7602" t="s">
        <v>7</v>
      </c>
      <c r="E7602" s="2" t="s">
        <v>12</v>
      </c>
      <c r="F7602">
        <f t="shared" si="118"/>
        <v>870.53700000000003</v>
      </c>
      <c r="G7602" t="s">
        <v>16</v>
      </c>
      <c r="H7602" t="s">
        <v>10</v>
      </c>
      <c r="J7602" t="str">
        <f>"07/24/2022 00:38"</f>
        <v>07/24/2022 00:38</v>
      </c>
    </row>
    <row r="7603" spans="1:10" x14ac:dyDescent="0.3">
      <c r="A7603" t="s">
        <v>6</v>
      </c>
      <c r="B7603" t="str">
        <f>"07/24/2022 00:00"</f>
        <v>07/24/2022 00:00</v>
      </c>
      <c r="C7603">
        <v>439</v>
      </c>
      <c r="D7603" t="s">
        <v>7</v>
      </c>
      <c r="E7603" s="2" t="s">
        <v>12</v>
      </c>
      <c r="F7603">
        <f t="shared" si="118"/>
        <v>870.53700000000003</v>
      </c>
      <c r="G7603" t="s">
        <v>16</v>
      </c>
      <c r="H7603" t="s">
        <v>10</v>
      </c>
      <c r="J7603" t="str">
        <f>"07/25/2022 00:39"</f>
        <v>07/25/2022 00:39</v>
      </c>
    </row>
    <row r="7604" spans="1:10" x14ac:dyDescent="0.3">
      <c r="A7604" t="s">
        <v>6</v>
      </c>
      <c r="B7604" t="str">
        <f>"07/25/2022 00:00"</f>
        <v>07/25/2022 00:00</v>
      </c>
      <c r="C7604">
        <v>374</v>
      </c>
      <c r="D7604" t="s">
        <v>7</v>
      </c>
      <c r="E7604" s="2" t="s">
        <v>12</v>
      </c>
      <c r="F7604">
        <f t="shared" si="118"/>
        <v>741.64200000000005</v>
      </c>
      <c r="G7604" t="s">
        <v>16</v>
      </c>
      <c r="H7604" t="s">
        <v>10</v>
      </c>
      <c r="J7604" t="str">
        <f>"07/26/2022 00:39"</f>
        <v>07/26/2022 00:39</v>
      </c>
    </row>
    <row r="7605" spans="1:10" x14ac:dyDescent="0.3">
      <c r="A7605" t="s">
        <v>6</v>
      </c>
      <c r="B7605" t="str">
        <f>"07/26/2022 00:00"</f>
        <v>07/26/2022 00:00</v>
      </c>
      <c r="C7605">
        <v>306</v>
      </c>
      <c r="D7605" t="s">
        <v>7</v>
      </c>
      <c r="E7605" s="2" t="s">
        <v>12</v>
      </c>
      <c r="F7605">
        <f t="shared" si="118"/>
        <v>606.798</v>
      </c>
      <c r="G7605" t="s">
        <v>16</v>
      </c>
      <c r="H7605" t="s">
        <v>10</v>
      </c>
      <c r="J7605" t="str">
        <f>"07/27/2022 00:39"</f>
        <v>07/27/2022 00:39</v>
      </c>
    </row>
    <row r="7606" spans="1:10" x14ac:dyDescent="0.3">
      <c r="A7606" t="s">
        <v>6</v>
      </c>
      <c r="B7606" t="str">
        <f>"07/27/2022 00:00"</f>
        <v>07/27/2022 00:00</v>
      </c>
      <c r="C7606">
        <v>270</v>
      </c>
      <c r="D7606" t="s">
        <v>7</v>
      </c>
      <c r="E7606" s="2" t="s">
        <v>12</v>
      </c>
      <c r="F7606">
        <f t="shared" si="118"/>
        <v>535.41000000000008</v>
      </c>
      <c r="G7606" t="s">
        <v>16</v>
      </c>
      <c r="H7606" t="s">
        <v>10</v>
      </c>
      <c r="J7606" t="str">
        <f>"07/28/2022 00:39"</f>
        <v>07/28/2022 00:39</v>
      </c>
    </row>
    <row r="7607" spans="1:10" x14ac:dyDescent="0.3">
      <c r="A7607" t="s">
        <v>6</v>
      </c>
      <c r="B7607" t="str">
        <f>"07/28/2022 00:00"</f>
        <v>07/28/2022 00:00</v>
      </c>
      <c r="C7607">
        <v>270</v>
      </c>
      <c r="D7607" t="s">
        <v>7</v>
      </c>
      <c r="E7607" s="2" t="s">
        <v>12</v>
      </c>
      <c r="F7607">
        <f t="shared" si="118"/>
        <v>535.41000000000008</v>
      </c>
      <c r="G7607" t="s">
        <v>16</v>
      </c>
      <c r="H7607" t="s">
        <v>10</v>
      </c>
      <c r="J7607" t="str">
        <f>"07/29/2022 00:39"</f>
        <v>07/29/2022 00:39</v>
      </c>
    </row>
    <row r="7608" spans="1:10" x14ac:dyDescent="0.3">
      <c r="A7608" t="s">
        <v>6</v>
      </c>
      <c r="B7608" t="str">
        <f>"07/29/2022 00:00"</f>
        <v>07/29/2022 00:00</v>
      </c>
      <c r="C7608">
        <v>270</v>
      </c>
      <c r="D7608" t="s">
        <v>7</v>
      </c>
      <c r="E7608" s="2" t="s">
        <v>12</v>
      </c>
      <c r="F7608">
        <f t="shared" si="118"/>
        <v>535.41000000000008</v>
      </c>
      <c r="G7608" t="s">
        <v>16</v>
      </c>
      <c r="H7608" t="s">
        <v>10</v>
      </c>
      <c r="J7608" t="str">
        <f>"07/30/2022 00:38"</f>
        <v>07/30/2022 00:38</v>
      </c>
    </row>
    <row r="7609" spans="1:10" x14ac:dyDescent="0.3">
      <c r="A7609" t="s">
        <v>6</v>
      </c>
      <c r="B7609" t="str">
        <f>"07/30/2022 00:00"</f>
        <v>07/30/2022 00:00</v>
      </c>
      <c r="C7609">
        <v>332</v>
      </c>
      <c r="D7609" t="s">
        <v>7</v>
      </c>
      <c r="E7609" s="2" t="s">
        <v>12</v>
      </c>
      <c r="F7609">
        <f t="shared" si="118"/>
        <v>658.35599999999999</v>
      </c>
      <c r="G7609" t="s">
        <v>16</v>
      </c>
      <c r="H7609" t="s">
        <v>10</v>
      </c>
      <c r="J7609" t="str">
        <f>"07/31/2022 00:39"</f>
        <v>07/31/2022 00:39</v>
      </c>
    </row>
    <row r="7610" spans="1:10" x14ac:dyDescent="0.3">
      <c r="A7610" t="s">
        <v>6</v>
      </c>
      <c r="B7610" t="str">
        <f>"07/31/2022 00:00"</f>
        <v>07/31/2022 00:00</v>
      </c>
      <c r="C7610">
        <v>401</v>
      </c>
      <c r="D7610" t="s">
        <v>7</v>
      </c>
      <c r="E7610" s="2" t="s">
        <v>12</v>
      </c>
      <c r="F7610">
        <f t="shared" si="118"/>
        <v>795.18299999999999</v>
      </c>
      <c r="G7610" t="s">
        <v>16</v>
      </c>
      <c r="H7610" t="s">
        <v>10</v>
      </c>
      <c r="J7610" t="str">
        <f>"08/01/2022 00:38"</f>
        <v>08/01/2022 00:38</v>
      </c>
    </row>
    <row r="7611" spans="1:10" x14ac:dyDescent="0.3">
      <c r="A7611" t="s">
        <v>6</v>
      </c>
      <c r="B7611" t="str">
        <f>"08/01/2022 00:00"</f>
        <v>08/01/2022 00:00</v>
      </c>
      <c r="C7611">
        <v>420</v>
      </c>
      <c r="D7611" t="s">
        <v>7</v>
      </c>
      <c r="E7611" s="2" t="s">
        <v>12</v>
      </c>
      <c r="F7611">
        <f t="shared" si="118"/>
        <v>832.86</v>
      </c>
      <c r="G7611" t="s">
        <v>16</v>
      </c>
      <c r="H7611" t="s">
        <v>10</v>
      </c>
      <c r="J7611" t="str">
        <f>"08/02/2022 00:38"</f>
        <v>08/02/2022 00:38</v>
      </c>
    </row>
    <row r="7612" spans="1:10" x14ac:dyDescent="0.3">
      <c r="A7612" t="s">
        <v>6</v>
      </c>
      <c r="B7612" t="str">
        <f>"08/02/2022 00:00"</f>
        <v>08/02/2022 00:00</v>
      </c>
      <c r="C7612">
        <v>420</v>
      </c>
      <c r="D7612" t="s">
        <v>7</v>
      </c>
      <c r="E7612" s="2" t="s">
        <v>12</v>
      </c>
      <c r="F7612">
        <f t="shared" si="118"/>
        <v>832.86</v>
      </c>
      <c r="G7612" t="s">
        <v>16</v>
      </c>
      <c r="H7612" t="s">
        <v>10</v>
      </c>
      <c r="J7612" t="str">
        <f>"08/03/2022 00:39"</f>
        <v>08/03/2022 00:39</v>
      </c>
    </row>
    <row r="7613" spans="1:10" x14ac:dyDescent="0.3">
      <c r="A7613" t="s">
        <v>6</v>
      </c>
      <c r="B7613" t="str">
        <f>"08/03/2022 00:00"</f>
        <v>08/03/2022 00:00</v>
      </c>
      <c r="C7613">
        <v>420</v>
      </c>
      <c r="D7613" t="s">
        <v>7</v>
      </c>
      <c r="E7613" s="2" t="s">
        <v>12</v>
      </c>
      <c r="F7613">
        <f t="shared" si="118"/>
        <v>832.86</v>
      </c>
      <c r="G7613" t="s">
        <v>16</v>
      </c>
      <c r="H7613" t="s">
        <v>10</v>
      </c>
      <c r="J7613" t="str">
        <f>"08/04/2022 00:42"</f>
        <v>08/04/2022 00:42</v>
      </c>
    </row>
    <row r="7614" spans="1:10" x14ac:dyDescent="0.3">
      <c r="A7614" t="s">
        <v>6</v>
      </c>
      <c r="B7614" t="str">
        <f>"08/04/2022 00:00"</f>
        <v>08/04/2022 00:00</v>
      </c>
      <c r="C7614">
        <v>420</v>
      </c>
      <c r="D7614" t="s">
        <v>7</v>
      </c>
      <c r="E7614" s="2" t="s">
        <v>12</v>
      </c>
      <c r="F7614">
        <f t="shared" si="118"/>
        <v>832.86</v>
      </c>
      <c r="G7614" t="s">
        <v>16</v>
      </c>
      <c r="H7614" t="s">
        <v>10</v>
      </c>
      <c r="J7614" t="str">
        <f>"08/05/2022 00:39"</f>
        <v>08/05/2022 00:39</v>
      </c>
    </row>
    <row r="7615" spans="1:10" x14ac:dyDescent="0.3">
      <c r="A7615" t="s">
        <v>6</v>
      </c>
      <c r="B7615" t="str">
        <f>"08/05/2022 00:00"</f>
        <v>08/05/2022 00:00</v>
      </c>
      <c r="C7615">
        <v>421</v>
      </c>
      <c r="D7615" t="s">
        <v>7</v>
      </c>
      <c r="E7615" s="2" t="s">
        <v>12</v>
      </c>
      <c r="F7615">
        <f t="shared" si="118"/>
        <v>834.84300000000007</v>
      </c>
      <c r="G7615" t="s">
        <v>16</v>
      </c>
      <c r="H7615" t="s">
        <v>10</v>
      </c>
      <c r="J7615" t="str">
        <f>"08/06/2022 00:38"</f>
        <v>08/06/2022 00:38</v>
      </c>
    </row>
    <row r="7616" spans="1:10" x14ac:dyDescent="0.3">
      <c r="A7616" t="s">
        <v>6</v>
      </c>
      <c r="B7616" t="str">
        <f>"08/06/2022 00:00"</f>
        <v>08/06/2022 00:00</v>
      </c>
      <c r="C7616">
        <v>390</v>
      </c>
      <c r="D7616" t="s">
        <v>7</v>
      </c>
      <c r="E7616" s="2" t="s">
        <v>12</v>
      </c>
      <c r="F7616">
        <f t="shared" si="118"/>
        <v>773.37</v>
      </c>
      <c r="G7616" t="s">
        <v>16</v>
      </c>
      <c r="H7616" t="s">
        <v>10</v>
      </c>
      <c r="J7616" t="str">
        <f>"08/07/2022 00:38"</f>
        <v>08/07/2022 00:38</v>
      </c>
    </row>
    <row r="7617" spans="1:10" x14ac:dyDescent="0.3">
      <c r="A7617" t="s">
        <v>6</v>
      </c>
      <c r="B7617" t="str">
        <f>"08/07/2022 00:00"</f>
        <v>08/07/2022 00:00</v>
      </c>
      <c r="C7617">
        <v>297</v>
      </c>
      <c r="D7617" t="s">
        <v>7</v>
      </c>
      <c r="E7617" s="2" t="s">
        <v>12</v>
      </c>
      <c r="F7617">
        <f t="shared" si="118"/>
        <v>588.95100000000002</v>
      </c>
      <c r="G7617" t="s">
        <v>16</v>
      </c>
      <c r="H7617" t="s">
        <v>10</v>
      </c>
      <c r="J7617" t="str">
        <f>"08/08/2022 00:39"</f>
        <v>08/08/2022 00:39</v>
      </c>
    </row>
    <row r="7618" spans="1:10" x14ac:dyDescent="0.3">
      <c r="A7618" t="s">
        <v>6</v>
      </c>
      <c r="B7618" t="str">
        <f>"08/08/2022 00:00"</f>
        <v>08/08/2022 00:00</v>
      </c>
      <c r="C7618">
        <v>199</v>
      </c>
      <c r="D7618" t="s">
        <v>7</v>
      </c>
      <c r="E7618" s="2" t="s">
        <v>12</v>
      </c>
      <c r="F7618">
        <f t="shared" si="118"/>
        <v>394.61700000000002</v>
      </c>
      <c r="G7618" t="s">
        <v>16</v>
      </c>
      <c r="H7618" t="s">
        <v>10</v>
      </c>
      <c r="J7618" t="str">
        <f>"08/09/2022 00:38"</f>
        <v>08/09/2022 00:38</v>
      </c>
    </row>
    <row r="7619" spans="1:10" x14ac:dyDescent="0.3">
      <c r="A7619" t="s">
        <v>6</v>
      </c>
      <c r="B7619" t="str">
        <f>"08/09/2022 00:00"</f>
        <v>08/09/2022 00:00</v>
      </c>
      <c r="C7619">
        <v>172</v>
      </c>
      <c r="D7619" t="s">
        <v>7</v>
      </c>
      <c r="E7619" s="2" t="s">
        <v>12</v>
      </c>
      <c r="F7619">
        <f t="shared" si="118"/>
        <v>341.07600000000002</v>
      </c>
      <c r="G7619" t="s">
        <v>16</v>
      </c>
      <c r="H7619" t="s">
        <v>10</v>
      </c>
      <c r="J7619" t="str">
        <f>"08/10/2022 00:38"</f>
        <v>08/10/2022 00:38</v>
      </c>
    </row>
    <row r="7620" spans="1:10" x14ac:dyDescent="0.3">
      <c r="A7620" t="s">
        <v>6</v>
      </c>
      <c r="B7620" t="str">
        <f>"08/10/2022 00:00"</f>
        <v>08/10/2022 00:00</v>
      </c>
      <c r="C7620">
        <v>238</v>
      </c>
      <c r="D7620" t="s">
        <v>7</v>
      </c>
      <c r="E7620" s="2" t="s">
        <v>12</v>
      </c>
      <c r="F7620">
        <f t="shared" ref="F7620:F7671" si="119">C7620*1.983</f>
        <v>471.95400000000001</v>
      </c>
      <c r="G7620" t="s">
        <v>16</v>
      </c>
      <c r="H7620" t="s">
        <v>10</v>
      </c>
      <c r="J7620" t="str">
        <f>"08/11/2022 00:38"</f>
        <v>08/11/2022 00:38</v>
      </c>
    </row>
    <row r="7621" spans="1:10" x14ac:dyDescent="0.3">
      <c r="A7621" t="s">
        <v>6</v>
      </c>
      <c r="B7621" t="str">
        <f>"08/11/2022 00:00"</f>
        <v>08/11/2022 00:00</v>
      </c>
      <c r="C7621">
        <v>309</v>
      </c>
      <c r="D7621" t="s">
        <v>7</v>
      </c>
      <c r="E7621" s="2" t="s">
        <v>12</v>
      </c>
      <c r="F7621">
        <f t="shared" si="119"/>
        <v>612.74700000000007</v>
      </c>
      <c r="G7621" t="s">
        <v>16</v>
      </c>
      <c r="H7621" t="s">
        <v>10</v>
      </c>
      <c r="J7621" t="str">
        <f>"08/12/2022 00:38"</f>
        <v>08/12/2022 00:38</v>
      </c>
    </row>
    <row r="7622" spans="1:10" x14ac:dyDescent="0.3">
      <c r="A7622" t="s">
        <v>6</v>
      </c>
      <c r="B7622" t="str">
        <f>"08/12/2022 00:00"</f>
        <v>08/12/2022 00:00</v>
      </c>
      <c r="C7622">
        <v>327</v>
      </c>
      <c r="D7622" t="s">
        <v>7</v>
      </c>
      <c r="E7622" s="2" t="s">
        <v>12</v>
      </c>
      <c r="F7622">
        <f t="shared" si="119"/>
        <v>648.44100000000003</v>
      </c>
      <c r="G7622" t="s">
        <v>16</v>
      </c>
      <c r="H7622" t="s">
        <v>10</v>
      </c>
      <c r="J7622" t="str">
        <f>"08/13/2022 00:39"</f>
        <v>08/13/2022 00:39</v>
      </c>
    </row>
    <row r="7623" spans="1:10" x14ac:dyDescent="0.3">
      <c r="A7623" t="s">
        <v>6</v>
      </c>
      <c r="B7623" t="str">
        <f>"08/13/2022 00:00"</f>
        <v>08/13/2022 00:00</v>
      </c>
      <c r="C7623">
        <v>275</v>
      </c>
      <c r="D7623" t="s">
        <v>7</v>
      </c>
      <c r="E7623" s="2" t="s">
        <v>12</v>
      </c>
      <c r="F7623">
        <f t="shared" si="119"/>
        <v>545.32500000000005</v>
      </c>
      <c r="G7623" t="s">
        <v>16</v>
      </c>
      <c r="H7623" t="s">
        <v>10</v>
      </c>
      <c r="J7623" t="str">
        <f>"08/14/2022 00:39"</f>
        <v>08/14/2022 00:39</v>
      </c>
    </row>
    <row r="7624" spans="1:10" x14ac:dyDescent="0.3">
      <c r="A7624" t="s">
        <v>6</v>
      </c>
      <c r="B7624" t="str">
        <f>"08/14/2022 00:00"</f>
        <v>08/14/2022 00:00</v>
      </c>
      <c r="C7624">
        <v>205</v>
      </c>
      <c r="D7624" t="s">
        <v>7</v>
      </c>
      <c r="E7624" s="2" t="s">
        <v>12</v>
      </c>
      <c r="F7624">
        <f t="shared" si="119"/>
        <v>406.51500000000004</v>
      </c>
      <c r="G7624" t="s">
        <v>16</v>
      </c>
      <c r="H7624" t="s">
        <v>10</v>
      </c>
      <c r="J7624" t="str">
        <f>"08/15/2022 00:38"</f>
        <v>08/15/2022 00:38</v>
      </c>
    </row>
    <row r="7625" spans="1:10" x14ac:dyDescent="0.3">
      <c r="A7625" t="s">
        <v>6</v>
      </c>
      <c r="B7625" t="str">
        <f>"08/15/2022 00:00"</f>
        <v>08/15/2022 00:00</v>
      </c>
      <c r="C7625">
        <v>180</v>
      </c>
      <c r="D7625" t="s">
        <v>7</v>
      </c>
      <c r="E7625" s="2" t="s">
        <v>12</v>
      </c>
      <c r="F7625">
        <f t="shared" si="119"/>
        <v>356.94</v>
      </c>
      <c r="G7625" t="s">
        <v>16</v>
      </c>
      <c r="H7625" t="s">
        <v>10</v>
      </c>
      <c r="J7625" t="str">
        <f>"08/16/2022 00:43"</f>
        <v>08/16/2022 00:43</v>
      </c>
    </row>
    <row r="7626" spans="1:10" x14ac:dyDescent="0.3">
      <c r="A7626" t="s">
        <v>6</v>
      </c>
      <c r="B7626" t="str">
        <f>"08/16/2022 00:00"</f>
        <v>08/16/2022 00:00</v>
      </c>
      <c r="C7626">
        <v>138</v>
      </c>
      <c r="D7626" t="s">
        <v>7</v>
      </c>
      <c r="E7626" s="2" t="s">
        <v>12</v>
      </c>
      <c r="F7626">
        <f t="shared" si="119"/>
        <v>273.654</v>
      </c>
      <c r="G7626" t="s">
        <v>16</v>
      </c>
      <c r="H7626" t="s">
        <v>10</v>
      </c>
      <c r="J7626" t="str">
        <f>"08/17/2022 00:38"</f>
        <v>08/17/2022 00:38</v>
      </c>
    </row>
    <row r="7627" spans="1:10" x14ac:dyDescent="0.3">
      <c r="A7627" t="s">
        <v>6</v>
      </c>
      <c r="B7627" t="str">
        <f>"08/17/2022 00:00"</f>
        <v>08/17/2022 00:00</v>
      </c>
      <c r="C7627">
        <v>104</v>
      </c>
      <c r="D7627" t="s">
        <v>7</v>
      </c>
      <c r="E7627" s="2" t="s">
        <v>12</v>
      </c>
      <c r="F7627">
        <f t="shared" si="119"/>
        <v>206.232</v>
      </c>
      <c r="G7627" t="s">
        <v>16</v>
      </c>
      <c r="H7627" t="s">
        <v>10</v>
      </c>
      <c r="J7627" t="str">
        <f>"08/18/2022 00:38"</f>
        <v>08/18/2022 00:38</v>
      </c>
    </row>
    <row r="7628" spans="1:10" x14ac:dyDescent="0.3">
      <c r="A7628" t="s">
        <v>6</v>
      </c>
      <c r="B7628" t="str">
        <f>"08/18/2022 00:00"</f>
        <v>08/18/2022 00:00</v>
      </c>
      <c r="C7628">
        <v>89.9</v>
      </c>
      <c r="D7628" t="s">
        <v>7</v>
      </c>
      <c r="E7628" s="2" t="s">
        <v>12</v>
      </c>
      <c r="F7628">
        <f t="shared" si="119"/>
        <v>178.27170000000001</v>
      </c>
      <c r="G7628" t="s">
        <v>16</v>
      </c>
      <c r="H7628" t="s">
        <v>10</v>
      </c>
      <c r="J7628" t="str">
        <f>"08/19/2022 00:38"</f>
        <v>08/19/2022 00:38</v>
      </c>
    </row>
    <row r="7629" spans="1:10" x14ac:dyDescent="0.3">
      <c r="A7629" t="s">
        <v>6</v>
      </c>
      <c r="B7629" t="str">
        <f>"08/19/2022 00:00"</f>
        <v>08/19/2022 00:00</v>
      </c>
      <c r="C7629">
        <v>86.1</v>
      </c>
      <c r="D7629" t="s">
        <v>7</v>
      </c>
      <c r="E7629" s="2" t="s">
        <v>12</v>
      </c>
      <c r="F7629">
        <f t="shared" si="119"/>
        <v>170.7363</v>
      </c>
      <c r="G7629" t="s">
        <v>16</v>
      </c>
      <c r="H7629" t="s">
        <v>10</v>
      </c>
      <c r="J7629" t="str">
        <f>"08/20/2022 00:38"</f>
        <v>08/20/2022 00:38</v>
      </c>
    </row>
    <row r="7630" spans="1:10" x14ac:dyDescent="0.3">
      <c r="A7630" t="s">
        <v>6</v>
      </c>
      <c r="B7630" t="str">
        <f>"08/20/2022 00:00"</f>
        <v>08/20/2022 00:00</v>
      </c>
      <c r="C7630">
        <v>140</v>
      </c>
      <c r="D7630" t="s">
        <v>7</v>
      </c>
      <c r="E7630" s="2" t="s">
        <v>12</v>
      </c>
      <c r="F7630">
        <f t="shared" si="119"/>
        <v>277.62</v>
      </c>
      <c r="G7630" t="s">
        <v>16</v>
      </c>
      <c r="H7630" t="s">
        <v>10</v>
      </c>
      <c r="J7630" t="str">
        <f>"08/21/2022 00:38"</f>
        <v>08/21/2022 00:38</v>
      </c>
    </row>
    <row r="7631" spans="1:10" x14ac:dyDescent="0.3">
      <c r="A7631" t="s">
        <v>6</v>
      </c>
      <c r="B7631" t="str">
        <f>"08/21/2022 00:00"</f>
        <v>08/21/2022 00:00</v>
      </c>
      <c r="C7631">
        <v>170</v>
      </c>
      <c r="D7631" t="s">
        <v>7</v>
      </c>
      <c r="E7631" s="2" t="s">
        <v>12</v>
      </c>
      <c r="F7631">
        <f t="shared" si="119"/>
        <v>337.11</v>
      </c>
      <c r="G7631" t="s">
        <v>16</v>
      </c>
      <c r="H7631" t="s">
        <v>10</v>
      </c>
      <c r="J7631" t="str">
        <f>"08/22/2022 00:38"</f>
        <v>08/22/2022 00:38</v>
      </c>
    </row>
    <row r="7632" spans="1:10" x14ac:dyDescent="0.3">
      <c r="A7632" t="s">
        <v>6</v>
      </c>
      <c r="B7632" t="str">
        <f>"08/22/2022 00:00"</f>
        <v>08/22/2022 00:00</v>
      </c>
      <c r="C7632">
        <v>170</v>
      </c>
      <c r="D7632" t="s">
        <v>7</v>
      </c>
      <c r="E7632" s="2" t="s">
        <v>12</v>
      </c>
      <c r="F7632">
        <f t="shared" si="119"/>
        <v>337.11</v>
      </c>
      <c r="G7632" t="s">
        <v>16</v>
      </c>
      <c r="H7632" t="s">
        <v>10</v>
      </c>
      <c r="J7632" t="str">
        <f>"08/23/2022 00:38"</f>
        <v>08/23/2022 00:38</v>
      </c>
    </row>
    <row r="7633" spans="1:10" x14ac:dyDescent="0.3">
      <c r="A7633" t="s">
        <v>6</v>
      </c>
      <c r="B7633" t="str">
        <f>"08/23/2022 00:00"</f>
        <v>08/23/2022 00:00</v>
      </c>
      <c r="C7633">
        <v>149</v>
      </c>
      <c r="D7633" t="s">
        <v>7</v>
      </c>
      <c r="E7633" s="2" t="s">
        <v>12</v>
      </c>
      <c r="F7633">
        <f t="shared" si="119"/>
        <v>295.46700000000004</v>
      </c>
      <c r="G7633" t="s">
        <v>16</v>
      </c>
      <c r="H7633" t="s">
        <v>10</v>
      </c>
      <c r="J7633" t="str">
        <f>"08/24/2022 00:38"</f>
        <v>08/24/2022 00:38</v>
      </c>
    </row>
    <row r="7634" spans="1:10" x14ac:dyDescent="0.3">
      <c r="A7634" t="s">
        <v>6</v>
      </c>
      <c r="B7634" t="str">
        <f>"08/24/2022 00:00"</f>
        <v>08/24/2022 00:00</v>
      </c>
      <c r="C7634">
        <v>150</v>
      </c>
      <c r="D7634" t="s">
        <v>7</v>
      </c>
      <c r="E7634" s="2" t="s">
        <v>12</v>
      </c>
      <c r="F7634">
        <f t="shared" si="119"/>
        <v>297.45</v>
      </c>
      <c r="G7634" t="s">
        <v>16</v>
      </c>
      <c r="H7634" t="s">
        <v>10</v>
      </c>
      <c r="J7634" t="str">
        <f>"08/25/2022 00:39"</f>
        <v>08/25/2022 00:39</v>
      </c>
    </row>
    <row r="7635" spans="1:10" x14ac:dyDescent="0.3">
      <c r="A7635" t="s">
        <v>6</v>
      </c>
      <c r="B7635" t="str">
        <f>"08/25/2022 00:00"</f>
        <v>08/25/2022 00:00</v>
      </c>
      <c r="C7635">
        <v>187</v>
      </c>
      <c r="D7635" t="s">
        <v>7</v>
      </c>
      <c r="E7635" s="2" t="s">
        <v>12</v>
      </c>
      <c r="F7635">
        <f t="shared" si="119"/>
        <v>370.82100000000003</v>
      </c>
      <c r="G7635" t="s">
        <v>16</v>
      </c>
      <c r="H7635" t="s">
        <v>10</v>
      </c>
      <c r="J7635" t="str">
        <f>"08/26/2022 00:38"</f>
        <v>08/26/2022 00:38</v>
      </c>
    </row>
    <row r="7636" spans="1:10" x14ac:dyDescent="0.3">
      <c r="A7636" t="s">
        <v>6</v>
      </c>
      <c r="B7636" t="str">
        <f>"08/26/2022 00:00"</f>
        <v>08/26/2022 00:00</v>
      </c>
      <c r="C7636">
        <v>226</v>
      </c>
      <c r="D7636" t="s">
        <v>7</v>
      </c>
      <c r="E7636" s="2" t="s">
        <v>12</v>
      </c>
      <c r="F7636">
        <f t="shared" si="119"/>
        <v>448.15800000000002</v>
      </c>
      <c r="G7636" t="s">
        <v>16</v>
      </c>
      <c r="H7636" t="s">
        <v>10</v>
      </c>
      <c r="J7636" t="str">
        <f>"08/27/2022 00:39"</f>
        <v>08/27/2022 00:39</v>
      </c>
    </row>
    <row r="7637" spans="1:10" x14ac:dyDescent="0.3">
      <c r="A7637" t="s">
        <v>6</v>
      </c>
      <c r="B7637" t="str">
        <f>"08/27/2022 00:00"</f>
        <v>08/27/2022 00:00</v>
      </c>
      <c r="C7637">
        <v>248</v>
      </c>
      <c r="D7637" t="s">
        <v>7</v>
      </c>
      <c r="E7637" s="2" t="s">
        <v>12</v>
      </c>
      <c r="F7637">
        <f t="shared" si="119"/>
        <v>491.78400000000005</v>
      </c>
      <c r="G7637" t="s">
        <v>16</v>
      </c>
      <c r="H7637" t="s">
        <v>10</v>
      </c>
      <c r="J7637" t="str">
        <f>"08/28/2022 00:38"</f>
        <v>08/28/2022 00:38</v>
      </c>
    </row>
    <row r="7638" spans="1:10" x14ac:dyDescent="0.3">
      <c r="A7638" t="s">
        <v>6</v>
      </c>
      <c r="B7638" t="str">
        <f>"08/28/2022 00:00"</f>
        <v>08/28/2022 00:00</v>
      </c>
      <c r="C7638">
        <v>248</v>
      </c>
      <c r="D7638" t="s">
        <v>7</v>
      </c>
      <c r="E7638" s="2" t="s">
        <v>12</v>
      </c>
      <c r="F7638">
        <f t="shared" si="119"/>
        <v>491.78400000000005</v>
      </c>
      <c r="G7638" t="s">
        <v>16</v>
      </c>
      <c r="H7638" t="s">
        <v>10</v>
      </c>
      <c r="J7638" t="str">
        <f>"08/29/2022 00:38"</f>
        <v>08/29/2022 00:38</v>
      </c>
    </row>
    <row r="7639" spans="1:10" x14ac:dyDescent="0.3">
      <c r="A7639" t="s">
        <v>6</v>
      </c>
      <c r="B7639" t="str">
        <f>"08/29/2022 00:00"</f>
        <v>08/29/2022 00:00</v>
      </c>
      <c r="C7639">
        <v>249</v>
      </c>
      <c r="D7639" t="s">
        <v>7</v>
      </c>
      <c r="E7639" s="2" t="s">
        <v>12</v>
      </c>
      <c r="F7639">
        <f t="shared" si="119"/>
        <v>493.767</v>
      </c>
      <c r="G7639" t="s">
        <v>16</v>
      </c>
      <c r="H7639" t="s">
        <v>10</v>
      </c>
      <c r="J7639" t="str">
        <f>"08/30/2022 00:38"</f>
        <v>08/30/2022 00:38</v>
      </c>
    </row>
    <row r="7640" spans="1:10" x14ac:dyDescent="0.3">
      <c r="A7640" t="s">
        <v>6</v>
      </c>
      <c r="B7640" t="str">
        <f>"08/30/2022 00:00"</f>
        <v>08/30/2022 00:00</v>
      </c>
      <c r="C7640">
        <v>273</v>
      </c>
      <c r="D7640" t="s">
        <v>7</v>
      </c>
      <c r="E7640" s="2" t="s">
        <v>12</v>
      </c>
      <c r="F7640">
        <f t="shared" si="119"/>
        <v>541.35900000000004</v>
      </c>
      <c r="G7640" t="s">
        <v>16</v>
      </c>
      <c r="H7640" t="s">
        <v>10</v>
      </c>
      <c r="J7640" t="str">
        <f>"08/31/2022 00:39"</f>
        <v>08/31/2022 00:39</v>
      </c>
    </row>
    <row r="7641" spans="1:10" x14ac:dyDescent="0.3">
      <c r="A7641" t="s">
        <v>6</v>
      </c>
      <c r="B7641" t="str">
        <f>"08/31/2022 00:00"</f>
        <v>08/31/2022 00:00</v>
      </c>
      <c r="C7641">
        <v>330</v>
      </c>
      <c r="D7641" t="s">
        <v>7</v>
      </c>
      <c r="E7641" s="2" t="s">
        <v>12</v>
      </c>
      <c r="F7641">
        <f t="shared" si="119"/>
        <v>654.39</v>
      </c>
      <c r="G7641" t="s">
        <v>16</v>
      </c>
      <c r="H7641" t="s">
        <v>10</v>
      </c>
      <c r="J7641" t="str">
        <f>"09/01/2022 00:39"</f>
        <v>09/01/2022 00:39</v>
      </c>
    </row>
    <row r="7642" spans="1:10" x14ac:dyDescent="0.3">
      <c r="A7642" t="s">
        <v>6</v>
      </c>
      <c r="B7642" t="str">
        <f>"09/01/2022 00:00"</f>
        <v>09/01/2022 00:00</v>
      </c>
      <c r="C7642">
        <v>367</v>
      </c>
      <c r="D7642" t="s">
        <v>7</v>
      </c>
      <c r="E7642" s="2" t="s">
        <v>12</v>
      </c>
      <c r="F7642">
        <f t="shared" si="119"/>
        <v>727.76100000000008</v>
      </c>
      <c r="G7642" t="s">
        <v>16</v>
      </c>
      <c r="H7642" t="s">
        <v>10</v>
      </c>
      <c r="J7642" t="str">
        <f>"09/02/2022 00:38"</f>
        <v>09/02/2022 00:38</v>
      </c>
    </row>
    <row r="7643" spans="1:10" x14ac:dyDescent="0.3">
      <c r="A7643" t="s">
        <v>6</v>
      </c>
      <c r="B7643" t="str">
        <f>"09/02/2022 00:00"</f>
        <v>09/02/2022 00:00</v>
      </c>
      <c r="C7643">
        <v>402</v>
      </c>
      <c r="D7643" t="s">
        <v>7</v>
      </c>
      <c r="E7643" s="2" t="s">
        <v>12</v>
      </c>
      <c r="F7643">
        <f t="shared" si="119"/>
        <v>797.16600000000005</v>
      </c>
      <c r="G7643" t="s">
        <v>16</v>
      </c>
      <c r="H7643" t="s">
        <v>10</v>
      </c>
      <c r="J7643" t="str">
        <f>"09/03/2022 00:38"</f>
        <v>09/03/2022 00:38</v>
      </c>
    </row>
    <row r="7644" spans="1:10" x14ac:dyDescent="0.3">
      <c r="A7644" t="s">
        <v>6</v>
      </c>
      <c r="B7644" t="str">
        <f>"09/03/2022 00:00"</f>
        <v>09/03/2022 00:00</v>
      </c>
      <c r="C7644">
        <v>402</v>
      </c>
      <c r="D7644" t="s">
        <v>7</v>
      </c>
      <c r="E7644" s="2" t="s">
        <v>12</v>
      </c>
      <c r="F7644">
        <f t="shared" si="119"/>
        <v>797.16600000000005</v>
      </c>
      <c r="G7644" t="s">
        <v>16</v>
      </c>
      <c r="H7644" t="s">
        <v>10</v>
      </c>
      <c r="J7644" t="str">
        <f>"09/04/2022 00:38"</f>
        <v>09/04/2022 00:38</v>
      </c>
    </row>
    <row r="7645" spans="1:10" x14ac:dyDescent="0.3">
      <c r="A7645" t="s">
        <v>6</v>
      </c>
      <c r="B7645" t="str">
        <f>"09/04/2022 00:00"</f>
        <v>09/04/2022 00:00</v>
      </c>
      <c r="C7645">
        <v>402</v>
      </c>
      <c r="D7645" t="s">
        <v>7</v>
      </c>
      <c r="E7645" s="2" t="s">
        <v>12</v>
      </c>
      <c r="F7645">
        <f t="shared" si="119"/>
        <v>797.16600000000005</v>
      </c>
      <c r="G7645" t="s">
        <v>16</v>
      </c>
      <c r="H7645" t="s">
        <v>10</v>
      </c>
      <c r="J7645" t="str">
        <f>"09/05/2022 00:39"</f>
        <v>09/05/2022 00:39</v>
      </c>
    </row>
    <row r="7646" spans="1:10" x14ac:dyDescent="0.3">
      <c r="A7646" t="s">
        <v>6</v>
      </c>
      <c r="B7646" t="str">
        <f>"09/05/2022 00:00"</f>
        <v>09/05/2022 00:00</v>
      </c>
      <c r="C7646">
        <v>402</v>
      </c>
      <c r="D7646" t="s">
        <v>7</v>
      </c>
      <c r="E7646" s="2" t="s">
        <v>12</v>
      </c>
      <c r="F7646">
        <f t="shared" si="119"/>
        <v>797.16600000000005</v>
      </c>
      <c r="G7646" t="s">
        <v>16</v>
      </c>
      <c r="H7646" t="s">
        <v>10</v>
      </c>
      <c r="J7646" t="str">
        <f>"09/06/2022 00:39"</f>
        <v>09/06/2022 00:39</v>
      </c>
    </row>
    <row r="7647" spans="1:10" x14ac:dyDescent="0.3">
      <c r="A7647" t="s">
        <v>6</v>
      </c>
      <c r="B7647" t="str">
        <f>"09/06/2022 00:00"</f>
        <v>09/06/2022 00:00</v>
      </c>
      <c r="C7647">
        <v>357</v>
      </c>
      <c r="D7647" t="s">
        <v>7</v>
      </c>
      <c r="E7647" s="2" t="s">
        <v>12</v>
      </c>
      <c r="F7647">
        <f t="shared" si="119"/>
        <v>707.93100000000004</v>
      </c>
      <c r="G7647" t="s">
        <v>16</v>
      </c>
      <c r="H7647" t="s">
        <v>10</v>
      </c>
      <c r="J7647" t="str">
        <f>"09/07/2022 00:39"</f>
        <v>09/07/2022 00:39</v>
      </c>
    </row>
    <row r="7648" spans="1:10" x14ac:dyDescent="0.3">
      <c r="A7648" t="s">
        <v>6</v>
      </c>
      <c r="B7648" t="str">
        <f>"09/07/2022 00:00"</f>
        <v>09/07/2022 00:00</v>
      </c>
      <c r="C7648">
        <v>317</v>
      </c>
      <c r="D7648" t="s">
        <v>7</v>
      </c>
      <c r="E7648" s="2" t="s">
        <v>12</v>
      </c>
      <c r="F7648">
        <f t="shared" si="119"/>
        <v>628.61099999999999</v>
      </c>
      <c r="G7648" t="s">
        <v>16</v>
      </c>
      <c r="H7648" t="s">
        <v>10</v>
      </c>
      <c r="J7648" t="str">
        <f>"09/08/2022 00:38"</f>
        <v>09/08/2022 00:38</v>
      </c>
    </row>
    <row r="7649" spans="1:10" x14ac:dyDescent="0.3">
      <c r="A7649" t="s">
        <v>6</v>
      </c>
      <c r="B7649" t="str">
        <f>"09/08/2022 00:00"</f>
        <v>09/08/2022 00:00</v>
      </c>
      <c r="C7649">
        <v>268</v>
      </c>
      <c r="D7649" t="s">
        <v>7</v>
      </c>
      <c r="E7649" s="2" t="s">
        <v>12</v>
      </c>
      <c r="F7649">
        <f t="shared" si="119"/>
        <v>531.44400000000007</v>
      </c>
      <c r="G7649" t="s">
        <v>16</v>
      </c>
      <c r="H7649" t="s">
        <v>10</v>
      </c>
      <c r="J7649" t="str">
        <f>"09/09/2022 00:38"</f>
        <v>09/09/2022 00:38</v>
      </c>
    </row>
    <row r="7650" spans="1:10" x14ac:dyDescent="0.3">
      <c r="A7650" t="s">
        <v>6</v>
      </c>
      <c r="B7650" t="str">
        <f>"09/09/2022 00:00"</f>
        <v>09/09/2022 00:00</v>
      </c>
      <c r="C7650">
        <v>238</v>
      </c>
      <c r="D7650" t="s">
        <v>7</v>
      </c>
      <c r="E7650" s="2" t="s">
        <v>12</v>
      </c>
      <c r="F7650">
        <f t="shared" si="119"/>
        <v>471.95400000000001</v>
      </c>
      <c r="G7650" t="s">
        <v>16</v>
      </c>
      <c r="H7650" t="s">
        <v>10</v>
      </c>
      <c r="J7650" t="str">
        <f>"09/10/2022 00:38"</f>
        <v>09/10/2022 00:38</v>
      </c>
    </row>
    <row r="7651" spans="1:10" x14ac:dyDescent="0.3">
      <c r="A7651" t="s">
        <v>6</v>
      </c>
      <c r="B7651" t="str">
        <f>"09/10/2022 00:00"</f>
        <v>09/10/2022 00:00</v>
      </c>
      <c r="C7651">
        <v>239</v>
      </c>
      <c r="D7651" t="s">
        <v>7</v>
      </c>
      <c r="E7651" s="2" t="s">
        <v>12</v>
      </c>
      <c r="F7651">
        <f t="shared" si="119"/>
        <v>473.93700000000001</v>
      </c>
      <c r="G7651" t="s">
        <v>16</v>
      </c>
      <c r="H7651" t="s">
        <v>10</v>
      </c>
      <c r="J7651" t="str">
        <f>"09/11/2022 00:38"</f>
        <v>09/11/2022 00:38</v>
      </c>
    </row>
    <row r="7652" spans="1:10" x14ac:dyDescent="0.3">
      <c r="A7652" t="s">
        <v>6</v>
      </c>
      <c r="B7652" t="str">
        <f>"09/11/2022 00:00"</f>
        <v>09/11/2022 00:00</v>
      </c>
      <c r="C7652">
        <v>239</v>
      </c>
      <c r="D7652" t="s">
        <v>7</v>
      </c>
      <c r="E7652" s="2" t="s">
        <v>12</v>
      </c>
      <c r="F7652">
        <f t="shared" si="119"/>
        <v>473.93700000000001</v>
      </c>
      <c r="G7652" t="s">
        <v>16</v>
      </c>
      <c r="H7652" t="s">
        <v>10</v>
      </c>
      <c r="J7652" t="str">
        <f>"09/12/2022 00:38"</f>
        <v>09/12/2022 00:38</v>
      </c>
    </row>
    <row r="7653" spans="1:10" x14ac:dyDescent="0.3">
      <c r="A7653" t="s">
        <v>6</v>
      </c>
      <c r="B7653" t="str">
        <f>"09/12/2022 00:00"</f>
        <v>09/12/2022 00:00</v>
      </c>
      <c r="C7653">
        <v>239</v>
      </c>
      <c r="D7653" t="s">
        <v>7</v>
      </c>
      <c r="E7653" s="2" t="s">
        <v>12</v>
      </c>
      <c r="F7653">
        <f t="shared" si="119"/>
        <v>473.93700000000001</v>
      </c>
      <c r="G7653" t="s">
        <v>16</v>
      </c>
      <c r="H7653" t="s">
        <v>10</v>
      </c>
      <c r="J7653" t="str">
        <f>"09/13/2022 00:38"</f>
        <v>09/13/2022 00:38</v>
      </c>
    </row>
    <row r="7654" spans="1:10" x14ac:dyDescent="0.3">
      <c r="A7654" t="s">
        <v>6</v>
      </c>
      <c r="B7654" t="str">
        <f>"09/13/2022 00:00"</f>
        <v>09/13/2022 00:00</v>
      </c>
      <c r="C7654">
        <v>236</v>
      </c>
      <c r="D7654" t="s">
        <v>7</v>
      </c>
      <c r="E7654" s="2" t="s">
        <v>12</v>
      </c>
      <c r="F7654">
        <f t="shared" si="119"/>
        <v>467.988</v>
      </c>
      <c r="G7654" t="s">
        <v>16</v>
      </c>
      <c r="H7654" t="s">
        <v>10</v>
      </c>
      <c r="J7654" t="str">
        <f>"09/14/2022 00:38"</f>
        <v>09/14/2022 00:38</v>
      </c>
    </row>
    <row r="7655" spans="1:10" x14ac:dyDescent="0.3">
      <c r="A7655" t="s">
        <v>6</v>
      </c>
      <c r="B7655" t="str">
        <f>"09/14/2022 00:00"</f>
        <v>09/14/2022 00:00</v>
      </c>
      <c r="C7655">
        <v>225</v>
      </c>
      <c r="D7655" t="s">
        <v>7</v>
      </c>
      <c r="E7655" s="2" t="s">
        <v>12</v>
      </c>
      <c r="F7655">
        <f t="shared" si="119"/>
        <v>446.17500000000001</v>
      </c>
      <c r="G7655" t="s">
        <v>16</v>
      </c>
      <c r="H7655" t="s">
        <v>10</v>
      </c>
      <c r="J7655" t="str">
        <f>"09/15/2022 00:38"</f>
        <v>09/15/2022 00:38</v>
      </c>
    </row>
    <row r="7656" spans="1:10" x14ac:dyDescent="0.3">
      <c r="A7656" t="s">
        <v>6</v>
      </c>
      <c r="B7656" t="str">
        <f>"09/15/2022 00:00"</f>
        <v>09/15/2022 00:00</v>
      </c>
      <c r="C7656">
        <v>241</v>
      </c>
      <c r="D7656" t="s">
        <v>7</v>
      </c>
      <c r="E7656" s="2" t="s">
        <v>12</v>
      </c>
      <c r="F7656">
        <f t="shared" si="119"/>
        <v>477.90300000000002</v>
      </c>
      <c r="G7656" t="s">
        <v>16</v>
      </c>
      <c r="H7656" t="s">
        <v>10</v>
      </c>
      <c r="J7656" t="str">
        <f>"09/16/2022 00:39"</f>
        <v>09/16/2022 00:39</v>
      </c>
    </row>
    <row r="7657" spans="1:10" x14ac:dyDescent="0.3">
      <c r="A7657" t="s">
        <v>6</v>
      </c>
      <c r="B7657" t="str">
        <f>"09/16/2022 00:00"</f>
        <v>09/16/2022 00:00</v>
      </c>
      <c r="C7657">
        <v>244</v>
      </c>
      <c r="D7657" t="s">
        <v>7</v>
      </c>
      <c r="E7657" s="2" t="s">
        <v>12</v>
      </c>
      <c r="F7657">
        <f t="shared" si="119"/>
        <v>483.85200000000003</v>
      </c>
      <c r="G7657" t="s">
        <v>16</v>
      </c>
      <c r="H7657" t="s">
        <v>10</v>
      </c>
      <c r="J7657" t="str">
        <f>"09/17/2022 00:39"</f>
        <v>09/17/2022 00:39</v>
      </c>
    </row>
    <row r="7658" spans="1:10" x14ac:dyDescent="0.3">
      <c r="A7658" t="s">
        <v>6</v>
      </c>
      <c r="B7658" t="str">
        <f>"09/17/2022 00:00"</f>
        <v>09/17/2022 00:00</v>
      </c>
      <c r="C7658">
        <v>252</v>
      </c>
      <c r="D7658" t="s">
        <v>7</v>
      </c>
      <c r="E7658" s="2" t="s">
        <v>12</v>
      </c>
      <c r="F7658">
        <f t="shared" si="119"/>
        <v>499.71600000000001</v>
      </c>
      <c r="G7658" t="s">
        <v>16</v>
      </c>
      <c r="H7658" t="s">
        <v>10</v>
      </c>
      <c r="J7658" t="str">
        <f>"09/18/2022 00:39"</f>
        <v>09/18/2022 00:39</v>
      </c>
    </row>
    <row r="7659" spans="1:10" x14ac:dyDescent="0.3">
      <c r="A7659" t="s">
        <v>6</v>
      </c>
      <c r="B7659" t="str">
        <f>"09/18/2022 00:00"</f>
        <v>09/18/2022 00:00</v>
      </c>
      <c r="C7659">
        <v>252</v>
      </c>
      <c r="D7659" t="s">
        <v>7</v>
      </c>
      <c r="E7659" s="2" t="s">
        <v>12</v>
      </c>
      <c r="F7659">
        <f t="shared" si="119"/>
        <v>499.71600000000001</v>
      </c>
      <c r="G7659" t="s">
        <v>16</v>
      </c>
      <c r="H7659" t="s">
        <v>10</v>
      </c>
      <c r="J7659" t="str">
        <f>"09/19/2022 00:38"</f>
        <v>09/19/2022 00:38</v>
      </c>
    </row>
    <row r="7660" spans="1:10" x14ac:dyDescent="0.3">
      <c r="A7660" t="s">
        <v>6</v>
      </c>
      <c r="B7660" t="str">
        <f>"09/19/2022 00:00"</f>
        <v>09/19/2022 00:00</v>
      </c>
      <c r="C7660">
        <v>250</v>
      </c>
      <c r="D7660" t="s">
        <v>7</v>
      </c>
      <c r="E7660" s="2" t="s">
        <v>12</v>
      </c>
      <c r="F7660">
        <f t="shared" si="119"/>
        <v>495.75</v>
      </c>
      <c r="G7660" t="s">
        <v>16</v>
      </c>
      <c r="H7660" t="s">
        <v>10</v>
      </c>
      <c r="J7660" t="str">
        <f>"09/20/2022 00:38"</f>
        <v>09/20/2022 00:38</v>
      </c>
    </row>
    <row r="7661" spans="1:10" x14ac:dyDescent="0.3">
      <c r="A7661" t="s">
        <v>6</v>
      </c>
      <c r="B7661" t="str">
        <f>"09/20/2022 00:00"</f>
        <v>09/20/2022 00:00</v>
      </c>
      <c r="C7661">
        <v>251</v>
      </c>
      <c r="D7661" t="s">
        <v>7</v>
      </c>
      <c r="E7661" s="2" t="s">
        <v>12</v>
      </c>
      <c r="F7661">
        <f t="shared" si="119"/>
        <v>497.733</v>
      </c>
      <c r="G7661" t="s">
        <v>16</v>
      </c>
      <c r="H7661" t="s">
        <v>10</v>
      </c>
      <c r="J7661" t="str">
        <f>"09/21/2022 00:38"</f>
        <v>09/21/2022 00:38</v>
      </c>
    </row>
    <row r="7662" spans="1:10" x14ac:dyDescent="0.3">
      <c r="A7662" t="s">
        <v>6</v>
      </c>
      <c r="B7662" t="str">
        <f>"09/21/2022 00:00"</f>
        <v>09/21/2022 00:00</v>
      </c>
      <c r="C7662">
        <v>252</v>
      </c>
      <c r="D7662" t="s">
        <v>7</v>
      </c>
      <c r="E7662" s="2" t="s">
        <v>12</v>
      </c>
      <c r="F7662">
        <f t="shared" si="119"/>
        <v>499.71600000000001</v>
      </c>
      <c r="G7662" t="s">
        <v>16</v>
      </c>
      <c r="H7662" t="s">
        <v>10</v>
      </c>
      <c r="J7662" t="str">
        <f>"09/22/2022 00:38"</f>
        <v>09/22/2022 00:38</v>
      </c>
    </row>
    <row r="7663" spans="1:10" x14ac:dyDescent="0.3">
      <c r="A7663" t="s">
        <v>6</v>
      </c>
      <c r="B7663" t="str">
        <f>"09/22/2022 00:00"</f>
        <v>09/22/2022 00:00</v>
      </c>
      <c r="C7663">
        <v>252</v>
      </c>
      <c r="D7663" t="s">
        <v>7</v>
      </c>
      <c r="E7663" s="2" t="s">
        <v>12</v>
      </c>
      <c r="F7663">
        <f t="shared" si="119"/>
        <v>499.71600000000001</v>
      </c>
      <c r="G7663" t="s">
        <v>16</v>
      </c>
      <c r="H7663" t="s">
        <v>10</v>
      </c>
      <c r="J7663" t="str">
        <f>"09/23/2022 00:38"</f>
        <v>09/23/2022 00:38</v>
      </c>
    </row>
    <row r="7664" spans="1:10" x14ac:dyDescent="0.3">
      <c r="A7664" t="s">
        <v>6</v>
      </c>
      <c r="B7664" t="str">
        <f>"09/23/2022 00:00"</f>
        <v>09/23/2022 00:00</v>
      </c>
      <c r="C7664">
        <v>252</v>
      </c>
      <c r="D7664" t="s">
        <v>7</v>
      </c>
      <c r="E7664" s="2" t="s">
        <v>12</v>
      </c>
      <c r="F7664">
        <f t="shared" si="119"/>
        <v>499.71600000000001</v>
      </c>
      <c r="G7664" t="s">
        <v>16</v>
      </c>
      <c r="H7664" t="s">
        <v>10</v>
      </c>
      <c r="J7664" t="str">
        <f>"09/24/2022 00:38"</f>
        <v>09/24/2022 00:38</v>
      </c>
    </row>
    <row r="7665" spans="1:10" x14ac:dyDescent="0.3">
      <c r="A7665" t="s">
        <v>6</v>
      </c>
      <c r="B7665" t="str">
        <f>"09/24/2022 00:00"</f>
        <v>09/24/2022 00:00</v>
      </c>
      <c r="C7665">
        <v>252</v>
      </c>
      <c r="D7665" t="s">
        <v>7</v>
      </c>
      <c r="E7665" s="2" t="s">
        <v>12</v>
      </c>
      <c r="F7665">
        <f t="shared" si="119"/>
        <v>499.71600000000001</v>
      </c>
      <c r="G7665" t="s">
        <v>16</v>
      </c>
      <c r="H7665" t="s">
        <v>10</v>
      </c>
      <c r="J7665" t="str">
        <f>"09/25/2022 00:38"</f>
        <v>09/25/2022 00:38</v>
      </c>
    </row>
    <row r="7666" spans="1:10" x14ac:dyDescent="0.3">
      <c r="A7666" t="s">
        <v>6</v>
      </c>
      <c r="B7666" t="str">
        <f>"09/25/2022 00:00"</f>
        <v>09/25/2022 00:00</v>
      </c>
      <c r="C7666">
        <v>252</v>
      </c>
      <c r="D7666" t="s">
        <v>7</v>
      </c>
      <c r="E7666" s="2" t="s">
        <v>12</v>
      </c>
      <c r="F7666">
        <f t="shared" si="119"/>
        <v>499.71600000000001</v>
      </c>
      <c r="G7666" t="s">
        <v>16</v>
      </c>
      <c r="H7666" t="s">
        <v>10</v>
      </c>
      <c r="J7666" t="str">
        <f>"09/26/2022 00:39"</f>
        <v>09/26/2022 00:39</v>
      </c>
    </row>
    <row r="7667" spans="1:10" x14ac:dyDescent="0.3">
      <c r="A7667" t="s">
        <v>6</v>
      </c>
      <c r="B7667" t="str">
        <f>"09/26/2022 00:00"</f>
        <v>09/26/2022 00:00</v>
      </c>
      <c r="C7667">
        <v>252</v>
      </c>
      <c r="D7667" t="s">
        <v>7</v>
      </c>
      <c r="E7667" s="2" t="s">
        <v>12</v>
      </c>
      <c r="F7667">
        <f t="shared" si="119"/>
        <v>499.71600000000001</v>
      </c>
      <c r="G7667" t="s">
        <v>16</v>
      </c>
      <c r="H7667" t="s">
        <v>10</v>
      </c>
      <c r="J7667" t="str">
        <f>"09/27/2022 00:39"</f>
        <v>09/27/2022 00:39</v>
      </c>
    </row>
    <row r="7668" spans="1:10" x14ac:dyDescent="0.3">
      <c r="A7668" t="s">
        <v>6</v>
      </c>
      <c r="B7668" t="str">
        <f>"09/27/2022 00:00"</f>
        <v>09/27/2022 00:00</v>
      </c>
      <c r="C7668">
        <v>252</v>
      </c>
      <c r="D7668" t="s">
        <v>7</v>
      </c>
      <c r="E7668" s="2" t="s">
        <v>12</v>
      </c>
      <c r="F7668">
        <f t="shared" si="119"/>
        <v>499.71600000000001</v>
      </c>
      <c r="G7668" t="s">
        <v>16</v>
      </c>
      <c r="H7668" t="s">
        <v>10</v>
      </c>
      <c r="J7668" t="str">
        <f>"09/28/2022 00:39"</f>
        <v>09/28/2022 00:39</v>
      </c>
    </row>
    <row r="7669" spans="1:10" x14ac:dyDescent="0.3">
      <c r="A7669" t="s">
        <v>6</v>
      </c>
      <c r="B7669" t="str">
        <f>"09/28/2022 00:00"</f>
        <v>09/28/2022 00:00</v>
      </c>
      <c r="C7669">
        <v>252</v>
      </c>
      <c r="D7669" t="s">
        <v>7</v>
      </c>
      <c r="E7669" s="2" t="s">
        <v>12</v>
      </c>
      <c r="F7669">
        <f t="shared" si="119"/>
        <v>499.71600000000001</v>
      </c>
      <c r="G7669" t="s">
        <v>16</v>
      </c>
      <c r="H7669" t="s">
        <v>10</v>
      </c>
      <c r="J7669" t="str">
        <f>"09/29/2022 00:38"</f>
        <v>09/29/2022 00:38</v>
      </c>
    </row>
    <row r="7670" spans="1:10" x14ac:dyDescent="0.3">
      <c r="A7670" t="s">
        <v>6</v>
      </c>
      <c r="B7670" t="str">
        <f>"09/29/2022 00:00"</f>
        <v>09/29/2022 00:00</v>
      </c>
      <c r="C7670">
        <v>219</v>
      </c>
      <c r="D7670" t="s">
        <v>7</v>
      </c>
      <c r="E7670" s="2" t="s">
        <v>12</v>
      </c>
      <c r="F7670">
        <f t="shared" si="119"/>
        <v>434.27700000000004</v>
      </c>
      <c r="G7670" t="s">
        <v>16</v>
      </c>
      <c r="H7670" t="s">
        <v>10</v>
      </c>
      <c r="J7670" t="str">
        <f>"09/30/2022 00:38"</f>
        <v>09/30/2022 00:38</v>
      </c>
    </row>
    <row r="7671" spans="1:10" x14ac:dyDescent="0.3">
      <c r="A7671" t="s">
        <v>6</v>
      </c>
      <c r="B7671" t="str">
        <f>"09/30/2022 00:00"</f>
        <v>09/30/2022 00:00</v>
      </c>
      <c r="C7671">
        <v>180</v>
      </c>
      <c r="D7671" t="s">
        <v>7</v>
      </c>
      <c r="E7671" s="2" t="s">
        <v>12</v>
      </c>
      <c r="F7671">
        <f t="shared" si="119"/>
        <v>356.94</v>
      </c>
      <c r="G7671" t="s">
        <v>16</v>
      </c>
      <c r="H7671" t="s">
        <v>10</v>
      </c>
      <c r="J7671" t="str">
        <f>"10/01/2022 00:38"</f>
        <v>10/01/2022 00:38</v>
      </c>
    </row>
    <row r="7672" spans="1:10" x14ac:dyDescent="0.3">
      <c r="E7672" s="18" t="s">
        <v>40</v>
      </c>
      <c r="F7672" s="16">
        <f>SUM(F2:F7671)</f>
        <v>1545032.0989327766</v>
      </c>
      <c r="G7672" s="17" t="s">
        <v>16</v>
      </c>
    </row>
    <row r="7673" spans="1:10" x14ac:dyDescent="0.3">
      <c r="E7673" s="18" t="s">
        <v>47</v>
      </c>
      <c r="F7673" s="16">
        <f>F7672/21</f>
        <v>73572.957092036988</v>
      </c>
      <c r="G7673" s="17" t="s">
        <v>19</v>
      </c>
    </row>
    <row r="7675" spans="1:10" x14ac:dyDescent="0.3">
      <c r="D7675">
        <v>1</v>
      </c>
      <c r="E7675">
        <v>2001</v>
      </c>
      <c r="F7675">
        <v>2002</v>
      </c>
    </row>
    <row r="7676" spans="1:10" x14ac:dyDescent="0.3">
      <c r="D7676">
        <v>2</v>
      </c>
      <c r="E7676">
        <v>2002</v>
      </c>
      <c r="F7676">
        <v>2003</v>
      </c>
    </row>
    <row r="7677" spans="1:10" x14ac:dyDescent="0.3">
      <c r="D7677">
        <v>3</v>
      </c>
      <c r="E7677">
        <v>2003</v>
      </c>
      <c r="F7677">
        <v>2004</v>
      </c>
    </row>
    <row r="7678" spans="1:10" x14ac:dyDescent="0.3">
      <c r="D7678">
        <v>4</v>
      </c>
      <c r="E7678">
        <v>2004</v>
      </c>
      <c r="F7678">
        <v>2005</v>
      </c>
    </row>
    <row r="7679" spans="1:10" x14ac:dyDescent="0.3">
      <c r="D7679">
        <v>5</v>
      </c>
      <c r="E7679">
        <v>2005</v>
      </c>
      <c r="F7679">
        <v>2006</v>
      </c>
    </row>
    <row r="7680" spans="1:10" x14ac:dyDescent="0.3">
      <c r="D7680">
        <v>6</v>
      </c>
      <c r="E7680">
        <v>2006</v>
      </c>
      <c r="F7680">
        <v>2007</v>
      </c>
    </row>
    <row r="7681" spans="4:6" x14ac:dyDescent="0.3">
      <c r="D7681">
        <v>7</v>
      </c>
      <c r="E7681">
        <v>2007</v>
      </c>
      <c r="F7681">
        <v>2008</v>
      </c>
    </row>
    <row r="7682" spans="4:6" x14ac:dyDescent="0.3">
      <c r="D7682">
        <v>8</v>
      </c>
      <c r="E7682">
        <v>2008</v>
      </c>
      <c r="F7682">
        <v>2009</v>
      </c>
    </row>
    <row r="7683" spans="4:6" x14ac:dyDescent="0.3">
      <c r="D7683">
        <v>9</v>
      </c>
      <c r="E7683">
        <v>2009</v>
      </c>
      <c r="F7683">
        <v>2010</v>
      </c>
    </row>
    <row r="7684" spans="4:6" x14ac:dyDescent="0.3">
      <c r="D7684">
        <v>10</v>
      </c>
      <c r="E7684">
        <v>2010</v>
      </c>
      <c r="F7684">
        <v>2011</v>
      </c>
    </row>
    <row r="7685" spans="4:6" x14ac:dyDescent="0.3">
      <c r="D7685">
        <v>11</v>
      </c>
      <c r="E7685">
        <v>2011</v>
      </c>
      <c r="F7685">
        <v>2012</v>
      </c>
    </row>
    <row r="7686" spans="4:6" x14ac:dyDescent="0.3">
      <c r="D7686">
        <v>12</v>
      </c>
      <c r="E7686">
        <v>2012</v>
      </c>
      <c r="F7686">
        <v>2013</v>
      </c>
    </row>
    <row r="7687" spans="4:6" x14ac:dyDescent="0.3">
      <c r="D7687">
        <v>13</v>
      </c>
      <c r="E7687">
        <v>2013</v>
      </c>
      <c r="F7687">
        <v>2014</v>
      </c>
    </row>
    <row r="7688" spans="4:6" x14ac:dyDescent="0.3">
      <c r="D7688">
        <v>14</v>
      </c>
      <c r="E7688">
        <v>2014</v>
      </c>
      <c r="F7688">
        <v>2015</v>
      </c>
    </row>
    <row r="7689" spans="4:6" x14ac:dyDescent="0.3">
      <c r="D7689">
        <v>15</v>
      </c>
      <c r="E7689">
        <v>2015</v>
      </c>
      <c r="F7689">
        <v>2016</v>
      </c>
    </row>
    <row r="7690" spans="4:6" x14ac:dyDescent="0.3">
      <c r="D7690">
        <v>16</v>
      </c>
      <c r="E7690">
        <v>2016</v>
      </c>
      <c r="F7690">
        <v>2017</v>
      </c>
    </row>
    <row r="7691" spans="4:6" x14ac:dyDescent="0.3">
      <c r="D7691">
        <v>17</v>
      </c>
      <c r="E7691">
        <v>2017</v>
      </c>
      <c r="F7691">
        <v>2018</v>
      </c>
    </row>
    <row r="7692" spans="4:6" x14ac:dyDescent="0.3">
      <c r="D7692">
        <v>18</v>
      </c>
      <c r="E7692">
        <v>2018</v>
      </c>
      <c r="F7692">
        <v>2019</v>
      </c>
    </row>
    <row r="7693" spans="4:6" x14ac:dyDescent="0.3">
      <c r="D7693">
        <v>19</v>
      </c>
      <c r="E7693">
        <v>2019</v>
      </c>
      <c r="F7693">
        <v>2020</v>
      </c>
    </row>
    <row r="7694" spans="4:6" x14ac:dyDescent="0.3">
      <c r="D7694">
        <v>20</v>
      </c>
      <c r="E7694">
        <v>2020</v>
      </c>
      <c r="F7694">
        <v>2021</v>
      </c>
    </row>
    <row r="7695" spans="4:6" x14ac:dyDescent="0.3">
      <c r="D7695">
        <v>21</v>
      </c>
      <c r="E7695">
        <v>2021</v>
      </c>
      <c r="F7695">
        <v>2022</v>
      </c>
    </row>
  </sheetData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Annual Summary</vt:lpstr>
      <vt:lpstr>station data 10.1.12 to 9.30.22</vt:lpstr>
      <vt:lpstr>station data 10.1.85-9.30.01</vt:lpstr>
      <vt:lpstr>station data 10.1.01-9.30.22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 River</dc:creator>
  <cp:lastModifiedBy>Blue River</cp:lastModifiedBy>
  <dcterms:created xsi:type="dcterms:W3CDTF">2022-10-19T00:33:08Z</dcterms:created>
  <dcterms:modified xsi:type="dcterms:W3CDTF">2022-10-26T01:00:14Z</dcterms:modified>
</cp:coreProperties>
</file>